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345" yWindow="-15" windowWidth="8970" windowHeight="8685"/>
  </bookViews>
  <sheets>
    <sheet name="Balanced Scorecard" sheetId="3" r:id="rId1"/>
    <sheet name="Input &amp; Calc" sheetId="1" r:id="rId2"/>
    <sheet name="State Summary" sheetId="4" r:id="rId3"/>
    <sheet name="Sheet1" sheetId="5" r:id="rId4"/>
  </sheets>
  <definedNames>
    <definedName name="BlandingSBDC">#REF!</definedName>
    <definedName name="Budget">'Input &amp; Calc'!$DZ$2:$EB$2672</definedName>
    <definedName name="CedarCitySBDC">#REF!</definedName>
    <definedName name="CedarSBDC">'Balanced Scorecard'!#REF!</definedName>
    <definedName name="EphraimSBDC">#REF!</definedName>
    <definedName name="Input">'Input &amp; Calc'!$J$2:$AJ$2659</definedName>
    <definedName name="KaysvilleSBDC">#REF!</definedName>
    <definedName name="LoganSBDC">#REF!</definedName>
    <definedName name="Month">'Input &amp; Calc'!$AL$2:$BL$2276</definedName>
    <definedName name="OgdenSBDC">#REF!</definedName>
    <definedName name="OremSBDC">#REF!</definedName>
    <definedName name="PriceSBDC">#REF!</definedName>
    <definedName name="Qtr">'Input &amp; Calc'!$BN$2:$CN$2297</definedName>
    <definedName name="SandySBDC">#REF!</definedName>
    <definedName name="StGeorgeSBDC">#REF!</definedName>
    <definedName name="UtahSBDC">#REF!</definedName>
    <definedName name="VernalSBDC">#REF!</definedName>
    <definedName name="YTD">'Input &amp; Calc'!$CP$2:$DP$2276</definedName>
  </definedNames>
  <calcPr calcId="125725"/>
</workbook>
</file>

<file path=xl/calcChain.xml><?xml version="1.0" encoding="utf-8"?>
<calcChain xmlns="http://schemas.openxmlformats.org/spreadsheetml/2006/main">
  <c r="E736" i="3"/>
  <c r="E670"/>
  <c r="E604"/>
  <c r="E538"/>
  <c r="E472"/>
  <c r="E406"/>
  <c r="E340"/>
  <c r="E274"/>
  <c r="E208"/>
  <c r="E142"/>
  <c r="E70"/>
  <c r="E4"/>
  <c r="E76" s="1"/>
  <c r="AJ501" i="1"/>
  <c r="AJ212"/>
  <c r="AI212"/>
  <c r="AJ146"/>
  <c r="AI146"/>
  <c r="AJ674"/>
  <c r="AJ608"/>
  <c r="AJ917" s="1"/>
  <c r="AJ542"/>
  <c r="AJ476"/>
  <c r="AJ915" s="1"/>
  <c r="AJ410"/>
  <c r="AJ344"/>
  <c r="AJ913" s="1"/>
  <c r="AJ278"/>
  <c r="AJ80"/>
  <c r="AJ909" s="1"/>
  <c r="AI80"/>
  <c r="AI740" s="1"/>
  <c r="AJ14"/>
  <c r="AI14"/>
  <c r="AJ740"/>
  <c r="AJ919"/>
  <c r="AI919"/>
  <c r="AH919"/>
  <c r="AJ918"/>
  <c r="AI918"/>
  <c r="AH918"/>
  <c r="AI917"/>
  <c r="AH917"/>
  <c r="AJ916"/>
  <c r="AI916"/>
  <c r="AH916"/>
  <c r="AI915"/>
  <c r="AH915"/>
  <c r="AJ914"/>
  <c r="AI914"/>
  <c r="AH914"/>
  <c r="AI913"/>
  <c r="AH913"/>
  <c r="AJ912"/>
  <c r="AI912"/>
  <c r="AH912"/>
  <c r="AJ911"/>
  <c r="AI911"/>
  <c r="AH911"/>
  <c r="AJ910"/>
  <c r="AI910"/>
  <c r="AH910"/>
  <c r="AI909"/>
  <c r="AH909"/>
  <c r="AJ908"/>
  <c r="AI908"/>
  <c r="AH908"/>
  <c r="AH410"/>
  <c r="BK736"/>
  <c r="BK735"/>
  <c r="AI682"/>
  <c r="AI674"/>
  <c r="AI670"/>
  <c r="AI669"/>
  <c r="AI616"/>
  <c r="AI608"/>
  <c r="AI604"/>
  <c r="AI603"/>
  <c r="AI550"/>
  <c r="AI542"/>
  <c r="AI538"/>
  <c r="AI537"/>
  <c r="CM494"/>
  <c r="CM495"/>
  <c r="CM496"/>
  <c r="CM497"/>
  <c r="CM498"/>
  <c r="CM499"/>
  <c r="CM500"/>
  <c r="CM501"/>
  <c r="CM502"/>
  <c r="CM503"/>
  <c r="CM504"/>
  <c r="CM505"/>
  <c r="CM506"/>
  <c r="CM507"/>
  <c r="CM508"/>
  <c r="CM509"/>
  <c r="CM510"/>
  <c r="CM511"/>
  <c r="AI484"/>
  <c r="BK906"/>
  <c r="DO896"/>
  <c r="DO897"/>
  <c r="DO898"/>
  <c r="DO899"/>
  <c r="DO900"/>
  <c r="DO901"/>
  <c r="DO902"/>
  <c r="DO903"/>
  <c r="DO904"/>
  <c r="DO905"/>
  <c r="DO895"/>
  <c r="CM896"/>
  <c r="CM897"/>
  <c r="CM898"/>
  <c r="CM899"/>
  <c r="CM900"/>
  <c r="CM901"/>
  <c r="CM902"/>
  <c r="CM903"/>
  <c r="CM904"/>
  <c r="CM905"/>
  <c r="CM895"/>
  <c r="AI476"/>
  <c r="AI472"/>
  <c r="AI471"/>
  <c r="DO880"/>
  <c r="DO881"/>
  <c r="DO882"/>
  <c r="DO883"/>
  <c r="DO884"/>
  <c r="DO885"/>
  <c r="DO886"/>
  <c r="DO887"/>
  <c r="DO888"/>
  <c r="DO889"/>
  <c r="DO890"/>
  <c r="DO865"/>
  <c r="DO866"/>
  <c r="DO867"/>
  <c r="DO868"/>
  <c r="DO869"/>
  <c r="DO870"/>
  <c r="DO871"/>
  <c r="DO872"/>
  <c r="DO873"/>
  <c r="DO874"/>
  <c r="BJ865"/>
  <c r="BJ868"/>
  <c r="AI418"/>
  <c r="AI410"/>
  <c r="AI406"/>
  <c r="AI405"/>
  <c r="BJ361"/>
  <c r="AI344"/>
  <c r="AI340"/>
  <c r="AI339"/>
  <c r="BJ303"/>
  <c r="BJ896"/>
  <c r="BJ897"/>
  <c r="BJ898"/>
  <c r="BJ899"/>
  <c r="BJ900"/>
  <c r="BJ299"/>
  <c r="BJ297"/>
  <c r="BJ296"/>
  <c r="AI278"/>
  <c r="AI274"/>
  <c r="AI273"/>
  <c r="CL896"/>
  <c r="CL898"/>
  <c r="CL900"/>
  <c r="CL903"/>
  <c r="BJ298"/>
  <c r="BK235"/>
  <c r="EH229"/>
  <c r="EH228"/>
  <c r="DO849"/>
  <c r="DO850"/>
  <c r="DO851"/>
  <c r="DO852"/>
  <c r="DO853"/>
  <c r="DO854"/>
  <c r="DO855"/>
  <c r="DO856"/>
  <c r="DO857"/>
  <c r="DO858"/>
  <c r="DO859"/>
  <c r="AJ142"/>
  <c r="AI142"/>
  <c r="AJ141"/>
  <c r="AI141"/>
  <c r="AH141"/>
  <c r="AI126"/>
  <c r="AI127"/>
  <c r="AI128"/>
  <c r="AI129"/>
  <c r="AI130"/>
  <c r="AI131"/>
  <c r="AI119"/>
  <c r="AI120"/>
  <c r="AI121"/>
  <c r="AI122"/>
  <c r="AI123"/>
  <c r="AI124"/>
  <c r="AI738"/>
  <c r="AJ738"/>
  <c r="CK901" l="1"/>
  <c r="CK902"/>
  <c r="CK896"/>
  <c r="CK897"/>
  <c r="CK898"/>
  <c r="CK899"/>
  <c r="CK900"/>
  <c r="CK903"/>
  <c r="CK904"/>
  <c r="CK905"/>
  <c r="BK905"/>
  <c r="BK904"/>
  <c r="BK903"/>
  <c r="BK902"/>
  <c r="BK901"/>
  <c r="BK900"/>
  <c r="BK899"/>
  <c r="BK898"/>
  <c r="BK897"/>
  <c r="BK896"/>
  <c r="BK895"/>
  <c r="CM906"/>
  <c r="AJ895"/>
  <c r="AJ896"/>
  <c r="AJ897"/>
  <c r="AJ898"/>
  <c r="AJ899"/>
  <c r="AJ900"/>
  <c r="AJ901"/>
  <c r="AJ902"/>
  <c r="AJ903"/>
  <c r="AJ904"/>
  <c r="AJ905"/>
  <c r="AU543" i="3"/>
  <c r="AU477"/>
  <c r="AU345"/>
  <c r="AU147"/>
  <c r="AU81"/>
  <c r="AU15"/>
  <c r="AU14"/>
  <c r="DN881" i="1" l="1"/>
  <c r="DN882"/>
  <c r="DN883"/>
  <c r="DN884"/>
  <c r="DN885"/>
  <c r="DN886"/>
  <c r="DN887"/>
  <c r="DN888"/>
  <c r="DN889"/>
  <c r="DN890"/>
  <c r="DN880"/>
  <c r="DN866"/>
  <c r="DN867"/>
  <c r="DN868"/>
  <c r="DN869"/>
  <c r="DN870"/>
  <c r="DN871"/>
  <c r="DN872"/>
  <c r="DN873"/>
  <c r="DN874"/>
  <c r="DN875"/>
  <c r="DN865"/>
  <c r="DN850"/>
  <c r="DN851"/>
  <c r="DN852"/>
  <c r="DN853"/>
  <c r="DN854"/>
  <c r="DN855"/>
  <c r="DN856"/>
  <c r="DN857"/>
  <c r="DN858"/>
  <c r="DN859"/>
  <c r="DN849"/>
  <c r="DM849"/>
  <c r="AU741" i="3"/>
  <c r="DN895" i="1"/>
  <c r="DN896"/>
  <c r="DN897"/>
  <c r="DN900"/>
  <c r="DN901"/>
  <c r="DN903"/>
  <c r="DN904"/>
  <c r="DN905"/>
  <c r="AU668" i="3" l="1"/>
  <c r="F669"/>
  <c r="CN670" i="1"/>
  <c r="CN669"/>
  <c r="CM682"/>
  <c r="CL682"/>
  <c r="CN682"/>
  <c r="AH682"/>
  <c r="AH674"/>
  <c r="CN608"/>
  <c r="CN604"/>
  <c r="CN603"/>
  <c r="CL616"/>
  <c r="CN616"/>
  <c r="BJ616"/>
  <c r="BK608"/>
  <c r="BL608"/>
  <c r="BM608"/>
  <c r="BN608"/>
  <c r="BO608"/>
  <c r="BP608"/>
  <c r="BQ608"/>
  <c r="BR608"/>
  <c r="BS608"/>
  <c r="BT608"/>
  <c r="BU608"/>
  <c r="BV608"/>
  <c r="BW608"/>
  <c r="BX608"/>
  <c r="BY608"/>
  <c r="BZ608"/>
  <c r="CA608"/>
  <c r="CB608"/>
  <c r="CC608"/>
  <c r="CD608"/>
  <c r="CE608"/>
  <c r="CF608"/>
  <c r="CG608"/>
  <c r="CH608"/>
  <c r="CI608"/>
  <c r="CJ608"/>
  <c r="BK606"/>
  <c r="BL606"/>
  <c r="BK604"/>
  <c r="BL604"/>
  <c r="BK603"/>
  <c r="BL603"/>
  <c r="BM603"/>
  <c r="AH616"/>
  <c r="AH608"/>
  <c r="CN542"/>
  <c r="CN538"/>
  <c r="CN537"/>
  <c r="CM550"/>
  <c r="CL550"/>
  <c r="CN550"/>
  <c r="BL550"/>
  <c r="BK550"/>
  <c r="BJ550"/>
  <c r="AH550"/>
  <c r="J550"/>
  <c r="K550"/>
  <c r="L550"/>
  <c r="M550"/>
  <c r="N550"/>
  <c r="O550"/>
  <c r="P550"/>
  <c r="Q550"/>
  <c r="R550"/>
  <c r="S550"/>
  <c r="T550"/>
  <c r="U550"/>
  <c r="V550"/>
  <c r="W550"/>
  <c r="X550"/>
  <c r="Y550"/>
  <c r="Z550"/>
  <c r="AA550"/>
  <c r="AB550"/>
  <c r="AC550"/>
  <c r="AD550"/>
  <c r="AE550"/>
  <c r="AF550"/>
  <c r="AG550"/>
  <c r="I550"/>
  <c r="I542"/>
  <c r="I538"/>
  <c r="I537"/>
  <c r="AU213" i="3"/>
  <c r="AU475"/>
  <c r="AU476"/>
  <c r="CL495" i="1"/>
  <c r="CL496"/>
  <c r="CL497"/>
  <c r="CL498"/>
  <c r="CL499"/>
  <c r="CL500"/>
  <c r="CL501"/>
  <c r="CL502"/>
  <c r="CL503"/>
  <c r="CL504"/>
  <c r="CL505"/>
  <c r="CL506"/>
  <c r="CL507"/>
  <c r="CL508"/>
  <c r="CL511"/>
  <c r="CL494"/>
  <c r="EF474"/>
  <c r="CL484"/>
  <c r="CM484"/>
  <c r="CN484"/>
  <c r="AJ484"/>
  <c r="AH484"/>
  <c r="BK484"/>
  <c r="BK476"/>
  <c r="BL476"/>
  <c r="BK474"/>
  <c r="BL474"/>
  <c r="BK472"/>
  <c r="BL472"/>
  <c r="BK471"/>
  <c r="BL471"/>
  <c r="I509"/>
  <c r="I495"/>
  <c r="I494"/>
  <c r="CL443"/>
  <c r="CL418"/>
  <c r="CN418"/>
  <c r="AH418"/>
  <c r="CN410"/>
  <c r="CN406"/>
  <c r="CN405"/>
  <c r="BK410"/>
  <c r="BL410"/>
  <c r="BK408"/>
  <c r="BL408"/>
  <c r="BK406"/>
  <c r="BL406"/>
  <c r="BK405"/>
  <c r="BL405"/>
  <c r="I406"/>
  <c r="I405"/>
  <c r="CL352"/>
  <c r="CM352"/>
  <c r="CN352"/>
  <c r="AI352"/>
  <c r="AJ352"/>
  <c r="AH352"/>
  <c r="Q345" i="3"/>
  <c r="CN339" i="1"/>
  <c r="BK344"/>
  <c r="BL344"/>
  <c r="BK342"/>
  <c r="EF342" s="1"/>
  <c r="BL342"/>
  <c r="BK340"/>
  <c r="BL340"/>
  <c r="BK339"/>
  <c r="BL339"/>
  <c r="BJ895" l="1"/>
  <c r="BJ901"/>
  <c r="BJ903"/>
  <c r="BJ904"/>
  <c r="BJ905"/>
  <c r="CL47"/>
  <c r="CM47" s="1"/>
  <c r="CN47" s="1"/>
  <c r="EF286"/>
  <c r="CM286"/>
  <c r="CL286"/>
  <c r="CN286"/>
  <c r="CN278"/>
  <c r="CN274"/>
  <c r="CN273"/>
  <c r="CN220"/>
  <c r="CN212"/>
  <c r="CN208"/>
  <c r="CN207"/>
  <c r="CN154"/>
  <c r="CN146"/>
  <c r="CN142"/>
  <c r="CN141"/>
  <c r="CN22"/>
  <c r="CN88"/>
  <c r="CN80"/>
  <c r="CN76"/>
  <c r="CN75"/>
  <c r="CN10"/>
  <c r="CN9"/>
  <c r="CN14"/>
  <c r="CL14" s="1"/>
  <c r="CL220"/>
  <c r="CM220"/>
  <c r="AI220"/>
  <c r="AJ220"/>
  <c r="AH220"/>
  <c r="BK146"/>
  <c r="BL146"/>
  <c r="BK144"/>
  <c r="BL144"/>
  <c r="BK142"/>
  <c r="BL142"/>
  <c r="BK141"/>
  <c r="BL141"/>
  <c r="EF154"/>
  <c r="DO154"/>
  <c r="DP154"/>
  <c r="DN154"/>
  <c r="CM154"/>
  <c r="CL154"/>
  <c r="AI154"/>
  <c r="AJ154"/>
  <c r="AH154"/>
  <c r="EG88"/>
  <c r="DO88"/>
  <c r="DP88"/>
  <c r="DN88"/>
  <c r="CM88"/>
  <c r="CL88"/>
  <c r="EF88" s="1"/>
  <c r="AI88"/>
  <c r="AJ88"/>
  <c r="AH88"/>
  <c r="EE22"/>
  <c r="AI22"/>
  <c r="AJ22"/>
  <c r="AH22"/>
  <c r="BK278"/>
  <c r="BL278"/>
  <c r="BK276"/>
  <c r="BL276"/>
  <c r="BK274"/>
  <c r="BL274"/>
  <c r="BK273"/>
  <c r="BL273"/>
  <c r="Q212" i="3"/>
  <c r="BK210" i="1"/>
  <c r="BL210"/>
  <c r="BK208"/>
  <c r="BL208"/>
  <c r="BK207"/>
  <c r="BL207"/>
  <c r="AH14"/>
  <c r="CM14" l="1"/>
  <c r="BK212"/>
  <c r="BL212"/>
  <c r="CM144"/>
  <c r="CN144"/>
  <c r="CL144"/>
  <c r="BK97"/>
  <c r="DO97" s="1"/>
  <c r="BL97"/>
  <c r="BJ97"/>
  <c r="BK80"/>
  <c r="BL80"/>
  <c r="BK78"/>
  <c r="BL78"/>
  <c r="BK76"/>
  <c r="BL76"/>
  <c r="BM76"/>
  <c r="BK75"/>
  <c r="BL75"/>
  <c r="CL78"/>
  <c r="CM78"/>
  <c r="CN78"/>
  <c r="DO80"/>
  <c r="DP80"/>
  <c r="DO76"/>
  <c r="DP76"/>
  <c r="DO75"/>
  <c r="DP75"/>
  <c r="BJ881"/>
  <c r="BJ882"/>
  <c r="BJ883"/>
  <c r="BJ884"/>
  <c r="BJ885"/>
  <c r="BJ886"/>
  <c r="BJ887"/>
  <c r="BJ888"/>
  <c r="BJ889"/>
  <c r="BJ890"/>
  <c r="BJ880"/>
  <c r="BJ866"/>
  <c r="BJ867"/>
  <c r="BJ869"/>
  <c r="BJ870"/>
  <c r="BJ871"/>
  <c r="BJ872"/>
  <c r="BJ873"/>
  <c r="BJ874"/>
  <c r="BJ875"/>
  <c r="AX866"/>
  <c r="AX867"/>
  <c r="AX868"/>
  <c r="AX869"/>
  <c r="AX870"/>
  <c r="AX871"/>
  <c r="AX872"/>
  <c r="AX873"/>
  <c r="AX874"/>
  <c r="AX865"/>
  <c r="BJ850"/>
  <c r="BJ851"/>
  <c r="BJ852"/>
  <c r="BJ853"/>
  <c r="BJ854"/>
  <c r="BJ855"/>
  <c r="BJ856"/>
  <c r="BJ857"/>
  <c r="BJ858"/>
  <c r="BJ859"/>
  <c r="BJ849"/>
  <c r="BI849"/>
  <c r="BK14"/>
  <c r="DO14" s="1"/>
  <c r="BL14"/>
  <c r="DP14" s="1"/>
  <c r="BK10"/>
  <c r="DO10" s="1"/>
  <c r="BL10"/>
  <c r="DP10" s="1"/>
  <c r="BK9"/>
  <c r="DO9" s="1"/>
  <c r="BL9"/>
  <c r="DP9" s="1"/>
  <c r="AH670"/>
  <c r="AH669"/>
  <c r="AH604"/>
  <c r="AH603"/>
  <c r="AH538"/>
  <c r="AH537"/>
  <c r="AH472"/>
  <c r="AH471"/>
  <c r="AH406"/>
  <c r="AH405"/>
  <c r="AH340"/>
  <c r="AH339"/>
  <c r="AH274"/>
  <c r="AH273"/>
  <c r="AH208"/>
  <c r="AH207"/>
  <c r="AH142"/>
  <c r="AH76"/>
  <c r="AH75"/>
  <c r="AH10"/>
  <c r="AH9"/>
  <c r="AH542"/>
  <c r="AH476"/>
  <c r="AH344"/>
  <c r="AH278"/>
  <c r="AH212"/>
  <c r="AH146"/>
  <c r="AH80"/>
  <c r="AH376" l="1"/>
  <c r="BJ177"/>
  <c r="BK177"/>
  <c r="AG49"/>
  <c r="AG181"/>
  <c r="AG884"/>
  <c r="AG880"/>
  <c r="AG895"/>
  <c r="AH895"/>
  <c r="AI895"/>
  <c r="AG896"/>
  <c r="AH896"/>
  <c r="AI896"/>
  <c r="AG897"/>
  <c r="AH897"/>
  <c r="AI897"/>
  <c r="AG898"/>
  <c r="AH898"/>
  <c r="AI898"/>
  <c r="AG899"/>
  <c r="AH899"/>
  <c r="AI899"/>
  <c r="AG900"/>
  <c r="AH900"/>
  <c r="AI900"/>
  <c r="AG901"/>
  <c r="AH901"/>
  <c r="AI901"/>
  <c r="AG902"/>
  <c r="AH902"/>
  <c r="AI902"/>
  <c r="AG903"/>
  <c r="AH903"/>
  <c r="AI903"/>
  <c r="AG904"/>
  <c r="AH904"/>
  <c r="AI904"/>
  <c r="AG905"/>
  <c r="AH905"/>
  <c r="AI905"/>
  <c r="BI639"/>
  <c r="BI507"/>
  <c r="BI441"/>
  <c r="BI375"/>
  <c r="BI243"/>
  <c r="BI177"/>
  <c r="BI111"/>
  <c r="BI45"/>
  <c r="AF762"/>
  <c r="AF434"/>
  <c r="AF764" s="1"/>
  <c r="AF759"/>
  <c r="AF760"/>
  <c r="AF810"/>
  <c r="BI705"/>
  <c r="AF882"/>
  <c r="AF881"/>
  <c r="AF880"/>
  <c r="AF163"/>
  <c r="V340"/>
  <c r="DB606"/>
  <c r="CK606"/>
  <c r="CB612"/>
  <c r="CB613"/>
  <c r="CB614"/>
  <c r="CB615"/>
  <c r="CN671"/>
  <c r="CM671"/>
  <c r="CL671"/>
  <c r="CN605"/>
  <c r="CM605" s="1"/>
  <c r="CL605"/>
  <c r="CK541"/>
  <c r="CJ541"/>
  <c r="CH541"/>
  <c r="CG541" s="1"/>
  <c r="CG584" s="1"/>
  <c r="CE541"/>
  <c r="CN539"/>
  <c r="CM539"/>
  <c r="CL539"/>
  <c r="CN473"/>
  <c r="CM473"/>
  <c r="CL473"/>
  <c r="CN407"/>
  <c r="CM407" s="1"/>
  <c r="CL407"/>
  <c r="CK406"/>
  <c r="CJ406" s="1"/>
  <c r="CI406"/>
  <c r="CH406"/>
  <c r="CG406"/>
  <c r="CF406"/>
  <c r="CE406"/>
  <c r="CK405"/>
  <c r="CJ405" s="1"/>
  <c r="CI405"/>
  <c r="CH405"/>
  <c r="CG405" s="1"/>
  <c r="CF405"/>
  <c r="CE405"/>
  <c r="CN341"/>
  <c r="CM341"/>
  <c r="CL341"/>
  <c r="CN275"/>
  <c r="CM275"/>
  <c r="CL275"/>
  <c r="CN269"/>
  <c r="CM269" s="1"/>
  <c r="CL269"/>
  <c r="CK269"/>
  <c r="CJ269"/>
  <c r="CI269"/>
  <c r="CH269"/>
  <c r="CG269" s="1"/>
  <c r="CF269"/>
  <c r="CE269"/>
  <c r="CN209"/>
  <c r="CM209" s="1"/>
  <c r="CL209"/>
  <c r="BH705"/>
  <c r="BH639"/>
  <c r="BH507"/>
  <c r="BH441"/>
  <c r="BH375"/>
  <c r="BH243"/>
  <c r="BH177"/>
  <c r="BH111"/>
  <c r="BH45"/>
  <c r="AE812"/>
  <c r="AE805"/>
  <c r="AF895"/>
  <c r="AF896"/>
  <c r="AF897"/>
  <c r="AF898"/>
  <c r="AF899"/>
  <c r="AF900"/>
  <c r="AF901"/>
  <c r="AF902"/>
  <c r="AF903"/>
  <c r="AF904"/>
  <c r="AF905"/>
  <c r="AD857"/>
  <c r="AD803"/>
  <c r="V670"/>
  <c r="W670"/>
  <c r="X670" s="1"/>
  <c r="Y670" s="1"/>
  <c r="Z670" s="1"/>
  <c r="AA670" s="1"/>
  <c r="AB670" s="1"/>
  <c r="AC670" s="1"/>
  <c r="AD670" s="1"/>
  <c r="AE670" s="1"/>
  <c r="AF670" s="1"/>
  <c r="AG670" s="1"/>
  <c r="V604"/>
  <c r="W604"/>
  <c r="X604" s="1"/>
  <c r="Y604" s="1"/>
  <c r="Z604" s="1"/>
  <c r="AA604" s="1"/>
  <c r="AB604" s="1"/>
  <c r="AC604" s="1"/>
  <c r="AD604" s="1"/>
  <c r="AE604" s="1"/>
  <c r="AF604" s="1"/>
  <c r="AG604" s="1"/>
  <c r="W542"/>
  <c r="X542"/>
  <c r="V538"/>
  <c r="W538"/>
  <c r="X538" s="1"/>
  <c r="Y538" s="1"/>
  <c r="Z538" s="1"/>
  <c r="Y536"/>
  <c r="Z536"/>
  <c r="AA536" s="1"/>
  <c r="AB536" s="1"/>
  <c r="AC536" s="1"/>
  <c r="AD536" s="1"/>
  <c r="AE536" s="1"/>
  <c r="AF536" s="1"/>
  <c r="AG536" s="1"/>
  <c r="AH536" s="1"/>
  <c r="AI536" s="1"/>
  <c r="AJ536" s="1"/>
  <c r="V475"/>
  <c r="W475"/>
  <c r="X475" s="1"/>
  <c r="V472"/>
  <c r="W472" s="1"/>
  <c r="X472" s="1"/>
  <c r="Y472" s="1"/>
  <c r="V406"/>
  <c r="W406" s="1"/>
  <c r="X406" s="1"/>
  <c r="Y406" s="1"/>
  <c r="V274"/>
  <c r="W274"/>
  <c r="X274"/>
  <c r="Y274" s="1"/>
  <c r="W208"/>
  <c r="X208" s="1"/>
  <c r="Y208" s="1"/>
  <c r="Z140"/>
  <c r="AA140"/>
  <c r="AB140" s="1"/>
  <c r="AC140" s="1"/>
  <c r="AD140" s="1"/>
  <c r="AE140" s="1"/>
  <c r="AF140" s="1"/>
  <c r="AG140" s="1"/>
  <c r="AH140" s="1"/>
  <c r="AI140" s="1"/>
  <c r="AJ140" s="1"/>
  <c r="W76"/>
  <c r="X76" s="1"/>
  <c r="Y76" s="1"/>
  <c r="Z76" s="1"/>
  <c r="AA76" s="1"/>
  <c r="AB76" s="1"/>
  <c r="AC76" s="1"/>
  <c r="AD76" s="1"/>
  <c r="AE76" s="1"/>
  <c r="AF76" s="1"/>
  <c r="AG76" s="1"/>
  <c r="AG709"/>
  <c r="AG643"/>
  <c r="AG577"/>
  <c r="AG511"/>
  <c r="AG445"/>
  <c r="AG379"/>
  <c r="AG313"/>
  <c r="AG247"/>
  <c r="AG115"/>
  <c r="BF705"/>
  <c r="BG705"/>
  <c r="BF639"/>
  <c r="BG639"/>
  <c r="BF507"/>
  <c r="BG507"/>
  <c r="BF441"/>
  <c r="BG441"/>
  <c r="BF375"/>
  <c r="BG375"/>
  <c r="BF243"/>
  <c r="BG243"/>
  <c r="BF177"/>
  <c r="BG177"/>
  <c r="BF111"/>
  <c r="BG111"/>
  <c r="BF45"/>
  <c r="BG45"/>
  <c r="W18" i="3"/>
  <c r="W860" i="1"/>
  <c r="X860"/>
  <c r="EG860"/>
  <c r="EF860"/>
  <c r="EE860"/>
  <c r="ED860"/>
  <c r="EB860"/>
  <c r="EA860"/>
  <c r="DZ860"/>
  <c r="DP860"/>
  <c r="DO860"/>
  <c r="DN860"/>
  <c r="DF860"/>
  <c r="DE860"/>
  <c r="DD860"/>
  <c r="DC860"/>
  <c r="DB860"/>
  <c r="CO860"/>
  <c r="BM860"/>
  <c r="AK860"/>
  <c r="AJ860"/>
  <c r="AI860"/>
  <c r="AG860"/>
  <c r="AF860"/>
  <c r="AE860"/>
  <c r="AD860"/>
  <c r="AC860"/>
  <c r="AB860"/>
  <c r="AA860"/>
  <c r="Z860"/>
  <c r="Y860"/>
  <c r="V860"/>
  <c r="BL859"/>
  <c r="BK859"/>
  <c r="CL859" s="1"/>
  <c r="CN859"/>
  <c r="BI859"/>
  <c r="DM859" s="1"/>
  <c r="EJ859"/>
  <c r="S677" i="3" s="1"/>
  <c r="BH859" i="1"/>
  <c r="DL859"/>
  <c r="BG859"/>
  <c r="DK859"/>
  <c r="BF859"/>
  <c r="EH859"/>
  <c r="F677" i="3" s="1"/>
  <c r="BE859" i="1"/>
  <c r="DI859"/>
  <c r="BD859"/>
  <c r="DH859"/>
  <c r="BC859"/>
  <c r="DG859"/>
  <c r="BB859"/>
  <c r="BA859"/>
  <c r="AZ859"/>
  <c r="AY859"/>
  <c r="AX859"/>
  <c r="CB859"/>
  <c r="AW859"/>
  <c r="DA859"/>
  <c r="AV859"/>
  <c r="CZ859"/>
  <c r="AU859"/>
  <c r="BY859"/>
  <c r="AT859"/>
  <c r="CX859"/>
  <c r="AS859"/>
  <c r="CW859"/>
  <c r="AR859"/>
  <c r="CV859"/>
  <c r="AQ859"/>
  <c r="CU859"/>
  <c r="AP859"/>
  <c r="CT859"/>
  <c r="AO859"/>
  <c r="BS859"/>
  <c r="AN859"/>
  <c r="CR859"/>
  <c r="AM859"/>
  <c r="CQ859"/>
  <c r="AL859"/>
  <c r="CP859"/>
  <c r="BL858"/>
  <c r="BK858"/>
  <c r="CL858" s="1"/>
  <c r="BI858"/>
  <c r="DM858"/>
  <c r="EJ858"/>
  <c r="EN858" s="1"/>
  <c r="ES858" s="1"/>
  <c r="BH858"/>
  <c r="DL858" s="1"/>
  <c r="BG858"/>
  <c r="DK858" s="1"/>
  <c r="BF858"/>
  <c r="BE858"/>
  <c r="DI858"/>
  <c r="BD858"/>
  <c r="DH858"/>
  <c r="BC858"/>
  <c r="DG858"/>
  <c r="BB858"/>
  <c r="BA858"/>
  <c r="AZ858"/>
  <c r="AY858"/>
  <c r="AX858"/>
  <c r="AW858"/>
  <c r="DA858"/>
  <c r="AV858"/>
  <c r="CZ858"/>
  <c r="AU858"/>
  <c r="CY858"/>
  <c r="AT858"/>
  <c r="CX858"/>
  <c r="AS858"/>
  <c r="CW858"/>
  <c r="AR858"/>
  <c r="AQ858"/>
  <c r="CU858" s="1"/>
  <c r="AP858"/>
  <c r="CT858" s="1"/>
  <c r="AO858"/>
  <c r="CS858" s="1"/>
  <c r="AN858"/>
  <c r="CR858" s="1"/>
  <c r="AM858"/>
  <c r="CQ858" s="1"/>
  <c r="AL858"/>
  <c r="BL857"/>
  <c r="BK857"/>
  <c r="CL857" s="1"/>
  <c r="BI857"/>
  <c r="DM857" s="1"/>
  <c r="EJ857"/>
  <c r="EN857" s="1"/>
  <c r="ES857" s="1"/>
  <c r="BH857"/>
  <c r="DL857"/>
  <c r="BG857"/>
  <c r="DK857"/>
  <c r="BF857"/>
  <c r="BE857"/>
  <c r="DI857" s="1"/>
  <c r="BD857"/>
  <c r="DH857" s="1"/>
  <c r="BC857"/>
  <c r="DG857" s="1"/>
  <c r="BB857"/>
  <c r="BA857"/>
  <c r="AZ857"/>
  <c r="AY857"/>
  <c r="AX857"/>
  <c r="CB857" s="1"/>
  <c r="AW857"/>
  <c r="DA857" s="1"/>
  <c r="AV857"/>
  <c r="CZ857" s="1"/>
  <c r="AU857"/>
  <c r="AT857"/>
  <c r="CX857"/>
  <c r="AS857"/>
  <c r="CW857"/>
  <c r="AR857"/>
  <c r="CV857"/>
  <c r="AQ857"/>
  <c r="CU857"/>
  <c r="AP857"/>
  <c r="CT857"/>
  <c r="AO857"/>
  <c r="AN857"/>
  <c r="CR857" s="1"/>
  <c r="AM857"/>
  <c r="CQ857" s="1"/>
  <c r="AL857"/>
  <c r="CP857" s="1"/>
  <c r="BL856"/>
  <c r="BK856"/>
  <c r="BI856"/>
  <c r="DM856" s="1"/>
  <c r="BH856"/>
  <c r="DL856" s="1"/>
  <c r="BG856"/>
  <c r="DK856" s="1"/>
  <c r="BF856"/>
  <c r="BE856"/>
  <c r="DI856"/>
  <c r="BD856"/>
  <c r="DH856"/>
  <c r="BC856"/>
  <c r="DG856"/>
  <c r="BB856"/>
  <c r="BA856"/>
  <c r="AZ856"/>
  <c r="AY856"/>
  <c r="AX856"/>
  <c r="AW856"/>
  <c r="DA856" s="1"/>
  <c r="AV856"/>
  <c r="CZ856" s="1"/>
  <c r="AU856"/>
  <c r="CY856" s="1"/>
  <c r="AT856"/>
  <c r="CX856" s="1"/>
  <c r="AS856"/>
  <c r="CW856" s="1"/>
  <c r="AR856"/>
  <c r="AQ856"/>
  <c r="CU856"/>
  <c r="AP856"/>
  <c r="CT856"/>
  <c r="AO856"/>
  <c r="CS856"/>
  <c r="AN856"/>
  <c r="CR856"/>
  <c r="AM856"/>
  <c r="CQ856"/>
  <c r="AL856"/>
  <c r="BL855"/>
  <c r="BK855"/>
  <c r="CN855"/>
  <c r="BI855"/>
  <c r="DM855"/>
  <c r="BH855"/>
  <c r="DL855"/>
  <c r="BG855"/>
  <c r="DK855"/>
  <c r="BF855"/>
  <c r="BE855"/>
  <c r="DI855" s="1"/>
  <c r="BD855"/>
  <c r="DH855" s="1"/>
  <c r="BC855"/>
  <c r="DG855" s="1"/>
  <c r="BB855"/>
  <c r="BA855"/>
  <c r="AZ855"/>
  <c r="AY855"/>
  <c r="AX855"/>
  <c r="CB855" s="1"/>
  <c r="AW855"/>
  <c r="DA855" s="1"/>
  <c r="AV855"/>
  <c r="CZ855" s="1"/>
  <c r="AU855"/>
  <c r="AT855"/>
  <c r="CX855"/>
  <c r="AS855"/>
  <c r="CW855"/>
  <c r="AR855"/>
  <c r="CV855"/>
  <c r="AQ855"/>
  <c r="CU855"/>
  <c r="AP855"/>
  <c r="CT855"/>
  <c r="AO855"/>
  <c r="AN855"/>
  <c r="CR855" s="1"/>
  <c r="AM855"/>
  <c r="CQ855" s="1"/>
  <c r="AL855"/>
  <c r="CP855" s="1"/>
  <c r="BL854"/>
  <c r="BK854"/>
  <c r="BI854"/>
  <c r="DM854" s="1"/>
  <c r="BH854"/>
  <c r="DL854" s="1"/>
  <c r="BG854"/>
  <c r="DK854" s="1"/>
  <c r="BF854"/>
  <c r="BE854"/>
  <c r="DI854"/>
  <c r="BD854"/>
  <c r="DH854"/>
  <c r="BC854"/>
  <c r="DG854"/>
  <c r="BB854"/>
  <c r="BA854"/>
  <c r="AZ854"/>
  <c r="AY854"/>
  <c r="AX854"/>
  <c r="AW854"/>
  <c r="DA854" s="1"/>
  <c r="AV854"/>
  <c r="CZ854" s="1"/>
  <c r="AU854"/>
  <c r="CY854" s="1"/>
  <c r="AT854"/>
  <c r="CX854" s="1"/>
  <c r="AS854"/>
  <c r="CW854" s="1"/>
  <c r="AR854"/>
  <c r="AQ854"/>
  <c r="CU854"/>
  <c r="AP854"/>
  <c r="CT854"/>
  <c r="AO854"/>
  <c r="CS854"/>
  <c r="AN854"/>
  <c r="CR854"/>
  <c r="AM854"/>
  <c r="CQ854"/>
  <c r="AL854"/>
  <c r="BL853"/>
  <c r="BK853"/>
  <c r="BI853"/>
  <c r="DM853" s="1"/>
  <c r="EJ853"/>
  <c r="BH853"/>
  <c r="DL853"/>
  <c r="BG853"/>
  <c r="DK853"/>
  <c r="BF853"/>
  <c r="BE853"/>
  <c r="DI853" s="1"/>
  <c r="BD853"/>
  <c r="DH853" s="1"/>
  <c r="BC853"/>
  <c r="DG853" s="1"/>
  <c r="BB853"/>
  <c r="BA853"/>
  <c r="AZ853"/>
  <c r="AY853"/>
  <c r="AX853"/>
  <c r="AW853"/>
  <c r="DA853"/>
  <c r="AV853"/>
  <c r="CZ853"/>
  <c r="AU853"/>
  <c r="AT853"/>
  <c r="CX853" s="1"/>
  <c r="AS853"/>
  <c r="CW853" s="1"/>
  <c r="AR853"/>
  <c r="CV853" s="1"/>
  <c r="AQ853"/>
  <c r="CU853" s="1"/>
  <c r="AP853"/>
  <c r="CT853" s="1"/>
  <c r="AO853"/>
  <c r="AN853"/>
  <c r="CR853"/>
  <c r="AM853"/>
  <c r="CQ853"/>
  <c r="AL853"/>
  <c r="CP853"/>
  <c r="BL852"/>
  <c r="BK852"/>
  <c r="CL852" s="1"/>
  <c r="BI852"/>
  <c r="DM852"/>
  <c r="EJ852"/>
  <c r="S215" i="3" s="1"/>
  <c r="BH852" i="1"/>
  <c r="DL852" s="1"/>
  <c r="BG852"/>
  <c r="DK852" s="1"/>
  <c r="BF852"/>
  <c r="BE852"/>
  <c r="DI852"/>
  <c r="BD852"/>
  <c r="DH852"/>
  <c r="BC852"/>
  <c r="DG852"/>
  <c r="BB852"/>
  <c r="BA852"/>
  <c r="AZ852"/>
  <c r="AY852"/>
  <c r="AX852"/>
  <c r="AW852"/>
  <c r="DA852" s="1"/>
  <c r="AV852"/>
  <c r="CZ852" s="1"/>
  <c r="AU852"/>
  <c r="CY852" s="1"/>
  <c r="AT852"/>
  <c r="CX852" s="1"/>
  <c r="AS852"/>
  <c r="CW852" s="1"/>
  <c r="AR852"/>
  <c r="CV852" s="1"/>
  <c r="AQ852"/>
  <c r="CU852" s="1"/>
  <c r="AP852"/>
  <c r="CT852" s="1"/>
  <c r="AO852"/>
  <c r="CS852" s="1"/>
  <c r="AN852"/>
  <c r="CR852" s="1"/>
  <c r="AM852"/>
  <c r="CQ852" s="1"/>
  <c r="AL852"/>
  <c r="CP852" s="1"/>
  <c r="BL851"/>
  <c r="BK851"/>
  <c r="BI851"/>
  <c r="DM851" s="1"/>
  <c r="EJ851"/>
  <c r="S149" i="3" s="1"/>
  <c r="BH851" i="1"/>
  <c r="DL851"/>
  <c r="BG851"/>
  <c r="DK851"/>
  <c r="BF851"/>
  <c r="BE851"/>
  <c r="DI851" s="1"/>
  <c r="BD851"/>
  <c r="DH851" s="1"/>
  <c r="BC851"/>
  <c r="DG851" s="1"/>
  <c r="BB851"/>
  <c r="BA851"/>
  <c r="AZ851"/>
  <c r="AY851"/>
  <c r="AX851"/>
  <c r="CB851" s="1"/>
  <c r="AW851"/>
  <c r="DA851" s="1"/>
  <c r="AV851"/>
  <c r="CZ851" s="1"/>
  <c r="AU851"/>
  <c r="CY851" s="1"/>
  <c r="AT851"/>
  <c r="CX851" s="1"/>
  <c r="AS851"/>
  <c r="CW851" s="1"/>
  <c r="AR851"/>
  <c r="BV851" s="1"/>
  <c r="AQ851"/>
  <c r="CU851" s="1"/>
  <c r="AP851"/>
  <c r="CT851" s="1"/>
  <c r="AO851"/>
  <c r="CS851" s="1"/>
  <c r="AN851"/>
  <c r="CR851" s="1"/>
  <c r="AM851"/>
  <c r="CQ851" s="1"/>
  <c r="AL851"/>
  <c r="BP851" s="1"/>
  <c r="BL850"/>
  <c r="BK850"/>
  <c r="CN850"/>
  <c r="BI850"/>
  <c r="DM850"/>
  <c r="BH850"/>
  <c r="DL850"/>
  <c r="BG850"/>
  <c r="DK850"/>
  <c r="BF850"/>
  <c r="BE850"/>
  <c r="DI850" s="1"/>
  <c r="BD850"/>
  <c r="DH850" s="1"/>
  <c r="BC850"/>
  <c r="DG850" s="1"/>
  <c r="BB850"/>
  <c r="BA850"/>
  <c r="AZ850"/>
  <c r="AY850"/>
  <c r="AX850"/>
  <c r="CB850" s="1"/>
  <c r="AW850"/>
  <c r="DA850" s="1"/>
  <c r="AV850"/>
  <c r="CZ850" s="1"/>
  <c r="AU850"/>
  <c r="BY850" s="1"/>
  <c r="AT850"/>
  <c r="CX850" s="1"/>
  <c r="AS850"/>
  <c r="CW850" s="1"/>
  <c r="AR850"/>
  <c r="CV850" s="1"/>
  <c r="AQ850"/>
  <c r="CU850" s="1"/>
  <c r="AP850"/>
  <c r="CT850" s="1"/>
  <c r="AO850"/>
  <c r="BS850" s="1"/>
  <c r="AN850"/>
  <c r="CR850" s="1"/>
  <c r="AM850"/>
  <c r="CQ850" s="1"/>
  <c r="AL850"/>
  <c r="CP850" s="1"/>
  <c r="BL849"/>
  <c r="BL860" s="1"/>
  <c r="BK849"/>
  <c r="BI860"/>
  <c r="BH849"/>
  <c r="BH860"/>
  <c r="BG849"/>
  <c r="BG860"/>
  <c r="BF849"/>
  <c r="BF860"/>
  <c r="BE849"/>
  <c r="BE860"/>
  <c r="BD849"/>
  <c r="BD860"/>
  <c r="BC849"/>
  <c r="BC860"/>
  <c r="BB849"/>
  <c r="BB860"/>
  <c r="BA849"/>
  <c r="BA860"/>
  <c r="AZ849"/>
  <c r="AZ860"/>
  <c r="AY849"/>
  <c r="AY860"/>
  <c r="AX849"/>
  <c r="AX860"/>
  <c r="AW849"/>
  <c r="AW860"/>
  <c r="AV849"/>
  <c r="AV860"/>
  <c r="AU849"/>
  <c r="AU860"/>
  <c r="AT849"/>
  <c r="AT860"/>
  <c r="AS849"/>
  <c r="AS860"/>
  <c r="AR849"/>
  <c r="AR860"/>
  <c r="AQ849"/>
  <c r="AQ860"/>
  <c r="AP849"/>
  <c r="AP860"/>
  <c r="AO849"/>
  <c r="AO860"/>
  <c r="AN849"/>
  <c r="AN860"/>
  <c r="AM849"/>
  <c r="AM860"/>
  <c r="AL849"/>
  <c r="AL860"/>
  <c r="AD805"/>
  <c r="AD812"/>
  <c r="AC812"/>
  <c r="AC805"/>
  <c r="AB640"/>
  <c r="BE639"/>
  <c r="BE177"/>
  <c r="BE507"/>
  <c r="AB805"/>
  <c r="AB812"/>
  <c r="N3" i="4"/>
  <c r="AB46" i="1"/>
  <c r="AK917"/>
  <c r="AK919"/>
  <c r="AB895"/>
  <c r="AC895"/>
  <c r="AD895"/>
  <c r="AE895"/>
  <c r="AB896"/>
  <c r="AC896"/>
  <c r="AD896"/>
  <c r="AE896"/>
  <c r="AB897"/>
  <c r="AC897"/>
  <c r="AD897"/>
  <c r="AE897"/>
  <c r="AB898"/>
  <c r="AC898"/>
  <c r="AD898"/>
  <c r="AE898"/>
  <c r="AB899"/>
  <c r="AC899"/>
  <c r="AD899"/>
  <c r="AE899"/>
  <c r="AB900"/>
  <c r="AC900"/>
  <c r="AD900"/>
  <c r="AE900"/>
  <c r="AB901"/>
  <c r="AC901"/>
  <c r="AD901"/>
  <c r="AE901"/>
  <c r="AB902"/>
  <c r="AC902"/>
  <c r="AD902"/>
  <c r="AE902"/>
  <c r="AB903"/>
  <c r="AC903"/>
  <c r="AD903"/>
  <c r="AE903"/>
  <c r="AB904"/>
  <c r="AC904"/>
  <c r="AD904"/>
  <c r="AE904"/>
  <c r="AB905"/>
  <c r="AC905"/>
  <c r="AD905"/>
  <c r="AE905"/>
  <c r="V812"/>
  <c r="W812"/>
  <c r="AO17" i="3"/>
  <c r="AN17"/>
  <c r="AM17"/>
  <c r="AL17"/>
  <c r="AK17"/>
  <c r="E919" i="1"/>
  <c r="G919"/>
  <c r="E906"/>
  <c r="G906"/>
  <c r="AZ697"/>
  <c r="BA697"/>
  <c r="BB697"/>
  <c r="BC697"/>
  <c r="CK908"/>
  <c r="CH908"/>
  <c r="CE908"/>
  <c r="CD908" s="1"/>
  <c r="CB908"/>
  <c r="BA22"/>
  <c r="BC22"/>
  <c r="BE22"/>
  <c r="BG22"/>
  <c r="BI22"/>
  <c r="AY22"/>
  <c r="V910"/>
  <c r="V911"/>
  <c r="V912"/>
  <c r="V913"/>
  <c r="V916"/>
  <c r="V909"/>
  <c r="V908"/>
  <c r="W22"/>
  <c r="X22" s="1"/>
  <c r="Y22" s="1"/>
  <c r="E909"/>
  <c r="G909"/>
  <c r="J909"/>
  <c r="K909"/>
  <c r="L909"/>
  <c r="M909"/>
  <c r="N909"/>
  <c r="O909"/>
  <c r="P909"/>
  <c r="Q909"/>
  <c r="R909"/>
  <c r="S909"/>
  <c r="T909"/>
  <c r="U909"/>
  <c r="E910"/>
  <c r="G910"/>
  <c r="J910"/>
  <c r="K910"/>
  <c r="L910"/>
  <c r="M910"/>
  <c r="N910"/>
  <c r="O910"/>
  <c r="P910"/>
  <c r="Q910"/>
  <c r="R910"/>
  <c r="S910"/>
  <c r="T910"/>
  <c r="U910"/>
  <c r="E911"/>
  <c r="G911"/>
  <c r="J911"/>
  <c r="K911"/>
  <c r="L911"/>
  <c r="M911"/>
  <c r="N911"/>
  <c r="O911"/>
  <c r="P911"/>
  <c r="Q911"/>
  <c r="R911"/>
  <c r="S911"/>
  <c r="T911"/>
  <c r="U911"/>
  <c r="E912"/>
  <c r="G912"/>
  <c r="J912"/>
  <c r="K912"/>
  <c r="L912"/>
  <c r="M912"/>
  <c r="N912"/>
  <c r="O912"/>
  <c r="P912"/>
  <c r="Q912"/>
  <c r="R912"/>
  <c r="S912"/>
  <c r="T912"/>
  <c r="U912"/>
  <c r="E913"/>
  <c r="G913"/>
  <c r="J913"/>
  <c r="K913"/>
  <c r="L913"/>
  <c r="M913"/>
  <c r="N913"/>
  <c r="O913"/>
  <c r="P913"/>
  <c r="Q913"/>
  <c r="R913"/>
  <c r="S913"/>
  <c r="T913"/>
  <c r="U913"/>
  <c r="E914"/>
  <c r="G914"/>
  <c r="J914"/>
  <c r="K914"/>
  <c r="L914"/>
  <c r="M914"/>
  <c r="N914"/>
  <c r="O914"/>
  <c r="P914"/>
  <c r="Q914"/>
  <c r="R914"/>
  <c r="S914"/>
  <c r="T914"/>
  <c r="U914"/>
  <c r="E915"/>
  <c r="G915"/>
  <c r="J915"/>
  <c r="K915"/>
  <c r="L915"/>
  <c r="M915"/>
  <c r="N915"/>
  <c r="O915"/>
  <c r="P915"/>
  <c r="Q915"/>
  <c r="R915"/>
  <c r="S915"/>
  <c r="T915"/>
  <c r="U915"/>
  <c r="E916"/>
  <c r="G916"/>
  <c r="J916"/>
  <c r="K916"/>
  <c r="L916"/>
  <c r="M916"/>
  <c r="N916"/>
  <c r="O916"/>
  <c r="P916"/>
  <c r="Q916"/>
  <c r="R916"/>
  <c r="S916"/>
  <c r="T916"/>
  <c r="U916"/>
  <c r="E917"/>
  <c r="G917"/>
  <c r="J917"/>
  <c r="K917"/>
  <c r="L917"/>
  <c r="M917"/>
  <c r="N917"/>
  <c r="O917"/>
  <c r="P917"/>
  <c r="Q917"/>
  <c r="R917"/>
  <c r="S917"/>
  <c r="T917"/>
  <c r="U917"/>
  <c r="E918"/>
  <c r="G918"/>
  <c r="J918"/>
  <c r="K918"/>
  <c r="L918"/>
  <c r="M918"/>
  <c r="N918"/>
  <c r="O918"/>
  <c r="P918"/>
  <c r="Q918"/>
  <c r="R918"/>
  <c r="S918"/>
  <c r="T918"/>
  <c r="U918"/>
  <c r="U908"/>
  <c r="T908"/>
  <c r="S908"/>
  <c r="R908"/>
  <c r="Q908"/>
  <c r="P908"/>
  <c r="O908"/>
  <c r="N908"/>
  <c r="M908"/>
  <c r="L908"/>
  <c r="K908"/>
  <c r="J908"/>
  <c r="G908"/>
  <c r="E908"/>
  <c r="V905"/>
  <c r="V904"/>
  <c r="V903"/>
  <c r="V902"/>
  <c r="V901"/>
  <c r="V900"/>
  <c r="V899"/>
  <c r="V898"/>
  <c r="V897"/>
  <c r="V896"/>
  <c r="V895"/>
  <c r="W905"/>
  <c r="W904"/>
  <c r="W903"/>
  <c r="W902"/>
  <c r="W901"/>
  <c r="W900"/>
  <c r="W899"/>
  <c r="W898"/>
  <c r="W897"/>
  <c r="W896"/>
  <c r="W895"/>
  <c r="X905"/>
  <c r="X904"/>
  <c r="X903"/>
  <c r="X902"/>
  <c r="X901"/>
  <c r="X900"/>
  <c r="X899"/>
  <c r="X898"/>
  <c r="X897"/>
  <c r="X896"/>
  <c r="X895"/>
  <c r="Y905"/>
  <c r="Y904"/>
  <c r="Y903"/>
  <c r="Y902"/>
  <c r="Y901"/>
  <c r="Y900"/>
  <c r="Y899"/>
  <c r="Y898"/>
  <c r="Y897"/>
  <c r="Y896"/>
  <c r="Y895"/>
  <c r="Z905"/>
  <c r="Z904"/>
  <c r="Z903"/>
  <c r="Z902"/>
  <c r="Z901"/>
  <c r="Z900"/>
  <c r="Z899"/>
  <c r="Z898"/>
  <c r="Z897"/>
  <c r="Z896"/>
  <c r="Z895"/>
  <c r="AA905"/>
  <c r="AA904"/>
  <c r="AA903"/>
  <c r="AA902"/>
  <c r="AA901"/>
  <c r="AA900"/>
  <c r="AA899"/>
  <c r="AA898"/>
  <c r="AA897"/>
  <c r="AA896"/>
  <c r="AA895"/>
  <c r="E896"/>
  <c r="G896"/>
  <c r="J896"/>
  <c r="K896"/>
  <c r="L896"/>
  <c r="M896"/>
  <c r="N896"/>
  <c r="O896"/>
  <c r="P896"/>
  <c r="Q896"/>
  <c r="R896"/>
  <c r="S896"/>
  <c r="T896"/>
  <c r="U896"/>
  <c r="DP896"/>
  <c r="E897"/>
  <c r="G897"/>
  <c r="J897"/>
  <c r="K897"/>
  <c r="L897"/>
  <c r="M897"/>
  <c r="N897"/>
  <c r="O897"/>
  <c r="P897"/>
  <c r="Q897"/>
  <c r="R897"/>
  <c r="S897"/>
  <c r="T897"/>
  <c r="U897"/>
  <c r="DP897"/>
  <c r="E898"/>
  <c r="G898"/>
  <c r="J898"/>
  <c r="K898"/>
  <c r="L898"/>
  <c r="M898"/>
  <c r="N898"/>
  <c r="O898"/>
  <c r="P898"/>
  <c r="Q898"/>
  <c r="R898"/>
  <c r="S898"/>
  <c r="T898"/>
  <c r="U898"/>
  <c r="DP898"/>
  <c r="E899"/>
  <c r="G899"/>
  <c r="J899"/>
  <c r="K899"/>
  <c r="L899"/>
  <c r="M899"/>
  <c r="N899"/>
  <c r="O899"/>
  <c r="P899"/>
  <c r="Q899"/>
  <c r="R899"/>
  <c r="S899"/>
  <c r="T899"/>
  <c r="U899"/>
  <c r="DP899"/>
  <c r="E900"/>
  <c r="G900"/>
  <c r="J900"/>
  <c r="K900"/>
  <c r="L900"/>
  <c r="M900"/>
  <c r="N900"/>
  <c r="O900"/>
  <c r="P900"/>
  <c r="Q900"/>
  <c r="R900"/>
  <c r="S900"/>
  <c r="T900"/>
  <c r="U900"/>
  <c r="DP900"/>
  <c r="E901"/>
  <c r="G901"/>
  <c r="J901"/>
  <c r="K901"/>
  <c r="L901"/>
  <c r="M901"/>
  <c r="N901"/>
  <c r="O901"/>
  <c r="P901"/>
  <c r="Q901"/>
  <c r="R901"/>
  <c r="S901"/>
  <c r="T901"/>
  <c r="U901"/>
  <c r="DP901"/>
  <c r="E902"/>
  <c r="G902"/>
  <c r="DP902"/>
  <c r="E903"/>
  <c r="G903"/>
  <c r="E904"/>
  <c r="G904"/>
  <c r="J904"/>
  <c r="K904"/>
  <c r="L904"/>
  <c r="M904"/>
  <c r="N904"/>
  <c r="O904"/>
  <c r="P904"/>
  <c r="Q904"/>
  <c r="R904"/>
  <c r="S904"/>
  <c r="T904"/>
  <c r="U904"/>
  <c r="AL904"/>
  <c r="AM904"/>
  <c r="AN904"/>
  <c r="AO904"/>
  <c r="AP904"/>
  <c r="AQ904"/>
  <c r="AR904"/>
  <c r="AS904"/>
  <c r="AT904"/>
  <c r="AU904"/>
  <c r="AV904"/>
  <c r="AW904"/>
  <c r="BL904"/>
  <c r="BN904"/>
  <c r="BO904"/>
  <c r="BP904"/>
  <c r="BQ904"/>
  <c r="BR904"/>
  <c r="BS904"/>
  <c r="BT904"/>
  <c r="BU904"/>
  <c r="BV904"/>
  <c r="BW904"/>
  <c r="BX904"/>
  <c r="BY904"/>
  <c r="CP904"/>
  <c r="CQ904"/>
  <c r="CR904"/>
  <c r="CS904"/>
  <c r="CT904"/>
  <c r="CU904"/>
  <c r="CV904"/>
  <c r="CW904"/>
  <c r="CX904"/>
  <c r="CY904"/>
  <c r="CZ904"/>
  <c r="DA904"/>
  <c r="DP904"/>
  <c r="E905"/>
  <c r="G905"/>
  <c r="J905"/>
  <c r="K905"/>
  <c r="L905"/>
  <c r="M905"/>
  <c r="N905"/>
  <c r="O905"/>
  <c r="P905"/>
  <c r="Q905"/>
  <c r="R905"/>
  <c r="S905"/>
  <c r="T905"/>
  <c r="U905"/>
  <c r="AL905"/>
  <c r="AM905"/>
  <c r="AN905"/>
  <c r="AO905"/>
  <c r="AP905"/>
  <c r="AQ905"/>
  <c r="AR905"/>
  <c r="AS905"/>
  <c r="AT905"/>
  <c r="AU905"/>
  <c r="AV905"/>
  <c r="AW905"/>
  <c r="BL905"/>
  <c r="BN905"/>
  <c r="BO905"/>
  <c r="BP905"/>
  <c r="BQ905"/>
  <c r="BR905"/>
  <c r="BS905"/>
  <c r="BT905"/>
  <c r="BU905"/>
  <c r="BV905"/>
  <c r="BW905"/>
  <c r="BX905"/>
  <c r="BY905"/>
  <c r="CP905"/>
  <c r="CQ905"/>
  <c r="CR905"/>
  <c r="CS905"/>
  <c r="CT905"/>
  <c r="CU905"/>
  <c r="CV905"/>
  <c r="CW905"/>
  <c r="CX905"/>
  <c r="CY905"/>
  <c r="CZ905"/>
  <c r="DA905"/>
  <c r="DP905"/>
  <c r="DP895"/>
  <c r="U895"/>
  <c r="T895"/>
  <c r="S895"/>
  <c r="R895"/>
  <c r="Q895"/>
  <c r="P895"/>
  <c r="O895"/>
  <c r="N895"/>
  <c r="M895"/>
  <c r="L895"/>
  <c r="K895"/>
  <c r="J895"/>
  <c r="G895"/>
  <c r="E895"/>
  <c r="CK221"/>
  <c r="CJ221"/>
  <c r="CH221"/>
  <c r="CF221"/>
  <c r="CD221"/>
  <c r="CC221"/>
  <c r="BZ221"/>
  <c r="CA221"/>
  <c r="V221"/>
  <c r="AX221"/>
  <c r="CB220"/>
  <c r="CK220"/>
  <c r="W220"/>
  <c r="X220"/>
  <c r="Y220" s="1"/>
  <c r="W891"/>
  <c r="X891"/>
  <c r="Y891"/>
  <c r="Z891"/>
  <c r="AA891"/>
  <c r="AB891"/>
  <c r="AC891"/>
  <c r="AD891"/>
  <c r="AE891"/>
  <c r="AF891"/>
  <c r="AG891"/>
  <c r="AH891"/>
  <c r="AI891"/>
  <c r="AJ891"/>
  <c r="AK891"/>
  <c r="BM891"/>
  <c r="CO891"/>
  <c r="DB891"/>
  <c r="DN891"/>
  <c r="DO891"/>
  <c r="DP891"/>
  <c r="DZ891"/>
  <c r="EA891"/>
  <c r="EB891"/>
  <c r="ED891"/>
  <c r="EE891"/>
  <c r="EF891"/>
  <c r="EG891"/>
  <c r="V891"/>
  <c r="W876"/>
  <c r="X876"/>
  <c r="Y876"/>
  <c r="Z876"/>
  <c r="AA876"/>
  <c r="AB876"/>
  <c r="AC876"/>
  <c r="AD876"/>
  <c r="AE876"/>
  <c r="AF876"/>
  <c r="AG876"/>
  <c r="AH876"/>
  <c r="AI876"/>
  <c r="AJ876"/>
  <c r="AK876"/>
  <c r="BM876"/>
  <c r="CO876"/>
  <c r="DB876"/>
  <c r="DC876"/>
  <c r="DD876"/>
  <c r="DE876"/>
  <c r="DF876"/>
  <c r="DN876"/>
  <c r="DO876"/>
  <c r="DP876"/>
  <c r="DP903"/>
  <c r="DZ876"/>
  <c r="EA876"/>
  <c r="EB876"/>
  <c r="ED876"/>
  <c r="EE876"/>
  <c r="EF876"/>
  <c r="EG876"/>
  <c r="V876"/>
  <c r="BL890"/>
  <c r="BK890"/>
  <c r="CN890" s="1"/>
  <c r="BI890"/>
  <c r="DM890" s="1"/>
  <c r="EJ890"/>
  <c r="S679" i="3" s="1"/>
  <c r="BH890" i="1"/>
  <c r="DL890"/>
  <c r="BG890"/>
  <c r="DK890"/>
  <c r="BF890"/>
  <c r="DJ890"/>
  <c r="BE890"/>
  <c r="DI890"/>
  <c r="BD890"/>
  <c r="DH890"/>
  <c r="BC890"/>
  <c r="BB890"/>
  <c r="BA890"/>
  <c r="AZ890"/>
  <c r="AY890"/>
  <c r="AX890"/>
  <c r="AW890"/>
  <c r="DA890"/>
  <c r="AV890"/>
  <c r="CZ890"/>
  <c r="AU890"/>
  <c r="CY890"/>
  <c r="AT890"/>
  <c r="CX890"/>
  <c r="AS890"/>
  <c r="CW890"/>
  <c r="AR890"/>
  <c r="AQ890"/>
  <c r="CU890" s="1"/>
  <c r="AP890"/>
  <c r="CT890" s="1"/>
  <c r="AO890"/>
  <c r="CS890" s="1"/>
  <c r="AN890"/>
  <c r="CR890" s="1"/>
  <c r="AM890"/>
  <c r="CQ890" s="1"/>
  <c r="AL890"/>
  <c r="BL889"/>
  <c r="BK889"/>
  <c r="BI889"/>
  <c r="DM889"/>
  <c r="EJ889"/>
  <c r="S613" i="3" s="1"/>
  <c r="BH889" i="1"/>
  <c r="DL889" s="1"/>
  <c r="BG889"/>
  <c r="BF889"/>
  <c r="DJ889"/>
  <c r="BE889"/>
  <c r="DI889"/>
  <c r="BD889"/>
  <c r="DH889"/>
  <c r="BC889"/>
  <c r="BB889"/>
  <c r="BA889"/>
  <c r="CE889"/>
  <c r="AZ889"/>
  <c r="AY889"/>
  <c r="AX889"/>
  <c r="AW889"/>
  <c r="DA889" s="1"/>
  <c r="AV889"/>
  <c r="CZ889" s="1"/>
  <c r="AU889"/>
  <c r="BY889" s="1"/>
  <c r="AT889"/>
  <c r="CX889" s="1"/>
  <c r="AS889"/>
  <c r="CW889" s="1"/>
  <c r="AR889"/>
  <c r="CV889" s="1"/>
  <c r="AQ889"/>
  <c r="CU889" s="1"/>
  <c r="AP889"/>
  <c r="CT889" s="1"/>
  <c r="AO889"/>
  <c r="BS889" s="1"/>
  <c r="AN889"/>
  <c r="CR889" s="1"/>
  <c r="AM889"/>
  <c r="CQ889" s="1"/>
  <c r="AL889"/>
  <c r="CP889" s="1"/>
  <c r="BL888"/>
  <c r="BK888"/>
  <c r="CN888"/>
  <c r="BI888"/>
  <c r="DM888"/>
  <c r="EJ888"/>
  <c r="S547" i="3" s="1"/>
  <c r="BH888" i="1"/>
  <c r="DL888" s="1"/>
  <c r="BG888"/>
  <c r="DK888" s="1"/>
  <c r="BF888"/>
  <c r="DJ888" s="1"/>
  <c r="BE888"/>
  <c r="DI888" s="1"/>
  <c r="BD888"/>
  <c r="DH888" s="1"/>
  <c r="BC888"/>
  <c r="EH888"/>
  <c r="F547" i="3" s="1"/>
  <c r="BB888" i="1"/>
  <c r="BA888"/>
  <c r="AZ888"/>
  <c r="AY888"/>
  <c r="AX888"/>
  <c r="AW888"/>
  <c r="DA888"/>
  <c r="AV888"/>
  <c r="CZ888"/>
  <c r="AU888"/>
  <c r="CY888"/>
  <c r="AT888"/>
  <c r="CX888"/>
  <c r="AS888"/>
  <c r="CW888"/>
  <c r="AR888"/>
  <c r="AQ888"/>
  <c r="CU888" s="1"/>
  <c r="AP888"/>
  <c r="CT888" s="1"/>
  <c r="AO888"/>
  <c r="CS888" s="1"/>
  <c r="AN888"/>
  <c r="CR888" s="1"/>
  <c r="AM888"/>
  <c r="CQ888" s="1"/>
  <c r="AL888"/>
  <c r="BL887"/>
  <c r="BK887"/>
  <c r="BI887"/>
  <c r="DM887"/>
  <c r="EJ887"/>
  <c r="S481" i="3" s="1"/>
  <c r="BH887" i="1"/>
  <c r="DL887" s="1"/>
  <c r="BG887"/>
  <c r="DK887" s="1"/>
  <c r="BF887"/>
  <c r="DJ887" s="1"/>
  <c r="BE887"/>
  <c r="DI887" s="1"/>
  <c r="EH887"/>
  <c r="BD887"/>
  <c r="DH887"/>
  <c r="BC887"/>
  <c r="BB887"/>
  <c r="DF887" s="1"/>
  <c r="BA887"/>
  <c r="AZ887"/>
  <c r="DD887"/>
  <c r="AY887"/>
  <c r="DC887"/>
  <c r="AX887"/>
  <c r="AW887"/>
  <c r="DA887" s="1"/>
  <c r="AV887"/>
  <c r="CZ887" s="1"/>
  <c r="AU887"/>
  <c r="BY887" s="1"/>
  <c r="AT887"/>
  <c r="CX887" s="1"/>
  <c r="AS887"/>
  <c r="CW887" s="1"/>
  <c r="AR887"/>
  <c r="CV887" s="1"/>
  <c r="AQ887"/>
  <c r="CU887" s="1"/>
  <c r="AP887"/>
  <c r="CT887" s="1"/>
  <c r="AO887"/>
  <c r="BS887" s="1"/>
  <c r="AN887"/>
  <c r="CR887" s="1"/>
  <c r="AM887"/>
  <c r="CQ887" s="1"/>
  <c r="AL887"/>
  <c r="CP887" s="1"/>
  <c r="BL886"/>
  <c r="BK886"/>
  <c r="CN886" s="1"/>
  <c r="BI886"/>
  <c r="DM886"/>
  <c r="EJ886"/>
  <c r="S415" i="3" s="1"/>
  <c r="BH886" i="1"/>
  <c r="DL886" s="1"/>
  <c r="BG886"/>
  <c r="DK886" s="1"/>
  <c r="BF886"/>
  <c r="DJ886" s="1"/>
  <c r="BE886"/>
  <c r="DI886" s="1"/>
  <c r="BD886"/>
  <c r="DH886" s="1"/>
  <c r="BC886"/>
  <c r="BB886"/>
  <c r="BA886"/>
  <c r="AZ886"/>
  <c r="AY886"/>
  <c r="AX886"/>
  <c r="AW886"/>
  <c r="DA886" s="1"/>
  <c r="AV886"/>
  <c r="CZ886" s="1"/>
  <c r="AU886"/>
  <c r="CY886" s="1"/>
  <c r="AT886"/>
  <c r="CX886" s="1"/>
  <c r="AS886"/>
  <c r="CW886" s="1"/>
  <c r="AR886"/>
  <c r="BV886" s="1"/>
  <c r="AQ886"/>
  <c r="CU886" s="1"/>
  <c r="AP886"/>
  <c r="CT886" s="1"/>
  <c r="AO886"/>
  <c r="CS886" s="1"/>
  <c r="AN886"/>
  <c r="CR886" s="1"/>
  <c r="AM886"/>
  <c r="CQ886" s="1"/>
  <c r="AL886"/>
  <c r="BP886" s="1"/>
  <c r="BL885"/>
  <c r="BK885"/>
  <c r="BI885"/>
  <c r="DM885" s="1"/>
  <c r="EJ885"/>
  <c r="S349" i="3" s="1"/>
  <c r="BH885" i="1"/>
  <c r="DL885"/>
  <c r="BG885"/>
  <c r="DK885"/>
  <c r="BF885"/>
  <c r="DJ885"/>
  <c r="BE885"/>
  <c r="DI885"/>
  <c r="BD885"/>
  <c r="DH885"/>
  <c r="BC885"/>
  <c r="BB885"/>
  <c r="BA885"/>
  <c r="AZ885"/>
  <c r="DD885" s="1"/>
  <c r="AY885"/>
  <c r="DC885" s="1"/>
  <c r="AX885"/>
  <c r="AW885"/>
  <c r="DA885"/>
  <c r="AV885"/>
  <c r="CZ885"/>
  <c r="AU885"/>
  <c r="AT885"/>
  <c r="CX885" s="1"/>
  <c r="AS885"/>
  <c r="CW885" s="1"/>
  <c r="AR885"/>
  <c r="CV885" s="1"/>
  <c r="AQ885"/>
  <c r="CU885" s="1"/>
  <c r="AP885"/>
  <c r="CT885" s="1"/>
  <c r="AO885"/>
  <c r="AN885"/>
  <c r="CR885"/>
  <c r="AM885"/>
  <c r="CQ885"/>
  <c r="AL885"/>
  <c r="CP885"/>
  <c r="BL884"/>
  <c r="BK884"/>
  <c r="BI884"/>
  <c r="DM884"/>
  <c r="EJ884"/>
  <c r="S283" i="3" s="1"/>
  <c r="BH884" i="1"/>
  <c r="DL884" s="1"/>
  <c r="BG884"/>
  <c r="DK884" s="1"/>
  <c r="BF884"/>
  <c r="DJ884" s="1"/>
  <c r="BE884"/>
  <c r="DI884" s="1"/>
  <c r="BD884"/>
  <c r="DH884" s="1"/>
  <c r="BC884"/>
  <c r="BB884"/>
  <c r="BA884"/>
  <c r="AZ884"/>
  <c r="DD884"/>
  <c r="AY884"/>
  <c r="AX884"/>
  <c r="AW884"/>
  <c r="DA884"/>
  <c r="AV884"/>
  <c r="CZ884"/>
  <c r="AU884"/>
  <c r="CY884"/>
  <c r="AT884"/>
  <c r="CX884"/>
  <c r="AS884"/>
  <c r="CW884"/>
  <c r="AR884"/>
  <c r="AQ884"/>
  <c r="CU884" s="1"/>
  <c r="AP884"/>
  <c r="CT884" s="1"/>
  <c r="AO884"/>
  <c r="CS884" s="1"/>
  <c r="AN884"/>
  <c r="CR884" s="1"/>
  <c r="AM884"/>
  <c r="CQ884" s="1"/>
  <c r="AL884"/>
  <c r="BL883"/>
  <c r="BK883"/>
  <c r="BI883"/>
  <c r="DM883"/>
  <c r="EJ883"/>
  <c r="S217" i="3" s="1"/>
  <c r="BH883" i="1"/>
  <c r="DL883" s="1"/>
  <c r="BG883"/>
  <c r="DK883" s="1"/>
  <c r="BF883"/>
  <c r="DJ883" s="1"/>
  <c r="BE883"/>
  <c r="DI883" s="1"/>
  <c r="BD883"/>
  <c r="DH883" s="1"/>
  <c r="BC883"/>
  <c r="BB883"/>
  <c r="BA883"/>
  <c r="AZ883"/>
  <c r="AY883"/>
  <c r="AX883"/>
  <c r="AW883"/>
  <c r="DA883" s="1"/>
  <c r="AV883"/>
  <c r="CZ883" s="1"/>
  <c r="AU883"/>
  <c r="AT883"/>
  <c r="CX883"/>
  <c r="AS883"/>
  <c r="CW883"/>
  <c r="AR883"/>
  <c r="AQ883"/>
  <c r="CU883" s="1"/>
  <c r="AP883"/>
  <c r="CT883" s="1"/>
  <c r="AO883"/>
  <c r="CS883" s="1"/>
  <c r="AN883"/>
  <c r="CR883" s="1"/>
  <c r="AM883"/>
  <c r="CQ883" s="1"/>
  <c r="AL883"/>
  <c r="CP883" s="1"/>
  <c r="BL882"/>
  <c r="BK882"/>
  <c r="CN882"/>
  <c r="BI882"/>
  <c r="DM882"/>
  <c r="EJ882"/>
  <c r="S151" i="3" s="1"/>
  <c r="BH882" i="1"/>
  <c r="DL882" s="1"/>
  <c r="BG882"/>
  <c r="DK882" s="1"/>
  <c r="BF882"/>
  <c r="DJ882" s="1"/>
  <c r="BE882"/>
  <c r="DI882" s="1"/>
  <c r="BD882"/>
  <c r="DH882" s="1"/>
  <c r="BC882"/>
  <c r="BB882"/>
  <c r="BA882"/>
  <c r="AZ882"/>
  <c r="AY882"/>
  <c r="AX882"/>
  <c r="CB882"/>
  <c r="AW882"/>
  <c r="DA882"/>
  <c r="AV882"/>
  <c r="CZ882"/>
  <c r="AU882"/>
  <c r="CY882"/>
  <c r="AT882"/>
  <c r="CX882"/>
  <c r="AS882"/>
  <c r="CW882"/>
  <c r="AR882"/>
  <c r="BV882"/>
  <c r="AQ882"/>
  <c r="CU882"/>
  <c r="AP882"/>
  <c r="CT882"/>
  <c r="AO882"/>
  <c r="CS882"/>
  <c r="AN882"/>
  <c r="CR882"/>
  <c r="AM882"/>
  <c r="CQ882"/>
  <c r="AL882"/>
  <c r="BP882"/>
  <c r="BL881"/>
  <c r="BK881"/>
  <c r="BI881"/>
  <c r="DM881"/>
  <c r="EJ881"/>
  <c r="S85" i="3" s="1"/>
  <c r="BH881" i="1"/>
  <c r="DL881" s="1"/>
  <c r="BG881"/>
  <c r="DK881" s="1"/>
  <c r="BF881"/>
  <c r="DJ881" s="1"/>
  <c r="BE881"/>
  <c r="DI881" s="1"/>
  <c r="BD881"/>
  <c r="DH881" s="1"/>
  <c r="BC881"/>
  <c r="BB881"/>
  <c r="BA881"/>
  <c r="AZ881"/>
  <c r="DD881"/>
  <c r="AY881"/>
  <c r="DC881"/>
  <c r="AX881"/>
  <c r="AW881"/>
  <c r="DA881" s="1"/>
  <c r="AV881"/>
  <c r="CZ881" s="1"/>
  <c r="AU881"/>
  <c r="AT881"/>
  <c r="CX881"/>
  <c r="AS881"/>
  <c r="CW881"/>
  <c r="AR881"/>
  <c r="CV881"/>
  <c r="AQ881"/>
  <c r="CU881"/>
  <c r="AP881"/>
  <c r="CT881"/>
  <c r="AO881"/>
  <c r="AN881"/>
  <c r="CR881" s="1"/>
  <c r="AM881"/>
  <c r="CQ881" s="1"/>
  <c r="AL881"/>
  <c r="CP881" s="1"/>
  <c r="BL880"/>
  <c r="BL891" s="1"/>
  <c r="BK880"/>
  <c r="BJ891"/>
  <c r="BI880"/>
  <c r="DM880" s="1"/>
  <c r="BH880"/>
  <c r="DL880" s="1"/>
  <c r="BG880"/>
  <c r="DK880" s="1"/>
  <c r="BF880"/>
  <c r="DJ880" s="1"/>
  <c r="BE880"/>
  <c r="DI880" s="1"/>
  <c r="BD880"/>
  <c r="DH880" s="1"/>
  <c r="BC880"/>
  <c r="BC891" s="1"/>
  <c r="BB880"/>
  <c r="BB891" s="1"/>
  <c r="BA880"/>
  <c r="BA891" s="1"/>
  <c r="AZ880"/>
  <c r="AY880"/>
  <c r="AX880"/>
  <c r="AX891" s="1"/>
  <c r="AW880"/>
  <c r="AW891" s="1"/>
  <c r="AV880"/>
  <c r="AV891" s="1"/>
  <c r="AU880"/>
  <c r="AU891" s="1"/>
  <c r="AT880"/>
  <c r="AT891" s="1"/>
  <c r="AS880"/>
  <c r="AS891" s="1"/>
  <c r="AR880"/>
  <c r="AR891" s="1"/>
  <c r="AQ880"/>
  <c r="AQ891" s="1"/>
  <c r="AP880"/>
  <c r="AP891" s="1"/>
  <c r="AO880"/>
  <c r="AO891" s="1"/>
  <c r="AN880"/>
  <c r="AN891" s="1"/>
  <c r="AM880"/>
  <c r="AM891" s="1"/>
  <c r="AL880"/>
  <c r="AL891" s="1"/>
  <c r="AL866"/>
  <c r="AM866"/>
  <c r="CQ866"/>
  <c r="AN866"/>
  <c r="AO866"/>
  <c r="CS866" s="1"/>
  <c r="AP866"/>
  <c r="AQ866"/>
  <c r="AR866"/>
  <c r="AS866"/>
  <c r="CW866"/>
  <c r="AT866"/>
  <c r="AU866"/>
  <c r="CY866" s="1"/>
  <c r="AV866"/>
  <c r="AW866"/>
  <c r="DA866"/>
  <c r="AY866"/>
  <c r="AZ866"/>
  <c r="BA866"/>
  <c r="BB866"/>
  <c r="BC866"/>
  <c r="DG866"/>
  <c r="BD866"/>
  <c r="DH866"/>
  <c r="BE866"/>
  <c r="DI866"/>
  <c r="BF866"/>
  <c r="DJ866"/>
  <c r="BG866"/>
  <c r="DK866"/>
  <c r="BH866"/>
  <c r="DL866"/>
  <c r="BI866"/>
  <c r="BK866"/>
  <c r="BL866"/>
  <c r="CR866"/>
  <c r="CU866"/>
  <c r="AL867"/>
  <c r="AL910" s="1"/>
  <c r="AM867"/>
  <c r="CQ867" s="1"/>
  <c r="CQ910" s="1"/>
  <c r="AN867"/>
  <c r="AN910"/>
  <c r="AO867"/>
  <c r="AP867"/>
  <c r="AP910" s="1"/>
  <c r="AQ867"/>
  <c r="AR867"/>
  <c r="AR910"/>
  <c r="AS867"/>
  <c r="AT867"/>
  <c r="AT910" s="1"/>
  <c r="AU867"/>
  <c r="AV867"/>
  <c r="AV910"/>
  <c r="AW867"/>
  <c r="AY867"/>
  <c r="AZ867"/>
  <c r="BA867"/>
  <c r="BB867"/>
  <c r="BC867"/>
  <c r="DG867" s="1"/>
  <c r="BD867"/>
  <c r="DH867" s="1"/>
  <c r="BE867"/>
  <c r="DI867" s="1"/>
  <c r="BF867"/>
  <c r="DJ867" s="1"/>
  <c r="BG867"/>
  <c r="DK867" s="1"/>
  <c r="BH867"/>
  <c r="DL867" s="1"/>
  <c r="BI867"/>
  <c r="DM867" s="1"/>
  <c r="EJ867"/>
  <c r="S150" i="3" s="1"/>
  <c r="BK867" i="1"/>
  <c r="CN867" s="1"/>
  <c r="BL867"/>
  <c r="BV867"/>
  <c r="CS867"/>
  <c r="CU867"/>
  <c r="CW867"/>
  <c r="CY867"/>
  <c r="DA867"/>
  <c r="AL868"/>
  <c r="AL911" s="1"/>
  <c r="AM868"/>
  <c r="AM911" s="1"/>
  <c r="AN868"/>
  <c r="AN911" s="1"/>
  <c r="AO868"/>
  <c r="AO911" s="1"/>
  <c r="AP868"/>
  <c r="AP911" s="1"/>
  <c r="AQ868"/>
  <c r="AQ911" s="1"/>
  <c r="AR868"/>
  <c r="AR911" s="1"/>
  <c r="AS868"/>
  <c r="AS911" s="1"/>
  <c r="AT868"/>
  <c r="AT911" s="1"/>
  <c r="AU868"/>
  <c r="AU911" s="1"/>
  <c r="AV868"/>
  <c r="AV911" s="1"/>
  <c r="AW868"/>
  <c r="AW911" s="1"/>
  <c r="AY868"/>
  <c r="AZ868"/>
  <c r="BA868"/>
  <c r="BB868"/>
  <c r="BC868"/>
  <c r="DG868" s="1"/>
  <c r="BD868"/>
  <c r="DH868" s="1"/>
  <c r="BE868"/>
  <c r="DI868" s="1"/>
  <c r="BF868"/>
  <c r="DJ868" s="1"/>
  <c r="BG868"/>
  <c r="DK868" s="1"/>
  <c r="BH868"/>
  <c r="DL868" s="1"/>
  <c r="BI868"/>
  <c r="DM868" s="1"/>
  <c r="EJ868"/>
  <c r="S216" i="3" s="1"/>
  <c r="BK868" i="1"/>
  <c r="BL868"/>
  <c r="BL895" s="1"/>
  <c r="CQ868"/>
  <c r="CU868"/>
  <c r="CU911" s="1"/>
  <c r="CY868"/>
  <c r="CY911" s="1"/>
  <c r="AL869"/>
  <c r="AL912" s="1"/>
  <c r="AM869"/>
  <c r="AM912" s="1"/>
  <c r="AN869"/>
  <c r="AN912" s="1"/>
  <c r="AO869"/>
  <c r="AO912" s="1"/>
  <c r="AP869"/>
  <c r="AP912" s="1"/>
  <c r="AQ869"/>
  <c r="AR869"/>
  <c r="AR912"/>
  <c r="AS869"/>
  <c r="AT869"/>
  <c r="AT912" s="1"/>
  <c r="AU869"/>
  <c r="CY869" s="1"/>
  <c r="AV869"/>
  <c r="AV912"/>
  <c r="AW869"/>
  <c r="AY869"/>
  <c r="AZ869"/>
  <c r="BA869"/>
  <c r="BB869"/>
  <c r="BC869"/>
  <c r="BD869"/>
  <c r="DH869"/>
  <c r="BE869"/>
  <c r="DI869"/>
  <c r="BF869"/>
  <c r="DJ869"/>
  <c r="BG869"/>
  <c r="DK869"/>
  <c r="BH869"/>
  <c r="DL869"/>
  <c r="BI869"/>
  <c r="DM869"/>
  <c r="BK869"/>
  <c r="BL869"/>
  <c r="BL896" s="1"/>
  <c r="CQ869"/>
  <c r="CQ912" s="1"/>
  <c r="CS869"/>
  <c r="DG869"/>
  <c r="AL870"/>
  <c r="CP870"/>
  <c r="AM870"/>
  <c r="AM913"/>
  <c r="AN870"/>
  <c r="CR870"/>
  <c r="AO870"/>
  <c r="AO913"/>
  <c r="AP870"/>
  <c r="CT870"/>
  <c r="AQ870"/>
  <c r="AQ913"/>
  <c r="AR870"/>
  <c r="AS870"/>
  <c r="AS913" s="1"/>
  <c r="AT870"/>
  <c r="CX870" s="1"/>
  <c r="AU870"/>
  <c r="AU913" s="1"/>
  <c r="AV870"/>
  <c r="CZ870" s="1"/>
  <c r="AW870"/>
  <c r="AW913" s="1"/>
  <c r="AY870"/>
  <c r="AZ870"/>
  <c r="BA870"/>
  <c r="BB870"/>
  <c r="BC870"/>
  <c r="DG870" s="1"/>
  <c r="BD870"/>
  <c r="DH870" s="1"/>
  <c r="BE870"/>
  <c r="DI870" s="1"/>
  <c r="BF870"/>
  <c r="DJ870" s="1"/>
  <c r="BG870"/>
  <c r="DK870" s="1"/>
  <c r="BH870"/>
  <c r="DL870" s="1"/>
  <c r="BI870"/>
  <c r="DM870" s="1"/>
  <c r="EJ870"/>
  <c r="S348" i="3" s="1"/>
  <c r="BK870" i="1"/>
  <c r="BL870"/>
  <c r="BL897" s="1"/>
  <c r="CV870"/>
  <c r="AL871"/>
  <c r="AL914"/>
  <c r="AM871"/>
  <c r="CQ871"/>
  <c r="AN871"/>
  <c r="AN914"/>
  <c r="AO871"/>
  <c r="CS871"/>
  <c r="AP871"/>
  <c r="AP914"/>
  <c r="AQ871"/>
  <c r="CU871"/>
  <c r="AR871"/>
  <c r="AR914"/>
  <c r="AS871"/>
  <c r="CW871"/>
  <c r="AT871"/>
  <c r="AT914"/>
  <c r="AU871"/>
  <c r="CY871"/>
  <c r="AV871"/>
  <c r="AV914"/>
  <c r="AW871"/>
  <c r="DA871"/>
  <c r="AY871"/>
  <c r="AZ871"/>
  <c r="BA871"/>
  <c r="BB871"/>
  <c r="BC871"/>
  <c r="DG871"/>
  <c r="BD871"/>
  <c r="DH871"/>
  <c r="BE871"/>
  <c r="DI871"/>
  <c r="BF871"/>
  <c r="DJ871"/>
  <c r="BG871"/>
  <c r="DK871"/>
  <c r="BH871"/>
  <c r="DL871"/>
  <c r="BI871"/>
  <c r="DM871"/>
  <c r="EJ871"/>
  <c r="S414" i="3" s="1"/>
  <c r="BK871" i="1"/>
  <c r="BL871"/>
  <c r="BL898"/>
  <c r="CP871"/>
  <c r="AL872"/>
  <c r="AM872"/>
  <c r="AN872"/>
  <c r="CR872" s="1"/>
  <c r="AO872"/>
  <c r="CS872" s="1"/>
  <c r="AP872"/>
  <c r="AQ872"/>
  <c r="CU872"/>
  <c r="AR872"/>
  <c r="AS872"/>
  <c r="CW872" s="1"/>
  <c r="AT872"/>
  <c r="AU872"/>
  <c r="CY872"/>
  <c r="AV872"/>
  <c r="AW872"/>
  <c r="DA872" s="1"/>
  <c r="AY872"/>
  <c r="AZ872"/>
  <c r="BA872"/>
  <c r="BB872"/>
  <c r="BC872"/>
  <c r="DG872" s="1"/>
  <c r="BD872"/>
  <c r="DH872" s="1"/>
  <c r="BE872"/>
  <c r="DI872" s="1"/>
  <c r="BF872"/>
  <c r="DJ872" s="1"/>
  <c r="BG872"/>
  <c r="DK872" s="1"/>
  <c r="BH872"/>
  <c r="DL872" s="1"/>
  <c r="BI872"/>
  <c r="DM872" s="1"/>
  <c r="EJ872"/>
  <c r="S480" i="3" s="1"/>
  <c r="BK872" i="1"/>
  <c r="BL872"/>
  <c r="BL899"/>
  <c r="CQ872"/>
  <c r="CX872"/>
  <c r="CZ872"/>
  <c r="AL873"/>
  <c r="AM873"/>
  <c r="CQ873"/>
  <c r="AN873"/>
  <c r="AO873"/>
  <c r="CS873" s="1"/>
  <c r="AP873"/>
  <c r="CT873" s="1"/>
  <c r="AQ873"/>
  <c r="CU873" s="1"/>
  <c r="AR873"/>
  <c r="AS873"/>
  <c r="CW873"/>
  <c r="AT873"/>
  <c r="CX873"/>
  <c r="AU873"/>
  <c r="CY873"/>
  <c r="AV873"/>
  <c r="CZ873"/>
  <c r="AW873"/>
  <c r="DA873"/>
  <c r="AY873"/>
  <c r="AZ873"/>
  <c r="BA873"/>
  <c r="BB873"/>
  <c r="BC873"/>
  <c r="DG873"/>
  <c r="BD873"/>
  <c r="DH873"/>
  <c r="BE873"/>
  <c r="DI873"/>
  <c r="BF873"/>
  <c r="DJ873"/>
  <c r="BG873"/>
  <c r="DK873"/>
  <c r="BH873"/>
  <c r="DL873"/>
  <c r="BI873"/>
  <c r="DM873"/>
  <c r="EJ873"/>
  <c r="S546" i="3" s="1"/>
  <c r="BK873" i="1"/>
  <c r="BL873"/>
  <c r="BL900" s="1"/>
  <c r="CR873"/>
  <c r="AL874"/>
  <c r="AM874"/>
  <c r="AN874"/>
  <c r="CR874" s="1"/>
  <c r="AO874"/>
  <c r="CS874" s="1"/>
  <c r="AP874"/>
  <c r="AQ874"/>
  <c r="AR874"/>
  <c r="CV874" s="1"/>
  <c r="AS874"/>
  <c r="CW874" s="1"/>
  <c r="AT874"/>
  <c r="CX874"/>
  <c r="AU874"/>
  <c r="AV874"/>
  <c r="CZ874" s="1"/>
  <c r="AW874"/>
  <c r="AY874"/>
  <c r="AZ874"/>
  <c r="BA874"/>
  <c r="BB874"/>
  <c r="BC874"/>
  <c r="DG874"/>
  <c r="BD874"/>
  <c r="DH874"/>
  <c r="BE874"/>
  <c r="DI874"/>
  <c r="BF874"/>
  <c r="DJ874"/>
  <c r="BG874"/>
  <c r="DK874"/>
  <c r="BH874"/>
  <c r="DL874"/>
  <c r="BI874"/>
  <c r="DM874"/>
  <c r="EJ874"/>
  <c r="S612" i="3" s="1"/>
  <c r="BK874" i="1"/>
  <c r="BL874"/>
  <c r="BL901"/>
  <c r="CQ874"/>
  <c r="CU874"/>
  <c r="DA874"/>
  <c r="AL875"/>
  <c r="AM875"/>
  <c r="AN875"/>
  <c r="CR875"/>
  <c r="AO875"/>
  <c r="CS875"/>
  <c r="AP875"/>
  <c r="AQ875"/>
  <c r="CU875" s="1"/>
  <c r="AR875"/>
  <c r="AS875"/>
  <c r="CW875" s="1"/>
  <c r="AT875"/>
  <c r="CX875" s="1"/>
  <c r="AU875"/>
  <c r="AV875"/>
  <c r="AW875"/>
  <c r="DA875" s="1"/>
  <c r="DA918" s="1"/>
  <c r="AX875"/>
  <c r="AY875"/>
  <c r="AZ875"/>
  <c r="BA875"/>
  <c r="BB875"/>
  <c r="BC875"/>
  <c r="DG875" s="1"/>
  <c r="BD875"/>
  <c r="DH875" s="1"/>
  <c r="BE875"/>
  <c r="DI875" s="1"/>
  <c r="BF875"/>
  <c r="DJ875" s="1"/>
  <c r="BG875"/>
  <c r="DK875" s="1"/>
  <c r="BH875"/>
  <c r="DL875" s="1"/>
  <c r="BI875"/>
  <c r="DM875" s="1"/>
  <c r="EJ875"/>
  <c r="S678" i="3" s="1"/>
  <c r="BK875" i="1"/>
  <c r="BL875"/>
  <c r="BL902" s="1"/>
  <c r="CQ875"/>
  <c r="CY875"/>
  <c r="BL865"/>
  <c r="BK865"/>
  <c r="BI865"/>
  <c r="DM865"/>
  <c r="BH865"/>
  <c r="DL865"/>
  <c r="BG865"/>
  <c r="DK865"/>
  <c r="BF865"/>
  <c r="DJ865"/>
  <c r="BE865"/>
  <c r="DI865"/>
  <c r="BD865"/>
  <c r="DH865"/>
  <c r="BC865"/>
  <c r="BC876" s="1"/>
  <c r="BB865"/>
  <c r="BB876" s="1"/>
  <c r="BA865"/>
  <c r="BA876" s="1"/>
  <c r="AZ865"/>
  <c r="AZ876" s="1"/>
  <c r="AY865"/>
  <c r="AX876"/>
  <c r="AW865"/>
  <c r="DA865" s="1"/>
  <c r="AV865"/>
  <c r="CZ865" s="1"/>
  <c r="AU865"/>
  <c r="CY865" s="1"/>
  <c r="AT865"/>
  <c r="CX865" s="1"/>
  <c r="AS865"/>
  <c r="CW865" s="1"/>
  <c r="AR865"/>
  <c r="BV865" s="1"/>
  <c r="AQ865"/>
  <c r="CU865" s="1"/>
  <c r="AP865"/>
  <c r="CT865" s="1"/>
  <c r="AO865"/>
  <c r="CS865" s="1"/>
  <c r="AN865"/>
  <c r="CR865" s="1"/>
  <c r="AM865"/>
  <c r="CQ865" s="1"/>
  <c r="AL865"/>
  <c r="BP865" s="1"/>
  <c r="W742" i="3"/>
  <c r="W741"/>
  <c r="W740"/>
  <c r="W739"/>
  <c r="W735"/>
  <c r="W734"/>
  <c r="W733"/>
  <c r="S727"/>
  <c r="AN727" s="1"/>
  <c r="J727"/>
  <c r="AJ727" s="1"/>
  <c r="W676"/>
  <c r="W675"/>
  <c r="W674"/>
  <c r="W673"/>
  <c r="W669"/>
  <c r="W668"/>
  <c r="W667"/>
  <c r="S661"/>
  <c r="AN661" s="1"/>
  <c r="J661"/>
  <c r="AJ661" s="1"/>
  <c r="W610"/>
  <c r="W609"/>
  <c r="W608"/>
  <c r="W607"/>
  <c r="W603"/>
  <c r="W602"/>
  <c r="W601"/>
  <c r="S595"/>
  <c r="AN595" s="1"/>
  <c r="J595"/>
  <c r="AJ595" s="1"/>
  <c r="W544"/>
  <c r="W543"/>
  <c r="W542"/>
  <c r="W541"/>
  <c r="W537"/>
  <c r="W536"/>
  <c r="W535"/>
  <c r="S529"/>
  <c r="AN529" s="1"/>
  <c r="J529"/>
  <c r="AJ529" s="1"/>
  <c r="W478"/>
  <c r="W477"/>
  <c r="W476"/>
  <c r="W475"/>
  <c r="W471"/>
  <c r="W470"/>
  <c r="W469"/>
  <c r="S463"/>
  <c r="AN463" s="1"/>
  <c r="J463"/>
  <c r="AJ463" s="1"/>
  <c r="W412"/>
  <c r="W411"/>
  <c r="W410"/>
  <c r="W409"/>
  <c r="W405"/>
  <c r="W404"/>
  <c r="W403"/>
  <c r="AN397"/>
  <c r="J397"/>
  <c r="AJ397" s="1"/>
  <c r="W346"/>
  <c r="W345"/>
  <c r="W344"/>
  <c r="W343"/>
  <c r="W339"/>
  <c r="W338"/>
  <c r="W337"/>
  <c r="S331"/>
  <c r="AN331" s="1"/>
  <c r="J331"/>
  <c r="AJ331" s="1"/>
  <c r="S265"/>
  <c r="AN265" s="1"/>
  <c r="S199"/>
  <c r="AN199" s="1"/>
  <c r="S133"/>
  <c r="AN133" s="1"/>
  <c r="W280"/>
  <c r="W279"/>
  <c r="W278"/>
  <c r="W277"/>
  <c r="W273"/>
  <c r="W272"/>
  <c r="W271"/>
  <c r="J265"/>
  <c r="AJ265" s="1"/>
  <c r="J199"/>
  <c r="AJ199" s="1"/>
  <c r="J133"/>
  <c r="AJ133" s="1"/>
  <c r="S67"/>
  <c r="AN67" s="1"/>
  <c r="J67"/>
  <c r="AJ67" s="1"/>
  <c r="S1"/>
  <c r="AN1" s="1"/>
  <c r="J1"/>
  <c r="AJ1" s="1"/>
  <c r="W214"/>
  <c r="W213"/>
  <c r="W212"/>
  <c r="W211"/>
  <c r="W207"/>
  <c r="W206"/>
  <c r="W205"/>
  <c r="W148"/>
  <c r="W147"/>
  <c r="W146"/>
  <c r="W145"/>
  <c r="W141"/>
  <c r="W140"/>
  <c r="W139"/>
  <c r="W82"/>
  <c r="W81"/>
  <c r="W80"/>
  <c r="W79"/>
  <c r="W75"/>
  <c r="W74"/>
  <c r="W73"/>
  <c r="W19"/>
  <c r="W17"/>
  <c r="W16"/>
  <c r="W15"/>
  <c r="W14"/>
  <c r="W13"/>
  <c r="W9"/>
  <c r="W8"/>
  <c r="W7"/>
  <c r="Y443" i="1"/>
  <c r="DC536"/>
  <c r="DD536"/>
  <c r="DB536"/>
  <c r="CN544"/>
  <c r="CN545"/>
  <c r="AY536"/>
  <c r="AZ536"/>
  <c r="BA536"/>
  <c r="BB536"/>
  <c r="BC536"/>
  <c r="BD536"/>
  <c r="BE536"/>
  <c r="BF536"/>
  <c r="BG536"/>
  <c r="BH536"/>
  <c r="BI536"/>
  <c r="AX536"/>
  <c r="DE536"/>
  <c r="V545"/>
  <c r="W545" s="1"/>
  <c r="X545" s="1"/>
  <c r="V544"/>
  <c r="W544"/>
  <c r="X544" s="1"/>
  <c r="CB418"/>
  <c r="CH418" s="1"/>
  <c r="AY418"/>
  <c r="AZ418"/>
  <c r="BA418"/>
  <c r="BB418"/>
  <c r="BC418"/>
  <c r="BD418"/>
  <c r="BE418"/>
  <c r="BF418"/>
  <c r="BG418"/>
  <c r="BH418"/>
  <c r="BI418"/>
  <c r="AX418"/>
  <c r="V418"/>
  <c r="W418" s="1"/>
  <c r="X418" s="1"/>
  <c r="Y418" s="1"/>
  <c r="Z418" s="1"/>
  <c r="AA418" s="1"/>
  <c r="AB418" s="1"/>
  <c r="AC418" s="1"/>
  <c r="AD418" s="1"/>
  <c r="AE418" s="1"/>
  <c r="AF418" s="1"/>
  <c r="AG418" s="1"/>
  <c r="V914"/>
  <c r="AA745"/>
  <c r="BI748"/>
  <c r="BH748"/>
  <c r="BG748"/>
  <c r="BF748"/>
  <c r="BE748"/>
  <c r="BD748"/>
  <c r="BC748"/>
  <c r="BB748"/>
  <c r="BA748"/>
  <c r="AZ748"/>
  <c r="AY748"/>
  <c r="AX748"/>
  <c r="CK748" s="1"/>
  <c r="Z746"/>
  <c r="Z747"/>
  <c r="CN676"/>
  <c r="CN677"/>
  <c r="AY682"/>
  <c r="AZ682"/>
  <c r="BA682"/>
  <c r="BB682"/>
  <c r="BC682"/>
  <c r="BD682"/>
  <c r="BE682"/>
  <c r="BF682"/>
  <c r="BG682"/>
  <c r="BH682"/>
  <c r="BI682"/>
  <c r="AX682"/>
  <c r="V682"/>
  <c r="W682" s="1"/>
  <c r="X682" s="1"/>
  <c r="Y682" s="1"/>
  <c r="Z682" s="1"/>
  <c r="AA682" s="1"/>
  <c r="AB682" s="1"/>
  <c r="AC682" s="1"/>
  <c r="AD682" s="1"/>
  <c r="AE682" s="1"/>
  <c r="AF682" s="1"/>
  <c r="AG682" s="1"/>
  <c r="V677"/>
  <c r="W677" s="1"/>
  <c r="X677" s="1"/>
  <c r="V676"/>
  <c r="W676"/>
  <c r="X676" s="1"/>
  <c r="CB676"/>
  <c r="V675"/>
  <c r="W675"/>
  <c r="X675" s="1"/>
  <c r="CB675" s="1"/>
  <c r="V674"/>
  <c r="V918"/>
  <c r="V673"/>
  <c r="W673"/>
  <c r="X673" s="1"/>
  <c r="CB673"/>
  <c r="V671"/>
  <c r="W671"/>
  <c r="X671" s="1"/>
  <c r="V669"/>
  <c r="W669" s="1"/>
  <c r="X669"/>
  <c r="Y668"/>
  <c r="Z668"/>
  <c r="AA668" s="1"/>
  <c r="Y666"/>
  <c r="Z666" s="1"/>
  <c r="AA666"/>
  <c r="Y664"/>
  <c r="Z664"/>
  <c r="AA664" s="1"/>
  <c r="CN610"/>
  <c r="CN611"/>
  <c r="AY616"/>
  <c r="AZ616"/>
  <c r="BA616"/>
  <c r="BB616"/>
  <c r="BC616"/>
  <c r="BD616"/>
  <c r="BE616"/>
  <c r="BF616"/>
  <c r="BG616"/>
  <c r="BH616"/>
  <c r="BI616"/>
  <c r="AX616"/>
  <c r="V616"/>
  <c r="W616" s="1"/>
  <c r="X616"/>
  <c r="CB616" s="1"/>
  <c r="AY607"/>
  <c r="AZ607"/>
  <c r="BA607"/>
  <c r="BB607"/>
  <c r="BC607"/>
  <c r="BD607"/>
  <c r="BE607"/>
  <c r="BF607"/>
  <c r="BG607"/>
  <c r="BH607"/>
  <c r="BI607"/>
  <c r="AX607"/>
  <c r="V611"/>
  <c r="W611" s="1"/>
  <c r="X611" s="1"/>
  <c r="CB611" s="1"/>
  <c r="V610"/>
  <c r="W610"/>
  <c r="X610" s="1"/>
  <c r="CB610" s="1"/>
  <c r="V609"/>
  <c r="W609" s="1"/>
  <c r="X609" s="1"/>
  <c r="CB609" s="1"/>
  <c r="V608"/>
  <c r="V917"/>
  <c r="V607"/>
  <c r="W607"/>
  <c r="X607" s="1"/>
  <c r="CB607" s="1"/>
  <c r="V605"/>
  <c r="W605" s="1"/>
  <c r="X605" s="1"/>
  <c r="V603"/>
  <c r="W603"/>
  <c r="X603" s="1"/>
  <c r="Y602"/>
  <c r="Z602" s="1"/>
  <c r="AA602" s="1"/>
  <c r="Y601"/>
  <c r="Z601"/>
  <c r="AA601" s="1"/>
  <c r="Y600"/>
  <c r="Z600" s="1"/>
  <c r="AA600" s="1"/>
  <c r="Y599"/>
  <c r="Y598"/>
  <c r="Z598" s="1"/>
  <c r="AA598" s="1"/>
  <c r="CN478"/>
  <c r="CN479"/>
  <c r="AY484"/>
  <c r="AZ484"/>
  <c r="BA484"/>
  <c r="BB484"/>
  <c r="BC484"/>
  <c r="BD484"/>
  <c r="BE484"/>
  <c r="BF484"/>
  <c r="BG484"/>
  <c r="BH484"/>
  <c r="BI484"/>
  <c r="AX484"/>
  <c r="V484"/>
  <c r="W484"/>
  <c r="X484" s="1"/>
  <c r="Y484" s="1"/>
  <c r="Z484" s="1"/>
  <c r="AA484" s="1"/>
  <c r="AB484" s="1"/>
  <c r="AC484" s="1"/>
  <c r="AD484" s="1"/>
  <c r="AE484" s="1"/>
  <c r="AF484" s="1"/>
  <c r="AG484" s="1"/>
  <c r="V479"/>
  <c r="W479"/>
  <c r="X479" s="1"/>
  <c r="V478"/>
  <c r="W478" s="1"/>
  <c r="X478" s="1"/>
  <c r="CB478" s="1"/>
  <c r="V477"/>
  <c r="W477"/>
  <c r="X477" s="1"/>
  <c r="CB477" s="1"/>
  <c r="V476"/>
  <c r="V915"/>
  <c r="W473"/>
  <c r="X473"/>
  <c r="W471"/>
  <c r="X471"/>
  <c r="Z468"/>
  <c r="AA468"/>
  <c r="Z466"/>
  <c r="DC413"/>
  <c r="DD413"/>
  <c r="DE413" s="1"/>
  <c r="DF413" s="1"/>
  <c r="DG413" s="1"/>
  <c r="DH413" s="1"/>
  <c r="DI413" s="1"/>
  <c r="DJ413" s="1"/>
  <c r="DK413" s="1"/>
  <c r="DL413" s="1"/>
  <c r="DM413" s="1"/>
  <c r="DC412"/>
  <c r="DD412" s="1"/>
  <c r="DE412" s="1"/>
  <c r="DF412" s="1"/>
  <c r="DG412" s="1"/>
  <c r="DH412" s="1"/>
  <c r="DI412" s="1"/>
  <c r="DJ412" s="1"/>
  <c r="DK412" s="1"/>
  <c r="DL412" s="1"/>
  <c r="DM412" s="1"/>
  <c r="W413"/>
  <c r="X413" s="1"/>
  <c r="W412"/>
  <c r="X412" s="1"/>
  <c r="DC409"/>
  <c r="DD409" s="1"/>
  <c r="DE409" s="1"/>
  <c r="DF409" s="1"/>
  <c r="DG409" s="1"/>
  <c r="DH409" s="1"/>
  <c r="DI409" s="1"/>
  <c r="DJ409" s="1"/>
  <c r="DK409" s="1"/>
  <c r="DL409" s="1"/>
  <c r="DM409" s="1"/>
  <c r="AY409"/>
  <c r="AZ409"/>
  <c r="BA409"/>
  <c r="BB409"/>
  <c r="BC409"/>
  <c r="BD409"/>
  <c r="BE409"/>
  <c r="BF409"/>
  <c r="BG409"/>
  <c r="BH409"/>
  <c r="BI409"/>
  <c r="AX409"/>
  <c r="AY407"/>
  <c r="AZ407"/>
  <c r="BA407"/>
  <c r="BB407"/>
  <c r="BC407"/>
  <c r="BD407"/>
  <c r="BE407"/>
  <c r="BF407"/>
  <c r="BG407"/>
  <c r="BH407"/>
  <c r="BI407"/>
  <c r="W411"/>
  <c r="X411" s="1"/>
  <c r="CB411" s="1"/>
  <c r="W410"/>
  <c r="W914"/>
  <c r="W409"/>
  <c r="X409"/>
  <c r="CB409" s="1"/>
  <c r="W405"/>
  <c r="X405" s="1"/>
  <c r="Y404"/>
  <c r="Z404" s="1"/>
  <c r="AA404" s="1"/>
  <c r="Z403"/>
  <c r="AA403"/>
  <c r="Z401"/>
  <c r="AA401" s="1"/>
  <c r="Z400"/>
  <c r="AA400" s="1"/>
  <c r="W543"/>
  <c r="X543"/>
  <c r="CB543" s="1"/>
  <c r="W916"/>
  <c r="W541"/>
  <c r="X541"/>
  <c r="CB541" s="1"/>
  <c r="W539"/>
  <c r="X539" s="1"/>
  <c r="Z535"/>
  <c r="AA535" s="1"/>
  <c r="Z533"/>
  <c r="AA533"/>
  <c r="Z532"/>
  <c r="AA532"/>
  <c r="W347"/>
  <c r="X347"/>
  <c r="W346"/>
  <c r="X346"/>
  <c r="CB346"/>
  <c r="BZ346"/>
  <c r="W341"/>
  <c r="X341" s="1"/>
  <c r="W352"/>
  <c r="X352" s="1"/>
  <c r="Y352" s="1"/>
  <c r="W345"/>
  <c r="X345"/>
  <c r="CB345" s="1"/>
  <c r="W344"/>
  <c r="W913" s="1"/>
  <c r="X344"/>
  <c r="W343"/>
  <c r="X343"/>
  <c r="CB343" s="1"/>
  <c r="W339"/>
  <c r="W340" s="1"/>
  <c r="Z338"/>
  <c r="AA338" s="1"/>
  <c r="Z337"/>
  <c r="AA337"/>
  <c r="Z336"/>
  <c r="AA336" s="1"/>
  <c r="Z335"/>
  <c r="AA335" s="1"/>
  <c r="Z334"/>
  <c r="AA334"/>
  <c r="BA268"/>
  <c r="W286"/>
  <c r="X286"/>
  <c r="Y286" s="1"/>
  <c r="Z286" s="1"/>
  <c r="AA286" s="1"/>
  <c r="AB286" s="1"/>
  <c r="AC286" s="1"/>
  <c r="AD286" s="1"/>
  <c r="AE286" s="1"/>
  <c r="AF286" s="1"/>
  <c r="AG286" s="1"/>
  <c r="W279"/>
  <c r="X279" s="1"/>
  <c r="CB279" s="1"/>
  <c r="W278"/>
  <c r="W912"/>
  <c r="W277"/>
  <c r="X277"/>
  <c r="CB277" s="1"/>
  <c r="W275"/>
  <c r="X275" s="1"/>
  <c r="Z272"/>
  <c r="Z271"/>
  <c r="AA271"/>
  <c r="Z270"/>
  <c r="Z269"/>
  <c r="AA269" s="1"/>
  <c r="Z268"/>
  <c r="BB268" s="1"/>
  <c r="Z206"/>
  <c r="AA206" s="1"/>
  <c r="W213"/>
  <c r="X213" s="1"/>
  <c r="CB213" s="1"/>
  <c r="W212"/>
  <c r="W911"/>
  <c r="W211"/>
  <c r="X211"/>
  <c r="CB211" s="1"/>
  <c r="W209"/>
  <c r="X209" s="1"/>
  <c r="W207"/>
  <c r="X207" s="1"/>
  <c r="Z205"/>
  <c r="AA205" s="1"/>
  <c r="Z203"/>
  <c r="AA203"/>
  <c r="Z202"/>
  <c r="AA202" s="1"/>
  <c r="DC147"/>
  <c r="DD147" s="1"/>
  <c r="DE147" s="1"/>
  <c r="DF147" s="1"/>
  <c r="DG147" s="1"/>
  <c r="DH147" s="1"/>
  <c r="DI147" s="1"/>
  <c r="DJ147" s="1"/>
  <c r="DK147" s="1"/>
  <c r="DL147" s="1"/>
  <c r="DM147" s="1"/>
  <c r="W143"/>
  <c r="X143" s="1"/>
  <c r="W154"/>
  <c r="X154"/>
  <c r="Y154" s="1"/>
  <c r="Z154" s="1"/>
  <c r="AA154" s="1"/>
  <c r="AB154" s="1"/>
  <c r="AC154" s="1"/>
  <c r="AD154" s="1"/>
  <c r="AE154" s="1"/>
  <c r="AF154" s="1"/>
  <c r="AG154" s="1"/>
  <c r="W147"/>
  <c r="X147" s="1"/>
  <c r="W145"/>
  <c r="X145" s="1"/>
  <c r="Z139"/>
  <c r="AA139" s="1"/>
  <c r="Z137"/>
  <c r="AA137"/>
  <c r="Z136"/>
  <c r="AA136" s="1"/>
  <c r="W81"/>
  <c r="X81" s="1"/>
  <c r="CB81" s="1"/>
  <c r="W79"/>
  <c r="X79"/>
  <c r="CB79" s="1"/>
  <c r="CK78"/>
  <c r="CJ78" s="1"/>
  <c r="W77"/>
  <c r="X77" s="1"/>
  <c r="X121" s="1"/>
  <c r="W75"/>
  <c r="X75" s="1"/>
  <c r="W146"/>
  <c r="W910" s="1"/>
  <c r="X146"/>
  <c r="W80"/>
  <c r="X80"/>
  <c r="W88"/>
  <c r="X88"/>
  <c r="Z73"/>
  <c r="BA71"/>
  <c r="Z71"/>
  <c r="AA71"/>
  <c r="CE71" s="1"/>
  <c r="AY18"/>
  <c r="AZ18"/>
  <c r="BI18"/>
  <c r="Y18"/>
  <c r="BA18"/>
  <c r="AC18"/>
  <c r="BE18"/>
  <c r="AD18"/>
  <c r="BF18"/>
  <c r="W15"/>
  <c r="X15"/>
  <c r="W13"/>
  <c r="X13"/>
  <c r="Y13"/>
  <c r="Z13" s="1"/>
  <c r="W14"/>
  <c r="W908"/>
  <c r="Z8"/>
  <c r="Z7"/>
  <c r="Z5"/>
  <c r="AA5"/>
  <c r="BC32"/>
  <c r="BD639"/>
  <c r="BD441"/>
  <c r="BD705"/>
  <c r="BD507"/>
  <c r="BD375"/>
  <c r="BD243"/>
  <c r="BD177"/>
  <c r="BD111"/>
  <c r="BD45"/>
  <c r="AY571"/>
  <c r="AZ571"/>
  <c r="BA571"/>
  <c r="BB571"/>
  <c r="BC571"/>
  <c r="BD571"/>
  <c r="BE571"/>
  <c r="BF571"/>
  <c r="BG571"/>
  <c r="BH571"/>
  <c r="BI571"/>
  <c r="BJ571"/>
  <c r="BK571"/>
  <c r="BL571"/>
  <c r="AX571"/>
  <c r="AQ571"/>
  <c r="AR571"/>
  <c r="AS571"/>
  <c r="AT571"/>
  <c r="AU571"/>
  <c r="AV571"/>
  <c r="AW571"/>
  <c r="BA631"/>
  <c r="BB631"/>
  <c r="BC631"/>
  <c r="BD631"/>
  <c r="BE631"/>
  <c r="BF631"/>
  <c r="BG631"/>
  <c r="BH631"/>
  <c r="BI631"/>
  <c r="BJ631"/>
  <c r="BK631"/>
  <c r="BL631"/>
  <c r="AP631"/>
  <c r="AQ631"/>
  <c r="AR631"/>
  <c r="AS631"/>
  <c r="AT631"/>
  <c r="AU631"/>
  <c r="AV631"/>
  <c r="AW631"/>
  <c r="AX631"/>
  <c r="AY631"/>
  <c r="AZ631"/>
  <c r="AW696"/>
  <c r="AX696"/>
  <c r="AY696"/>
  <c r="AZ696"/>
  <c r="BA696"/>
  <c r="BB696"/>
  <c r="BC696"/>
  <c r="BD696"/>
  <c r="BE696"/>
  <c r="BF696"/>
  <c r="BG696"/>
  <c r="BH696"/>
  <c r="BI696"/>
  <c r="BJ696"/>
  <c r="BK696"/>
  <c r="BL696"/>
  <c r="AW630"/>
  <c r="AX630"/>
  <c r="AY630"/>
  <c r="AZ630"/>
  <c r="BA630"/>
  <c r="BB630"/>
  <c r="BC630"/>
  <c r="BD630"/>
  <c r="BE630"/>
  <c r="BF630"/>
  <c r="BG630"/>
  <c r="BH630"/>
  <c r="BI630"/>
  <c r="BJ630"/>
  <c r="BK630"/>
  <c r="BL630"/>
  <c r="AW564"/>
  <c r="AX564"/>
  <c r="AY564"/>
  <c r="AZ564"/>
  <c r="BA564"/>
  <c r="BB564"/>
  <c r="BC564"/>
  <c r="BD564"/>
  <c r="BE564"/>
  <c r="BF564"/>
  <c r="BG564"/>
  <c r="BH564"/>
  <c r="BI564"/>
  <c r="BJ564"/>
  <c r="BK564"/>
  <c r="BL564"/>
  <c r="BM564"/>
  <c r="BK498"/>
  <c r="BL498"/>
  <c r="BM498"/>
  <c r="AW498"/>
  <c r="AX498"/>
  <c r="AY498"/>
  <c r="AZ498"/>
  <c r="BA498"/>
  <c r="BB498"/>
  <c r="BC498"/>
  <c r="BD498"/>
  <c r="BE498"/>
  <c r="BF498"/>
  <c r="CH498"/>
  <c r="BG498"/>
  <c r="BH498"/>
  <c r="BI498"/>
  <c r="BJ498"/>
  <c r="AW432"/>
  <c r="AX432"/>
  <c r="AY432"/>
  <c r="AZ432"/>
  <c r="BA432"/>
  <c r="BB432"/>
  <c r="BC432"/>
  <c r="BD432"/>
  <c r="BE432"/>
  <c r="BF432"/>
  <c r="BG432"/>
  <c r="BH432"/>
  <c r="BI432"/>
  <c r="BJ432"/>
  <c r="BK432"/>
  <c r="BL432"/>
  <c r="AW366"/>
  <c r="AX366"/>
  <c r="AY366"/>
  <c r="AZ366"/>
  <c r="CB366"/>
  <c r="BA366"/>
  <c r="BB366"/>
  <c r="BC366"/>
  <c r="BD366"/>
  <c r="BE366"/>
  <c r="BF366"/>
  <c r="BG366"/>
  <c r="BH366"/>
  <c r="BI366"/>
  <c r="CK366"/>
  <c r="BJ366"/>
  <c r="DN366" s="1"/>
  <c r="BK366"/>
  <c r="BL366"/>
  <c r="AW300"/>
  <c r="AX300"/>
  <c r="AY300"/>
  <c r="AZ300"/>
  <c r="BA300"/>
  <c r="BB300"/>
  <c r="BC300"/>
  <c r="BD300"/>
  <c r="BE300"/>
  <c r="BF300"/>
  <c r="BG300"/>
  <c r="BH300"/>
  <c r="BI300"/>
  <c r="BJ300"/>
  <c r="BK300"/>
  <c r="BL300"/>
  <c r="AW234"/>
  <c r="AX234"/>
  <c r="AY234"/>
  <c r="AZ234"/>
  <c r="BA234"/>
  <c r="BB234"/>
  <c r="BC234"/>
  <c r="BD234"/>
  <c r="BE234"/>
  <c r="BF234"/>
  <c r="BG234"/>
  <c r="BH234"/>
  <c r="BI234"/>
  <c r="BJ234"/>
  <c r="BK234"/>
  <c r="BL234"/>
  <c r="AW168"/>
  <c r="AX168"/>
  <c r="AY168"/>
  <c r="AZ168"/>
  <c r="BA168"/>
  <c r="BB168"/>
  <c r="BC168"/>
  <c r="BD168"/>
  <c r="BE168"/>
  <c r="BF168"/>
  <c r="BG168"/>
  <c r="BH168"/>
  <c r="BI168"/>
  <c r="BJ168"/>
  <c r="BK168"/>
  <c r="BL168"/>
  <c r="AW36"/>
  <c r="AX36"/>
  <c r="AY36"/>
  <c r="AZ36"/>
  <c r="BA36"/>
  <c r="BB36"/>
  <c r="BC36"/>
  <c r="BD36"/>
  <c r="BE36"/>
  <c r="BF36"/>
  <c r="BG36"/>
  <c r="BI36"/>
  <c r="BH36"/>
  <c r="BJ36"/>
  <c r="EH36" s="1"/>
  <c r="EH62" s="1"/>
  <c r="BK36"/>
  <c r="BL36"/>
  <c r="BI102"/>
  <c r="BH102"/>
  <c r="BG102"/>
  <c r="BF102"/>
  <c r="BE102"/>
  <c r="BD102"/>
  <c r="BC102"/>
  <c r="BB102"/>
  <c r="BA102"/>
  <c r="AZ102"/>
  <c r="AY102"/>
  <c r="Z641"/>
  <c r="DB607"/>
  <c r="DC607"/>
  <c r="DD607" s="1"/>
  <c r="DE607" s="1"/>
  <c r="DF607" s="1"/>
  <c r="DG607" s="1"/>
  <c r="DH607" s="1"/>
  <c r="DI607" s="1"/>
  <c r="DJ607" s="1"/>
  <c r="DK607" s="1"/>
  <c r="DL607" s="1"/>
  <c r="DM607" s="1"/>
  <c r="CA607"/>
  <c r="BZ607"/>
  <c r="V575"/>
  <c r="W575"/>
  <c r="X575"/>
  <c r="Y575"/>
  <c r="Z575"/>
  <c r="AA575"/>
  <c r="AB575"/>
  <c r="AC575"/>
  <c r="AD575"/>
  <c r="AE575"/>
  <c r="AF575"/>
  <c r="AG575"/>
  <c r="DB541"/>
  <c r="DC541"/>
  <c r="DD541" s="1"/>
  <c r="DE541" s="1"/>
  <c r="DF541" s="1"/>
  <c r="DG541" s="1"/>
  <c r="DH541" s="1"/>
  <c r="DI541" s="1"/>
  <c r="DJ541" s="1"/>
  <c r="DK541" s="1"/>
  <c r="DL541" s="1"/>
  <c r="DM541" s="1"/>
  <c r="CA541"/>
  <c r="BZ541"/>
  <c r="BC547"/>
  <c r="DB407"/>
  <c r="DC407" s="1"/>
  <c r="DD407" s="1"/>
  <c r="DE407" s="1"/>
  <c r="DF407" s="1"/>
  <c r="DG407" s="1"/>
  <c r="DH407" s="1"/>
  <c r="DI407" s="1"/>
  <c r="DJ407" s="1"/>
  <c r="DK407" s="1"/>
  <c r="DL407" s="1"/>
  <c r="DM407" s="1"/>
  <c r="CA407"/>
  <c r="BZ407"/>
  <c r="AX407"/>
  <c r="V407"/>
  <c r="W407"/>
  <c r="X407" s="1"/>
  <c r="DE269"/>
  <c r="DF269" s="1"/>
  <c r="DG269" s="1"/>
  <c r="CB155"/>
  <c r="CK155"/>
  <c r="CF155"/>
  <c r="CA155"/>
  <c r="BZ155"/>
  <c r="CD269"/>
  <c r="CC269"/>
  <c r="DC155"/>
  <c r="DD155" s="1"/>
  <c r="DE155" s="1"/>
  <c r="DF155" s="1"/>
  <c r="DG155" s="1"/>
  <c r="DH155" s="1"/>
  <c r="DI155" s="1"/>
  <c r="DJ155" s="1"/>
  <c r="DK155" s="1"/>
  <c r="DL155" s="1"/>
  <c r="DM155" s="1"/>
  <c r="W155"/>
  <c r="X155" s="1"/>
  <c r="EH366"/>
  <c r="Z805"/>
  <c r="BB705"/>
  <c r="BC705"/>
  <c r="BB639"/>
  <c r="BC639"/>
  <c r="BB573"/>
  <c r="BC573"/>
  <c r="BB507"/>
  <c r="BC507"/>
  <c r="BB441"/>
  <c r="BC441"/>
  <c r="BB375"/>
  <c r="BC375"/>
  <c r="BB243"/>
  <c r="BC243"/>
  <c r="BB177"/>
  <c r="BC177"/>
  <c r="BB111"/>
  <c r="BC111"/>
  <c r="BB45"/>
  <c r="BC45"/>
  <c r="K616"/>
  <c r="L616" s="1"/>
  <c r="M616" s="1"/>
  <c r="N616" s="1"/>
  <c r="DB550"/>
  <c r="DC550" s="1"/>
  <c r="CG88"/>
  <c r="CF88"/>
  <c r="E1"/>
  <c r="EK1"/>
  <c r="EK866" s="1"/>
  <c r="EK2"/>
  <c r="T10" i="3" s="1"/>
  <c r="EJ3" i="1"/>
  <c r="K4"/>
  <c r="L4"/>
  <c r="AN4" s="1"/>
  <c r="N4"/>
  <c r="O4" s="1"/>
  <c r="AI4"/>
  <c r="AL4"/>
  <c r="AM4"/>
  <c r="CQ4" s="1"/>
  <c r="AO4"/>
  <c r="CP4"/>
  <c r="CS4"/>
  <c r="DZ4"/>
  <c r="EJ4"/>
  <c r="J5"/>
  <c r="K5"/>
  <c r="K23" s="1"/>
  <c r="M5"/>
  <c r="N5" s="1"/>
  <c r="BA5"/>
  <c r="DE5" s="1"/>
  <c r="BB5"/>
  <c r="DF5" s="1"/>
  <c r="EJ5"/>
  <c r="J6"/>
  <c r="K6"/>
  <c r="N6"/>
  <c r="O6"/>
  <c r="AI6"/>
  <c r="AH6"/>
  <c r="AL6"/>
  <c r="AO6"/>
  <c r="AP6"/>
  <c r="BL6"/>
  <c r="CP6"/>
  <c r="CS6"/>
  <c r="CT6"/>
  <c r="DP6"/>
  <c r="FD6" s="1"/>
  <c r="EJ6"/>
  <c r="J7"/>
  <c r="K7"/>
  <c r="L7" s="1"/>
  <c r="N7"/>
  <c r="O7" s="1"/>
  <c r="BB7"/>
  <c r="DF7" s="1"/>
  <c r="AL7"/>
  <c r="CP7" s="1"/>
  <c r="AO7"/>
  <c r="BA7"/>
  <c r="CS7"/>
  <c r="EJ7"/>
  <c r="J8"/>
  <c r="K8" s="1"/>
  <c r="N8"/>
  <c r="O8" s="1"/>
  <c r="AL8"/>
  <c r="AO8"/>
  <c r="CS8"/>
  <c r="BA8"/>
  <c r="DE8"/>
  <c r="BB8"/>
  <c r="CP8"/>
  <c r="DF8"/>
  <c r="K9"/>
  <c r="L9" s="1"/>
  <c r="AF9"/>
  <c r="AE9" s="1"/>
  <c r="AL9"/>
  <c r="BJ9"/>
  <c r="CP9"/>
  <c r="K10"/>
  <c r="L10" s="1"/>
  <c r="AG10"/>
  <c r="AL10"/>
  <c r="CP10"/>
  <c r="AX10"/>
  <c r="AY10"/>
  <c r="DC10" s="1"/>
  <c r="BJ10"/>
  <c r="DB10"/>
  <c r="DN10"/>
  <c r="U11"/>
  <c r="AF11"/>
  <c r="AG11"/>
  <c r="AL11"/>
  <c r="CP11" s="1"/>
  <c r="CQ11" s="1"/>
  <c r="CR11" s="1"/>
  <c r="CS11" s="1"/>
  <c r="CT11" s="1"/>
  <c r="CU11" s="1"/>
  <c r="CV11" s="1"/>
  <c r="CW11" s="1"/>
  <c r="CX11" s="1"/>
  <c r="CY11" s="1"/>
  <c r="CZ11" s="1"/>
  <c r="DA11" s="1"/>
  <c r="AM11"/>
  <c r="AN11"/>
  <c r="AO11"/>
  <c r="AP11"/>
  <c r="AQ11"/>
  <c r="AR11"/>
  <c r="AS11"/>
  <c r="AT11"/>
  <c r="AU11"/>
  <c r="AV11"/>
  <c r="AW11"/>
  <c r="BP11"/>
  <c r="BN11" s="1"/>
  <c r="BV11"/>
  <c r="BT11" s="1"/>
  <c r="CN11"/>
  <c r="CL11" s="1"/>
  <c r="DN11"/>
  <c r="DO11" s="1"/>
  <c r="DP11" s="1"/>
  <c r="K12"/>
  <c r="L12"/>
  <c r="V12"/>
  <c r="AX12"/>
  <c r="W12"/>
  <c r="AY12"/>
  <c r="X12"/>
  <c r="Y12"/>
  <c r="BA12" s="1"/>
  <c r="Z12"/>
  <c r="AA12"/>
  <c r="BC12"/>
  <c r="AB12"/>
  <c r="AC12"/>
  <c r="BE12" s="1"/>
  <c r="AD12"/>
  <c r="AE12"/>
  <c r="BG12"/>
  <c r="AF12"/>
  <c r="AL12"/>
  <c r="AZ12"/>
  <c r="BB12"/>
  <c r="BD12"/>
  <c r="BF12"/>
  <c r="BH12"/>
  <c r="BI12"/>
  <c r="BJ12"/>
  <c r="BJ25" s="1"/>
  <c r="BK12"/>
  <c r="BL12"/>
  <c r="BL25" s="1"/>
  <c r="EE12"/>
  <c r="J13"/>
  <c r="K13" s="1"/>
  <c r="AL13"/>
  <c r="AX13"/>
  <c r="DB13"/>
  <c r="AY13"/>
  <c r="BJ13"/>
  <c r="DN13" s="1"/>
  <c r="BK13"/>
  <c r="BL13"/>
  <c r="CP13"/>
  <c r="K14"/>
  <c r="L14"/>
  <c r="AL14"/>
  <c r="AX14"/>
  <c r="DB14" s="1"/>
  <c r="DB57" s="1"/>
  <c r="AY14"/>
  <c r="AY908"/>
  <c r="BJ14"/>
  <c r="CP14"/>
  <c r="DN14"/>
  <c r="J15"/>
  <c r="AL15"/>
  <c r="CP15" s="1"/>
  <c r="CP57" s="1"/>
  <c r="AX15"/>
  <c r="AY15"/>
  <c r="BJ15"/>
  <c r="DN15" s="1"/>
  <c r="BK15"/>
  <c r="BL15"/>
  <c r="DB15"/>
  <c r="K16"/>
  <c r="L16"/>
  <c r="AF16"/>
  <c r="BI16"/>
  <c r="AL16"/>
  <c r="BJ16"/>
  <c r="BK16"/>
  <c r="BL16"/>
  <c r="CP16"/>
  <c r="K17"/>
  <c r="L17"/>
  <c r="AF17"/>
  <c r="BI17" s="1"/>
  <c r="AL17"/>
  <c r="BJ17"/>
  <c r="BK17"/>
  <c r="BL17"/>
  <c r="CP17"/>
  <c r="M18"/>
  <c r="N18"/>
  <c r="Q18"/>
  <c r="R18"/>
  <c r="U18"/>
  <c r="AW18"/>
  <c r="AE18"/>
  <c r="AL18"/>
  <c r="CP18" s="1"/>
  <c r="AM18"/>
  <c r="AN18"/>
  <c r="AS18"/>
  <c r="AX18"/>
  <c r="DB18"/>
  <c r="BJ18"/>
  <c r="BK18"/>
  <c r="BL18"/>
  <c r="DN18"/>
  <c r="DO18" s="1"/>
  <c r="DP18" s="1"/>
  <c r="Q19"/>
  <c r="R19" s="1"/>
  <c r="Y19"/>
  <c r="BB19"/>
  <c r="AC19"/>
  <c r="AD19"/>
  <c r="AL19"/>
  <c r="AM19"/>
  <c r="AN19"/>
  <c r="AO19"/>
  <c r="AP19"/>
  <c r="AQ19"/>
  <c r="AR19"/>
  <c r="AS19"/>
  <c r="AX19"/>
  <c r="AY19"/>
  <c r="CB19" s="1"/>
  <c r="CA19" s="1"/>
  <c r="AZ19"/>
  <c r="BA19"/>
  <c r="BC19"/>
  <c r="BD19"/>
  <c r="BJ19"/>
  <c r="BK19"/>
  <c r="BL19"/>
  <c r="CN19"/>
  <c r="CP19"/>
  <c r="CQ19"/>
  <c r="CR19" s="1"/>
  <c r="CS19" s="1"/>
  <c r="CT19" s="1"/>
  <c r="CU19" s="1"/>
  <c r="CV19" s="1"/>
  <c r="CW19" s="1"/>
  <c r="DB19"/>
  <c r="DC19"/>
  <c r="DD19" s="1"/>
  <c r="DE19" s="1"/>
  <c r="M20"/>
  <c r="N20"/>
  <c r="CT20" s="1"/>
  <c r="P20"/>
  <c r="Q20" s="1"/>
  <c r="R20" s="1"/>
  <c r="Y20"/>
  <c r="AA20"/>
  <c r="AB20" s="1"/>
  <c r="CP20"/>
  <c r="CQ20"/>
  <c r="CR20"/>
  <c r="CS20"/>
  <c r="CU20"/>
  <c r="DB20"/>
  <c r="DC20"/>
  <c r="DD20"/>
  <c r="DE20"/>
  <c r="DF20"/>
  <c r="DM20"/>
  <c r="FD20" s="1"/>
  <c r="DN20"/>
  <c r="DO20"/>
  <c r="DP20"/>
  <c r="EE20"/>
  <c r="EO45" s="1"/>
  <c r="EF20"/>
  <c r="EP45" s="1"/>
  <c r="M21"/>
  <c r="N21" s="1"/>
  <c r="P21"/>
  <c r="Q21" s="1"/>
  <c r="Y21"/>
  <c r="AA21"/>
  <c r="AB21" s="1"/>
  <c r="CP21"/>
  <c r="CQ21"/>
  <c r="CR21"/>
  <c r="CU21"/>
  <c r="DB21"/>
  <c r="DC21"/>
  <c r="DD21"/>
  <c r="DE21"/>
  <c r="DF21"/>
  <c r="DM21"/>
  <c r="FD21" s="1"/>
  <c r="DN21"/>
  <c r="DO21"/>
  <c r="DP21"/>
  <c r="EE21"/>
  <c r="EO46" s="1"/>
  <c r="EF21"/>
  <c r="EP46" s="1"/>
  <c r="J22"/>
  <c r="AL22"/>
  <c r="K22"/>
  <c r="AM22"/>
  <c r="L22"/>
  <c r="AN22" s="1"/>
  <c r="M22"/>
  <c r="AO22" s="1"/>
  <c r="N22"/>
  <c r="AP22" s="1"/>
  <c r="AX22"/>
  <c r="DB22"/>
  <c r="J23"/>
  <c r="M23"/>
  <c r="AB23"/>
  <c r="BD23" s="1"/>
  <c r="AL23"/>
  <c r="BA23"/>
  <c r="BB23"/>
  <c r="BC23"/>
  <c r="CP23"/>
  <c r="X24"/>
  <c r="Y24"/>
  <c r="BA24" s="1"/>
  <c r="CC24" s="1"/>
  <c r="DE24" s="1"/>
  <c r="AB24"/>
  <c r="BD24" s="1"/>
  <c r="CF24" s="1"/>
  <c r="DH24" s="1"/>
  <c r="AC24"/>
  <c r="BE24" s="1"/>
  <c r="CG24" s="1"/>
  <c r="DI24" s="1"/>
  <c r="AD24"/>
  <c r="AF24"/>
  <c r="BH24"/>
  <c r="CJ24" s="1"/>
  <c r="DL24" s="1"/>
  <c r="AG24"/>
  <c r="BI24"/>
  <c r="CK24" s="1"/>
  <c r="DM24" s="1"/>
  <c r="AH24"/>
  <c r="BJ24"/>
  <c r="CL24" s="1"/>
  <c r="DN24" s="1"/>
  <c r="AZ24"/>
  <c r="CB24"/>
  <c r="DD24" s="1"/>
  <c r="BF24"/>
  <c r="CH24" s="1"/>
  <c r="DJ24" s="1"/>
  <c r="EA24"/>
  <c r="EB24"/>
  <c r="J25"/>
  <c r="K25"/>
  <c r="AG25"/>
  <c r="AH25"/>
  <c r="AI25"/>
  <c r="AJ25"/>
  <c r="AL25"/>
  <c r="BN25"/>
  <c r="BK25"/>
  <c r="CL25"/>
  <c r="CM25" s="1"/>
  <c r="CP25"/>
  <c r="DN25"/>
  <c r="DO25" s="1"/>
  <c r="DP25" s="1"/>
  <c r="EG25"/>
  <c r="AL27"/>
  <c r="AM27"/>
  <c r="CQ27" s="1"/>
  <c r="AN27"/>
  <c r="CR27" s="1"/>
  <c r="AO27"/>
  <c r="BS27" s="1"/>
  <c r="BR27" s="1"/>
  <c r="AP27"/>
  <c r="CT27"/>
  <c r="AQ27"/>
  <c r="CU27"/>
  <c r="AR27"/>
  <c r="AS27"/>
  <c r="AT27"/>
  <c r="CX27"/>
  <c r="AU27"/>
  <c r="AV27"/>
  <c r="BY27" s="1"/>
  <c r="BX27" s="1"/>
  <c r="AW27"/>
  <c r="AX27"/>
  <c r="AY27"/>
  <c r="DC27"/>
  <c r="AZ27"/>
  <c r="DD27"/>
  <c r="BA27"/>
  <c r="BB27"/>
  <c r="DF27" s="1"/>
  <c r="BC27"/>
  <c r="DG27" s="1"/>
  <c r="BD27"/>
  <c r="DH27" s="1"/>
  <c r="BE27"/>
  <c r="BF27"/>
  <c r="DJ27"/>
  <c r="BG27"/>
  <c r="DK27"/>
  <c r="BH27"/>
  <c r="BI27"/>
  <c r="DM27" s="1"/>
  <c r="BJ27"/>
  <c r="DN27" s="1"/>
  <c r="EJ27" s="1"/>
  <c r="BK27"/>
  <c r="BL27"/>
  <c r="CS27"/>
  <c r="CW27"/>
  <c r="DA27"/>
  <c r="DE27"/>
  <c r="DI27"/>
  <c r="EK27"/>
  <c r="AL28"/>
  <c r="AM28"/>
  <c r="CQ28"/>
  <c r="AN28"/>
  <c r="AO28"/>
  <c r="CS28" s="1"/>
  <c r="AP28"/>
  <c r="AQ28"/>
  <c r="CU28"/>
  <c r="AR28"/>
  <c r="AS28"/>
  <c r="AT28"/>
  <c r="AU28"/>
  <c r="CY28" s="1"/>
  <c r="AV28"/>
  <c r="AW28"/>
  <c r="BY28"/>
  <c r="AX28"/>
  <c r="AY28"/>
  <c r="DC28" s="1"/>
  <c r="AZ28"/>
  <c r="BA28"/>
  <c r="DE28"/>
  <c r="BB28"/>
  <c r="BC28"/>
  <c r="BD28"/>
  <c r="BE28"/>
  <c r="DI28" s="1"/>
  <c r="BF28"/>
  <c r="BG28"/>
  <c r="BH28"/>
  <c r="BI28"/>
  <c r="DM28"/>
  <c r="BJ28"/>
  <c r="BK28"/>
  <c r="DO28" s="1"/>
  <c r="BL28"/>
  <c r="BP28"/>
  <c r="BO28" s="1"/>
  <c r="CB28"/>
  <c r="CA28" s="1"/>
  <c r="CP28"/>
  <c r="CR28"/>
  <c r="CT28"/>
  <c r="CV28"/>
  <c r="CX28"/>
  <c r="CZ28"/>
  <c r="DB28"/>
  <c r="DD28"/>
  <c r="DF28"/>
  <c r="DH28"/>
  <c r="DL28"/>
  <c r="DN28"/>
  <c r="EK28"/>
  <c r="AL29"/>
  <c r="AM29"/>
  <c r="CQ29" s="1"/>
  <c r="AN29"/>
  <c r="AO29"/>
  <c r="AP29"/>
  <c r="CT29" s="1"/>
  <c r="AQ29"/>
  <c r="AR29"/>
  <c r="AS29"/>
  <c r="CW29" s="1"/>
  <c r="AT29"/>
  <c r="CX29" s="1"/>
  <c r="AU29"/>
  <c r="AV29"/>
  <c r="AW29"/>
  <c r="DA29" s="1"/>
  <c r="AX29"/>
  <c r="AY29"/>
  <c r="DC29"/>
  <c r="AZ29"/>
  <c r="BA29"/>
  <c r="BB29"/>
  <c r="DF29"/>
  <c r="BC29"/>
  <c r="DG29"/>
  <c r="BD29"/>
  <c r="BE29"/>
  <c r="BF29"/>
  <c r="BG29"/>
  <c r="BH29"/>
  <c r="DL29" s="1"/>
  <c r="BI29"/>
  <c r="DM29" s="1"/>
  <c r="BJ29"/>
  <c r="DN29" s="1"/>
  <c r="BK29"/>
  <c r="BL29"/>
  <c r="BV29"/>
  <c r="BU29"/>
  <c r="CK29"/>
  <c r="CJ29"/>
  <c r="CR29"/>
  <c r="CV29"/>
  <c r="CZ29"/>
  <c r="DD29"/>
  <c r="DH29"/>
  <c r="EK29"/>
  <c r="AL30"/>
  <c r="AM30"/>
  <c r="AN30"/>
  <c r="AO30"/>
  <c r="AP30"/>
  <c r="AQ30"/>
  <c r="BS30"/>
  <c r="AR30"/>
  <c r="AS30"/>
  <c r="AT30"/>
  <c r="AU30"/>
  <c r="AV30"/>
  <c r="AW30"/>
  <c r="AX30"/>
  <c r="AY30"/>
  <c r="AZ30"/>
  <c r="BA30"/>
  <c r="BB30"/>
  <c r="BC30"/>
  <c r="BD30"/>
  <c r="DH30"/>
  <c r="BE30"/>
  <c r="BF30"/>
  <c r="BG30"/>
  <c r="BH30"/>
  <c r="BI30"/>
  <c r="BJ30"/>
  <c r="EH30" s="1"/>
  <c r="BK30"/>
  <c r="BL30"/>
  <c r="BP30"/>
  <c r="BO30"/>
  <c r="BV30"/>
  <c r="BU30"/>
  <c r="CB30"/>
  <c r="CA30"/>
  <c r="CP30"/>
  <c r="CQ30"/>
  <c r="CR30"/>
  <c r="CS30"/>
  <c r="CT30"/>
  <c r="CU30"/>
  <c r="CV30"/>
  <c r="CW30"/>
  <c r="CX30"/>
  <c r="CY30"/>
  <c r="CZ30"/>
  <c r="DA30"/>
  <c r="DB30"/>
  <c r="DC30"/>
  <c r="DD30"/>
  <c r="DE30"/>
  <c r="DF30"/>
  <c r="DI30"/>
  <c r="DK30"/>
  <c r="FE7"/>
  <c r="FF7"/>
  <c r="DL30"/>
  <c r="DM30"/>
  <c r="DN30"/>
  <c r="DO30"/>
  <c r="EK30"/>
  <c r="AL31"/>
  <c r="AM31"/>
  <c r="CQ31"/>
  <c r="AN31"/>
  <c r="AO31"/>
  <c r="AP31"/>
  <c r="CT31"/>
  <c r="AQ31"/>
  <c r="BS31"/>
  <c r="AR31"/>
  <c r="AS31"/>
  <c r="CW31" s="1"/>
  <c r="AT31"/>
  <c r="CX31" s="1"/>
  <c r="AU31"/>
  <c r="AV31"/>
  <c r="AW31"/>
  <c r="DA31" s="1"/>
  <c r="AX31"/>
  <c r="AY31"/>
  <c r="DC31"/>
  <c r="AZ31"/>
  <c r="BA31"/>
  <c r="DE31" s="1"/>
  <c r="BB31"/>
  <c r="DF31" s="1"/>
  <c r="AN9" i="3" s="1"/>
  <c r="BC31" i="1"/>
  <c r="BD31"/>
  <c r="BE31"/>
  <c r="DI31"/>
  <c r="BF31"/>
  <c r="BG31"/>
  <c r="DK31" s="1"/>
  <c r="BH31"/>
  <c r="DL31" s="1"/>
  <c r="BI31"/>
  <c r="DM31" s="1"/>
  <c r="BJ31"/>
  <c r="BK31"/>
  <c r="DO31" s="1"/>
  <c r="BL31"/>
  <c r="CB31"/>
  <c r="CA31"/>
  <c r="CP31"/>
  <c r="CR31"/>
  <c r="CV31"/>
  <c r="CZ31"/>
  <c r="DB31"/>
  <c r="DD31"/>
  <c r="DH31"/>
  <c r="DJ31"/>
  <c r="DN31"/>
  <c r="EJ31" s="1"/>
  <c r="EK31"/>
  <c r="AL32"/>
  <c r="CP32"/>
  <c r="AM32"/>
  <c r="AN32"/>
  <c r="AO32"/>
  <c r="AP32"/>
  <c r="AQ32"/>
  <c r="AR32"/>
  <c r="AS32"/>
  <c r="AT32"/>
  <c r="AU32"/>
  <c r="AV32"/>
  <c r="AW32"/>
  <c r="AX32"/>
  <c r="AY32"/>
  <c r="AZ32"/>
  <c r="BA32"/>
  <c r="BB32"/>
  <c r="CE32" s="1"/>
  <c r="BD32"/>
  <c r="BE32"/>
  <c r="BF32"/>
  <c r="BG32"/>
  <c r="BH32"/>
  <c r="BI32"/>
  <c r="EH32"/>
  <c r="BJ32"/>
  <c r="DN32"/>
  <c r="BK32"/>
  <c r="BL32"/>
  <c r="BY32"/>
  <c r="BX32"/>
  <c r="DB32"/>
  <c r="DC32"/>
  <c r="AL33"/>
  <c r="AM33"/>
  <c r="AN33"/>
  <c r="AO33"/>
  <c r="AP33"/>
  <c r="CT33" s="1"/>
  <c r="AQ33"/>
  <c r="CU33" s="1"/>
  <c r="AR33"/>
  <c r="AS33"/>
  <c r="CW33"/>
  <c r="AT33"/>
  <c r="CX33"/>
  <c r="AU33"/>
  <c r="AV33"/>
  <c r="CZ33" s="1"/>
  <c r="AW33"/>
  <c r="DA33" s="1"/>
  <c r="AX33"/>
  <c r="AY33"/>
  <c r="DC33"/>
  <c r="AZ33"/>
  <c r="DD33"/>
  <c r="BA33"/>
  <c r="DE33"/>
  <c r="BB33"/>
  <c r="DF33"/>
  <c r="BC33"/>
  <c r="BD33"/>
  <c r="CH33" s="1"/>
  <c r="CF33" s="1"/>
  <c r="BE33"/>
  <c r="BF33"/>
  <c r="BG33"/>
  <c r="DK33"/>
  <c r="FE10" s="1"/>
  <c r="FF10" s="1"/>
  <c r="BH33"/>
  <c r="BI33"/>
  <c r="DM33" s="1"/>
  <c r="BJ33"/>
  <c r="DN33" s="1"/>
  <c r="DN60" s="1"/>
  <c r="BK33"/>
  <c r="DO33" s="1"/>
  <c r="BL33"/>
  <c r="BS33"/>
  <c r="BR33" s="1"/>
  <c r="CE33"/>
  <c r="CC33" s="1"/>
  <c r="CN33"/>
  <c r="CM33" s="1"/>
  <c r="CS33"/>
  <c r="CY33"/>
  <c r="DG33"/>
  <c r="EK33"/>
  <c r="AL34"/>
  <c r="CP34"/>
  <c r="AM34"/>
  <c r="AN34"/>
  <c r="AO34"/>
  <c r="AP34"/>
  <c r="AQ34"/>
  <c r="CU34"/>
  <c r="AR34"/>
  <c r="AS34"/>
  <c r="CW34" s="1"/>
  <c r="AT34"/>
  <c r="CX34" s="1"/>
  <c r="AU34"/>
  <c r="AV34"/>
  <c r="CZ34"/>
  <c r="AW34"/>
  <c r="AX34"/>
  <c r="AY34"/>
  <c r="DC34"/>
  <c r="AZ34"/>
  <c r="DD34"/>
  <c r="BA34"/>
  <c r="BB34"/>
  <c r="BC34"/>
  <c r="BC895" s="1"/>
  <c r="BD34"/>
  <c r="BE34"/>
  <c r="BF34"/>
  <c r="BG34"/>
  <c r="BH34"/>
  <c r="BI34"/>
  <c r="BJ34"/>
  <c r="DN34" s="1"/>
  <c r="BK34"/>
  <c r="DO34" s="1"/>
  <c r="BL34"/>
  <c r="BP34"/>
  <c r="BO34"/>
  <c r="CB34"/>
  <c r="CA34"/>
  <c r="CT34"/>
  <c r="DB34"/>
  <c r="DF34"/>
  <c r="DL34"/>
  <c r="EQ34"/>
  <c r="ER34"/>
  <c r="ES34"/>
  <c r="AL35"/>
  <c r="AM35"/>
  <c r="AN35"/>
  <c r="AO35"/>
  <c r="AP35"/>
  <c r="AQ35"/>
  <c r="CU35" s="1"/>
  <c r="AR35"/>
  <c r="AS35"/>
  <c r="CW35"/>
  <c r="AT35"/>
  <c r="CX35"/>
  <c r="AU35"/>
  <c r="AV35"/>
  <c r="CZ35" s="1"/>
  <c r="AW35"/>
  <c r="DA35" s="1"/>
  <c r="AX35"/>
  <c r="AY35"/>
  <c r="DC35"/>
  <c r="AZ35"/>
  <c r="DD35"/>
  <c r="BA35"/>
  <c r="BB35"/>
  <c r="CE35" s="1"/>
  <c r="CC35" s="1"/>
  <c r="BC35"/>
  <c r="BD35"/>
  <c r="BE35"/>
  <c r="DI35"/>
  <c r="BF35"/>
  <c r="DJ35"/>
  <c r="BG35"/>
  <c r="BH35"/>
  <c r="BI35"/>
  <c r="EH35"/>
  <c r="BJ35"/>
  <c r="DN35"/>
  <c r="BK35"/>
  <c r="BL35"/>
  <c r="CH35"/>
  <c r="CY35"/>
  <c r="DG35"/>
  <c r="DO35"/>
  <c r="EK35"/>
  <c r="EQ35"/>
  <c r="ER35"/>
  <c r="ES35"/>
  <c r="AL36"/>
  <c r="AM36"/>
  <c r="AN36"/>
  <c r="AO36"/>
  <c r="AP36"/>
  <c r="AQ36"/>
  <c r="AR36"/>
  <c r="AS36"/>
  <c r="AT36"/>
  <c r="AU36"/>
  <c r="AV36"/>
  <c r="BS36"/>
  <c r="BR36"/>
  <c r="CB36"/>
  <c r="BZ36"/>
  <c r="CE36"/>
  <c r="CD36"/>
  <c r="CH36"/>
  <c r="CK36"/>
  <c r="CN36"/>
  <c r="CN37" s="1"/>
  <c r="CP36"/>
  <c r="CQ36"/>
  <c r="CR36" s="1"/>
  <c r="CS36" s="1"/>
  <c r="CT36" s="1"/>
  <c r="CU36" s="1"/>
  <c r="CV36" s="1"/>
  <c r="CW36" s="1"/>
  <c r="CX36" s="1"/>
  <c r="CY36" s="1"/>
  <c r="CZ36" s="1"/>
  <c r="DA36" s="1"/>
  <c r="DB36"/>
  <c r="DC36"/>
  <c r="DD36" s="1"/>
  <c r="DN36"/>
  <c r="DO36" s="1"/>
  <c r="AL37"/>
  <c r="AM37"/>
  <c r="AN37"/>
  <c r="AO37"/>
  <c r="AP37"/>
  <c r="AQ37"/>
  <c r="AR37"/>
  <c r="AS37"/>
  <c r="AT37"/>
  <c r="AU37"/>
  <c r="AV37"/>
  <c r="AW37"/>
  <c r="AX37"/>
  <c r="AY37"/>
  <c r="BA37"/>
  <c r="BB37"/>
  <c r="BC37"/>
  <c r="BD37"/>
  <c r="BE37"/>
  <c r="BF37"/>
  <c r="BG37"/>
  <c r="BI37"/>
  <c r="BH37"/>
  <c r="BJ37"/>
  <c r="BK37"/>
  <c r="BL37"/>
  <c r="CH37"/>
  <c r="CG37" s="1"/>
  <c r="CP37"/>
  <c r="DB37"/>
  <c r="AL38"/>
  <c r="AM38"/>
  <c r="AN38"/>
  <c r="AO38"/>
  <c r="AP38"/>
  <c r="AQ38"/>
  <c r="AR38"/>
  <c r="AS38"/>
  <c r="AT38"/>
  <c r="AU38"/>
  <c r="AV38"/>
  <c r="AW38"/>
  <c r="AX38"/>
  <c r="AY38"/>
  <c r="AZ38"/>
  <c r="BA38"/>
  <c r="BB38"/>
  <c r="BC38"/>
  <c r="BD38"/>
  <c r="BE38"/>
  <c r="BF38"/>
  <c r="BG38"/>
  <c r="BH38"/>
  <c r="BI38"/>
  <c r="BJ38"/>
  <c r="EH38" s="1"/>
  <c r="BK38"/>
  <c r="BL38"/>
  <c r="BS38"/>
  <c r="BR38"/>
  <c r="CP38"/>
  <c r="DB38"/>
  <c r="AL39"/>
  <c r="AM39"/>
  <c r="AN39"/>
  <c r="AO39"/>
  <c r="AP39"/>
  <c r="AQ39"/>
  <c r="AR39"/>
  <c r="AS39"/>
  <c r="BV39"/>
  <c r="AT39"/>
  <c r="AU39"/>
  <c r="AV39"/>
  <c r="AW39"/>
  <c r="AX39"/>
  <c r="AY39"/>
  <c r="AZ39"/>
  <c r="BA39"/>
  <c r="BB39"/>
  <c r="BC39"/>
  <c r="BD39"/>
  <c r="BE39"/>
  <c r="BF39"/>
  <c r="BG39"/>
  <c r="BH39"/>
  <c r="BI39"/>
  <c r="BJ39"/>
  <c r="DN39" s="1"/>
  <c r="BK39"/>
  <c r="BL39"/>
  <c r="BP39"/>
  <c r="BO39" s="1"/>
  <c r="CP39"/>
  <c r="CQ39" s="1"/>
  <c r="CR39" s="1"/>
  <c r="CS39" s="1"/>
  <c r="CT39" s="1"/>
  <c r="CU39" s="1"/>
  <c r="CV39" s="1"/>
  <c r="CW39" s="1"/>
  <c r="CX39" s="1"/>
  <c r="CY39" s="1"/>
  <c r="CZ39" s="1"/>
  <c r="DA39" s="1"/>
  <c r="EH39"/>
  <c r="AL40"/>
  <c r="AM40"/>
  <c r="AN40"/>
  <c r="AO40"/>
  <c r="AP40"/>
  <c r="AQ40"/>
  <c r="AR40"/>
  <c r="AS40"/>
  <c r="AT40"/>
  <c r="AU40"/>
  <c r="AV40"/>
  <c r="AW40"/>
  <c r="AX40"/>
  <c r="AY40"/>
  <c r="AZ40"/>
  <c r="BA40"/>
  <c r="BB40"/>
  <c r="BC40"/>
  <c r="CE40" s="1"/>
  <c r="CC40" s="1"/>
  <c r="BD40"/>
  <c r="BE40"/>
  <c r="BF40"/>
  <c r="BG40"/>
  <c r="CK40" s="1"/>
  <c r="BH40"/>
  <c r="BI40"/>
  <c r="BJ40"/>
  <c r="DN40" s="1"/>
  <c r="BK40"/>
  <c r="BL40"/>
  <c r="BV40"/>
  <c r="BU40" s="1"/>
  <c r="DB40"/>
  <c r="DC40" s="1"/>
  <c r="DD40" s="1"/>
  <c r="DE40" s="1"/>
  <c r="DF40" s="1"/>
  <c r="DG40" s="1"/>
  <c r="EH40"/>
  <c r="EK40"/>
  <c r="AL41"/>
  <c r="AM41"/>
  <c r="AN41"/>
  <c r="AO41"/>
  <c r="AP41"/>
  <c r="AQ41"/>
  <c r="AR41"/>
  <c r="AS41"/>
  <c r="AT41"/>
  <c r="AU41"/>
  <c r="AV41"/>
  <c r="AW41"/>
  <c r="AX41"/>
  <c r="AY41"/>
  <c r="AZ41"/>
  <c r="BA41"/>
  <c r="BB41"/>
  <c r="BC41"/>
  <c r="BD41"/>
  <c r="BE41"/>
  <c r="BF41"/>
  <c r="BG41"/>
  <c r="BH41"/>
  <c r="BI41"/>
  <c r="EH41"/>
  <c r="BJ41"/>
  <c r="BK41"/>
  <c r="DO41" s="1"/>
  <c r="BL41"/>
  <c r="BV41"/>
  <c r="BU41" s="1"/>
  <c r="CP41"/>
  <c r="DN41"/>
  <c r="EK41"/>
  <c r="AL42"/>
  <c r="AM42"/>
  <c r="AN42"/>
  <c r="AO42"/>
  <c r="AP42"/>
  <c r="BS42" s="1"/>
  <c r="BR42" s="1"/>
  <c r="AQ42"/>
  <c r="AR42"/>
  <c r="AS42"/>
  <c r="AT42"/>
  <c r="AU42"/>
  <c r="AV42"/>
  <c r="AW42"/>
  <c r="AX42"/>
  <c r="AY42"/>
  <c r="AZ42"/>
  <c r="BA42"/>
  <c r="BB42"/>
  <c r="CE42" s="1"/>
  <c r="CD42" s="1"/>
  <c r="BC42"/>
  <c r="BD42"/>
  <c r="CH42" s="1"/>
  <c r="BE42"/>
  <c r="BF42"/>
  <c r="BG42"/>
  <c r="BH42"/>
  <c r="CK42"/>
  <c r="BI42"/>
  <c r="EH42"/>
  <c r="BJ42"/>
  <c r="DN42"/>
  <c r="BK42"/>
  <c r="BL42"/>
  <c r="BY42"/>
  <c r="BX42"/>
  <c r="M43"/>
  <c r="AO43" s="1"/>
  <c r="N43"/>
  <c r="AQ43" s="1"/>
  <c r="AL43"/>
  <c r="AM43"/>
  <c r="AN43"/>
  <c r="AR43"/>
  <c r="AS43"/>
  <c r="AT43"/>
  <c r="AU43"/>
  <c r="AV43"/>
  <c r="AW43"/>
  <c r="AX43"/>
  <c r="AY43"/>
  <c r="AZ43"/>
  <c r="BA43"/>
  <c r="BB43"/>
  <c r="BC43"/>
  <c r="BD43"/>
  <c r="BE43"/>
  <c r="BF43"/>
  <c r="BG43"/>
  <c r="BH43"/>
  <c r="BI43"/>
  <c r="BJ43"/>
  <c r="EH43" s="1"/>
  <c r="BK43"/>
  <c r="BL43"/>
  <c r="DB43"/>
  <c r="DC43" s="1"/>
  <c r="DD43" s="1"/>
  <c r="DE43" s="1"/>
  <c r="DF43" s="1"/>
  <c r="DG43" s="1"/>
  <c r="DH43" s="1"/>
  <c r="EQ43"/>
  <c r="N44"/>
  <c r="AP44"/>
  <c r="AL44"/>
  <c r="AM44"/>
  <c r="AN44"/>
  <c r="AO44"/>
  <c r="AQ44"/>
  <c r="AR44"/>
  <c r="AS44"/>
  <c r="BV44"/>
  <c r="AT44"/>
  <c r="AU44"/>
  <c r="AV44"/>
  <c r="AW44"/>
  <c r="AX44"/>
  <c r="AY44"/>
  <c r="CB44" s="1"/>
  <c r="AZ44"/>
  <c r="BA44"/>
  <c r="DE44"/>
  <c r="DF44" s="1"/>
  <c r="BB44"/>
  <c r="BC44"/>
  <c r="BD44"/>
  <c r="CH44" s="1"/>
  <c r="BE44"/>
  <c r="BF44"/>
  <c r="BG44"/>
  <c r="BH44"/>
  <c r="BI44"/>
  <c r="BJ44"/>
  <c r="EH44" s="1"/>
  <c r="BK44"/>
  <c r="BL44"/>
  <c r="CP44"/>
  <c r="CQ44"/>
  <c r="CR44" s="1"/>
  <c r="CS44" s="1"/>
  <c r="CT44" s="1"/>
  <c r="CU44" s="1"/>
  <c r="CV44" s="1"/>
  <c r="CW44" s="1"/>
  <c r="CX44" s="1"/>
  <c r="CY44" s="1"/>
  <c r="CZ44" s="1"/>
  <c r="DA44" s="1"/>
  <c r="DB44"/>
  <c r="DD44"/>
  <c r="EQ44"/>
  <c r="ER44"/>
  <c r="K45"/>
  <c r="CQ45" s="1"/>
  <c r="M45"/>
  <c r="CS45" s="1"/>
  <c r="CS65" s="1"/>
  <c r="N45"/>
  <c r="CT45" s="1"/>
  <c r="AL45"/>
  <c r="AR45"/>
  <c r="AS45"/>
  <c r="AT45"/>
  <c r="AU45"/>
  <c r="AV45"/>
  <c r="AW45"/>
  <c r="AY45"/>
  <c r="AZ45"/>
  <c r="BA45"/>
  <c r="CP45"/>
  <c r="CR45"/>
  <c r="CU45"/>
  <c r="CV45"/>
  <c r="CW45"/>
  <c r="CX45"/>
  <c r="CY45"/>
  <c r="CZ45"/>
  <c r="DA45"/>
  <c r="DB45"/>
  <c r="DC45"/>
  <c r="DD45"/>
  <c r="DE45"/>
  <c r="DF45"/>
  <c r="DG45"/>
  <c r="DH45"/>
  <c r="DI45"/>
  <c r="DJ45"/>
  <c r="DK45"/>
  <c r="DL45"/>
  <c r="DM45"/>
  <c r="DN45"/>
  <c r="DO45"/>
  <c r="DP45"/>
  <c r="K46"/>
  <c r="M46"/>
  <c r="CS46"/>
  <c r="N46"/>
  <c r="O46"/>
  <c r="P46"/>
  <c r="CV46"/>
  <c r="AL46"/>
  <c r="AT46"/>
  <c r="AU46"/>
  <c r="AV46"/>
  <c r="AW46"/>
  <c r="AY46"/>
  <c r="AZ46"/>
  <c r="BA46"/>
  <c r="CP46"/>
  <c r="CQ46"/>
  <c r="CR46"/>
  <c r="CT46"/>
  <c r="CT65" s="1"/>
  <c r="CW46"/>
  <c r="CX46"/>
  <c r="CY46"/>
  <c r="CZ46"/>
  <c r="DA46"/>
  <c r="DB46"/>
  <c r="DC46"/>
  <c r="DD46"/>
  <c r="DE46"/>
  <c r="DF46"/>
  <c r="DG46"/>
  <c r="DH46"/>
  <c r="DI46"/>
  <c r="DJ46"/>
  <c r="DK46"/>
  <c r="DL46"/>
  <c r="DM46"/>
  <c r="DN46"/>
  <c r="EJ46" s="1"/>
  <c r="DO46"/>
  <c r="DP46"/>
  <c r="J47"/>
  <c r="K47"/>
  <c r="AM47"/>
  <c r="AM63" s="1"/>
  <c r="L47"/>
  <c r="AN47" s="1"/>
  <c r="M47"/>
  <c r="AO47" s="1"/>
  <c r="N47"/>
  <c r="O47"/>
  <c r="AQ47"/>
  <c r="P47"/>
  <c r="AR47"/>
  <c r="Q47"/>
  <c r="AS47"/>
  <c r="AS63" s="1"/>
  <c r="R47"/>
  <c r="AT47" s="1"/>
  <c r="S47"/>
  <c r="AU47" s="1"/>
  <c r="T47"/>
  <c r="AV47" s="1"/>
  <c r="U47"/>
  <c r="AW47" s="1"/>
  <c r="V47"/>
  <c r="W47"/>
  <c r="X47"/>
  <c r="AZ47" s="1"/>
  <c r="Y47"/>
  <c r="Z47"/>
  <c r="AA47"/>
  <c r="AA63" s="1"/>
  <c r="AB47"/>
  <c r="AC47"/>
  <c r="AD47"/>
  <c r="BF47" s="1"/>
  <c r="AE47"/>
  <c r="BG47" s="1"/>
  <c r="AF47"/>
  <c r="BH47" s="1"/>
  <c r="AG47"/>
  <c r="BI47" s="1"/>
  <c r="AH47"/>
  <c r="BJ47" s="1"/>
  <c r="AI47"/>
  <c r="BK47" s="1"/>
  <c r="AJ47"/>
  <c r="BL47" s="1"/>
  <c r="AL47"/>
  <c r="BN47" s="1"/>
  <c r="AP47"/>
  <c r="AX47"/>
  <c r="BZ47"/>
  <c r="BB47"/>
  <c r="EK47"/>
  <c r="J48"/>
  <c r="K48"/>
  <c r="AM48" s="1"/>
  <c r="L48"/>
  <c r="AN48" s="1"/>
  <c r="M48"/>
  <c r="AO48" s="1"/>
  <c r="N48"/>
  <c r="AP48" s="1"/>
  <c r="O48"/>
  <c r="AQ48" s="1"/>
  <c r="P48"/>
  <c r="AR48" s="1"/>
  <c r="BT48" s="1"/>
  <c r="Q48"/>
  <c r="AS48"/>
  <c r="R48"/>
  <c r="S48"/>
  <c r="AU48" s="1"/>
  <c r="T48"/>
  <c r="AV48" s="1"/>
  <c r="U48"/>
  <c r="AW48" s="1"/>
  <c r="V48"/>
  <c r="W48"/>
  <c r="AY48" s="1"/>
  <c r="X48"/>
  <c r="AZ48" s="1"/>
  <c r="Y48"/>
  <c r="BA48" s="1"/>
  <c r="CC48" s="1"/>
  <c r="Z48"/>
  <c r="AA48"/>
  <c r="BC48" s="1"/>
  <c r="AB48"/>
  <c r="AB61" s="1"/>
  <c r="BD48"/>
  <c r="AC48"/>
  <c r="BE48"/>
  <c r="AD48"/>
  <c r="AE48"/>
  <c r="BG48" s="1"/>
  <c r="AF48"/>
  <c r="AG48"/>
  <c r="BI48"/>
  <c r="AH48"/>
  <c r="AI48"/>
  <c r="BK48" s="1"/>
  <c r="AJ48"/>
  <c r="AL48"/>
  <c r="CP48" s="1"/>
  <c r="AT48"/>
  <c r="AX48"/>
  <c r="DB48"/>
  <c r="BB48"/>
  <c r="BF48"/>
  <c r="BH48"/>
  <c r="BJ48"/>
  <c r="DN48" s="1"/>
  <c r="BL48"/>
  <c r="BZ48"/>
  <c r="EK48"/>
  <c r="J49"/>
  <c r="CP49" s="1"/>
  <c r="K49"/>
  <c r="L49"/>
  <c r="M49"/>
  <c r="N49"/>
  <c r="O49"/>
  <c r="P49"/>
  <c r="Q49"/>
  <c r="R49"/>
  <c r="S49"/>
  <c r="T49"/>
  <c r="U49"/>
  <c r="V49"/>
  <c r="DB49"/>
  <c r="W49"/>
  <c r="X49"/>
  <c r="Y49"/>
  <c r="Z49"/>
  <c r="AA49"/>
  <c r="AB49"/>
  <c r="AC49"/>
  <c r="AD49"/>
  <c r="AE49"/>
  <c r="AF49"/>
  <c r="AH49"/>
  <c r="DN49" s="1"/>
  <c r="AI49"/>
  <c r="AJ49"/>
  <c r="AL49"/>
  <c r="BN49" s="1"/>
  <c r="AM49"/>
  <c r="AN49"/>
  <c r="AO49"/>
  <c r="AP49"/>
  <c r="AQ49"/>
  <c r="AR49"/>
  <c r="BT49"/>
  <c r="AS49"/>
  <c r="AT49"/>
  <c r="AU49"/>
  <c r="BW49"/>
  <c r="AV49"/>
  <c r="AW49"/>
  <c r="AX49"/>
  <c r="BZ49"/>
  <c r="AY49"/>
  <c r="AZ49"/>
  <c r="BA49"/>
  <c r="CC49"/>
  <c r="BB49"/>
  <c r="BC49"/>
  <c r="BD49"/>
  <c r="CF49"/>
  <c r="BE49"/>
  <c r="BF49"/>
  <c r="BG49"/>
  <c r="BI49"/>
  <c r="BH49"/>
  <c r="BJ49"/>
  <c r="BK49"/>
  <c r="BL49"/>
  <c r="BQ49"/>
  <c r="CL49"/>
  <c r="EK49"/>
  <c r="E53"/>
  <c r="G53"/>
  <c r="J53"/>
  <c r="K53"/>
  <c r="AG53"/>
  <c r="AH53"/>
  <c r="AI53"/>
  <c r="AJ53"/>
  <c r="AL53"/>
  <c r="BJ53"/>
  <c r="BK53"/>
  <c r="BL53"/>
  <c r="CP53"/>
  <c r="E54"/>
  <c r="G54"/>
  <c r="J54"/>
  <c r="M54"/>
  <c r="E55"/>
  <c r="G55"/>
  <c r="I55"/>
  <c r="J55"/>
  <c r="K55"/>
  <c r="AF55"/>
  <c r="AG55"/>
  <c r="AH55"/>
  <c r="AI55"/>
  <c r="AJ55"/>
  <c r="AL55"/>
  <c r="BJ55"/>
  <c r="BK55"/>
  <c r="BL55"/>
  <c r="E56"/>
  <c r="G56"/>
  <c r="J56"/>
  <c r="V56"/>
  <c r="W56"/>
  <c r="AJ56"/>
  <c r="AX56"/>
  <c r="AY56"/>
  <c r="E57"/>
  <c r="G57"/>
  <c r="J57"/>
  <c r="V57"/>
  <c r="W57"/>
  <c r="AH57"/>
  <c r="AI57"/>
  <c r="AJ57"/>
  <c r="AL57"/>
  <c r="AX57"/>
  <c r="AY57"/>
  <c r="BJ57"/>
  <c r="BK57"/>
  <c r="BL57"/>
  <c r="E58"/>
  <c r="G58"/>
  <c r="J58"/>
  <c r="K58"/>
  <c r="L58"/>
  <c r="M58"/>
  <c r="O58"/>
  <c r="P58"/>
  <c r="V58"/>
  <c r="W58"/>
  <c r="X58"/>
  <c r="Y58"/>
  <c r="Z58"/>
  <c r="AA58"/>
  <c r="AG58"/>
  <c r="AH58"/>
  <c r="AI58"/>
  <c r="AJ58"/>
  <c r="CP58"/>
  <c r="CQ58"/>
  <c r="CR58"/>
  <c r="CU58"/>
  <c r="DB58"/>
  <c r="DC58"/>
  <c r="DD58"/>
  <c r="DE58"/>
  <c r="DF58"/>
  <c r="DM58"/>
  <c r="DN58"/>
  <c r="DO58"/>
  <c r="DP58"/>
  <c r="E60"/>
  <c r="G60"/>
  <c r="J60"/>
  <c r="K60"/>
  <c r="L60"/>
  <c r="M60"/>
  <c r="N60"/>
  <c r="O60"/>
  <c r="P60"/>
  <c r="Q60"/>
  <c r="R60"/>
  <c r="S60"/>
  <c r="T60"/>
  <c r="U60"/>
  <c r="V60"/>
  <c r="W60"/>
  <c r="X60"/>
  <c r="Y60"/>
  <c r="Z60"/>
  <c r="AA60"/>
  <c r="AB60"/>
  <c r="AC60"/>
  <c r="AD60"/>
  <c r="AE60"/>
  <c r="AF60"/>
  <c r="AG60"/>
  <c r="AH60"/>
  <c r="AI60"/>
  <c r="AJ60"/>
  <c r="AL60"/>
  <c r="AM60"/>
  <c r="AN60"/>
  <c r="AO60"/>
  <c r="AP60"/>
  <c r="AQ60"/>
  <c r="AR60"/>
  <c r="AS60"/>
  <c r="AT60"/>
  <c r="AU60"/>
  <c r="AV60"/>
  <c r="AW60"/>
  <c r="AX60"/>
  <c r="AY60"/>
  <c r="AZ60"/>
  <c r="BA60"/>
  <c r="BB60"/>
  <c r="BC60"/>
  <c r="BD60"/>
  <c r="BE60"/>
  <c r="BF60"/>
  <c r="BG60"/>
  <c r="BH60"/>
  <c r="BI60"/>
  <c r="BJ60"/>
  <c r="BK60"/>
  <c r="BL60"/>
  <c r="E61"/>
  <c r="G61"/>
  <c r="J61"/>
  <c r="L61"/>
  <c r="M61"/>
  <c r="N61"/>
  <c r="O61"/>
  <c r="P61"/>
  <c r="Q61"/>
  <c r="R61"/>
  <c r="S61"/>
  <c r="T61"/>
  <c r="U61"/>
  <c r="V61"/>
  <c r="W61"/>
  <c r="X61"/>
  <c r="Z61"/>
  <c r="AC61"/>
  <c r="AE61"/>
  <c r="AG61"/>
  <c r="AH61"/>
  <c r="AI61"/>
  <c r="AJ61"/>
  <c r="AL61"/>
  <c r="AX61"/>
  <c r="BB61"/>
  <c r="E62"/>
  <c r="G62"/>
  <c r="I62"/>
  <c r="J62"/>
  <c r="K62"/>
  <c r="L62"/>
  <c r="M62"/>
  <c r="N62"/>
  <c r="O62"/>
  <c r="P62"/>
  <c r="Q62"/>
  <c r="R62"/>
  <c r="S62"/>
  <c r="T62"/>
  <c r="U62"/>
  <c r="V62"/>
  <c r="W62"/>
  <c r="X62"/>
  <c r="Y62"/>
  <c r="Z62"/>
  <c r="AA62"/>
  <c r="AB62"/>
  <c r="AC62"/>
  <c r="AD62"/>
  <c r="AE62"/>
  <c r="AF62"/>
  <c r="AG62"/>
  <c r="AH62"/>
  <c r="AI62"/>
  <c r="AJ62"/>
  <c r="AL62"/>
  <c r="AM62"/>
  <c r="AN62"/>
  <c r="AO62"/>
  <c r="AP62"/>
  <c r="AQ62"/>
  <c r="AR62"/>
  <c r="AS62"/>
  <c r="AT62"/>
  <c r="AU62"/>
  <c r="AV62"/>
  <c r="AW62"/>
  <c r="AX62"/>
  <c r="AY62"/>
  <c r="AZ62"/>
  <c r="BA62"/>
  <c r="BB62"/>
  <c r="BC62"/>
  <c r="BD62"/>
  <c r="BE62"/>
  <c r="BF62"/>
  <c r="BG62"/>
  <c r="BH62"/>
  <c r="BI62"/>
  <c r="BJ62"/>
  <c r="BK62"/>
  <c r="BL62"/>
  <c r="DB62"/>
  <c r="E63"/>
  <c r="G63"/>
  <c r="J63"/>
  <c r="K63"/>
  <c r="L63"/>
  <c r="M63"/>
  <c r="N63"/>
  <c r="O63"/>
  <c r="P63"/>
  <c r="Q63"/>
  <c r="R63"/>
  <c r="S63"/>
  <c r="T63"/>
  <c r="U63"/>
  <c r="V63"/>
  <c r="W63"/>
  <c r="X63"/>
  <c r="Y63"/>
  <c r="Z63"/>
  <c r="AD63"/>
  <c r="AE63"/>
  <c r="AF63"/>
  <c r="AG63"/>
  <c r="AH63"/>
  <c r="AI63"/>
  <c r="AJ63"/>
  <c r="AL63"/>
  <c r="AP63"/>
  <c r="AX63"/>
  <c r="BB63"/>
  <c r="E64"/>
  <c r="G64"/>
  <c r="J64"/>
  <c r="K64"/>
  <c r="L64"/>
  <c r="M64"/>
  <c r="N64"/>
  <c r="O64"/>
  <c r="P64"/>
  <c r="Q64"/>
  <c r="R64"/>
  <c r="S64"/>
  <c r="T64"/>
  <c r="U64"/>
  <c r="V64"/>
  <c r="W64"/>
  <c r="X64"/>
  <c r="Y64"/>
  <c r="Z64"/>
  <c r="AA64"/>
  <c r="AB64"/>
  <c r="AC64"/>
  <c r="AD64"/>
  <c r="AE64"/>
  <c r="AF64"/>
  <c r="AG64"/>
  <c r="AH64"/>
  <c r="AI64"/>
  <c r="AJ64"/>
  <c r="AL64"/>
  <c r="AM64"/>
  <c r="AN64"/>
  <c r="AO64"/>
  <c r="AP64"/>
  <c r="AQ64"/>
  <c r="AR64"/>
  <c r="AS64"/>
  <c r="AT64"/>
  <c r="AU64"/>
  <c r="AV64"/>
  <c r="AW64"/>
  <c r="AX64"/>
  <c r="AY64"/>
  <c r="AZ64"/>
  <c r="BA64"/>
  <c r="BB64"/>
  <c r="BC64"/>
  <c r="BD64"/>
  <c r="BE64"/>
  <c r="BF64"/>
  <c r="BG64"/>
  <c r="BH64"/>
  <c r="BI64"/>
  <c r="BJ64"/>
  <c r="BK64"/>
  <c r="BL64"/>
  <c r="E65"/>
  <c r="G65"/>
  <c r="J65"/>
  <c r="K65"/>
  <c r="L65"/>
  <c r="M65"/>
  <c r="N65"/>
  <c r="O65"/>
  <c r="P65"/>
  <c r="Q65"/>
  <c r="R65"/>
  <c r="S65"/>
  <c r="T65"/>
  <c r="U65"/>
  <c r="V65"/>
  <c r="W65"/>
  <c r="X65"/>
  <c r="Y65"/>
  <c r="Z65"/>
  <c r="AA65"/>
  <c r="AB65"/>
  <c r="AC65"/>
  <c r="AD65"/>
  <c r="AE65"/>
  <c r="AF65"/>
  <c r="AG65"/>
  <c r="AH65"/>
  <c r="AI65"/>
  <c r="AJ65"/>
  <c r="CP65"/>
  <c r="CQ65"/>
  <c r="CR65"/>
  <c r="CV65"/>
  <c r="CW65"/>
  <c r="CX65"/>
  <c r="CY65"/>
  <c r="CZ65"/>
  <c r="DA65"/>
  <c r="DB65"/>
  <c r="DC65"/>
  <c r="DD65"/>
  <c r="DE65"/>
  <c r="DF65"/>
  <c r="DG65"/>
  <c r="DH65"/>
  <c r="DI65"/>
  <c r="DJ65"/>
  <c r="DK65"/>
  <c r="DL65"/>
  <c r="DM65"/>
  <c r="DN65"/>
  <c r="DO65"/>
  <c r="DP65"/>
  <c r="I67"/>
  <c r="J70"/>
  <c r="K70"/>
  <c r="N70"/>
  <c r="O70"/>
  <c r="AI70"/>
  <c r="AH70" s="1"/>
  <c r="AO70"/>
  <c r="CS70" s="1"/>
  <c r="J71"/>
  <c r="K71" s="1"/>
  <c r="N71"/>
  <c r="O71" s="1"/>
  <c r="AL71"/>
  <c r="CP71" s="1"/>
  <c r="AO71"/>
  <c r="CS71" s="1"/>
  <c r="BB71"/>
  <c r="DF71" s="1"/>
  <c r="DE71"/>
  <c r="J72"/>
  <c r="K72"/>
  <c r="L72" s="1"/>
  <c r="N72"/>
  <c r="O72" s="1"/>
  <c r="AI72"/>
  <c r="BL72" s="1"/>
  <c r="DP72" s="1"/>
  <c r="AL72"/>
  <c r="AO72"/>
  <c r="CS72" s="1"/>
  <c r="AP72"/>
  <c r="CT72" s="1"/>
  <c r="J73"/>
  <c r="K73" s="1"/>
  <c r="M73"/>
  <c r="N73" s="1"/>
  <c r="O73" s="1"/>
  <c r="BA73"/>
  <c r="DE73"/>
  <c r="BB73"/>
  <c r="DF73"/>
  <c r="J74"/>
  <c r="K74"/>
  <c r="N74"/>
  <c r="O74" s="1"/>
  <c r="P74" s="1"/>
  <c r="AI74"/>
  <c r="AH74" s="1"/>
  <c r="AG74" s="1"/>
  <c r="AO74"/>
  <c r="BL74"/>
  <c r="CS74"/>
  <c r="DP74"/>
  <c r="FD74" s="1"/>
  <c r="K75"/>
  <c r="L75" s="1"/>
  <c r="AL75"/>
  <c r="AX75"/>
  <c r="DB75" s="1"/>
  <c r="AY75"/>
  <c r="BJ75"/>
  <c r="J76"/>
  <c r="K76" s="1"/>
  <c r="AX76"/>
  <c r="DB76" s="1"/>
  <c r="DB119" s="1"/>
  <c r="BJ76"/>
  <c r="DN76" s="1"/>
  <c r="AL77"/>
  <c r="CP77" s="1"/>
  <c r="CQ77" s="1"/>
  <c r="AM77"/>
  <c r="AN77"/>
  <c r="BP77" s="1"/>
  <c r="AO77"/>
  <c r="AP77"/>
  <c r="AQ77"/>
  <c r="AR77"/>
  <c r="AS77"/>
  <c r="AT77"/>
  <c r="AU77"/>
  <c r="AV77"/>
  <c r="AW77"/>
  <c r="AW91" s="1"/>
  <c r="AX77"/>
  <c r="AY77" s="1"/>
  <c r="CN77"/>
  <c r="CL77" s="1"/>
  <c r="DN77"/>
  <c r="DO77" s="1"/>
  <c r="DP77" s="1"/>
  <c r="V78"/>
  <c r="AX78"/>
  <c r="W78"/>
  <c r="AY78"/>
  <c r="X78"/>
  <c r="AZ78"/>
  <c r="Y78"/>
  <c r="BA78"/>
  <c r="Z78"/>
  <c r="BB78"/>
  <c r="AA78"/>
  <c r="CE78" s="1"/>
  <c r="CD78" s="1"/>
  <c r="AB78"/>
  <c r="BD78" s="1"/>
  <c r="AC78"/>
  <c r="BE78" s="1"/>
  <c r="AD78"/>
  <c r="CH78" s="1"/>
  <c r="AE78"/>
  <c r="BG78" s="1"/>
  <c r="AF78"/>
  <c r="BH78" s="1"/>
  <c r="AL78"/>
  <c r="AM78"/>
  <c r="AM91"/>
  <c r="AN78"/>
  <c r="AO78"/>
  <c r="AO91" s="1"/>
  <c r="AP78"/>
  <c r="AQ78"/>
  <c r="AR78"/>
  <c r="AS78"/>
  <c r="AS91" s="1"/>
  <c r="AT78"/>
  <c r="AU78"/>
  <c r="AU91"/>
  <c r="AV78"/>
  <c r="AW78"/>
  <c r="BC78"/>
  <c r="BI78"/>
  <c r="BJ78"/>
  <c r="BK91"/>
  <c r="K79"/>
  <c r="L79"/>
  <c r="AL79"/>
  <c r="AM79"/>
  <c r="AX79"/>
  <c r="AY79"/>
  <c r="BJ79"/>
  <c r="BK79"/>
  <c r="BL79"/>
  <c r="CN79"/>
  <c r="CL79" s="1"/>
  <c r="CP79"/>
  <c r="DB79"/>
  <c r="DC79"/>
  <c r="DN79"/>
  <c r="K80"/>
  <c r="L80" s="1"/>
  <c r="AL80"/>
  <c r="AX80"/>
  <c r="AX909"/>
  <c r="AY80"/>
  <c r="AY909"/>
  <c r="BJ80"/>
  <c r="CP80"/>
  <c r="DB80"/>
  <c r="DN80"/>
  <c r="J81"/>
  <c r="K81"/>
  <c r="AL81"/>
  <c r="AX81"/>
  <c r="DB81" s="1"/>
  <c r="AY81"/>
  <c r="BJ81"/>
  <c r="DN81"/>
  <c r="BK81"/>
  <c r="BL81"/>
  <c r="J82"/>
  <c r="K82"/>
  <c r="AF82"/>
  <c r="AE82"/>
  <c r="BJ82"/>
  <c r="DN82"/>
  <c r="DO82" s="1"/>
  <c r="DP82" s="1"/>
  <c r="BK82"/>
  <c r="BL82"/>
  <c r="J83"/>
  <c r="K83"/>
  <c r="L83" s="1"/>
  <c r="AF83"/>
  <c r="BI83" s="1"/>
  <c r="BJ83"/>
  <c r="BK83"/>
  <c r="BL83"/>
  <c r="M84"/>
  <c r="N84"/>
  <c r="Q84"/>
  <c r="R84"/>
  <c r="S84" s="1"/>
  <c r="U84"/>
  <c r="Y84"/>
  <c r="Z84"/>
  <c r="AC84"/>
  <c r="AD84"/>
  <c r="AL84"/>
  <c r="AM84"/>
  <c r="BP84" s="1"/>
  <c r="BN84" s="1"/>
  <c r="AN84"/>
  <c r="AW84"/>
  <c r="AX84"/>
  <c r="AY84"/>
  <c r="AZ84"/>
  <c r="BA84"/>
  <c r="BI84"/>
  <c r="BJ84"/>
  <c r="DN84" s="1"/>
  <c r="BK84"/>
  <c r="BL84"/>
  <c r="CN84"/>
  <c r="CL84" s="1"/>
  <c r="CP84"/>
  <c r="DB84"/>
  <c r="P85"/>
  <c r="Q85" s="1"/>
  <c r="Y85"/>
  <c r="BB85" s="1"/>
  <c r="AC85"/>
  <c r="AD85" s="1"/>
  <c r="AL85"/>
  <c r="CP85" s="1"/>
  <c r="CQ85" s="1"/>
  <c r="CR85" s="1"/>
  <c r="CS85" s="1"/>
  <c r="CT85" s="1"/>
  <c r="CU85" s="1"/>
  <c r="CV85" s="1"/>
  <c r="AM85"/>
  <c r="AN85"/>
  <c r="AO85"/>
  <c r="AP85"/>
  <c r="AQ85"/>
  <c r="AR85"/>
  <c r="AX85"/>
  <c r="AY85"/>
  <c r="AZ85"/>
  <c r="CB85" s="1"/>
  <c r="BZ85" s="1"/>
  <c r="BC85"/>
  <c r="BD85"/>
  <c r="BE85"/>
  <c r="DI85"/>
  <c r="BJ85"/>
  <c r="BK85"/>
  <c r="BL85"/>
  <c r="BP85"/>
  <c r="BN85"/>
  <c r="DB85"/>
  <c r="M86"/>
  <c r="N86"/>
  <c r="P86"/>
  <c r="Q86"/>
  <c r="S86"/>
  <c r="T86"/>
  <c r="Y86"/>
  <c r="AA86"/>
  <c r="AB86" s="1"/>
  <c r="AC86" s="1"/>
  <c r="CP86"/>
  <c r="CQ86"/>
  <c r="CR86"/>
  <c r="CS86"/>
  <c r="CU86"/>
  <c r="CX86"/>
  <c r="DA86"/>
  <c r="FC86"/>
  <c r="DB86"/>
  <c r="DC86"/>
  <c r="DD86"/>
  <c r="DE86"/>
  <c r="DF86"/>
  <c r="DM86"/>
  <c r="FD86" s="1"/>
  <c r="DN86"/>
  <c r="DO86"/>
  <c r="DP86"/>
  <c r="EE86"/>
  <c r="EO111" s="1"/>
  <c r="EF86"/>
  <c r="EP111" s="1"/>
  <c r="M87"/>
  <c r="N87"/>
  <c r="CT87" s="1"/>
  <c r="P87"/>
  <c r="Q87" s="1"/>
  <c r="CW87" s="1"/>
  <c r="S87"/>
  <c r="T87"/>
  <c r="CZ87" s="1"/>
  <c r="Y87"/>
  <c r="DE87" s="1"/>
  <c r="DE124" s="1"/>
  <c r="AA87"/>
  <c r="AB87"/>
  <c r="CP87"/>
  <c r="CQ87"/>
  <c r="CR87"/>
  <c r="CS87"/>
  <c r="CU87"/>
  <c r="CX87"/>
  <c r="DA87"/>
  <c r="FC87"/>
  <c r="DB87"/>
  <c r="DC87"/>
  <c r="DD87"/>
  <c r="DF87"/>
  <c r="DM87"/>
  <c r="FD87"/>
  <c r="EB87"/>
  <c r="DN87"/>
  <c r="DO87"/>
  <c r="DP87"/>
  <c r="EA87"/>
  <c r="EE87"/>
  <c r="EO112" s="1"/>
  <c r="EF87"/>
  <c r="EP112" s="1"/>
  <c r="J88"/>
  <c r="AL88" s="1"/>
  <c r="M88"/>
  <c r="AO88" s="1"/>
  <c r="BQ88" s="1"/>
  <c r="N88"/>
  <c r="AP88"/>
  <c r="DB88"/>
  <c r="DC88" s="1"/>
  <c r="J89"/>
  <c r="AL89" s="1"/>
  <c r="BN89" s="1"/>
  <c r="M89"/>
  <c r="AO89"/>
  <c r="N89"/>
  <c r="AP89"/>
  <c r="Y89"/>
  <c r="BA89"/>
  <c r="Z89"/>
  <c r="BB89" s="1"/>
  <c r="X90"/>
  <c r="AZ90" s="1"/>
  <c r="CB90" s="1"/>
  <c r="DD90" s="1"/>
  <c r="Y90"/>
  <c r="AB90"/>
  <c r="BD90"/>
  <c r="AF90"/>
  <c r="BH90"/>
  <c r="CJ90"/>
  <c r="DL90" s="1"/>
  <c r="AG90"/>
  <c r="BI90" s="1"/>
  <c r="CK90" s="1"/>
  <c r="DM90" s="1"/>
  <c r="AH90"/>
  <c r="BJ90" s="1"/>
  <c r="CL90" s="1"/>
  <c r="DN90" s="1"/>
  <c r="BA90"/>
  <c r="CC90" s="1"/>
  <c r="DE90" s="1"/>
  <c r="EA90"/>
  <c r="EB90"/>
  <c r="J91"/>
  <c r="CP91"/>
  <c r="CP78" s="1"/>
  <c r="K91"/>
  <c r="L91"/>
  <c r="M91"/>
  <c r="N91"/>
  <c r="O91"/>
  <c r="P91"/>
  <c r="BT91"/>
  <c r="BU91" s="1"/>
  <c r="Q91"/>
  <c r="R91"/>
  <c r="S91"/>
  <c r="T91"/>
  <c r="U91"/>
  <c r="V91"/>
  <c r="BZ91"/>
  <c r="AH91"/>
  <c r="AI91"/>
  <c r="AJ91"/>
  <c r="AL91"/>
  <c r="BN91" s="1"/>
  <c r="BO91" s="1"/>
  <c r="BP91" s="1"/>
  <c r="AN91"/>
  <c r="AP91"/>
  <c r="AR91"/>
  <c r="AT91"/>
  <c r="AV91"/>
  <c r="BJ91"/>
  <c r="BL91"/>
  <c r="BQ91"/>
  <c r="BR91"/>
  <c r="BW91"/>
  <c r="BX91"/>
  <c r="CL91"/>
  <c r="DB91"/>
  <c r="DN91"/>
  <c r="EG91"/>
  <c r="AL93"/>
  <c r="AM93"/>
  <c r="CQ93" s="1"/>
  <c r="AN93"/>
  <c r="AO93"/>
  <c r="AP93"/>
  <c r="AQ93"/>
  <c r="CU93"/>
  <c r="AR93"/>
  <c r="AS93"/>
  <c r="CW93" s="1"/>
  <c r="AT93"/>
  <c r="AU93"/>
  <c r="AV93"/>
  <c r="AW93"/>
  <c r="DA93"/>
  <c r="AX93"/>
  <c r="AY93"/>
  <c r="AZ93"/>
  <c r="BA93"/>
  <c r="BB93"/>
  <c r="DF93"/>
  <c r="BC93"/>
  <c r="DG93"/>
  <c r="BD93"/>
  <c r="BE93"/>
  <c r="BF93"/>
  <c r="BG93"/>
  <c r="DK93" s="1"/>
  <c r="BH93"/>
  <c r="DL93" s="1"/>
  <c r="BI93"/>
  <c r="DM93" s="1"/>
  <c r="BJ93"/>
  <c r="DN93"/>
  <c r="EJ93" s="1"/>
  <c r="BK93"/>
  <c r="BL93"/>
  <c r="BV93"/>
  <c r="BT93"/>
  <c r="CK93"/>
  <c r="CI93"/>
  <c r="CP93"/>
  <c r="CR93"/>
  <c r="CT93"/>
  <c r="CV93"/>
  <c r="CX93"/>
  <c r="CZ93"/>
  <c r="DD93"/>
  <c r="DH93"/>
  <c r="EK93"/>
  <c r="AL94"/>
  <c r="AM94"/>
  <c r="AN94"/>
  <c r="AO94"/>
  <c r="AP94"/>
  <c r="AQ94"/>
  <c r="AR94"/>
  <c r="AS94"/>
  <c r="AT94"/>
  <c r="AU94"/>
  <c r="AV94"/>
  <c r="AW94"/>
  <c r="BY94" s="1"/>
  <c r="BW94" s="1"/>
  <c r="AX94"/>
  <c r="AY94"/>
  <c r="AZ94"/>
  <c r="BA94"/>
  <c r="BB94"/>
  <c r="BC94"/>
  <c r="DG94"/>
  <c r="BD94"/>
  <c r="DH94"/>
  <c r="BE94"/>
  <c r="BF94"/>
  <c r="DJ94" s="1"/>
  <c r="BG94"/>
  <c r="DK94" s="1"/>
  <c r="FE71" s="1"/>
  <c r="FF71" s="1"/>
  <c r="BH94"/>
  <c r="DL94" s="1"/>
  <c r="BI94"/>
  <c r="BJ94"/>
  <c r="BK94"/>
  <c r="DO94" s="1"/>
  <c r="BL94"/>
  <c r="BS94"/>
  <c r="BQ94" s="1"/>
  <c r="CE94"/>
  <c r="CC94" s="1"/>
  <c r="CP94"/>
  <c r="CQ94"/>
  <c r="CR94"/>
  <c r="CS94"/>
  <c r="CT94"/>
  <c r="CU94"/>
  <c r="CV94"/>
  <c r="CW94"/>
  <c r="CX94"/>
  <c r="CY94"/>
  <c r="CZ94"/>
  <c r="DA94"/>
  <c r="DB94"/>
  <c r="DC94"/>
  <c r="DD94"/>
  <c r="DE94"/>
  <c r="AM73" i="3"/>
  <c r="DF94" i="1"/>
  <c r="DI94"/>
  <c r="DM94"/>
  <c r="EH94"/>
  <c r="F73" i="3" s="1"/>
  <c r="EK94" i="1"/>
  <c r="AL95"/>
  <c r="CP95"/>
  <c r="AM95"/>
  <c r="AN95"/>
  <c r="CR95" s="1"/>
  <c r="AO95"/>
  <c r="AP95"/>
  <c r="AQ95"/>
  <c r="BS95" s="1"/>
  <c r="BQ95" s="1"/>
  <c r="AR95"/>
  <c r="CV95"/>
  <c r="AS95"/>
  <c r="AT95"/>
  <c r="AU95"/>
  <c r="AV95"/>
  <c r="AW95"/>
  <c r="AX95"/>
  <c r="DB95" s="1"/>
  <c r="AY95"/>
  <c r="AZ95"/>
  <c r="DD95"/>
  <c r="BA95"/>
  <c r="BB95"/>
  <c r="BC95"/>
  <c r="CE95"/>
  <c r="CD95" s="1"/>
  <c r="BD95"/>
  <c r="BE95"/>
  <c r="BF95"/>
  <c r="DJ95" s="1"/>
  <c r="BG95"/>
  <c r="DK95" s="1"/>
  <c r="BH95"/>
  <c r="DL95" s="1"/>
  <c r="BI95"/>
  <c r="DM95" s="1"/>
  <c r="BJ95"/>
  <c r="BK95"/>
  <c r="BL95"/>
  <c r="CQ95"/>
  <c r="CS95"/>
  <c r="CU95"/>
  <c r="CW95"/>
  <c r="CY95"/>
  <c r="DA95"/>
  <c r="DC95"/>
  <c r="DE95"/>
  <c r="DI95"/>
  <c r="DO95"/>
  <c r="EK95"/>
  <c r="AL96"/>
  <c r="AM96"/>
  <c r="AN96"/>
  <c r="CR96" s="1"/>
  <c r="AO96"/>
  <c r="AP96"/>
  <c r="AQ96"/>
  <c r="AR96"/>
  <c r="CV96"/>
  <c r="AS96"/>
  <c r="AT96"/>
  <c r="CX96" s="1"/>
  <c r="AU96"/>
  <c r="AV96"/>
  <c r="CZ96"/>
  <c r="AW96"/>
  <c r="AX96"/>
  <c r="DB96" s="1"/>
  <c r="AY96"/>
  <c r="AZ96"/>
  <c r="DD96"/>
  <c r="BA96"/>
  <c r="BB96"/>
  <c r="DF96" s="1"/>
  <c r="BC96"/>
  <c r="DG96" s="1"/>
  <c r="BD96"/>
  <c r="DH96" s="1"/>
  <c r="BE96"/>
  <c r="DI96" s="1"/>
  <c r="BF96"/>
  <c r="DJ96" s="1"/>
  <c r="BG96"/>
  <c r="DK96" s="1"/>
  <c r="BH96"/>
  <c r="DL96" s="1"/>
  <c r="BI96"/>
  <c r="DM96" s="1"/>
  <c r="BJ96"/>
  <c r="DN96" s="1"/>
  <c r="BK96"/>
  <c r="DO96" s="1"/>
  <c r="BL96"/>
  <c r="CP96"/>
  <c r="CS96"/>
  <c r="CU96"/>
  <c r="CW96"/>
  <c r="CY96"/>
  <c r="DA96"/>
  <c r="DC96"/>
  <c r="DE96"/>
  <c r="EK96"/>
  <c r="AL97"/>
  <c r="AM97"/>
  <c r="AN97"/>
  <c r="AO97"/>
  <c r="AP97"/>
  <c r="AQ97"/>
  <c r="AR97"/>
  <c r="AS97"/>
  <c r="AT97"/>
  <c r="BV97" s="1"/>
  <c r="BT97" s="1"/>
  <c r="AU97"/>
  <c r="AV97"/>
  <c r="AW97"/>
  <c r="AX97"/>
  <c r="AY97"/>
  <c r="AZ97"/>
  <c r="BA97"/>
  <c r="BB97"/>
  <c r="BC97"/>
  <c r="BD97"/>
  <c r="BE97"/>
  <c r="BF97"/>
  <c r="BG97"/>
  <c r="BH97"/>
  <c r="EH97"/>
  <c r="BI97"/>
  <c r="DM97" s="1"/>
  <c r="CP97"/>
  <c r="CQ97"/>
  <c r="CR97"/>
  <c r="CS97"/>
  <c r="CT97"/>
  <c r="CU97"/>
  <c r="CV97"/>
  <c r="CW97"/>
  <c r="CX97"/>
  <c r="CY97"/>
  <c r="CZ97"/>
  <c r="DA97"/>
  <c r="DB97"/>
  <c r="DC97"/>
  <c r="DD97"/>
  <c r="DE97"/>
  <c r="DF97"/>
  <c r="DG97"/>
  <c r="DJ97"/>
  <c r="DN97"/>
  <c r="EK97"/>
  <c r="AL98"/>
  <c r="AM98"/>
  <c r="AN98"/>
  <c r="AO98"/>
  <c r="AP98"/>
  <c r="AQ98"/>
  <c r="AR98"/>
  <c r="AS98"/>
  <c r="AT98"/>
  <c r="AU98"/>
  <c r="AV98"/>
  <c r="AW98"/>
  <c r="AX98"/>
  <c r="AY98"/>
  <c r="AZ98"/>
  <c r="BA98"/>
  <c r="BB98"/>
  <c r="BC98"/>
  <c r="BD98"/>
  <c r="BE98"/>
  <c r="BF98"/>
  <c r="BG98"/>
  <c r="BH98"/>
  <c r="BI98"/>
  <c r="BJ98"/>
  <c r="EH98" s="1"/>
  <c r="BK98"/>
  <c r="BL98"/>
  <c r="EK98"/>
  <c r="AL99"/>
  <c r="AM99"/>
  <c r="AN99"/>
  <c r="AO99"/>
  <c r="AP99"/>
  <c r="CT99"/>
  <c r="AQ99"/>
  <c r="CU99"/>
  <c r="AR99"/>
  <c r="AS99"/>
  <c r="AT99"/>
  <c r="CX99"/>
  <c r="AU99"/>
  <c r="AV99"/>
  <c r="CZ99" s="1"/>
  <c r="AW99"/>
  <c r="DA99" s="1"/>
  <c r="AX99"/>
  <c r="AY99"/>
  <c r="AZ99"/>
  <c r="DD99" s="1"/>
  <c r="BA99"/>
  <c r="BB99"/>
  <c r="BC99"/>
  <c r="BD99"/>
  <c r="BE99"/>
  <c r="BF99"/>
  <c r="BG99"/>
  <c r="BH99"/>
  <c r="BI99"/>
  <c r="DM99" s="1"/>
  <c r="BJ99"/>
  <c r="BK99"/>
  <c r="DO99" s="1"/>
  <c r="BL99"/>
  <c r="CW99"/>
  <c r="CY99"/>
  <c r="DC99"/>
  <c r="DE99"/>
  <c r="DG99"/>
  <c r="DI99"/>
  <c r="DK99"/>
  <c r="FE76" s="1"/>
  <c r="FF76" s="1"/>
  <c r="EK99"/>
  <c r="AL100"/>
  <c r="AM100"/>
  <c r="AN100"/>
  <c r="AO100"/>
  <c r="AP100"/>
  <c r="AQ100"/>
  <c r="AR100"/>
  <c r="AS100"/>
  <c r="AT100"/>
  <c r="AU100"/>
  <c r="AV100"/>
  <c r="AW100"/>
  <c r="AX100"/>
  <c r="AY100"/>
  <c r="AZ100"/>
  <c r="BA100"/>
  <c r="BB100"/>
  <c r="BC100"/>
  <c r="BD100"/>
  <c r="BE100"/>
  <c r="BF100"/>
  <c r="DJ100"/>
  <c r="BG100"/>
  <c r="BH100"/>
  <c r="BH896" s="1"/>
  <c r="BI100"/>
  <c r="BJ100"/>
  <c r="DN100" s="1"/>
  <c r="BK100"/>
  <c r="DO100" s="1"/>
  <c r="BL100"/>
  <c r="CP100"/>
  <c r="CS100"/>
  <c r="CT100"/>
  <c r="CU100"/>
  <c r="CV100"/>
  <c r="CW100"/>
  <c r="CX100"/>
  <c r="CY100"/>
  <c r="CZ100"/>
  <c r="DA100"/>
  <c r="DB100"/>
  <c r="DC100"/>
  <c r="DD100"/>
  <c r="DE100"/>
  <c r="DF100"/>
  <c r="DG100"/>
  <c r="EH100"/>
  <c r="EK100"/>
  <c r="EQ100"/>
  <c r="ER100"/>
  <c r="ES100"/>
  <c r="AL101"/>
  <c r="AM101"/>
  <c r="BP101" s="1"/>
  <c r="BN101" s="1"/>
  <c r="AN101"/>
  <c r="AO101"/>
  <c r="CS101" s="1"/>
  <c r="AP101"/>
  <c r="AQ101"/>
  <c r="CU101"/>
  <c r="AR101"/>
  <c r="AS101"/>
  <c r="CW101" s="1"/>
  <c r="AT101"/>
  <c r="AU101"/>
  <c r="CY101"/>
  <c r="AV101"/>
  <c r="AW101"/>
  <c r="DA101" s="1"/>
  <c r="AX101"/>
  <c r="AY101"/>
  <c r="AZ101"/>
  <c r="CB101" s="1"/>
  <c r="BZ101" s="1"/>
  <c r="BA101"/>
  <c r="DE101"/>
  <c r="BB101"/>
  <c r="BC101"/>
  <c r="DG101" s="1"/>
  <c r="BD101"/>
  <c r="BE101"/>
  <c r="BF101"/>
  <c r="BG101"/>
  <c r="DK101"/>
  <c r="FE78" s="1"/>
  <c r="FF78" s="1"/>
  <c r="BH101"/>
  <c r="DL101"/>
  <c r="BI101"/>
  <c r="DM101"/>
  <c r="BJ101"/>
  <c r="DN101" s="1"/>
  <c r="EJ101" s="1"/>
  <c r="BK101"/>
  <c r="BL101"/>
  <c r="BV101"/>
  <c r="BT101" s="1"/>
  <c r="CP101"/>
  <c r="CQ101" s="1"/>
  <c r="CR101" s="1"/>
  <c r="CT101"/>
  <c r="CV101"/>
  <c r="CX101"/>
  <c r="CZ101"/>
  <c r="DB101"/>
  <c r="DD101"/>
  <c r="DF101"/>
  <c r="DH101"/>
  <c r="EH101"/>
  <c r="EK101"/>
  <c r="EQ101"/>
  <c r="ER101"/>
  <c r="ES101"/>
  <c r="AL102"/>
  <c r="AM102"/>
  <c r="BP102" s="1"/>
  <c r="AN102"/>
  <c r="AO102"/>
  <c r="AP102"/>
  <c r="AQ102"/>
  <c r="AR102"/>
  <c r="AS102"/>
  <c r="BV102"/>
  <c r="AT102"/>
  <c r="AU102"/>
  <c r="AV102"/>
  <c r="AW102"/>
  <c r="AX102"/>
  <c r="BJ102"/>
  <c r="DN102" s="1"/>
  <c r="BK102"/>
  <c r="BL102"/>
  <c r="CB102"/>
  <c r="BZ102"/>
  <c r="CH102"/>
  <c r="CG102"/>
  <c r="CK102"/>
  <c r="CI102"/>
  <c r="CP102"/>
  <c r="CQ102"/>
  <c r="CR102" s="1"/>
  <c r="CS102" s="1"/>
  <c r="CT102" s="1"/>
  <c r="CU102" s="1"/>
  <c r="CV102" s="1"/>
  <c r="CW102" s="1"/>
  <c r="CX102" s="1"/>
  <c r="CY102" s="1"/>
  <c r="CZ102" s="1"/>
  <c r="DA102" s="1"/>
  <c r="DB102"/>
  <c r="DC102"/>
  <c r="EH102"/>
  <c r="EO102" s="1"/>
  <c r="EK102"/>
  <c r="AL103"/>
  <c r="AM103"/>
  <c r="AN103"/>
  <c r="AO103"/>
  <c r="AP103"/>
  <c r="AQ103"/>
  <c r="AR103"/>
  <c r="AS103"/>
  <c r="AT103"/>
  <c r="AU103"/>
  <c r="AV103"/>
  <c r="AW103"/>
  <c r="AX103"/>
  <c r="AY103"/>
  <c r="AZ103"/>
  <c r="BA103"/>
  <c r="BB103"/>
  <c r="BC103"/>
  <c r="BD103"/>
  <c r="BE103"/>
  <c r="BF103"/>
  <c r="BG103"/>
  <c r="BH103"/>
  <c r="BI103"/>
  <c r="BJ103"/>
  <c r="BJ115" s="1"/>
  <c r="CL115" s="1"/>
  <c r="BK103"/>
  <c r="BL103"/>
  <c r="CP103"/>
  <c r="EK103"/>
  <c r="AL104"/>
  <c r="AM104"/>
  <c r="AN104"/>
  <c r="AO104"/>
  <c r="AP104"/>
  <c r="AQ104"/>
  <c r="AR104"/>
  <c r="AS104"/>
  <c r="AT104"/>
  <c r="AU104"/>
  <c r="AV104"/>
  <c r="BY104"/>
  <c r="AW104"/>
  <c r="AX104"/>
  <c r="AY104"/>
  <c r="AZ104"/>
  <c r="BA104"/>
  <c r="BB104"/>
  <c r="BC104"/>
  <c r="CE104"/>
  <c r="BD104"/>
  <c r="BE104"/>
  <c r="BF104"/>
  <c r="BG104"/>
  <c r="BH104"/>
  <c r="BI104"/>
  <c r="BJ104"/>
  <c r="DN104" s="1"/>
  <c r="BK104"/>
  <c r="CN104" s="1"/>
  <c r="BL104"/>
  <c r="BP104"/>
  <c r="BN104" s="1"/>
  <c r="CP104"/>
  <c r="CQ104" s="1"/>
  <c r="DC104"/>
  <c r="EK104"/>
  <c r="AL105"/>
  <c r="AM105"/>
  <c r="AN105"/>
  <c r="AO105"/>
  <c r="AP105"/>
  <c r="AQ105"/>
  <c r="AR105"/>
  <c r="AS105"/>
  <c r="AT105"/>
  <c r="AU105"/>
  <c r="AV105"/>
  <c r="AW105"/>
  <c r="AX105"/>
  <c r="AX896" s="1"/>
  <c r="AY105"/>
  <c r="AZ105"/>
  <c r="BA105"/>
  <c r="BB105"/>
  <c r="BC105"/>
  <c r="BD105"/>
  <c r="BE105"/>
  <c r="BF105"/>
  <c r="BG105"/>
  <c r="BH105"/>
  <c r="BI105"/>
  <c r="BJ105"/>
  <c r="DN105" s="1"/>
  <c r="BK105"/>
  <c r="BL105"/>
  <c r="BS105"/>
  <c r="BQ105" s="1"/>
  <c r="BY105"/>
  <c r="BW105" s="1"/>
  <c r="CP105"/>
  <c r="CQ105" s="1"/>
  <c r="DB105"/>
  <c r="DC105" s="1"/>
  <c r="EK105"/>
  <c r="AL106"/>
  <c r="AM106"/>
  <c r="AN106"/>
  <c r="AO106"/>
  <c r="AP106"/>
  <c r="AQ106"/>
  <c r="AR106"/>
  <c r="AS106"/>
  <c r="AT106"/>
  <c r="AU106"/>
  <c r="AV106"/>
  <c r="AW106"/>
  <c r="AX106"/>
  <c r="AY106"/>
  <c r="AZ106"/>
  <c r="BA106"/>
  <c r="BB106"/>
  <c r="BC106"/>
  <c r="BD106"/>
  <c r="BE106"/>
  <c r="BF106"/>
  <c r="BG106"/>
  <c r="BH106"/>
  <c r="BI106"/>
  <c r="BJ106"/>
  <c r="DN106" s="1"/>
  <c r="DO106" s="1"/>
  <c r="BK106"/>
  <c r="BL106"/>
  <c r="BS106"/>
  <c r="BQ106"/>
  <c r="BY106"/>
  <c r="BW106"/>
  <c r="CP106"/>
  <c r="CQ106"/>
  <c r="CR106" s="1"/>
  <c r="CS106" s="1"/>
  <c r="CT106" s="1"/>
  <c r="CU106" s="1"/>
  <c r="CV106" s="1"/>
  <c r="CW106" s="1"/>
  <c r="CX106" s="1"/>
  <c r="CY106" s="1"/>
  <c r="CZ106" s="1"/>
  <c r="DA106" s="1"/>
  <c r="DB106"/>
  <c r="DC106"/>
  <c r="DD106" s="1"/>
  <c r="DE106" s="1"/>
  <c r="DF106" s="1"/>
  <c r="DG106" s="1"/>
  <c r="EK106"/>
  <c r="AL107"/>
  <c r="AM107"/>
  <c r="AN107"/>
  <c r="AO107"/>
  <c r="AP107"/>
  <c r="AQ107"/>
  <c r="AR107"/>
  <c r="AS107"/>
  <c r="AT107"/>
  <c r="AU107"/>
  <c r="AV107"/>
  <c r="AW107"/>
  <c r="AX107"/>
  <c r="AY107"/>
  <c r="AZ107"/>
  <c r="BA107"/>
  <c r="BB107"/>
  <c r="BC107"/>
  <c r="BD107"/>
  <c r="BE107"/>
  <c r="BF107"/>
  <c r="BG107"/>
  <c r="BH107"/>
  <c r="BI107"/>
  <c r="EH107"/>
  <c r="BJ107"/>
  <c r="BK107"/>
  <c r="BL107"/>
  <c r="BP107"/>
  <c r="BN107" s="1"/>
  <c r="BV107"/>
  <c r="BT107" s="1"/>
  <c r="CB107"/>
  <c r="BZ107" s="1"/>
  <c r="CP107"/>
  <c r="CQ107" s="1"/>
  <c r="CR107" s="1"/>
  <c r="CS107" s="1"/>
  <c r="CT107" s="1"/>
  <c r="CU107" s="1"/>
  <c r="CV107" s="1"/>
  <c r="CW107" s="1"/>
  <c r="CX107" s="1"/>
  <c r="CY107" s="1"/>
  <c r="CZ107" s="1"/>
  <c r="DA107" s="1"/>
  <c r="DB107"/>
  <c r="DC107" s="1"/>
  <c r="DD107" s="1"/>
  <c r="DE107" s="1"/>
  <c r="DF107" s="1"/>
  <c r="DG107" s="1"/>
  <c r="DH107" s="1"/>
  <c r="DI107" s="1"/>
  <c r="DJ107" s="1"/>
  <c r="DK107" s="1"/>
  <c r="DN107"/>
  <c r="EK107"/>
  <c r="AL108"/>
  <c r="AM108"/>
  <c r="AN108"/>
  <c r="AO108"/>
  <c r="AP108"/>
  <c r="AQ108"/>
  <c r="AR108"/>
  <c r="AS108"/>
  <c r="AT108"/>
  <c r="AU108"/>
  <c r="AV108"/>
  <c r="AW108"/>
  <c r="AX108"/>
  <c r="AY108"/>
  <c r="AZ108"/>
  <c r="BA108"/>
  <c r="BB108"/>
  <c r="BC108"/>
  <c r="BD108"/>
  <c r="BE108"/>
  <c r="BF108"/>
  <c r="BG108"/>
  <c r="BH108"/>
  <c r="BI108"/>
  <c r="CK108"/>
  <c r="BJ108"/>
  <c r="DN108"/>
  <c r="BK108"/>
  <c r="BL108"/>
  <c r="CP108"/>
  <c r="CQ108"/>
  <c r="CR108" s="1"/>
  <c r="CS108" s="1"/>
  <c r="CT108" s="1"/>
  <c r="CU108" s="1"/>
  <c r="CV108" s="1"/>
  <c r="CW108" s="1"/>
  <c r="CX108" s="1"/>
  <c r="CY108" s="1"/>
  <c r="CZ108" s="1"/>
  <c r="DA108" s="1"/>
  <c r="DB108"/>
  <c r="DC108"/>
  <c r="DD108" s="1"/>
  <c r="DE108" s="1"/>
  <c r="DF108" s="1"/>
  <c r="DG108" s="1"/>
  <c r="DH108" s="1"/>
  <c r="EK108"/>
  <c r="M109"/>
  <c r="AO109"/>
  <c r="N109"/>
  <c r="AP109"/>
  <c r="AL109"/>
  <c r="AM109"/>
  <c r="AN109"/>
  <c r="AR109"/>
  <c r="AS109"/>
  <c r="AT109"/>
  <c r="AU109"/>
  <c r="AV109"/>
  <c r="AW109"/>
  <c r="AX109"/>
  <c r="AY109"/>
  <c r="AZ109"/>
  <c r="BA109"/>
  <c r="BB109"/>
  <c r="CE109" s="1"/>
  <c r="CC109" s="1"/>
  <c r="BC109"/>
  <c r="BD109"/>
  <c r="BE109"/>
  <c r="CH109"/>
  <c r="BF109"/>
  <c r="BG109"/>
  <c r="BH109"/>
  <c r="CK109"/>
  <c r="BI109"/>
  <c r="EH109"/>
  <c r="BJ109"/>
  <c r="DN109"/>
  <c r="DO109" s="1"/>
  <c r="BK109"/>
  <c r="BL109"/>
  <c r="BY109"/>
  <c r="BW109" s="1"/>
  <c r="EK109"/>
  <c r="EQ109"/>
  <c r="AL110"/>
  <c r="AM110"/>
  <c r="AN110"/>
  <c r="AO110"/>
  <c r="AP110"/>
  <c r="AQ110"/>
  <c r="AR110"/>
  <c r="AS110"/>
  <c r="AT110"/>
  <c r="AU110"/>
  <c r="AV110"/>
  <c r="AW110"/>
  <c r="AX110"/>
  <c r="AY110"/>
  <c r="AZ110"/>
  <c r="BA110"/>
  <c r="BB110"/>
  <c r="BC110"/>
  <c r="BD110"/>
  <c r="BE110"/>
  <c r="CH110"/>
  <c r="BF110"/>
  <c r="BG110"/>
  <c r="BH110"/>
  <c r="BI110"/>
  <c r="CK110" s="1"/>
  <c r="BJ110"/>
  <c r="BK110"/>
  <c r="BL110"/>
  <c r="CP110"/>
  <c r="DB110"/>
  <c r="DC110"/>
  <c r="DD110" s="1"/>
  <c r="EQ110"/>
  <c r="ER110"/>
  <c r="K111"/>
  <c r="CQ111" s="1"/>
  <c r="M111"/>
  <c r="CS111" s="1"/>
  <c r="N111"/>
  <c r="CT111" s="1"/>
  <c r="O111"/>
  <c r="AQ111" s="1"/>
  <c r="Q111"/>
  <c r="AT111" s="1"/>
  <c r="AL111"/>
  <c r="AU111"/>
  <c r="AV111"/>
  <c r="AW111"/>
  <c r="AX111"/>
  <c r="AY111"/>
  <c r="AZ111"/>
  <c r="BA111"/>
  <c r="CP111"/>
  <c r="CR111"/>
  <c r="CU111"/>
  <c r="CV111"/>
  <c r="CX111"/>
  <c r="CY111"/>
  <c r="CZ111"/>
  <c r="DA111"/>
  <c r="DB111"/>
  <c r="DC111"/>
  <c r="DD111"/>
  <c r="DE111"/>
  <c r="DF111"/>
  <c r="DG111"/>
  <c r="DH111"/>
  <c r="DI111"/>
  <c r="DJ111"/>
  <c r="DK111"/>
  <c r="DL111"/>
  <c r="DM111"/>
  <c r="DN111"/>
  <c r="DO111"/>
  <c r="EK111"/>
  <c r="K112"/>
  <c r="CQ112" s="1"/>
  <c r="CQ131" s="1"/>
  <c r="M112"/>
  <c r="CS112"/>
  <c r="N112"/>
  <c r="CT112"/>
  <c r="P112"/>
  <c r="Q112"/>
  <c r="AL112"/>
  <c r="AU112"/>
  <c r="AV112"/>
  <c r="AW112"/>
  <c r="AX112"/>
  <c r="AY112"/>
  <c r="AZ112"/>
  <c r="BA112"/>
  <c r="CP112"/>
  <c r="CR112"/>
  <c r="CU112"/>
  <c r="CX112"/>
  <c r="CY112"/>
  <c r="CZ112"/>
  <c r="DA112"/>
  <c r="DB112"/>
  <c r="DC112"/>
  <c r="DD112"/>
  <c r="DE112"/>
  <c r="DF112"/>
  <c r="DG112"/>
  <c r="DH112"/>
  <c r="DI112"/>
  <c r="DJ112"/>
  <c r="DK112"/>
  <c r="DL112"/>
  <c r="DM112"/>
  <c r="EJ112" s="1"/>
  <c r="DN112"/>
  <c r="DO112"/>
  <c r="EK112"/>
  <c r="J113"/>
  <c r="AL113"/>
  <c r="K113"/>
  <c r="L113"/>
  <c r="AN113" s="1"/>
  <c r="M113"/>
  <c r="N113"/>
  <c r="AP113"/>
  <c r="O113"/>
  <c r="P113"/>
  <c r="AR113" s="1"/>
  <c r="Q113"/>
  <c r="R113"/>
  <c r="AT113"/>
  <c r="S113"/>
  <c r="T113"/>
  <c r="AV113" s="1"/>
  <c r="U113"/>
  <c r="V113"/>
  <c r="AX113"/>
  <c r="W113"/>
  <c r="X113"/>
  <c r="AZ113" s="1"/>
  <c r="AZ129" s="1"/>
  <c r="Y113"/>
  <c r="Z113"/>
  <c r="BB113" s="1"/>
  <c r="AA113"/>
  <c r="AB113"/>
  <c r="AC113"/>
  <c r="AD113"/>
  <c r="BF113"/>
  <c r="AE113"/>
  <c r="AF113"/>
  <c r="BH113" s="1"/>
  <c r="BH129" s="1"/>
  <c r="AG113"/>
  <c r="AH113"/>
  <c r="BJ113" s="1"/>
  <c r="AI113"/>
  <c r="AJ113"/>
  <c r="BL113" s="1"/>
  <c r="BL129" s="1"/>
  <c r="AM113"/>
  <c r="AO113"/>
  <c r="BQ113" s="1"/>
  <c r="AQ113"/>
  <c r="AS113"/>
  <c r="AU113"/>
  <c r="BW113" s="1"/>
  <c r="AW113"/>
  <c r="AY113"/>
  <c r="BA113"/>
  <c r="CC113" s="1"/>
  <c r="BC113"/>
  <c r="BD113"/>
  <c r="CF113"/>
  <c r="BK113"/>
  <c r="EK113"/>
  <c r="J114"/>
  <c r="K114"/>
  <c r="AM114"/>
  <c r="AM127"/>
  <c r="L114"/>
  <c r="M114"/>
  <c r="AO114" s="1"/>
  <c r="N114"/>
  <c r="O114"/>
  <c r="AQ114"/>
  <c r="AQ127"/>
  <c r="P114"/>
  <c r="Q114"/>
  <c r="AS114"/>
  <c r="AS127"/>
  <c r="R114"/>
  <c r="S114"/>
  <c r="AU114" s="1"/>
  <c r="T114"/>
  <c r="U114"/>
  <c r="AW114"/>
  <c r="AW127"/>
  <c r="V114"/>
  <c r="W114"/>
  <c r="AY114" s="1"/>
  <c r="AY127" s="1"/>
  <c r="X114"/>
  <c r="AZ114"/>
  <c r="Y114"/>
  <c r="Z114"/>
  <c r="BB114" s="1"/>
  <c r="AA114"/>
  <c r="BC114" s="1"/>
  <c r="AB114"/>
  <c r="BD114" s="1"/>
  <c r="AC114"/>
  <c r="BE114" s="1"/>
  <c r="AD114"/>
  <c r="BF114" s="1"/>
  <c r="AE114"/>
  <c r="AF114"/>
  <c r="BH114"/>
  <c r="AG114"/>
  <c r="BI114"/>
  <c r="AH114"/>
  <c r="BJ114" s="1"/>
  <c r="AI114"/>
  <c r="BK114" s="1"/>
  <c r="AJ114"/>
  <c r="BL114"/>
  <c r="AL114"/>
  <c r="BN114"/>
  <c r="AN114"/>
  <c r="AP114"/>
  <c r="AR114"/>
  <c r="BT114"/>
  <c r="AT114"/>
  <c r="AV114"/>
  <c r="AX114"/>
  <c r="BZ114"/>
  <c r="BA114"/>
  <c r="CC114"/>
  <c r="BG114"/>
  <c r="CI114"/>
  <c r="EK114"/>
  <c r="J115"/>
  <c r="CP115" s="1"/>
  <c r="K115"/>
  <c r="L115"/>
  <c r="M115"/>
  <c r="N115"/>
  <c r="O115"/>
  <c r="P115"/>
  <c r="Q115"/>
  <c r="R115"/>
  <c r="S115"/>
  <c r="T115"/>
  <c r="U115"/>
  <c r="V115"/>
  <c r="W115"/>
  <c r="X115"/>
  <c r="Y115"/>
  <c r="Z115"/>
  <c r="AA115"/>
  <c r="AB115"/>
  <c r="AC115"/>
  <c r="AD115"/>
  <c r="AE115"/>
  <c r="AF115"/>
  <c r="AH115"/>
  <c r="DN115" s="1"/>
  <c r="AI115"/>
  <c r="AJ115"/>
  <c r="AL115"/>
  <c r="AM115"/>
  <c r="AN115"/>
  <c r="AO115"/>
  <c r="BQ115" s="1"/>
  <c r="BR115" s="1"/>
  <c r="AP115"/>
  <c r="AQ115"/>
  <c r="AR115"/>
  <c r="AS115"/>
  <c r="AT115"/>
  <c r="AU115"/>
  <c r="BW115" s="1"/>
  <c r="BX115" s="1"/>
  <c r="AV115"/>
  <c r="AW115"/>
  <c r="AX115"/>
  <c r="AY115"/>
  <c r="AZ115"/>
  <c r="BA115"/>
  <c r="CC115" s="1"/>
  <c r="CD115" s="1"/>
  <c r="BB115"/>
  <c r="BD115"/>
  <c r="CF115" s="1"/>
  <c r="BE115"/>
  <c r="BF115"/>
  <c r="BG115"/>
  <c r="CI115" s="1"/>
  <c r="BH115"/>
  <c r="BI115"/>
  <c r="BK115"/>
  <c r="BL115"/>
  <c r="BN115"/>
  <c r="BT115"/>
  <c r="BZ115"/>
  <c r="DB115"/>
  <c r="DB103"/>
  <c r="EK115"/>
  <c r="E119"/>
  <c r="G119"/>
  <c r="J119"/>
  <c r="V119"/>
  <c r="W119"/>
  <c r="AH119"/>
  <c r="AJ119"/>
  <c r="AX119"/>
  <c r="BJ119"/>
  <c r="BK119"/>
  <c r="BL119"/>
  <c r="E120"/>
  <c r="G120"/>
  <c r="J120"/>
  <c r="M120"/>
  <c r="N120"/>
  <c r="E121"/>
  <c r="G121"/>
  <c r="I121"/>
  <c r="J121"/>
  <c r="K121"/>
  <c r="V121"/>
  <c r="W121"/>
  <c r="AH121"/>
  <c r="AJ121"/>
  <c r="AL121"/>
  <c r="BJ121"/>
  <c r="BK121"/>
  <c r="BL121"/>
  <c r="E122"/>
  <c r="G122"/>
  <c r="J122"/>
  <c r="V122"/>
  <c r="W122"/>
  <c r="AJ122"/>
  <c r="AX122"/>
  <c r="AY122"/>
  <c r="BJ122"/>
  <c r="BK122"/>
  <c r="BL122"/>
  <c r="DB122"/>
  <c r="DN122"/>
  <c r="E123"/>
  <c r="G123"/>
  <c r="J123"/>
  <c r="K123"/>
  <c r="V123"/>
  <c r="W123"/>
  <c r="AH123"/>
  <c r="AJ123"/>
  <c r="AL123"/>
  <c r="AX123"/>
  <c r="AY123"/>
  <c r="BJ123"/>
  <c r="BK123"/>
  <c r="BL123"/>
  <c r="E124"/>
  <c r="G124"/>
  <c r="J124"/>
  <c r="K124"/>
  <c r="L124"/>
  <c r="M124"/>
  <c r="O124"/>
  <c r="P124"/>
  <c r="R124"/>
  <c r="S124"/>
  <c r="U124"/>
  <c r="V124"/>
  <c r="W124"/>
  <c r="X124"/>
  <c r="Y124"/>
  <c r="Z124"/>
  <c r="AA124"/>
  <c r="AG124"/>
  <c r="AH124"/>
  <c r="AJ124"/>
  <c r="CP124"/>
  <c r="CQ124"/>
  <c r="CR124"/>
  <c r="CS124"/>
  <c r="CU124"/>
  <c r="CX124"/>
  <c r="DA124"/>
  <c r="DB124"/>
  <c r="DC124"/>
  <c r="DD124"/>
  <c r="DF124"/>
  <c r="DM124"/>
  <c r="DN124"/>
  <c r="DO124"/>
  <c r="DP124"/>
  <c r="E126"/>
  <c r="G126"/>
  <c r="J126"/>
  <c r="K126"/>
  <c r="L126"/>
  <c r="M126"/>
  <c r="N126"/>
  <c r="O126"/>
  <c r="P126"/>
  <c r="Q126"/>
  <c r="R126"/>
  <c r="S126"/>
  <c r="T126"/>
  <c r="U126"/>
  <c r="V126"/>
  <c r="W126"/>
  <c r="X126"/>
  <c r="Y126"/>
  <c r="Z126"/>
  <c r="AA126"/>
  <c r="AB126"/>
  <c r="AC126"/>
  <c r="AD126"/>
  <c r="AE126"/>
  <c r="AF126"/>
  <c r="AG126"/>
  <c r="AH126"/>
  <c r="AJ126"/>
  <c r="AL126"/>
  <c r="AM126"/>
  <c r="AN126"/>
  <c r="AO126"/>
  <c r="AP126"/>
  <c r="AQ126"/>
  <c r="AR126"/>
  <c r="AS126"/>
  <c r="AT126"/>
  <c r="AU126"/>
  <c r="AV126"/>
  <c r="AW126"/>
  <c r="AX126"/>
  <c r="AY126"/>
  <c r="AZ126"/>
  <c r="BA126"/>
  <c r="BB126"/>
  <c r="BC126"/>
  <c r="BD126"/>
  <c r="BE126"/>
  <c r="BF126"/>
  <c r="BG126"/>
  <c r="BH126"/>
  <c r="BI126"/>
  <c r="BJ126"/>
  <c r="BK126"/>
  <c r="BL126"/>
  <c r="E127"/>
  <c r="G127"/>
  <c r="J127"/>
  <c r="K127"/>
  <c r="L127"/>
  <c r="M127"/>
  <c r="N127"/>
  <c r="O127"/>
  <c r="P127"/>
  <c r="Q127"/>
  <c r="R127"/>
  <c r="S127"/>
  <c r="T127"/>
  <c r="U127"/>
  <c r="V127"/>
  <c r="W127"/>
  <c r="X127"/>
  <c r="Y127"/>
  <c r="Z127"/>
  <c r="AA127"/>
  <c r="AC127"/>
  <c r="AD127"/>
  <c r="AE127"/>
  <c r="AF127"/>
  <c r="AG127"/>
  <c r="AH127"/>
  <c r="AJ127"/>
  <c r="BA127"/>
  <c r="E128"/>
  <c r="G128"/>
  <c r="I128"/>
  <c r="J128"/>
  <c r="K128"/>
  <c r="L128"/>
  <c r="M128"/>
  <c r="N128"/>
  <c r="O128"/>
  <c r="P128"/>
  <c r="Q128"/>
  <c r="R128"/>
  <c r="S128"/>
  <c r="T128"/>
  <c r="U128"/>
  <c r="V128"/>
  <c r="W128"/>
  <c r="X128"/>
  <c r="Y128"/>
  <c r="Z128"/>
  <c r="AA128"/>
  <c r="AB128"/>
  <c r="AC128"/>
  <c r="AD128"/>
  <c r="AE128"/>
  <c r="AF128"/>
  <c r="AG128"/>
  <c r="AH128"/>
  <c r="AJ128"/>
  <c r="AL128"/>
  <c r="AM128"/>
  <c r="AN128"/>
  <c r="AO128"/>
  <c r="AP128"/>
  <c r="AQ128"/>
  <c r="AR128"/>
  <c r="AS128"/>
  <c r="AT128"/>
  <c r="AU128"/>
  <c r="AV128"/>
  <c r="AW128"/>
  <c r="AX128"/>
  <c r="AY128"/>
  <c r="AZ128"/>
  <c r="BA128"/>
  <c r="BB128"/>
  <c r="BC128"/>
  <c r="BD128"/>
  <c r="BE128"/>
  <c r="BF128"/>
  <c r="BG128"/>
  <c r="BH128"/>
  <c r="BI128"/>
  <c r="BK128"/>
  <c r="BL128"/>
  <c r="E129"/>
  <c r="G129"/>
  <c r="J129"/>
  <c r="K129"/>
  <c r="L129"/>
  <c r="M129"/>
  <c r="N129"/>
  <c r="O129"/>
  <c r="P129"/>
  <c r="Q129"/>
  <c r="R129"/>
  <c r="S129"/>
  <c r="T129"/>
  <c r="U129"/>
  <c r="V129"/>
  <c r="W129"/>
  <c r="X129"/>
  <c r="Y129"/>
  <c r="Z129"/>
  <c r="AA129"/>
  <c r="AC129"/>
  <c r="AD129"/>
  <c r="AE129"/>
  <c r="AF129"/>
  <c r="AG129"/>
  <c r="AH129"/>
  <c r="AJ129"/>
  <c r="AM129"/>
  <c r="AO129"/>
  <c r="AQ129"/>
  <c r="AS129"/>
  <c r="AU129"/>
  <c r="AW129"/>
  <c r="AY129"/>
  <c r="BA129"/>
  <c r="BC129"/>
  <c r="BK129"/>
  <c r="E130"/>
  <c r="G130"/>
  <c r="J130"/>
  <c r="K130"/>
  <c r="L130"/>
  <c r="M130"/>
  <c r="N130"/>
  <c r="O130"/>
  <c r="P130"/>
  <c r="Q130"/>
  <c r="R130"/>
  <c r="S130"/>
  <c r="T130"/>
  <c r="U130"/>
  <c r="V130"/>
  <c r="W130"/>
  <c r="X130"/>
  <c r="Y130"/>
  <c r="Z130"/>
  <c r="AA130"/>
  <c r="AB130"/>
  <c r="AC130"/>
  <c r="AD130"/>
  <c r="AE130"/>
  <c r="AF130"/>
  <c r="AG130"/>
  <c r="AH130"/>
  <c r="AJ130"/>
  <c r="AL130"/>
  <c r="AM130"/>
  <c r="AN130"/>
  <c r="AO130"/>
  <c r="AP130"/>
  <c r="AQ130"/>
  <c r="AR130"/>
  <c r="AS130"/>
  <c r="AT130"/>
  <c r="AU130"/>
  <c r="AV130"/>
  <c r="AW130"/>
  <c r="AX130"/>
  <c r="AY130"/>
  <c r="AZ130"/>
  <c r="BA130"/>
  <c r="BB130"/>
  <c r="BC130"/>
  <c r="BD130"/>
  <c r="BE130"/>
  <c r="BF130"/>
  <c r="BG130"/>
  <c r="BH130"/>
  <c r="BI130"/>
  <c r="BJ130"/>
  <c r="BK130"/>
  <c r="BL130"/>
  <c r="BS130"/>
  <c r="BY130"/>
  <c r="CP130"/>
  <c r="DB130"/>
  <c r="E131"/>
  <c r="G131"/>
  <c r="J131"/>
  <c r="K131"/>
  <c r="L131"/>
  <c r="M131"/>
  <c r="N131"/>
  <c r="O131"/>
  <c r="P131"/>
  <c r="R131"/>
  <c r="S131"/>
  <c r="T131"/>
  <c r="U131"/>
  <c r="V131"/>
  <c r="W131"/>
  <c r="X131"/>
  <c r="Y131"/>
  <c r="Z131"/>
  <c r="AA131"/>
  <c r="AB131"/>
  <c r="AC131"/>
  <c r="AD131"/>
  <c r="AE131"/>
  <c r="AF131"/>
  <c r="AG131"/>
  <c r="AH131"/>
  <c r="AJ131"/>
  <c r="CP131"/>
  <c r="CR131"/>
  <c r="CU131"/>
  <c r="CX131"/>
  <c r="CY131"/>
  <c r="CZ131"/>
  <c r="DA131"/>
  <c r="DB131"/>
  <c r="DC131"/>
  <c r="DD131"/>
  <c r="DE131"/>
  <c r="DF131"/>
  <c r="DG131"/>
  <c r="DH131"/>
  <c r="DI131"/>
  <c r="DJ131"/>
  <c r="DK131"/>
  <c r="DL131"/>
  <c r="DM131"/>
  <c r="DN131"/>
  <c r="DO131"/>
  <c r="DP131"/>
  <c r="I133"/>
  <c r="E136" i="3" s="1"/>
  <c r="I136" i="1"/>
  <c r="J136"/>
  <c r="K136" s="1"/>
  <c r="K154" s="1"/>
  <c r="M136"/>
  <c r="N136"/>
  <c r="BA136"/>
  <c r="DE136"/>
  <c r="BB136"/>
  <c r="DF136"/>
  <c r="I137"/>
  <c r="J137"/>
  <c r="K137" s="1"/>
  <c r="K155" s="1"/>
  <c r="AM155" s="1"/>
  <c r="M137"/>
  <c r="N137" s="1"/>
  <c r="AO137"/>
  <c r="BA137"/>
  <c r="DE137"/>
  <c r="BB137"/>
  <c r="DF137"/>
  <c r="I138"/>
  <c r="AL138"/>
  <c r="J138"/>
  <c r="K138"/>
  <c r="M138"/>
  <c r="N138"/>
  <c r="AI138"/>
  <c r="AH138"/>
  <c r="AG138" s="1"/>
  <c r="BL138"/>
  <c r="DP138" s="1"/>
  <c r="EB138" s="1"/>
  <c r="EG138" s="1"/>
  <c r="I139"/>
  <c r="J139"/>
  <c r="K139"/>
  <c r="M139"/>
  <c r="N139"/>
  <c r="O139" s="1"/>
  <c r="BA139"/>
  <c r="DE139" s="1"/>
  <c r="BB139"/>
  <c r="DF139" s="1"/>
  <c r="EJ139"/>
  <c r="I140"/>
  <c r="J140"/>
  <c r="AL140" s="1"/>
  <c r="M140"/>
  <c r="N140" s="1"/>
  <c r="AO140"/>
  <c r="BA140"/>
  <c r="DE140"/>
  <c r="J141"/>
  <c r="K141"/>
  <c r="AF141"/>
  <c r="AL141"/>
  <c r="CP141" s="1"/>
  <c r="BI141"/>
  <c r="BJ141"/>
  <c r="DN141" s="1"/>
  <c r="J142"/>
  <c r="K142" s="1"/>
  <c r="AG142"/>
  <c r="AL142"/>
  <c r="CP142" s="1"/>
  <c r="BJ142"/>
  <c r="DP142"/>
  <c r="DO142"/>
  <c r="J143"/>
  <c r="K143"/>
  <c r="AX143"/>
  <c r="AY143"/>
  <c r="CN143"/>
  <c r="DN143"/>
  <c r="DO143"/>
  <c r="DP143" s="1"/>
  <c r="K144"/>
  <c r="L144" s="1"/>
  <c r="V144"/>
  <c r="W144"/>
  <c r="AY144"/>
  <c r="X144"/>
  <c r="Y144"/>
  <c r="BA144" s="1"/>
  <c r="Z144"/>
  <c r="AA144"/>
  <c r="AB144"/>
  <c r="BD144" s="1"/>
  <c r="AC144"/>
  <c r="BE144" s="1"/>
  <c r="AD144"/>
  <c r="AE144"/>
  <c r="BG144"/>
  <c r="AF144"/>
  <c r="BH144"/>
  <c r="AL144"/>
  <c r="AX144"/>
  <c r="AZ144"/>
  <c r="BB144"/>
  <c r="BI144"/>
  <c r="BJ144"/>
  <c r="J145"/>
  <c r="K145"/>
  <c r="L145"/>
  <c r="M145"/>
  <c r="AO145" s="1"/>
  <c r="N145"/>
  <c r="O145"/>
  <c r="AQ145" s="1"/>
  <c r="P145"/>
  <c r="Q145"/>
  <c r="AS145" s="1"/>
  <c r="R145"/>
  <c r="S145"/>
  <c r="T145"/>
  <c r="U145"/>
  <c r="AL145"/>
  <c r="CP145"/>
  <c r="AX145"/>
  <c r="DB145" s="1"/>
  <c r="AY145"/>
  <c r="BJ145"/>
  <c r="DN145" s="1"/>
  <c r="BK145"/>
  <c r="BL145"/>
  <c r="J146"/>
  <c r="AX146"/>
  <c r="DB146"/>
  <c r="DB189" s="1"/>
  <c r="AY146"/>
  <c r="AY910" s="1"/>
  <c r="BJ146"/>
  <c r="EE146" s="1"/>
  <c r="AX147"/>
  <c r="AY147"/>
  <c r="BJ147"/>
  <c r="BK147"/>
  <c r="BL147"/>
  <c r="DN147"/>
  <c r="J148"/>
  <c r="K148"/>
  <c r="AF148"/>
  <c r="AE148"/>
  <c r="BH148" s="1"/>
  <c r="AL148"/>
  <c r="BJ148"/>
  <c r="BK148"/>
  <c r="BL148"/>
  <c r="CP148"/>
  <c r="DN148"/>
  <c r="J149"/>
  <c r="AF149"/>
  <c r="BI149"/>
  <c r="BJ149"/>
  <c r="DN149"/>
  <c r="BK149"/>
  <c r="BL149"/>
  <c r="M150"/>
  <c r="Q150"/>
  <c r="R150" s="1"/>
  <c r="U150"/>
  <c r="Y150"/>
  <c r="Z150"/>
  <c r="AC150"/>
  <c r="AD150"/>
  <c r="AL150"/>
  <c r="CP150"/>
  <c r="CQ150" s="1"/>
  <c r="AM150"/>
  <c r="AN150"/>
  <c r="AW150"/>
  <c r="AX150"/>
  <c r="DB150"/>
  <c r="AY150"/>
  <c r="AZ150"/>
  <c r="BI150"/>
  <c r="BJ150"/>
  <c r="DN150" s="1"/>
  <c r="BK150"/>
  <c r="BL150"/>
  <c r="P151"/>
  <c r="Q151" s="1"/>
  <c r="Y151"/>
  <c r="BB151" s="1"/>
  <c r="AC151"/>
  <c r="AD151" s="1"/>
  <c r="AL151"/>
  <c r="BP151" s="1"/>
  <c r="AM151"/>
  <c r="AN151"/>
  <c r="AO151"/>
  <c r="BS151" s="1"/>
  <c r="BR151" s="1"/>
  <c r="AP151"/>
  <c r="AQ151"/>
  <c r="AX151"/>
  <c r="AY151"/>
  <c r="AZ151"/>
  <c r="BC151"/>
  <c r="BD151"/>
  <c r="BJ151"/>
  <c r="BK151"/>
  <c r="BL151"/>
  <c r="M152"/>
  <c r="N152"/>
  <c r="P152"/>
  <c r="Q152"/>
  <c r="S152"/>
  <c r="T152"/>
  <c r="Y152"/>
  <c r="DE152"/>
  <c r="AA152"/>
  <c r="AB152"/>
  <c r="AC152" s="1"/>
  <c r="CP152"/>
  <c r="CQ152"/>
  <c r="CR152"/>
  <c r="CS152"/>
  <c r="CU152"/>
  <c r="CX152"/>
  <c r="CY152"/>
  <c r="DA152"/>
  <c r="EA152"/>
  <c r="DB152"/>
  <c r="DC152"/>
  <c r="DD152"/>
  <c r="DF152"/>
  <c r="DM152"/>
  <c r="EB152"/>
  <c r="DN152"/>
  <c r="DO152"/>
  <c r="DP152"/>
  <c r="EE152"/>
  <c r="EO177" s="1"/>
  <c r="EF152"/>
  <c r="EP177" s="1"/>
  <c r="M153"/>
  <c r="N153" s="1"/>
  <c r="CT153" s="1"/>
  <c r="P153"/>
  <c r="Q153"/>
  <c r="CW153" s="1"/>
  <c r="S153"/>
  <c r="T153" s="1"/>
  <c r="CZ153" s="1"/>
  <c r="Y153"/>
  <c r="DE153"/>
  <c r="DE190" s="1"/>
  <c r="AA153"/>
  <c r="AB153" s="1"/>
  <c r="CP153"/>
  <c r="CQ153"/>
  <c r="CR153"/>
  <c r="CU153"/>
  <c r="CX153"/>
  <c r="DA153"/>
  <c r="DB153"/>
  <c r="DC153"/>
  <c r="DD153"/>
  <c r="DF153"/>
  <c r="DM153"/>
  <c r="EB153" s="1"/>
  <c r="DN153"/>
  <c r="DO153"/>
  <c r="DP153"/>
  <c r="EA153"/>
  <c r="EE153"/>
  <c r="EO178" s="1"/>
  <c r="EF153"/>
  <c r="EP178" s="1"/>
  <c r="J154"/>
  <c r="AL154" s="1"/>
  <c r="M154"/>
  <c r="AO154" s="1"/>
  <c r="DB154"/>
  <c r="DC154" s="1"/>
  <c r="J155"/>
  <c r="M155"/>
  <c r="AO155" s="1"/>
  <c r="BQ155" s="1"/>
  <c r="AL155"/>
  <c r="BN155" s="1"/>
  <c r="AX155"/>
  <c r="AY155"/>
  <c r="BJ155"/>
  <c r="EE155" s="1"/>
  <c r="BK155"/>
  <c r="BL155"/>
  <c r="X156"/>
  <c r="AZ156" s="1"/>
  <c r="CB156" s="1"/>
  <c r="DD156" s="1"/>
  <c r="Y156"/>
  <c r="AB156"/>
  <c r="BD156"/>
  <c r="CF156" s="1"/>
  <c r="DH156" s="1"/>
  <c r="AC156"/>
  <c r="BE156"/>
  <c r="CG156" s="1"/>
  <c r="DI156" s="1"/>
  <c r="AF156"/>
  <c r="BH156"/>
  <c r="CJ156" s="1"/>
  <c r="DL156" s="1"/>
  <c r="AG156"/>
  <c r="BI156"/>
  <c r="CK156" s="1"/>
  <c r="DM156" s="1"/>
  <c r="AH156"/>
  <c r="BJ156"/>
  <c r="CL156" s="1"/>
  <c r="DN156" s="1"/>
  <c r="BA156"/>
  <c r="CC156"/>
  <c r="DE156" s="1"/>
  <c r="EA156"/>
  <c r="EB156"/>
  <c r="J157"/>
  <c r="V157"/>
  <c r="DB157"/>
  <c r="W157"/>
  <c r="AH157"/>
  <c r="CL157" s="1"/>
  <c r="AI157"/>
  <c r="AJ157"/>
  <c r="AX157"/>
  <c r="BJ157"/>
  <c r="BK157"/>
  <c r="BL157"/>
  <c r="CP157"/>
  <c r="DN157"/>
  <c r="EG157"/>
  <c r="AL159"/>
  <c r="AM159"/>
  <c r="AN159"/>
  <c r="AO159"/>
  <c r="AP159"/>
  <c r="CT159"/>
  <c r="AQ159"/>
  <c r="CU159"/>
  <c r="AR159"/>
  <c r="AS159"/>
  <c r="CW159" s="1"/>
  <c r="AT159"/>
  <c r="CX159" s="1"/>
  <c r="AU159"/>
  <c r="AV159"/>
  <c r="CZ159"/>
  <c r="AW159"/>
  <c r="DA159"/>
  <c r="AX159"/>
  <c r="AY159"/>
  <c r="AZ159"/>
  <c r="CB159"/>
  <c r="BA159"/>
  <c r="BB159"/>
  <c r="DF159" s="1"/>
  <c r="BC159"/>
  <c r="BD159"/>
  <c r="DH159"/>
  <c r="BE159"/>
  <c r="DI159"/>
  <c r="BF159"/>
  <c r="DJ159"/>
  <c r="BG159"/>
  <c r="BH159"/>
  <c r="BI159"/>
  <c r="DM159"/>
  <c r="BJ159"/>
  <c r="DN159"/>
  <c r="BK159"/>
  <c r="DO159" s="1"/>
  <c r="BL159"/>
  <c r="DP159" s="1"/>
  <c r="CQ159"/>
  <c r="CY159"/>
  <c r="DC159"/>
  <c r="DG159"/>
  <c r="DK159"/>
  <c r="EH159"/>
  <c r="EK159"/>
  <c r="AL160"/>
  <c r="CP160" s="1"/>
  <c r="AM160"/>
  <c r="AN160"/>
  <c r="AO160"/>
  <c r="AP160"/>
  <c r="AQ160"/>
  <c r="AR160"/>
  <c r="AS160"/>
  <c r="AT160"/>
  <c r="AU160"/>
  <c r="AV160"/>
  <c r="AW160"/>
  <c r="DA160"/>
  <c r="AX160"/>
  <c r="AY160"/>
  <c r="AZ160"/>
  <c r="CB160" s="1"/>
  <c r="BA160"/>
  <c r="BB160"/>
  <c r="CE160" s="1"/>
  <c r="BC160"/>
  <c r="BD160"/>
  <c r="BE160"/>
  <c r="BF160"/>
  <c r="BG160"/>
  <c r="DK160" s="1"/>
  <c r="BH160"/>
  <c r="BI160"/>
  <c r="DM160"/>
  <c r="BJ160"/>
  <c r="BK160"/>
  <c r="DO160" s="1"/>
  <c r="BL160"/>
  <c r="DP160" s="1"/>
  <c r="CR160"/>
  <c r="CS160"/>
  <c r="CT160"/>
  <c r="CU160"/>
  <c r="CV160"/>
  <c r="CW160"/>
  <c r="CX160"/>
  <c r="CZ160"/>
  <c r="DB160"/>
  <c r="DD160"/>
  <c r="DE160"/>
  <c r="DF160"/>
  <c r="DH160"/>
  <c r="DJ160"/>
  <c r="DL160"/>
  <c r="EK160"/>
  <c r="AL161"/>
  <c r="AM161"/>
  <c r="AN161"/>
  <c r="AO161"/>
  <c r="AP161"/>
  <c r="CT161" s="1"/>
  <c r="AQ161"/>
  <c r="AR161"/>
  <c r="AS161"/>
  <c r="CW161" s="1"/>
  <c r="AT161"/>
  <c r="CX161" s="1"/>
  <c r="AU161"/>
  <c r="AV161"/>
  <c r="CZ161"/>
  <c r="AW161"/>
  <c r="DA161"/>
  <c r="AX161"/>
  <c r="AY161"/>
  <c r="AZ161"/>
  <c r="BA161"/>
  <c r="BB161"/>
  <c r="DF161"/>
  <c r="BC161"/>
  <c r="BD161"/>
  <c r="DH161" s="1"/>
  <c r="BE161"/>
  <c r="BF161"/>
  <c r="DJ161"/>
  <c r="BG161"/>
  <c r="DK161"/>
  <c r="BH161"/>
  <c r="BI161"/>
  <c r="BJ161"/>
  <c r="DN161" s="1"/>
  <c r="BK161"/>
  <c r="DO161" s="1"/>
  <c r="BL161"/>
  <c r="DP161" s="1"/>
  <c r="CQ161"/>
  <c r="CS161"/>
  <c r="CU161"/>
  <c r="CY161"/>
  <c r="DC161"/>
  <c r="DG161"/>
  <c r="DI161"/>
  <c r="DM161"/>
  <c r="EK161"/>
  <c r="AL162"/>
  <c r="AM162"/>
  <c r="CQ162"/>
  <c r="AN162"/>
  <c r="CR162"/>
  <c r="AO162"/>
  <c r="AP162"/>
  <c r="CT162" s="1"/>
  <c r="AQ162"/>
  <c r="AR162"/>
  <c r="AS162"/>
  <c r="AT162"/>
  <c r="AU162"/>
  <c r="AV162"/>
  <c r="CZ162"/>
  <c r="AW162"/>
  <c r="AX162"/>
  <c r="AY162"/>
  <c r="AZ162"/>
  <c r="DD162" s="1"/>
  <c r="BA162"/>
  <c r="BB162"/>
  <c r="DF162"/>
  <c r="BC162"/>
  <c r="BD162"/>
  <c r="DH162" s="1"/>
  <c r="BE162"/>
  <c r="BF162"/>
  <c r="BG162"/>
  <c r="BH162"/>
  <c r="BI162"/>
  <c r="BJ162"/>
  <c r="EH162" s="1"/>
  <c r="BK162"/>
  <c r="BL162"/>
  <c r="CS162"/>
  <c r="CU162"/>
  <c r="CW162"/>
  <c r="CY162"/>
  <c r="DA162"/>
  <c r="DC162"/>
  <c r="DE162"/>
  <c r="DI162"/>
  <c r="DM162"/>
  <c r="DN162"/>
  <c r="DO162"/>
  <c r="DP162"/>
  <c r="EK162"/>
  <c r="AL163"/>
  <c r="AM163"/>
  <c r="CQ163"/>
  <c r="AN163"/>
  <c r="AO163"/>
  <c r="AP163"/>
  <c r="AQ163"/>
  <c r="CU163" s="1"/>
  <c r="AR163"/>
  <c r="AS163"/>
  <c r="CW163"/>
  <c r="AT163"/>
  <c r="AU163"/>
  <c r="AV163"/>
  <c r="AW163"/>
  <c r="AX163"/>
  <c r="AY163"/>
  <c r="DC163" s="1"/>
  <c r="AZ163"/>
  <c r="BA163"/>
  <c r="BB163"/>
  <c r="BC163"/>
  <c r="DG163"/>
  <c r="BD163"/>
  <c r="BE163"/>
  <c r="DI163" s="1"/>
  <c r="BF163"/>
  <c r="BG163"/>
  <c r="BH163"/>
  <c r="BI163"/>
  <c r="EH163"/>
  <c r="F141" i="3" s="1"/>
  <c r="BJ163" i="1"/>
  <c r="BK163"/>
  <c r="CN163" s="1"/>
  <c r="BL163"/>
  <c r="DP163"/>
  <c r="BV163"/>
  <c r="BU163"/>
  <c r="CP163"/>
  <c r="CR163"/>
  <c r="CT163"/>
  <c r="CV163"/>
  <c r="CX163"/>
  <c r="CZ163"/>
  <c r="DB163"/>
  <c r="DD163"/>
  <c r="DF163"/>
  <c r="DL163"/>
  <c r="DM163"/>
  <c r="DN163"/>
  <c r="EK163"/>
  <c r="AL164"/>
  <c r="AM164"/>
  <c r="AN164"/>
  <c r="AO164"/>
  <c r="AP164"/>
  <c r="AQ164"/>
  <c r="AR164"/>
  <c r="AS164"/>
  <c r="AT164"/>
  <c r="AU164"/>
  <c r="AV164"/>
  <c r="AW164"/>
  <c r="BY164"/>
  <c r="AX164"/>
  <c r="AY164"/>
  <c r="AZ164"/>
  <c r="BA164"/>
  <c r="BB164"/>
  <c r="BC164"/>
  <c r="BD164"/>
  <c r="BE164"/>
  <c r="BF164"/>
  <c r="BG164"/>
  <c r="CK164" s="1"/>
  <c r="BH164"/>
  <c r="BI164"/>
  <c r="BJ164"/>
  <c r="DN164" s="1"/>
  <c r="BK164"/>
  <c r="BL164"/>
  <c r="CN164" s="1"/>
  <c r="BP164"/>
  <c r="BO164" s="1"/>
  <c r="CB164"/>
  <c r="CA164" s="1"/>
  <c r="CP164"/>
  <c r="DB164"/>
  <c r="DC164"/>
  <c r="EH164"/>
  <c r="EK164"/>
  <c r="AL165"/>
  <c r="AM165"/>
  <c r="AN165"/>
  <c r="AO165"/>
  <c r="CS165" s="1"/>
  <c r="AP165"/>
  <c r="AQ165"/>
  <c r="CU165"/>
  <c r="AR165"/>
  <c r="AS165"/>
  <c r="AT165"/>
  <c r="AU165"/>
  <c r="CY165" s="1"/>
  <c r="AV165"/>
  <c r="AW165"/>
  <c r="DA165"/>
  <c r="AX165"/>
  <c r="DB165"/>
  <c r="DB192" s="1"/>
  <c r="AY165"/>
  <c r="AZ165"/>
  <c r="BA165"/>
  <c r="BB165"/>
  <c r="DF165"/>
  <c r="BC165"/>
  <c r="BD165"/>
  <c r="DH165" s="1"/>
  <c r="BE165"/>
  <c r="BF165"/>
  <c r="BG165"/>
  <c r="DK165" s="1"/>
  <c r="BH165"/>
  <c r="BI165"/>
  <c r="DM165"/>
  <c r="BJ165"/>
  <c r="BK165"/>
  <c r="DO165" s="1"/>
  <c r="BL165"/>
  <c r="BS165"/>
  <c r="BR165" s="1"/>
  <c r="CP165"/>
  <c r="CQ165" s="1"/>
  <c r="CR165" s="1"/>
  <c r="CT165"/>
  <c r="CV165"/>
  <c r="CX165"/>
  <c r="CZ165"/>
  <c r="DD165"/>
  <c r="DJ165"/>
  <c r="DL165"/>
  <c r="DN165"/>
  <c r="DP165"/>
  <c r="EK165"/>
  <c r="AL166"/>
  <c r="CP166"/>
  <c r="CQ166" s="1"/>
  <c r="AM166"/>
  <c r="AN166"/>
  <c r="AO166"/>
  <c r="AP166"/>
  <c r="BS166"/>
  <c r="AQ166"/>
  <c r="AR166"/>
  <c r="CV166" s="1"/>
  <c r="AS166"/>
  <c r="AT166"/>
  <c r="CX166"/>
  <c r="AU166"/>
  <c r="CY166"/>
  <c r="AV166"/>
  <c r="AW166"/>
  <c r="AX166"/>
  <c r="DB166"/>
  <c r="AY166"/>
  <c r="AZ166"/>
  <c r="DD166" s="1"/>
  <c r="BA166"/>
  <c r="BB166"/>
  <c r="DF166"/>
  <c r="BC166"/>
  <c r="BD166"/>
  <c r="BE166"/>
  <c r="BF166"/>
  <c r="BG166"/>
  <c r="BH166"/>
  <c r="BH897" s="1"/>
  <c r="BI166"/>
  <c r="BJ166"/>
  <c r="BK166"/>
  <c r="DO166" s="1"/>
  <c r="BL166"/>
  <c r="DP166"/>
  <c r="BV166"/>
  <c r="BU166"/>
  <c r="CS166"/>
  <c r="CU166"/>
  <c r="CW166"/>
  <c r="DA166"/>
  <c r="DE166"/>
  <c r="DG166"/>
  <c r="DH166"/>
  <c r="DI166"/>
  <c r="DK166"/>
  <c r="DM166"/>
  <c r="EK166"/>
  <c r="EQ166"/>
  <c r="ER166"/>
  <c r="ES166"/>
  <c r="AL167"/>
  <c r="CP167"/>
  <c r="AM167"/>
  <c r="AN167"/>
  <c r="AO167"/>
  <c r="AP167"/>
  <c r="BS167" s="1"/>
  <c r="AQ167"/>
  <c r="AR167"/>
  <c r="AS167"/>
  <c r="AT167"/>
  <c r="CX167"/>
  <c r="AU167"/>
  <c r="AV167"/>
  <c r="AW167"/>
  <c r="AX167"/>
  <c r="DB167" s="1"/>
  <c r="AY167"/>
  <c r="AZ167"/>
  <c r="DD167"/>
  <c r="BA167"/>
  <c r="BB167"/>
  <c r="DF167" s="1"/>
  <c r="BC167"/>
  <c r="BD167"/>
  <c r="DH167"/>
  <c r="BE167"/>
  <c r="BF167"/>
  <c r="BG167"/>
  <c r="DK167"/>
  <c r="BH167"/>
  <c r="DL167"/>
  <c r="BI167"/>
  <c r="DM167"/>
  <c r="BJ167"/>
  <c r="DN167"/>
  <c r="EJ167" s="1"/>
  <c r="BK167"/>
  <c r="BL167"/>
  <c r="BP167"/>
  <c r="BO167"/>
  <c r="CB167"/>
  <c r="CA167"/>
  <c r="CS167"/>
  <c r="CU167"/>
  <c r="CW167"/>
  <c r="CY167"/>
  <c r="DA167"/>
  <c r="DC167"/>
  <c r="DE167"/>
  <c r="DG167"/>
  <c r="DJ167"/>
  <c r="DP167"/>
  <c r="EH167"/>
  <c r="EK167"/>
  <c r="EQ167"/>
  <c r="ER167"/>
  <c r="ES167"/>
  <c r="AL168"/>
  <c r="AM168"/>
  <c r="AN168"/>
  <c r="AO168"/>
  <c r="AP168"/>
  <c r="AQ168"/>
  <c r="AR168"/>
  <c r="AS168"/>
  <c r="AT168"/>
  <c r="AU168"/>
  <c r="BY168" s="1"/>
  <c r="BX168" s="1"/>
  <c r="AV168"/>
  <c r="EH168"/>
  <c r="CB168"/>
  <c r="CA168"/>
  <c r="CE168"/>
  <c r="CD168"/>
  <c r="CH168"/>
  <c r="CG168"/>
  <c r="CK168"/>
  <c r="CJ168"/>
  <c r="CN168"/>
  <c r="CM168" s="1"/>
  <c r="CP168"/>
  <c r="CQ168" s="1"/>
  <c r="DB168"/>
  <c r="DC168" s="1"/>
  <c r="DD168" s="1"/>
  <c r="DN168"/>
  <c r="DO168" s="1"/>
  <c r="EK168"/>
  <c r="AL169"/>
  <c r="AM169"/>
  <c r="AN169"/>
  <c r="AO169"/>
  <c r="AP169"/>
  <c r="AQ169"/>
  <c r="AR169"/>
  <c r="AS169"/>
  <c r="AT169"/>
  <c r="AU169"/>
  <c r="AV169"/>
  <c r="AW169"/>
  <c r="AX169"/>
  <c r="AY169"/>
  <c r="AZ169"/>
  <c r="CB169" s="1"/>
  <c r="BA169"/>
  <c r="BB169"/>
  <c r="BC169"/>
  <c r="BD169"/>
  <c r="BE169"/>
  <c r="BF169"/>
  <c r="BG169"/>
  <c r="BI169"/>
  <c r="BH169"/>
  <c r="BJ169"/>
  <c r="EH169" s="1"/>
  <c r="EL169" s="1"/>
  <c r="EQ169" s="1"/>
  <c r="BK169"/>
  <c r="BL169"/>
  <c r="CP169"/>
  <c r="EK169"/>
  <c r="AL170"/>
  <c r="AM170"/>
  <c r="AN170"/>
  <c r="AO170"/>
  <c r="AP170"/>
  <c r="AQ170"/>
  <c r="AR170"/>
  <c r="AS170"/>
  <c r="AT170"/>
  <c r="AU170"/>
  <c r="AV170"/>
  <c r="AW170"/>
  <c r="AX170"/>
  <c r="AY170"/>
  <c r="AZ170"/>
  <c r="BA170"/>
  <c r="BB170"/>
  <c r="BC170"/>
  <c r="BD170"/>
  <c r="BE170"/>
  <c r="BF170"/>
  <c r="BG170"/>
  <c r="BH170"/>
  <c r="BI170"/>
  <c r="BJ170"/>
  <c r="BK170"/>
  <c r="BL170"/>
  <c r="BY170"/>
  <c r="BX170"/>
  <c r="CP170"/>
  <c r="CQ170"/>
  <c r="DB170"/>
  <c r="EK170"/>
  <c r="AL171"/>
  <c r="AM171"/>
  <c r="AN171"/>
  <c r="AO171"/>
  <c r="AP171"/>
  <c r="AQ171"/>
  <c r="AR171"/>
  <c r="AS171"/>
  <c r="AT171"/>
  <c r="AU171"/>
  <c r="AV171"/>
  <c r="AW171"/>
  <c r="AX171"/>
  <c r="AX897"/>
  <c r="AY171"/>
  <c r="AZ171"/>
  <c r="BA171"/>
  <c r="BB171"/>
  <c r="BC171"/>
  <c r="BD171"/>
  <c r="BE171"/>
  <c r="BF171"/>
  <c r="BG171"/>
  <c r="BH171"/>
  <c r="BI171"/>
  <c r="BJ171"/>
  <c r="EH171" s="1"/>
  <c r="BK171"/>
  <c r="BL171"/>
  <c r="BP171"/>
  <c r="BO171"/>
  <c r="CB171"/>
  <c r="CP171"/>
  <c r="CQ171" s="1"/>
  <c r="CR171" s="1"/>
  <c r="DB171"/>
  <c r="DN171"/>
  <c r="EK171"/>
  <c r="AL172"/>
  <c r="AM172"/>
  <c r="AN172"/>
  <c r="AO172"/>
  <c r="AP172"/>
  <c r="AQ172"/>
  <c r="AR172"/>
  <c r="AS172"/>
  <c r="AT172"/>
  <c r="AU172"/>
  <c r="AV172"/>
  <c r="AW172"/>
  <c r="AX172"/>
  <c r="AY172"/>
  <c r="AZ172"/>
  <c r="BA172"/>
  <c r="BB172"/>
  <c r="BC172"/>
  <c r="BD172"/>
  <c r="CH172" s="1"/>
  <c r="BE172"/>
  <c r="BF172"/>
  <c r="BG172"/>
  <c r="BH172"/>
  <c r="BI172"/>
  <c r="BJ172"/>
  <c r="DN172" s="1"/>
  <c r="BK172"/>
  <c r="CN172" s="1"/>
  <c r="CM172" s="1"/>
  <c r="BL172"/>
  <c r="BV172"/>
  <c r="BU172"/>
  <c r="DB172"/>
  <c r="DC172"/>
  <c r="DD172" s="1"/>
  <c r="DE172" s="1"/>
  <c r="DF172" s="1"/>
  <c r="EK172"/>
  <c r="AL173"/>
  <c r="AM173"/>
  <c r="AN173"/>
  <c r="AO173"/>
  <c r="AP173"/>
  <c r="AQ173"/>
  <c r="AR173"/>
  <c r="AS173"/>
  <c r="AT173"/>
  <c r="AU173"/>
  <c r="AV173"/>
  <c r="AW173"/>
  <c r="AX173"/>
  <c r="AY173"/>
  <c r="AZ173"/>
  <c r="BA173"/>
  <c r="BB173"/>
  <c r="BC173"/>
  <c r="BD173"/>
  <c r="BE173"/>
  <c r="BF173"/>
  <c r="BG173"/>
  <c r="BH173"/>
  <c r="BI173"/>
  <c r="BJ173"/>
  <c r="EH173" s="1"/>
  <c r="BK173"/>
  <c r="BL173"/>
  <c r="BY173"/>
  <c r="BX173" s="1"/>
  <c r="CH173"/>
  <c r="CG173" s="1"/>
  <c r="DN173"/>
  <c r="DO173" s="1"/>
  <c r="EK173"/>
  <c r="AL174"/>
  <c r="AM174"/>
  <c r="AN174"/>
  <c r="AO174"/>
  <c r="AP174"/>
  <c r="AQ174"/>
  <c r="AR174"/>
  <c r="AS174"/>
  <c r="AT174"/>
  <c r="AU174"/>
  <c r="AV174"/>
  <c r="AW174"/>
  <c r="AX174"/>
  <c r="AY174"/>
  <c r="AZ174"/>
  <c r="BA174"/>
  <c r="BB174"/>
  <c r="BC174"/>
  <c r="BD174"/>
  <c r="CH174" s="1"/>
  <c r="BE174"/>
  <c r="BF174"/>
  <c r="BG174"/>
  <c r="BH174"/>
  <c r="BI174"/>
  <c r="BJ174"/>
  <c r="BK174"/>
  <c r="BL174"/>
  <c r="BV174"/>
  <c r="BU174" s="1"/>
  <c r="CP174"/>
  <c r="CQ174" s="1"/>
  <c r="CR174" s="1"/>
  <c r="CS174" s="1"/>
  <c r="CT174" s="1"/>
  <c r="CU174" s="1"/>
  <c r="CV174" s="1"/>
  <c r="CW174" s="1"/>
  <c r="CX174" s="1"/>
  <c r="CY174" s="1"/>
  <c r="CZ174" s="1"/>
  <c r="DA174" s="1"/>
  <c r="DB174"/>
  <c r="DN174"/>
  <c r="DO174"/>
  <c r="DP174" s="1"/>
  <c r="EH174"/>
  <c r="EK174"/>
  <c r="M175"/>
  <c r="AP175"/>
  <c r="AL175"/>
  <c r="AM175"/>
  <c r="AN175"/>
  <c r="AQ175"/>
  <c r="AR175"/>
  <c r="AS175"/>
  <c r="AT175"/>
  <c r="AU175"/>
  <c r="AV175"/>
  <c r="AW175"/>
  <c r="AX175"/>
  <c r="AY175"/>
  <c r="AZ175"/>
  <c r="BA175"/>
  <c r="BB175"/>
  <c r="BC175"/>
  <c r="BD175"/>
  <c r="BE175"/>
  <c r="BF175"/>
  <c r="BG175"/>
  <c r="BH175"/>
  <c r="BI175"/>
  <c r="BJ175"/>
  <c r="EH175" s="1"/>
  <c r="DN175"/>
  <c r="BK175"/>
  <c r="BL175"/>
  <c r="BV175"/>
  <c r="BU175"/>
  <c r="CP175"/>
  <c r="CQ175"/>
  <c r="CR175" s="1"/>
  <c r="EK175"/>
  <c r="EQ175"/>
  <c r="AL176"/>
  <c r="AM176"/>
  <c r="AN176"/>
  <c r="AO176"/>
  <c r="AP176"/>
  <c r="AQ176"/>
  <c r="AR176"/>
  <c r="AS176"/>
  <c r="AT176"/>
  <c r="AU176"/>
  <c r="AV176"/>
  <c r="AW176"/>
  <c r="AX176"/>
  <c r="AY176"/>
  <c r="AZ176"/>
  <c r="BA176"/>
  <c r="BB176"/>
  <c r="BC176"/>
  <c r="BD176"/>
  <c r="BE176"/>
  <c r="BF176"/>
  <c r="BG176"/>
  <c r="BH176"/>
  <c r="BI176"/>
  <c r="BJ176"/>
  <c r="EH176" s="1"/>
  <c r="BK176"/>
  <c r="BL176"/>
  <c r="BV176"/>
  <c r="BU176"/>
  <c r="DB176"/>
  <c r="DC176"/>
  <c r="DD176" s="1"/>
  <c r="DE176" s="1"/>
  <c r="DF176" s="1"/>
  <c r="DG176" s="1"/>
  <c r="DH176" s="1"/>
  <c r="EQ176"/>
  <c r="ER176"/>
  <c r="K177"/>
  <c r="CQ177" s="1"/>
  <c r="M177"/>
  <c r="Q177"/>
  <c r="R177"/>
  <c r="AT177" s="1"/>
  <c r="AL177"/>
  <c r="AQ177"/>
  <c r="AR177"/>
  <c r="AV177"/>
  <c r="AW177"/>
  <c r="AX177"/>
  <c r="AY177"/>
  <c r="AZ177"/>
  <c r="BA177"/>
  <c r="CP177"/>
  <c r="CR177"/>
  <c r="CS177"/>
  <c r="CT177"/>
  <c r="CU177"/>
  <c r="CV177"/>
  <c r="CY177"/>
  <c r="CZ177"/>
  <c r="DA177"/>
  <c r="DB177"/>
  <c r="DC177"/>
  <c r="DD177"/>
  <c r="DE177"/>
  <c r="DF177"/>
  <c r="DG177"/>
  <c r="DH177"/>
  <c r="DI177"/>
  <c r="DJ177"/>
  <c r="DK177"/>
  <c r="DL177"/>
  <c r="DM177"/>
  <c r="DN177"/>
  <c r="DO177"/>
  <c r="DP177"/>
  <c r="EJ177"/>
  <c r="EK177"/>
  <c r="K178"/>
  <c r="M178"/>
  <c r="O178"/>
  <c r="P178"/>
  <c r="Q178"/>
  <c r="AL178"/>
  <c r="AV178"/>
  <c r="AW178"/>
  <c r="AX178"/>
  <c r="AY178"/>
  <c r="AZ178"/>
  <c r="BA178"/>
  <c r="CP178"/>
  <c r="CR178"/>
  <c r="CS178"/>
  <c r="CT178"/>
  <c r="CV178"/>
  <c r="CY178"/>
  <c r="CZ178"/>
  <c r="DA178"/>
  <c r="DB178"/>
  <c r="DC178"/>
  <c r="DD178"/>
  <c r="DE178"/>
  <c r="DF178"/>
  <c r="DG178"/>
  <c r="DH178"/>
  <c r="DI178"/>
  <c r="DJ178"/>
  <c r="DK178"/>
  <c r="DL178"/>
  <c r="DM178"/>
  <c r="DN178"/>
  <c r="EJ178" s="1"/>
  <c r="DO178"/>
  <c r="DP178"/>
  <c r="EK178"/>
  <c r="J179"/>
  <c r="K179"/>
  <c r="L179"/>
  <c r="M179"/>
  <c r="N179"/>
  <c r="O179"/>
  <c r="P179"/>
  <c r="Q179"/>
  <c r="R179"/>
  <c r="S179"/>
  <c r="T179"/>
  <c r="U179"/>
  <c r="V179"/>
  <c r="AX179" s="1"/>
  <c r="W179"/>
  <c r="X179"/>
  <c r="AZ179"/>
  <c r="Y179"/>
  <c r="Z179"/>
  <c r="BB179" s="1"/>
  <c r="AA179"/>
  <c r="AB179"/>
  <c r="AC179"/>
  <c r="BE179" s="1"/>
  <c r="AD179"/>
  <c r="AE179"/>
  <c r="BG179"/>
  <c r="AF179"/>
  <c r="AG179"/>
  <c r="BI179"/>
  <c r="AH179"/>
  <c r="BJ179" s="1"/>
  <c r="AI179"/>
  <c r="BK179" s="1"/>
  <c r="BK195" s="1"/>
  <c r="AJ179"/>
  <c r="AL179"/>
  <c r="CP179"/>
  <c r="AM179"/>
  <c r="AN179"/>
  <c r="AO179"/>
  <c r="AP179"/>
  <c r="AQ179"/>
  <c r="AR179"/>
  <c r="BT179" s="1"/>
  <c r="AS179"/>
  <c r="AT179"/>
  <c r="AU179"/>
  <c r="AV179"/>
  <c r="AW179"/>
  <c r="AY179"/>
  <c r="BA179"/>
  <c r="BF179"/>
  <c r="BH179"/>
  <c r="BL179"/>
  <c r="BQ179"/>
  <c r="BW179"/>
  <c r="BX179"/>
  <c r="CC179"/>
  <c r="EK179"/>
  <c r="J180"/>
  <c r="K180"/>
  <c r="L180"/>
  <c r="M180"/>
  <c r="N180"/>
  <c r="O180"/>
  <c r="P180"/>
  <c r="Q180"/>
  <c r="R180"/>
  <c r="S180"/>
  <c r="T180"/>
  <c r="U180"/>
  <c r="V180"/>
  <c r="AX180"/>
  <c r="W180"/>
  <c r="X180"/>
  <c r="AZ180" s="1"/>
  <c r="Y180"/>
  <c r="Z180"/>
  <c r="BB180"/>
  <c r="AA180"/>
  <c r="BC180"/>
  <c r="AB180"/>
  <c r="AC180"/>
  <c r="BE180" s="1"/>
  <c r="AD180"/>
  <c r="AE180"/>
  <c r="BG180"/>
  <c r="AF180"/>
  <c r="AG180"/>
  <c r="BI180" s="1"/>
  <c r="AH180"/>
  <c r="BJ180" s="1"/>
  <c r="AI180"/>
  <c r="BK180" s="1"/>
  <c r="AJ180"/>
  <c r="AL180"/>
  <c r="CP180"/>
  <c r="AM180"/>
  <c r="AN180"/>
  <c r="AO180"/>
  <c r="AP180"/>
  <c r="AQ180"/>
  <c r="AR180"/>
  <c r="AS180"/>
  <c r="AT180"/>
  <c r="AU180"/>
  <c r="AV180"/>
  <c r="AW180"/>
  <c r="AY180"/>
  <c r="BA180"/>
  <c r="BD180"/>
  <c r="CF180" s="1"/>
  <c r="BF180"/>
  <c r="BF193" s="1"/>
  <c r="BH180"/>
  <c r="BL180"/>
  <c r="BQ180"/>
  <c r="BR180" s="1"/>
  <c r="BS180" s="1"/>
  <c r="BT180"/>
  <c r="BW180"/>
  <c r="BX180" s="1"/>
  <c r="BY180" s="1"/>
  <c r="CC180"/>
  <c r="EK180"/>
  <c r="J181"/>
  <c r="K181"/>
  <c r="L181"/>
  <c r="M181"/>
  <c r="N181"/>
  <c r="O181"/>
  <c r="P181"/>
  <c r="Q181"/>
  <c r="R181"/>
  <c r="S181"/>
  <c r="T181"/>
  <c r="U181"/>
  <c r="V181"/>
  <c r="DB181"/>
  <c r="DB169" s="1"/>
  <c r="DB194" s="1"/>
  <c r="W181"/>
  <c r="X181"/>
  <c r="Y181"/>
  <c r="Z181"/>
  <c r="AA181"/>
  <c r="AB181"/>
  <c r="AC181"/>
  <c r="AD181"/>
  <c r="AE181"/>
  <c r="AF181"/>
  <c r="AH181"/>
  <c r="DN181" s="1"/>
  <c r="DN169" s="1"/>
  <c r="AI181"/>
  <c r="AJ181"/>
  <c r="AL181"/>
  <c r="BN181"/>
  <c r="AM181"/>
  <c r="AN181"/>
  <c r="AO181"/>
  <c r="AP181"/>
  <c r="AQ181"/>
  <c r="AR181"/>
  <c r="AS181"/>
  <c r="AT181"/>
  <c r="AU181"/>
  <c r="BW181"/>
  <c r="BX181" s="1"/>
  <c r="AV181"/>
  <c r="AW181"/>
  <c r="AX181"/>
  <c r="AY181"/>
  <c r="AZ181"/>
  <c r="BA181"/>
  <c r="CC181"/>
  <c r="BC181"/>
  <c r="BD181"/>
  <c r="CF181" s="1"/>
  <c r="BE181"/>
  <c r="BF181"/>
  <c r="BG181"/>
  <c r="BH181"/>
  <c r="BI181"/>
  <c r="BJ181"/>
  <c r="CL181"/>
  <c r="CM181" s="1"/>
  <c r="BK181"/>
  <c r="BL181"/>
  <c r="BQ181"/>
  <c r="BR181"/>
  <c r="BS181" s="1"/>
  <c r="BT181"/>
  <c r="BZ181"/>
  <c r="CI181"/>
  <c r="CP181"/>
  <c r="CQ181"/>
  <c r="CR181" s="1"/>
  <c r="CS181" s="1"/>
  <c r="CT181" s="1"/>
  <c r="CU181" s="1"/>
  <c r="CV181" s="1"/>
  <c r="CW181" s="1"/>
  <c r="CX181" s="1"/>
  <c r="CY181" s="1"/>
  <c r="CZ181" s="1"/>
  <c r="DA181" s="1"/>
  <c r="EK181"/>
  <c r="E185"/>
  <c r="G185"/>
  <c r="J185"/>
  <c r="AG185"/>
  <c r="AH185"/>
  <c r="AI185"/>
  <c r="AJ185"/>
  <c r="AL185"/>
  <c r="BJ185"/>
  <c r="BK185"/>
  <c r="BL185"/>
  <c r="E186"/>
  <c r="G186"/>
  <c r="J186"/>
  <c r="M186"/>
  <c r="V186"/>
  <c r="W186"/>
  <c r="AX186"/>
  <c r="AY186"/>
  <c r="BZ186"/>
  <c r="E187"/>
  <c r="G187"/>
  <c r="I187"/>
  <c r="J187"/>
  <c r="AH187"/>
  <c r="AI187"/>
  <c r="AJ187"/>
  <c r="BJ187"/>
  <c r="BK187"/>
  <c r="BL187"/>
  <c r="E188"/>
  <c r="G188"/>
  <c r="J188"/>
  <c r="M188"/>
  <c r="V188"/>
  <c r="W188"/>
  <c r="AX188"/>
  <c r="AY188"/>
  <c r="E189"/>
  <c r="G189"/>
  <c r="V189"/>
  <c r="W189"/>
  <c r="AH189"/>
  <c r="AI189"/>
  <c r="AJ189"/>
  <c r="AX189"/>
  <c r="AY189"/>
  <c r="BJ189"/>
  <c r="BK189"/>
  <c r="BL189"/>
  <c r="E190"/>
  <c r="G190"/>
  <c r="J190"/>
  <c r="K190"/>
  <c r="L190"/>
  <c r="M190"/>
  <c r="O190"/>
  <c r="P190"/>
  <c r="R190"/>
  <c r="S190"/>
  <c r="U190"/>
  <c r="V190"/>
  <c r="W190"/>
  <c r="X190"/>
  <c r="Y190"/>
  <c r="Z190"/>
  <c r="AA190"/>
  <c r="AG190"/>
  <c r="AH190"/>
  <c r="AI190"/>
  <c r="AJ190"/>
  <c r="CP190"/>
  <c r="CQ190"/>
  <c r="CR190"/>
  <c r="CU190"/>
  <c r="CX190"/>
  <c r="DA190"/>
  <c r="DB190"/>
  <c r="DC190"/>
  <c r="DD190"/>
  <c r="DF190"/>
  <c r="DM190"/>
  <c r="DN190"/>
  <c r="DO190"/>
  <c r="DP190"/>
  <c r="E192"/>
  <c r="G192"/>
  <c r="J192"/>
  <c r="K192"/>
  <c r="L192"/>
  <c r="M192"/>
  <c r="N192"/>
  <c r="O192"/>
  <c r="P192"/>
  <c r="Q192"/>
  <c r="R192"/>
  <c r="S192"/>
  <c r="T192"/>
  <c r="U192"/>
  <c r="V192"/>
  <c r="W192"/>
  <c r="X192"/>
  <c r="Y192"/>
  <c r="Z192"/>
  <c r="AA192"/>
  <c r="AB192"/>
  <c r="AC192"/>
  <c r="AD192"/>
  <c r="AE192"/>
  <c r="AF192"/>
  <c r="AG192"/>
  <c r="AH192"/>
  <c r="AI192"/>
  <c r="AJ192"/>
  <c r="AL192"/>
  <c r="AM192"/>
  <c r="AN192"/>
  <c r="AO192"/>
  <c r="AP192"/>
  <c r="AQ192"/>
  <c r="AR192"/>
  <c r="AS192"/>
  <c r="AT192"/>
  <c r="AU192"/>
  <c r="AV192"/>
  <c r="AW192"/>
  <c r="AX192"/>
  <c r="AY192"/>
  <c r="AZ192"/>
  <c r="BA192"/>
  <c r="BB192"/>
  <c r="BC192"/>
  <c r="BD192"/>
  <c r="BE192"/>
  <c r="BF192"/>
  <c r="BG192"/>
  <c r="BH192"/>
  <c r="BI192"/>
  <c r="BJ192"/>
  <c r="BK192"/>
  <c r="BL192"/>
  <c r="CP192"/>
  <c r="E193"/>
  <c r="G193"/>
  <c r="J193"/>
  <c r="K193"/>
  <c r="L193"/>
  <c r="M193"/>
  <c r="N193"/>
  <c r="O193"/>
  <c r="P193"/>
  <c r="Q193"/>
  <c r="R193"/>
  <c r="S193"/>
  <c r="T193"/>
  <c r="U193"/>
  <c r="V193"/>
  <c r="W193"/>
  <c r="X193"/>
  <c r="Y193"/>
  <c r="Z193"/>
  <c r="AA193"/>
  <c r="AB193"/>
  <c r="AD193"/>
  <c r="AE193"/>
  <c r="AF193"/>
  <c r="AG193"/>
  <c r="AH193"/>
  <c r="AI193"/>
  <c r="AJ193"/>
  <c r="AL193"/>
  <c r="AM193"/>
  <c r="AN193"/>
  <c r="AO193"/>
  <c r="AP193"/>
  <c r="AQ193"/>
  <c r="AR193"/>
  <c r="AS193"/>
  <c r="AT193"/>
  <c r="AU193"/>
  <c r="AV193"/>
  <c r="AW193"/>
  <c r="AY193"/>
  <c r="BA193"/>
  <c r="BH193"/>
  <c r="BL193"/>
  <c r="BQ193"/>
  <c r="BW193"/>
  <c r="CC193"/>
  <c r="E194"/>
  <c r="G194"/>
  <c r="I194"/>
  <c r="J194"/>
  <c r="K194"/>
  <c r="L194"/>
  <c r="M194"/>
  <c r="N194"/>
  <c r="O194"/>
  <c r="P194"/>
  <c r="Q194"/>
  <c r="R194"/>
  <c r="S194"/>
  <c r="T194"/>
  <c r="U194"/>
  <c r="V194"/>
  <c r="W194"/>
  <c r="X194"/>
  <c r="Y194"/>
  <c r="Z194"/>
  <c r="AA194"/>
  <c r="AB194"/>
  <c r="AC194"/>
  <c r="AD194"/>
  <c r="AE194"/>
  <c r="AF194"/>
  <c r="AG194"/>
  <c r="AH194"/>
  <c r="AI194"/>
  <c r="AJ194"/>
  <c r="AL194"/>
  <c r="AM194"/>
  <c r="AN194"/>
  <c r="AO194"/>
  <c r="AP194"/>
  <c r="AQ194"/>
  <c r="AR194"/>
  <c r="AS194"/>
  <c r="AT194"/>
  <c r="AU194"/>
  <c r="AV194"/>
  <c r="AW194"/>
  <c r="AX194"/>
  <c r="AY194"/>
  <c r="AZ194"/>
  <c r="BA194"/>
  <c r="BC194"/>
  <c r="BD194"/>
  <c r="BF194"/>
  <c r="BG194"/>
  <c r="BH194"/>
  <c r="BI194"/>
  <c r="BJ194"/>
  <c r="BK194"/>
  <c r="BL194"/>
  <c r="CP194"/>
  <c r="E195"/>
  <c r="G195"/>
  <c r="J195"/>
  <c r="K195"/>
  <c r="L195"/>
  <c r="M195"/>
  <c r="N195"/>
  <c r="O195"/>
  <c r="P195"/>
  <c r="Q195"/>
  <c r="R195"/>
  <c r="S195"/>
  <c r="T195"/>
  <c r="U195"/>
  <c r="V195"/>
  <c r="W195"/>
  <c r="X195"/>
  <c r="Y195"/>
  <c r="Z195"/>
  <c r="AA195"/>
  <c r="AB195"/>
  <c r="AC195"/>
  <c r="AD195"/>
  <c r="AE195"/>
  <c r="AF195"/>
  <c r="AG195"/>
  <c r="AH195"/>
  <c r="AI195"/>
  <c r="AJ195"/>
  <c r="AL195"/>
  <c r="AM195"/>
  <c r="AN195"/>
  <c r="AO195"/>
  <c r="AP195"/>
  <c r="AQ195"/>
  <c r="AR195"/>
  <c r="AS195"/>
  <c r="AT195"/>
  <c r="AU195"/>
  <c r="AV195"/>
  <c r="AW195"/>
  <c r="AY195"/>
  <c r="BA195"/>
  <c r="BF195"/>
  <c r="BH195"/>
  <c r="BL195"/>
  <c r="E196"/>
  <c r="G196"/>
  <c r="J196"/>
  <c r="K196"/>
  <c r="L196"/>
  <c r="M196"/>
  <c r="N196"/>
  <c r="O196"/>
  <c r="P196"/>
  <c r="Q196"/>
  <c r="R196"/>
  <c r="S196"/>
  <c r="T196"/>
  <c r="U196"/>
  <c r="V196"/>
  <c r="W196"/>
  <c r="X196"/>
  <c r="Y196"/>
  <c r="Z196"/>
  <c r="AA196"/>
  <c r="AB196"/>
  <c r="AC196"/>
  <c r="AD196"/>
  <c r="AE196"/>
  <c r="AF196"/>
  <c r="AG196"/>
  <c r="AH196"/>
  <c r="AI196"/>
  <c r="AJ196"/>
  <c r="AL196"/>
  <c r="AM196"/>
  <c r="AN196"/>
  <c r="AO196"/>
  <c r="AP196"/>
  <c r="AQ196"/>
  <c r="AR196"/>
  <c r="AS196"/>
  <c r="AT196"/>
  <c r="AU196"/>
  <c r="AV196"/>
  <c r="AW196"/>
  <c r="AX196"/>
  <c r="AY196"/>
  <c r="AZ196"/>
  <c r="BA196"/>
  <c r="BB196"/>
  <c r="BD196"/>
  <c r="BF196"/>
  <c r="BG196"/>
  <c r="BH196"/>
  <c r="BI196"/>
  <c r="BJ196"/>
  <c r="BK196"/>
  <c r="BL196"/>
  <c r="DB196"/>
  <c r="E197"/>
  <c r="G197"/>
  <c r="J197"/>
  <c r="K197"/>
  <c r="L197"/>
  <c r="M197"/>
  <c r="N197"/>
  <c r="O197"/>
  <c r="P197"/>
  <c r="S197"/>
  <c r="T197"/>
  <c r="U197"/>
  <c r="V197"/>
  <c r="W197"/>
  <c r="X197"/>
  <c r="Y197"/>
  <c r="Z197"/>
  <c r="AA197"/>
  <c r="AB197"/>
  <c r="AC197"/>
  <c r="AD197"/>
  <c r="AE197"/>
  <c r="AF197"/>
  <c r="AG197"/>
  <c r="AH197"/>
  <c r="AI197"/>
  <c r="AJ197"/>
  <c r="CP197"/>
  <c r="CR197"/>
  <c r="CS197"/>
  <c r="CT197"/>
  <c r="CV197"/>
  <c r="CY197"/>
  <c r="CZ197"/>
  <c r="DA197"/>
  <c r="DB197"/>
  <c r="DC197"/>
  <c r="DD197"/>
  <c r="DE197"/>
  <c r="DF197"/>
  <c r="DG197"/>
  <c r="DH197"/>
  <c r="DI197"/>
  <c r="DJ197"/>
  <c r="DK197"/>
  <c r="DL197"/>
  <c r="DM197"/>
  <c r="DN197"/>
  <c r="DO197"/>
  <c r="DP197"/>
  <c r="I199"/>
  <c r="E202" i="3" s="1"/>
  <c r="I202" i="1"/>
  <c r="J202" s="1"/>
  <c r="K202"/>
  <c r="M202"/>
  <c r="N202"/>
  <c r="O202" s="1"/>
  <c r="AO202"/>
  <c r="CS202" s="1"/>
  <c r="BA202"/>
  <c r="BB202"/>
  <c r="DF202" s="1"/>
  <c r="I203"/>
  <c r="J203" s="1"/>
  <c r="M203"/>
  <c r="N203" s="1"/>
  <c r="BA203"/>
  <c r="BB203"/>
  <c r="DF203" s="1"/>
  <c r="I204"/>
  <c r="J204" s="1"/>
  <c r="M204"/>
  <c r="N204"/>
  <c r="AI204"/>
  <c r="AH204"/>
  <c r="AO204"/>
  <c r="CS204"/>
  <c r="I205"/>
  <c r="J205"/>
  <c r="M205"/>
  <c r="N205"/>
  <c r="BA205"/>
  <c r="BB205"/>
  <c r="DE205"/>
  <c r="DF205"/>
  <c r="I206"/>
  <c r="J206"/>
  <c r="M206"/>
  <c r="N206"/>
  <c r="BA206"/>
  <c r="BB206"/>
  <c r="DE206"/>
  <c r="DF206"/>
  <c r="J207"/>
  <c r="K207"/>
  <c r="AL207"/>
  <c r="AX207"/>
  <c r="DB207" s="1"/>
  <c r="DC207" s="1"/>
  <c r="DD207" s="1"/>
  <c r="AY207"/>
  <c r="AZ207"/>
  <c r="BJ207"/>
  <c r="CP207"/>
  <c r="J208"/>
  <c r="K208" s="1"/>
  <c r="AX208"/>
  <c r="AZ208"/>
  <c r="AL208"/>
  <c r="CP208" s="1"/>
  <c r="CP250" s="1"/>
  <c r="BJ208"/>
  <c r="DO208"/>
  <c r="DP208"/>
  <c r="J209"/>
  <c r="AL209" s="1"/>
  <c r="K209"/>
  <c r="L209"/>
  <c r="AN209" s="1"/>
  <c r="M209"/>
  <c r="AO209"/>
  <c r="N209"/>
  <c r="O209"/>
  <c r="AQ209" s="1"/>
  <c r="P209"/>
  <c r="Q209"/>
  <c r="AS209"/>
  <c r="R209"/>
  <c r="S209"/>
  <c r="AU209" s="1"/>
  <c r="T209"/>
  <c r="U209"/>
  <c r="AW209"/>
  <c r="AM209"/>
  <c r="AP209"/>
  <c r="AR209"/>
  <c r="AT209"/>
  <c r="AV209"/>
  <c r="AX209"/>
  <c r="AY209"/>
  <c r="DN209"/>
  <c r="DO209" s="1"/>
  <c r="DP209" s="1"/>
  <c r="K210"/>
  <c r="L210"/>
  <c r="V210"/>
  <c r="W210"/>
  <c r="AY210" s="1"/>
  <c r="X210"/>
  <c r="CB210" s="1"/>
  <c r="Y210"/>
  <c r="BA210" s="1"/>
  <c r="Z210"/>
  <c r="BB210" s="1"/>
  <c r="AA210"/>
  <c r="AB210"/>
  <c r="BD210"/>
  <c r="AC210"/>
  <c r="BE210"/>
  <c r="AD210"/>
  <c r="AE210"/>
  <c r="BG210" s="1"/>
  <c r="CK210" s="1"/>
  <c r="AF210"/>
  <c r="AL210"/>
  <c r="AX210"/>
  <c r="BH210"/>
  <c r="BI210"/>
  <c r="BJ210"/>
  <c r="J211"/>
  <c r="K211"/>
  <c r="AX211"/>
  <c r="DB211"/>
  <c r="AY211"/>
  <c r="BJ211"/>
  <c r="BK211"/>
  <c r="BL211"/>
  <c r="J212"/>
  <c r="K212"/>
  <c r="AX212"/>
  <c r="AY212"/>
  <c r="AY911" s="1"/>
  <c r="BJ212"/>
  <c r="DB212"/>
  <c r="DC212"/>
  <c r="J213"/>
  <c r="AL213" s="1"/>
  <c r="AX213"/>
  <c r="DB213" s="1"/>
  <c r="AY213"/>
  <c r="BJ213"/>
  <c r="BK213"/>
  <c r="CN213" s="1"/>
  <c r="BL213"/>
  <c r="DN213"/>
  <c r="DO213" s="1"/>
  <c r="J214"/>
  <c r="K214" s="1"/>
  <c r="L214" s="1"/>
  <c r="AF214"/>
  <c r="AE214"/>
  <c r="BJ214"/>
  <c r="DN214" s="1"/>
  <c r="BK214"/>
  <c r="BL214"/>
  <c r="J215"/>
  <c r="K215" s="1"/>
  <c r="L215" s="1"/>
  <c r="AF215"/>
  <c r="AE215"/>
  <c r="BJ215"/>
  <c r="DN215" s="1"/>
  <c r="BK215"/>
  <c r="BL215"/>
  <c r="M216"/>
  <c r="N216" s="1"/>
  <c r="Q216"/>
  <c r="R216" s="1"/>
  <c r="U216"/>
  <c r="AW216" s="1"/>
  <c r="AL216"/>
  <c r="BP216" s="1"/>
  <c r="AM216"/>
  <c r="AN216"/>
  <c r="AO216"/>
  <c r="AX216"/>
  <c r="AY216"/>
  <c r="AZ216"/>
  <c r="BA216"/>
  <c r="BB216"/>
  <c r="BC216"/>
  <c r="BD216"/>
  <c r="BE216"/>
  <c r="BF216"/>
  <c r="BG216"/>
  <c r="CK216" s="1"/>
  <c r="CJ216" s="1"/>
  <c r="BH216"/>
  <c r="BI216"/>
  <c r="BJ216"/>
  <c r="BK216"/>
  <c r="BL216"/>
  <c r="CP216"/>
  <c r="CQ216" s="1"/>
  <c r="CR216" s="1"/>
  <c r="CS216" s="1"/>
  <c r="DB216"/>
  <c r="DC216" s="1"/>
  <c r="DD216" s="1"/>
  <c r="DE216" s="1"/>
  <c r="DF216" s="1"/>
  <c r="DG216" s="1"/>
  <c r="DH216" s="1"/>
  <c r="DI216" s="1"/>
  <c r="DJ216" s="1"/>
  <c r="DK216" s="1"/>
  <c r="DL216" s="1"/>
  <c r="DM216" s="1"/>
  <c r="EB216" s="1"/>
  <c r="EG216" s="1"/>
  <c r="DN216"/>
  <c r="DO216" s="1"/>
  <c r="DP216" s="1"/>
  <c r="P217"/>
  <c r="Q217"/>
  <c r="Y217"/>
  <c r="BA217"/>
  <c r="AC217"/>
  <c r="AD217"/>
  <c r="AL217"/>
  <c r="AM217"/>
  <c r="AN217"/>
  <c r="AO217"/>
  <c r="AP217"/>
  <c r="AQ217"/>
  <c r="BS217" s="1"/>
  <c r="BR217" s="1"/>
  <c r="AR217"/>
  <c r="AX217"/>
  <c r="CB217" s="1"/>
  <c r="AY217"/>
  <c r="AZ217"/>
  <c r="BC217"/>
  <c r="BD217"/>
  <c r="BJ217"/>
  <c r="BK217"/>
  <c r="BL217"/>
  <c r="M218"/>
  <c r="N218" s="1"/>
  <c r="CT218" s="1"/>
  <c r="P218"/>
  <c r="Q218"/>
  <c r="CW218" s="1"/>
  <c r="S218"/>
  <c r="T218" s="1"/>
  <c r="CZ218" s="1"/>
  <c r="Y218"/>
  <c r="DE218"/>
  <c r="AA218"/>
  <c r="AB218"/>
  <c r="AC218" s="1"/>
  <c r="CP218"/>
  <c r="CQ218"/>
  <c r="CR218"/>
  <c r="CU218"/>
  <c r="CX218"/>
  <c r="DA218"/>
  <c r="EA218" s="1"/>
  <c r="DB218"/>
  <c r="DC218"/>
  <c r="DD218"/>
  <c r="DF218"/>
  <c r="DG218"/>
  <c r="DM218"/>
  <c r="EB218"/>
  <c r="DN218"/>
  <c r="DO218"/>
  <c r="DP218"/>
  <c r="EE218"/>
  <c r="EO243" s="1"/>
  <c r="EF218"/>
  <c r="EP243" s="1"/>
  <c r="M219"/>
  <c r="N219" s="1"/>
  <c r="P219"/>
  <c r="Q219" s="1"/>
  <c r="S219"/>
  <c r="T219" s="1"/>
  <c r="Y219"/>
  <c r="DE219" s="1"/>
  <c r="DE255" s="1"/>
  <c r="AA219"/>
  <c r="AB219"/>
  <c r="AB255" s="1"/>
  <c r="CP219"/>
  <c r="CQ219"/>
  <c r="CR219"/>
  <c r="CU219"/>
  <c r="CX219"/>
  <c r="DA219"/>
  <c r="EA219" s="1"/>
  <c r="EA255" s="1"/>
  <c r="DB219"/>
  <c r="DC219"/>
  <c r="DD219"/>
  <c r="DF219"/>
  <c r="DM219"/>
  <c r="DN219"/>
  <c r="DO219"/>
  <c r="DP219"/>
  <c r="EB219"/>
  <c r="EE219"/>
  <c r="EO244" s="1"/>
  <c r="EF219"/>
  <c r="EP244" s="1"/>
  <c r="J220"/>
  <c r="K220"/>
  <c r="L220"/>
  <c r="M220"/>
  <c r="N220"/>
  <c r="O220"/>
  <c r="P220"/>
  <c r="Q220"/>
  <c r="R220"/>
  <c r="S220"/>
  <c r="T220"/>
  <c r="U220"/>
  <c r="AL220"/>
  <c r="AM220"/>
  <c r="AN220"/>
  <c r="AO220"/>
  <c r="BQ220" s="1"/>
  <c r="BR220" s="1"/>
  <c r="BS220" s="1"/>
  <c r="AP220"/>
  <c r="AQ220"/>
  <c r="AR220"/>
  <c r="AS220"/>
  <c r="AT220"/>
  <c r="AU220"/>
  <c r="BW220" s="1"/>
  <c r="BX220" s="1"/>
  <c r="BY220" s="1"/>
  <c r="AV220"/>
  <c r="AX220"/>
  <c r="BN220"/>
  <c r="BT220"/>
  <c r="BU220" s="1"/>
  <c r="BV220" s="1"/>
  <c r="CP220"/>
  <c r="CQ220"/>
  <c r="CR220" s="1"/>
  <c r="CS220" s="1"/>
  <c r="CT220" s="1"/>
  <c r="CU220" s="1"/>
  <c r="CV220" s="1"/>
  <c r="CW220" s="1"/>
  <c r="CX220" s="1"/>
  <c r="CY220" s="1"/>
  <c r="CZ220" s="1"/>
  <c r="DA220" s="1"/>
  <c r="EA220" s="1"/>
  <c r="DB220"/>
  <c r="DC220" s="1"/>
  <c r="M221"/>
  <c r="AO221" s="1"/>
  <c r="DB221"/>
  <c r="X222"/>
  <c r="Y222"/>
  <c r="BA222" s="1"/>
  <c r="CC222" s="1"/>
  <c r="DE222" s="1"/>
  <c r="Z222"/>
  <c r="BB222" s="1"/>
  <c r="CD222" s="1"/>
  <c r="DF222" s="1"/>
  <c r="AA222"/>
  <c r="BC222"/>
  <c r="AB222"/>
  <c r="AC222"/>
  <c r="BE222" s="1"/>
  <c r="CG222" s="1"/>
  <c r="DI222" s="1"/>
  <c r="AD222"/>
  <c r="BF222" s="1"/>
  <c r="CH222" s="1"/>
  <c r="DJ222" s="1"/>
  <c r="AE222"/>
  <c r="BG222"/>
  <c r="CI222" s="1"/>
  <c r="DK222" s="1"/>
  <c r="AF222"/>
  <c r="AG222"/>
  <c r="BI222" s="1"/>
  <c r="CK222" s="1"/>
  <c r="DM222" s="1"/>
  <c r="AH222"/>
  <c r="BJ222" s="1"/>
  <c r="CL222" s="1"/>
  <c r="DN222" s="1"/>
  <c r="AZ222"/>
  <c r="CB222" s="1"/>
  <c r="DD222" s="1"/>
  <c r="BD222"/>
  <c r="CF222" s="1"/>
  <c r="DH222" s="1"/>
  <c r="BH222"/>
  <c r="CJ222" s="1"/>
  <c r="DL222" s="1"/>
  <c r="EA222"/>
  <c r="EB222"/>
  <c r="J223"/>
  <c r="K223"/>
  <c r="V223"/>
  <c r="BZ223"/>
  <c r="W223"/>
  <c r="X223"/>
  <c r="AH223"/>
  <c r="CL223" s="1"/>
  <c r="AI223"/>
  <c r="AJ223"/>
  <c r="AX223"/>
  <c r="BJ223"/>
  <c r="BK223"/>
  <c r="BL223"/>
  <c r="CP223"/>
  <c r="CQ223" s="1"/>
  <c r="DB223"/>
  <c r="DC223" s="1"/>
  <c r="DD223" s="1"/>
  <c r="DN223"/>
  <c r="EG223"/>
  <c r="AL225"/>
  <c r="AM225"/>
  <c r="CQ225" s="1"/>
  <c r="AN225"/>
  <c r="AO225"/>
  <c r="CS225" s="1"/>
  <c r="AP225"/>
  <c r="AQ225"/>
  <c r="CU225" s="1"/>
  <c r="AR225"/>
  <c r="AS225"/>
  <c r="BV225" s="1"/>
  <c r="AT225"/>
  <c r="AU225"/>
  <c r="AV225"/>
  <c r="AW225"/>
  <c r="AX225"/>
  <c r="AY225"/>
  <c r="AZ225"/>
  <c r="BA225"/>
  <c r="BB225"/>
  <c r="BC225"/>
  <c r="CE225"/>
  <c r="BD225"/>
  <c r="DH225"/>
  <c r="BE225"/>
  <c r="BF225"/>
  <c r="DJ225" s="1"/>
  <c r="BG225"/>
  <c r="DK225" s="1"/>
  <c r="BH225"/>
  <c r="BI225"/>
  <c r="BJ225"/>
  <c r="DN225"/>
  <c r="BK225"/>
  <c r="BL225"/>
  <c r="DP225" s="1"/>
  <c r="BS225"/>
  <c r="BR225" s="1"/>
  <c r="BY225"/>
  <c r="BX225" s="1"/>
  <c r="CH225"/>
  <c r="CG225" s="1"/>
  <c r="CP225"/>
  <c r="CR225"/>
  <c r="CT225"/>
  <c r="CV225"/>
  <c r="CX225"/>
  <c r="CY225"/>
  <c r="CZ225"/>
  <c r="DA225"/>
  <c r="DB225"/>
  <c r="DC225"/>
  <c r="DD225"/>
  <c r="DE225"/>
  <c r="DF225"/>
  <c r="DG225"/>
  <c r="DI225"/>
  <c r="DM225"/>
  <c r="DO225"/>
  <c r="EH225"/>
  <c r="EK225"/>
  <c r="AL226"/>
  <c r="CP226" s="1"/>
  <c r="AM226"/>
  <c r="AN226"/>
  <c r="CR226" s="1"/>
  <c r="AO226"/>
  <c r="AP226"/>
  <c r="BS226" s="1"/>
  <c r="BR226" s="1"/>
  <c r="AQ226"/>
  <c r="AR226"/>
  <c r="BV226" s="1"/>
  <c r="AS226"/>
  <c r="AT226"/>
  <c r="CX226" s="1"/>
  <c r="AU226"/>
  <c r="AV226"/>
  <c r="AW226"/>
  <c r="AX226"/>
  <c r="AY226"/>
  <c r="AZ226"/>
  <c r="DD226"/>
  <c r="BA226"/>
  <c r="BB226"/>
  <c r="DF226" s="1"/>
  <c r="BC226"/>
  <c r="CE226"/>
  <c r="BD226"/>
  <c r="DH226"/>
  <c r="BE226"/>
  <c r="BF226"/>
  <c r="DJ226" s="1"/>
  <c r="BG226"/>
  <c r="DK226" s="1"/>
  <c r="BH226"/>
  <c r="BI226"/>
  <c r="CK226"/>
  <c r="BJ226"/>
  <c r="DN226" s="1"/>
  <c r="BK226"/>
  <c r="BL226"/>
  <c r="DP226"/>
  <c r="CQ226"/>
  <c r="CS226"/>
  <c r="CU226"/>
  <c r="CW226"/>
  <c r="CY226"/>
  <c r="CZ226"/>
  <c r="DA226"/>
  <c r="DB226"/>
  <c r="DC226"/>
  <c r="DE226"/>
  <c r="DG226"/>
  <c r="DI226"/>
  <c r="DM226"/>
  <c r="DO226"/>
  <c r="EK226"/>
  <c r="AL227"/>
  <c r="CP227" s="1"/>
  <c r="AM227"/>
  <c r="CQ227"/>
  <c r="AN227"/>
  <c r="AO227"/>
  <c r="AP227"/>
  <c r="CT227"/>
  <c r="AQ227"/>
  <c r="AR227"/>
  <c r="CV227" s="1"/>
  <c r="AS227"/>
  <c r="CW227"/>
  <c r="AT227"/>
  <c r="AU227"/>
  <c r="AV227"/>
  <c r="AW227"/>
  <c r="DA227" s="1"/>
  <c r="AX227"/>
  <c r="DB227" s="1"/>
  <c r="AY227"/>
  <c r="DC227" s="1"/>
  <c r="AZ227"/>
  <c r="BA227"/>
  <c r="BB227"/>
  <c r="DF227" s="1"/>
  <c r="BC227"/>
  <c r="DG227"/>
  <c r="BD227"/>
  <c r="BE227"/>
  <c r="BF227"/>
  <c r="DJ227"/>
  <c r="BG227"/>
  <c r="DK227"/>
  <c r="BH227"/>
  <c r="BI227"/>
  <c r="DM227" s="1"/>
  <c r="BJ227"/>
  <c r="BK227"/>
  <c r="CN227" s="1"/>
  <c r="BL227"/>
  <c r="DP227"/>
  <c r="CR227"/>
  <c r="CX227"/>
  <c r="CZ227"/>
  <c r="DD227"/>
  <c r="DH227"/>
  <c r="DL227"/>
  <c r="DN227"/>
  <c r="EJ227" s="1"/>
  <c r="EK227"/>
  <c r="AL228"/>
  <c r="AM228"/>
  <c r="AN228"/>
  <c r="CR228" s="1"/>
  <c r="AO228"/>
  <c r="CS228" s="1"/>
  <c r="AP228"/>
  <c r="CT228"/>
  <c r="AQ228"/>
  <c r="AR228"/>
  <c r="AS228"/>
  <c r="AT228"/>
  <c r="CX228" s="1"/>
  <c r="AU228"/>
  <c r="AV228"/>
  <c r="CZ228"/>
  <c r="AW228"/>
  <c r="AX228"/>
  <c r="AY228"/>
  <c r="AZ228"/>
  <c r="DD228" s="1"/>
  <c r="BA228"/>
  <c r="BB228"/>
  <c r="DF228"/>
  <c r="AN206" i="3" s="1"/>
  <c r="BC228" i="1"/>
  <c r="BD228"/>
  <c r="DH228"/>
  <c r="BE228"/>
  <c r="BF228"/>
  <c r="DJ228" s="1"/>
  <c r="BG228"/>
  <c r="CK228" s="1"/>
  <c r="BH228"/>
  <c r="BI228"/>
  <c r="DM228" s="1"/>
  <c r="BJ228"/>
  <c r="DN228" s="1"/>
  <c r="BK228"/>
  <c r="BL228"/>
  <c r="DP228" s="1"/>
  <c r="CQ228"/>
  <c r="CU228"/>
  <c r="CW228"/>
  <c r="DA228"/>
  <c r="DC228"/>
  <c r="DE228"/>
  <c r="AM206" i="3" s="1"/>
  <c r="DG228" i="1"/>
  <c r="DI228"/>
  <c r="DK228"/>
  <c r="DO228"/>
  <c r="F206" i="3"/>
  <c r="EK228" i="1"/>
  <c r="AL229"/>
  <c r="CP229" s="1"/>
  <c r="AM229"/>
  <c r="AN229"/>
  <c r="CR229" s="1"/>
  <c r="AO229"/>
  <c r="AP229"/>
  <c r="CT229" s="1"/>
  <c r="AQ229"/>
  <c r="AR229"/>
  <c r="CV229" s="1"/>
  <c r="AS229"/>
  <c r="AT229"/>
  <c r="CX229" s="1"/>
  <c r="AU229"/>
  <c r="CY229"/>
  <c r="AV229"/>
  <c r="AW229"/>
  <c r="DA229" s="1"/>
  <c r="AX229"/>
  <c r="DB229" s="1"/>
  <c r="AY229"/>
  <c r="DC229"/>
  <c r="AZ229"/>
  <c r="BA229"/>
  <c r="BB229"/>
  <c r="DF229"/>
  <c r="AN207" i="3" s="1"/>
  <c r="BC229" i="1"/>
  <c r="BD229"/>
  <c r="BE229"/>
  <c r="DI229" s="1"/>
  <c r="BF229"/>
  <c r="DJ229"/>
  <c r="BG229"/>
  <c r="BH229"/>
  <c r="CK229" s="1"/>
  <c r="CJ229" s="1"/>
  <c r="BI229"/>
  <c r="DM229" s="1"/>
  <c r="BJ229"/>
  <c r="BK229"/>
  <c r="DO229" s="1"/>
  <c r="BL229"/>
  <c r="DP229"/>
  <c r="CQ229"/>
  <c r="CS229"/>
  <c r="CU229"/>
  <c r="CW229"/>
  <c r="CZ229"/>
  <c r="DD229"/>
  <c r="DK229"/>
  <c r="EK229"/>
  <c r="AL230"/>
  <c r="CP230"/>
  <c r="AM230"/>
  <c r="AN230"/>
  <c r="AO230"/>
  <c r="AP230"/>
  <c r="BS230" s="1"/>
  <c r="AQ230"/>
  <c r="AR230"/>
  <c r="AS230"/>
  <c r="AT230"/>
  <c r="BV230"/>
  <c r="AU230"/>
  <c r="AV230"/>
  <c r="AW230"/>
  <c r="AX230"/>
  <c r="DB230" s="1"/>
  <c r="AY230"/>
  <c r="AZ230"/>
  <c r="BA230"/>
  <c r="BB230"/>
  <c r="BC230"/>
  <c r="BD230"/>
  <c r="BE230"/>
  <c r="BF230"/>
  <c r="BG230"/>
  <c r="BH230"/>
  <c r="BI230"/>
  <c r="BJ230"/>
  <c r="EH230" s="1"/>
  <c r="BK230"/>
  <c r="BL230"/>
  <c r="EK230"/>
  <c r="AL231"/>
  <c r="CP231"/>
  <c r="AM231"/>
  <c r="AN231"/>
  <c r="AO231"/>
  <c r="CS231"/>
  <c r="AP231"/>
  <c r="AQ231"/>
  <c r="AR231"/>
  <c r="AS231"/>
  <c r="CW231" s="1"/>
  <c r="AT231"/>
  <c r="CX231" s="1"/>
  <c r="AU231"/>
  <c r="CY231" s="1"/>
  <c r="AV231"/>
  <c r="AW231"/>
  <c r="DA231" s="1"/>
  <c r="AX231"/>
  <c r="DB231" s="1"/>
  <c r="AY231"/>
  <c r="AZ231"/>
  <c r="DD231"/>
  <c r="BA231"/>
  <c r="DE231"/>
  <c r="BB231"/>
  <c r="DF231"/>
  <c r="BC231"/>
  <c r="DG231"/>
  <c r="BD231"/>
  <c r="DH231"/>
  <c r="BE231"/>
  <c r="DI231"/>
  <c r="BF231"/>
  <c r="BG231"/>
  <c r="BH231"/>
  <c r="BI231"/>
  <c r="DM231" s="1"/>
  <c r="BJ231"/>
  <c r="DN231" s="1"/>
  <c r="BK231"/>
  <c r="DO231" s="1"/>
  <c r="BL231"/>
  <c r="DP231" s="1"/>
  <c r="CB231"/>
  <c r="CA231" s="1"/>
  <c r="CU231"/>
  <c r="DC231"/>
  <c r="DJ231"/>
  <c r="DK231"/>
  <c r="EK231"/>
  <c r="AL232"/>
  <c r="AM232"/>
  <c r="AN232"/>
  <c r="AO232"/>
  <c r="AP232"/>
  <c r="CT232"/>
  <c r="AQ232"/>
  <c r="CU232"/>
  <c r="AR232"/>
  <c r="AS232"/>
  <c r="CW232" s="1"/>
  <c r="AT232"/>
  <c r="CX232" s="1"/>
  <c r="AU232"/>
  <c r="AV232"/>
  <c r="CZ232"/>
  <c r="AW232"/>
  <c r="AX232"/>
  <c r="AY232"/>
  <c r="DC232"/>
  <c r="AZ232"/>
  <c r="BA232"/>
  <c r="BB232"/>
  <c r="BC232"/>
  <c r="DG232" s="1"/>
  <c r="BD232"/>
  <c r="DH232" s="1"/>
  <c r="BE232"/>
  <c r="BF232"/>
  <c r="DJ232" s="1"/>
  <c r="BG232"/>
  <c r="BH232"/>
  <c r="BI232"/>
  <c r="BJ232"/>
  <c r="BK232"/>
  <c r="BL232"/>
  <c r="DP232" s="1"/>
  <c r="CV232"/>
  <c r="DD232"/>
  <c r="DF232"/>
  <c r="DN232"/>
  <c r="EK232"/>
  <c r="EQ232"/>
  <c r="ER232"/>
  <c r="ES232"/>
  <c r="AL233"/>
  <c r="AM233"/>
  <c r="AN233"/>
  <c r="AO233"/>
  <c r="AP233"/>
  <c r="CT233"/>
  <c r="AQ233"/>
  <c r="CU233"/>
  <c r="AR233"/>
  <c r="AS233"/>
  <c r="CW233" s="1"/>
  <c r="AT233"/>
  <c r="CX233" s="1"/>
  <c r="AU233"/>
  <c r="BY233" s="1"/>
  <c r="BX233" s="1"/>
  <c r="AV233"/>
  <c r="CZ233"/>
  <c r="AW233"/>
  <c r="AX233"/>
  <c r="AY233"/>
  <c r="AZ233"/>
  <c r="BA233"/>
  <c r="DE233"/>
  <c r="BB233"/>
  <c r="DF233"/>
  <c r="BC233"/>
  <c r="BD233"/>
  <c r="BE233"/>
  <c r="BF233"/>
  <c r="BG233"/>
  <c r="BH233"/>
  <c r="BI233"/>
  <c r="CK233"/>
  <c r="BJ233"/>
  <c r="DN233" s="1"/>
  <c r="BK233"/>
  <c r="BL233"/>
  <c r="DP233"/>
  <c r="DA233"/>
  <c r="DC233"/>
  <c r="DG233"/>
  <c r="DI233"/>
  <c r="DO233"/>
  <c r="EK233"/>
  <c r="EQ233"/>
  <c r="ER233"/>
  <c r="ES233"/>
  <c r="AL234"/>
  <c r="AM234"/>
  <c r="AN234"/>
  <c r="AO234"/>
  <c r="AP234"/>
  <c r="AQ234"/>
  <c r="AR234"/>
  <c r="AS234"/>
  <c r="AT234"/>
  <c r="AU234"/>
  <c r="AV234"/>
  <c r="EH234"/>
  <c r="CB234"/>
  <c r="CA234"/>
  <c r="CE234"/>
  <c r="CD234"/>
  <c r="CH234"/>
  <c r="CG234"/>
  <c r="CK234"/>
  <c r="CI234"/>
  <c r="CN234"/>
  <c r="CM234" s="1"/>
  <c r="CP234"/>
  <c r="CQ234" s="1"/>
  <c r="CR234" s="1"/>
  <c r="CS234" s="1"/>
  <c r="CT234" s="1"/>
  <c r="CU234" s="1"/>
  <c r="CV234" s="1"/>
  <c r="CW234" s="1"/>
  <c r="CX234" s="1"/>
  <c r="CY234" s="1"/>
  <c r="CZ234" s="1"/>
  <c r="DA234" s="1"/>
  <c r="DB234"/>
  <c r="DC234" s="1"/>
  <c r="DD234" s="1"/>
  <c r="DE234" s="1"/>
  <c r="DF234" s="1"/>
  <c r="DG234" s="1"/>
  <c r="DH234" s="1"/>
  <c r="DN234"/>
  <c r="DO234"/>
  <c r="EK234"/>
  <c r="AL235"/>
  <c r="AM235"/>
  <c r="AN235"/>
  <c r="AO235"/>
  <c r="AP235"/>
  <c r="AQ235"/>
  <c r="AR235"/>
  <c r="AS235"/>
  <c r="AT235"/>
  <c r="AU235"/>
  <c r="AV235"/>
  <c r="AW235"/>
  <c r="AX235"/>
  <c r="AY235"/>
  <c r="AZ235"/>
  <c r="BA235"/>
  <c r="BB235"/>
  <c r="BC235"/>
  <c r="BD235"/>
  <c r="BE235"/>
  <c r="BF235"/>
  <c r="BG235"/>
  <c r="BH235"/>
  <c r="BI235"/>
  <c r="EH235"/>
  <c r="EL235" s="1"/>
  <c r="EQ235" s="1"/>
  <c r="BJ235"/>
  <c r="BL235"/>
  <c r="CP235"/>
  <c r="EK235"/>
  <c r="AL236"/>
  <c r="CP236" s="1"/>
  <c r="AM236"/>
  <c r="AN236"/>
  <c r="AO236"/>
  <c r="AP236"/>
  <c r="AQ236"/>
  <c r="AR236"/>
  <c r="AS236"/>
  <c r="AT236"/>
  <c r="AU236"/>
  <c r="AV236"/>
  <c r="AW236"/>
  <c r="AX236"/>
  <c r="AY236"/>
  <c r="AZ236"/>
  <c r="BA236"/>
  <c r="BB236"/>
  <c r="BC236"/>
  <c r="BD236"/>
  <c r="BE236"/>
  <c r="BF236"/>
  <c r="BG236"/>
  <c r="BH236"/>
  <c r="BI236"/>
  <c r="BJ236"/>
  <c r="EH236" s="1"/>
  <c r="BK236"/>
  <c r="BL236"/>
  <c r="DB236"/>
  <c r="DC236"/>
  <c r="DD236" s="1"/>
  <c r="DE236" s="1"/>
  <c r="DF236" s="1"/>
  <c r="DG236" s="1"/>
  <c r="DH236" s="1"/>
  <c r="DI236" s="1"/>
  <c r="DJ236" s="1"/>
  <c r="DK236" s="1"/>
  <c r="DL236" s="1"/>
  <c r="EK236"/>
  <c r="AL237"/>
  <c r="CP237"/>
  <c r="CQ237" s="1"/>
  <c r="AM237"/>
  <c r="AN237"/>
  <c r="AO237"/>
  <c r="AP237"/>
  <c r="AQ237"/>
  <c r="AR237"/>
  <c r="AS237"/>
  <c r="AT237"/>
  <c r="AU237"/>
  <c r="AV237"/>
  <c r="AW237"/>
  <c r="AX237"/>
  <c r="AX898"/>
  <c r="AY237"/>
  <c r="AZ237"/>
  <c r="BA237"/>
  <c r="BB237"/>
  <c r="BC237"/>
  <c r="BD237"/>
  <c r="BE237"/>
  <c r="BF237"/>
  <c r="BG237"/>
  <c r="BH237"/>
  <c r="BH898" s="1"/>
  <c r="BI237"/>
  <c r="EH237"/>
  <c r="BJ237"/>
  <c r="DN237"/>
  <c r="DN898" s="1"/>
  <c r="BK237"/>
  <c r="BL237"/>
  <c r="DB237"/>
  <c r="EK237"/>
  <c r="AL238"/>
  <c r="CP238"/>
  <c r="AM238"/>
  <c r="AN238"/>
  <c r="AO238"/>
  <c r="AP238"/>
  <c r="AQ238"/>
  <c r="AR238"/>
  <c r="AS238"/>
  <c r="AT238"/>
  <c r="AU238"/>
  <c r="AV238"/>
  <c r="AW238"/>
  <c r="AX238"/>
  <c r="DB238" s="1"/>
  <c r="AY238"/>
  <c r="AY261" s="1"/>
  <c r="AZ238"/>
  <c r="BA238"/>
  <c r="BA261"/>
  <c r="BB238"/>
  <c r="BC238"/>
  <c r="BC261" s="1"/>
  <c r="BD238"/>
  <c r="BE238"/>
  <c r="BF238"/>
  <c r="BG238"/>
  <c r="BH238"/>
  <c r="BI238"/>
  <c r="BJ238"/>
  <c r="EH238" s="1"/>
  <c r="BK238"/>
  <c r="BL238"/>
  <c r="BV238"/>
  <c r="BU238" s="1"/>
  <c r="DN238"/>
  <c r="EK238"/>
  <c r="AL239"/>
  <c r="AM239"/>
  <c r="AN239"/>
  <c r="AO239"/>
  <c r="AP239"/>
  <c r="AQ239"/>
  <c r="AR239"/>
  <c r="AS239"/>
  <c r="AT239"/>
  <c r="AU239"/>
  <c r="AV239"/>
  <c r="AW239"/>
  <c r="AX239"/>
  <c r="AY239"/>
  <c r="AZ239"/>
  <c r="BA239"/>
  <c r="BB239"/>
  <c r="BC239"/>
  <c r="BD239"/>
  <c r="BE239"/>
  <c r="BF239"/>
  <c r="BG239"/>
  <c r="BH239"/>
  <c r="BI239"/>
  <c r="EH239"/>
  <c r="BJ239"/>
  <c r="BK239"/>
  <c r="DO239" s="1"/>
  <c r="DP239" s="1"/>
  <c r="BL239"/>
  <c r="BV239"/>
  <c r="BU239" s="1"/>
  <c r="CP239"/>
  <c r="DN239"/>
  <c r="EK239"/>
  <c r="AL240"/>
  <c r="AM240"/>
  <c r="AN240"/>
  <c r="AO240"/>
  <c r="AP240"/>
  <c r="AQ240"/>
  <c r="AR240"/>
  <c r="AS240"/>
  <c r="AT240"/>
  <c r="AU240"/>
  <c r="AV240"/>
  <c r="AW240"/>
  <c r="AX240"/>
  <c r="AY240"/>
  <c r="AZ240"/>
  <c r="BA240"/>
  <c r="BB240"/>
  <c r="BC240"/>
  <c r="BD240"/>
  <c r="BE240"/>
  <c r="BF240"/>
  <c r="BG240"/>
  <c r="BH240"/>
  <c r="BI240"/>
  <c r="CK240"/>
  <c r="BJ240"/>
  <c r="DN240"/>
  <c r="BK240"/>
  <c r="BL240"/>
  <c r="EH240"/>
  <c r="EK240"/>
  <c r="M241"/>
  <c r="AP241"/>
  <c r="AL241"/>
  <c r="CP241"/>
  <c r="AM241"/>
  <c r="AN241"/>
  <c r="AQ241"/>
  <c r="AR241"/>
  <c r="AS241"/>
  <c r="AT241"/>
  <c r="AU241"/>
  <c r="AV241"/>
  <c r="BY241" s="1"/>
  <c r="BX241" s="1"/>
  <c r="AW241"/>
  <c r="AX241"/>
  <c r="DB241" s="1"/>
  <c r="DC241" s="1"/>
  <c r="DD241" s="1"/>
  <c r="DE241" s="1"/>
  <c r="DF241" s="1"/>
  <c r="DG241" s="1"/>
  <c r="DH241" s="1"/>
  <c r="AY241"/>
  <c r="AZ241"/>
  <c r="BA241"/>
  <c r="BB241"/>
  <c r="BC241"/>
  <c r="BD241"/>
  <c r="BE241"/>
  <c r="BF241"/>
  <c r="BG241"/>
  <c r="BH241"/>
  <c r="BI241"/>
  <c r="EH241"/>
  <c r="BJ241"/>
  <c r="DN241"/>
  <c r="BK241"/>
  <c r="BL241"/>
  <c r="CN241" s="1"/>
  <c r="CM241" s="1"/>
  <c r="EK241"/>
  <c r="EQ241"/>
  <c r="AL242"/>
  <c r="CP242" s="1"/>
  <c r="CQ242" s="1"/>
  <c r="CR242" s="1"/>
  <c r="AM242"/>
  <c r="AN242"/>
  <c r="AO242"/>
  <c r="AP242"/>
  <c r="AQ242"/>
  <c r="AR242"/>
  <c r="AS242"/>
  <c r="AT242"/>
  <c r="AU242"/>
  <c r="AV242"/>
  <c r="AW242"/>
  <c r="AX242"/>
  <c r="AY242"/>
  <c r="CB242"/>
  <c r="AZ242"/>
  <c r="BA242"/>
  <c r="BB242"/>
  <c r="BC242"/>
  <c r="BD242"/>
  <c r="BE242"/>
  <c r="BF242"/>
  <c r="BG242"/>
  <c r="BH242"/>
  <c r="BI242"/>
  <c r="EH242" s="1"/>
  <c r="BJ242"/>
  <c r="BK242"/>
  <c r="BL242"/>
  <c r="BS242"/>
  <c r="BR242" s="1"/>
  <c r="DB242"/>
  <c r="EQ242"/>
  <c r="ER242"/>
  <c r="K243"/>
  <c r="AL243"/>
  <c r="AQ243"/>
  <c r="AR243"/>
  <c r="AS243"/>
  <c r="AT243"/>
  <c r="AU243"/>
  <c r="AV243"/>
  <c r="AW243"/>
  <c r="AX243"/>
  <c r="AY243"/>
  <c r="AZ243"/>
  <c r="BA243"/>
  <c r="CP243"/>
  <c r="CQ243"/>
  <c r="CR243"/>
  <c r="CS243"/>
  <c r="CT243"/>
  <c r="CU243"/>
  <c r="CV243"/>
  <c r="CW243"/>
  <c r="CX243"/>
  <c r="CY243"/>
  <c r="CZ243"/>
  <c r="DA243"/>
  <c r="DB243"/>
  <c r="DC243"/>
  <c r="DD243"/>
  <c r="DE243"/>
  <c r="DF243"/>
  <c r="DG243"/>
  <c r="DH243"/>
  <c r="DI243"/>
  <c r="DJ243"/>
  <c r="DK243"/>
  <c r="DL243"/>
  <c r="DM243"/>
  <c r="DN243"/>
  <c r="DO243"/>
  <c r="DP243"/>
  <c r="EK243"/>
  <c r="K244"/>
  <c r="K262" s="1"/>
  <c r="AL244"/>
  <c r="AQ244"/>
  <c r="AR244"/>
  <c r="AS244"/>
  <c r="AT244"/>
  <c r="AU244"/>
  <c r="AV244"/>
  <c r="AW244"/>
  <c r="AX244"/>
  <c r="AY244"/>
  <c r="AZ244"/>
  <c r="BA244"/>
  <c r="CP244"/>
  <c r="CR244"/>
  <c r="CS244"/>
  <c r="CT244"/>
  <c r="CU244"/>
  <c r="CV244"/>
  <c r="CW244"/>
  <c r="CX244"/>
  <c r="CY244"/>
  <c r="CZ244"/>
  <c r="DA244"/>
  <c r="DB244"/>
  <c r="DC244"/>
  <c r="DD244"/>
  <c r="DE244"/>
  <c r="DF244"/>
  <c r="DG244"/>
  <c r="DH244"/>
  <c r="DI244"/>
  <c r="DI262"/>
  <c r="DJ244"/>
  <c r="DK244"/>
  <c r="DL244"/>
  <c r="DM244"/>
  <c r="DM262" s="1"/>
  <c r="DN244"/>
  <c r="DO244"/>
  <c r="DO262" s="1"/>
  <c r="DP244"/>
  <c r="EK244"/>
  <c r="J245"/>
  <c r="AL245" s="1"/>
  <c r="K245"/>
  <c r="K260" s="1"/>
  <c r="L245"/>
  <c r="AN245" s="1"/>
  <c r="M245"/>
  <c r="N245"/>
  <c r="O245"/>
  <c r="P245"/>
  <c r="Q245"/>
  <c r="R245"/>
  <c r="AT245"/>
  <c r="S245"/>
  <c r="S260"/>
  <c r="T245"/>
  <c r="AV245"/>
  <c r="U245"/>
  <c r="V245"/>
  <c r="W245"/>
  <c r="X245"/>
  <c r="Y245"/>
  <c r="Z245"/>
  <c r="BB245" s="1"/>
  <c r="BB260" s="1"/>
  <c r="AA245"/>
  <c r="AA260"/>
  <c r="AB245"/>
  <c r="AC245"/>
  <c r="BE245" s="1"/>
  <c r="AD245"/>
  <c r="BF245"/>
  <c r="AE245"/>
  <c r="AF245"/>
  <c r="BH245" s="1"/>
  <c r="AG245"/>
  <c r="BI245" s="1"/>
  <c r="BI260" s="1"/>
  <c r="AH245"/>
  <c r="AI245"/>
  <c r="AI260" s="1"/>
  <c r="AJ245"/>
  <c r="AM245"/>
  <c r="AM260" s="1"/>
  <c r="AO245"/>
  <c r="AQ245"/>
  <c r="AQ260"/>
  <c r="AU245"/>
  <c r="AW245"/>
  <c r="AY245"/>
  <c r="AY260"/>
  <c r="BJ245"/>
  <c r="BL245"/>
  <c r="BQ245"/>
  <c r="DN245"/>
  <c r="EK245"/>
  <c r="J246"/>
  <c r="AL246"/>
  <c r="K246"/>
  <c r="L246"/>
  <c r="AN246" s="1"/>
  <c r="M246"/>
  <c r="N246"/>
  <c r="AP246"/>
  <c r="O246"/>
  <c r="P246"/>
  <c r="AR246" s="1"/>
  <c r="BT246" s="1"/>
  <c r="Q246"/>
  <c r="AS246"/>
  <c r="R246"/>
  <c r="AT246"/>
  <c r="S246"/>
  <c r="T246"/>
  <c r="U246"/>
  <c r="V246"/>
  <c r="AX246" s="1"/>
  <c r="BZ246" s="1"/>
  <c r="W246"/>
  <c r="X246"/>
  <c r="AZ246" s="1"/>
  <c r="Y246"/>
  <c r="Z246"/>
  <c r="AA246"/>
  <c r="BC246" s="1"/>
  <c r="AB246"/>
  <c r="BD246" s="1"/>
  <c r="AC246"/>
  <c r="BE246" s="1"/>
  <c r="AD246"/>
  <c r="AE246"/>
  <c r="BG246"/>
  <c r="AF246"/>
  <c r="BH246"/>
  <c r="AG246"/>
  <c r="BI246"/>
  <c r="AH246"/>
  <c r="AI246"/>
  <c r="BK246" s="1"/>
  <c r="AJ246"/>
  <c r="BL246"/>
  <c r="AM246"/>
  <c r="AO246"/>
  <c r="BQ246" s="1"/>
  <c r="AQ246"/>
  <c r="AU246"/>
  <c r="AW246"/>
  <c r="AY246"/>
  <c r="BA246"/>
  <c r="CC246" s="1"/>
  <c r="BF246"/>
  <c r="BJ246"/>
  <c r="BW246"/>
  <c r="EK246"/>
  <c r="J247"/>
  <c r="K247"/>
  <c r="L247"/>
  <c r="M247"/>
  <c r="N247"/>
  <c r="O247"/>
  <c r="P247"/>
  <c r="Q247"/>
  <c r="R247"/>
  <c r="S247"/>
  <c r="T247"/>
  <c r="U247"/>
  <c r="V247"/>
  <c r="DB247" s="1"/>
  <c r="DB235" s="1"/>
  <c r="W247"/>
  <c r="X247"/>
  <c r="Y247"/>
  <c r="Z247"/>
  <c r="AA247"/>
  <c r="AB247"/>
  <c r="AC247"/>
  <c r="AD247"/>
  <c r="AE247"/>
  <c r="AF247"/>
  <c r="AH247"/>
  <c r="DN247" s="1"/>
  <c r="AI247"/>
  <c r="AJ247"/>
  <c r="AL247"/>
  <c r="BN247" s="1"/>
  <c r="AM247"/>
  <c r="AN247"/>
  <c r="AO247"/>
  <c r="BQ247" s="1"/>
  <c r="BR247" s="1"/>
  <c r="BS247" s="1"/>
  <c r="AP247"/>
  <c r="AQ247"/>
  <c r="AR247"/>
  <c r="BT247" s="1"/>
  <c r="BU247" s="1"/>
  <c r="AS247"/>
  <c r="AT247"/>
  <c r="AU247"/>
  <c r="BW247"/>
  <c r="AV247"/>
  <c r="AW247"/>
  <c r="AX247"/>
  <c r="BZ247"/>
  <c r="CA247" s="1"/>
  <c r="AY247"/>
  <c r="AZ247"/>
  <c r="BA247"/>
  <c r="BC247"/>
  <c r="BD247"/>
  <c r="CF247" s="1"/>
  <c r="BE247"/>
  <c r="BG247"/>
  <c r="CI247"/>
  <c r="BH247"/>
  <c r="BI247"/>
  <c r="BJ247"/>
  <c r="CL247" s="1"/>
  <c r="BK247"/>
  <c r="BL247"/>
  <c r="CC247"/>
  <c r="CP247"/>
  <c r="EK247"/>
  <c r="E250"/>
  <c r="G250"/>
  <c r="J250"/>
  <c r="V250"/>
  <c r="W250"/>
  <c r="X250"/>
  <c r="AH250"/>
  <c r="AI250"/>
  <c r="AJ250"/>
  <c r="AL250"/>
  <c r="BJ250"/>
  <c r="BK250"/>
  <c r="BL250"/>
  <c r="E251"/>
  <c r="G251"/>
  <c r="M251"/>
  <c r="V251"/>
  <c r="AX251"/>
  <c r="BZ251"/>
  <c r="DB251"/>
  <c r="E252"/>
  <c r="G252"/>
  <c r="I252"/>
  <c r="J252"/>
  <c r="V252"/>
  <c r="W252"/>
  <c r="X252"/>
  <c r="AH252"/>
  <c r="AI252"/>
  <c r="AJ252"/>
  <c r="AX252"/>
  <c r="BJ252"/>
  <c r="BK252"/>
  <c r="BL252"/>
  <c r="E253"/>
  <c r="G253"/>
  <c r="J253"/>
  <c r="K253"/>
  <c r="V253"/>
  <c r="W253"/>
  <c r="AX253"/>
  <c r="AY253"/>
  <c r="E254"/>
  <c r="G254"/>
  <c r="J254"/>
  <c r="V254"/>
  <c r="W254"/>
  <c r="AH254"/>
  <c r="AI254"/>
  <c r="AJ254"/>
  <c r="AX254"/>
  <c r="AY254"/>
  <c r="BJ254"/>
  <c r="BK254"/>
  <c r="BL254"/>
  <c r="E255"/>
  <c r="G255"/>
  <c r="J255"/>
  <c r="K255"/>
  <c r="L255"/>
  <c r="M255"/>
  <c r="O255"/>
  <c r="P255"/>
  <c r="R255"/>
  <c r="S255"/>
  <c r="U255"/>
  <c r="V255"/>
  <c r="W255"/>
  <c r="X255"/>
  <c r="Y255"/>
  <c r="Z255"/>
  <c r="AA255"/>
  <c r="AG255"/>
  <c r="AH255"/>
  <c r="AI255"/>
  <c r="AJ255"/>
  <c r="CP255"/>
  <c r="CQ255"/>
  <c r="CR255"/>
  <c r="CU255"/>
  <c r="CX255"/>
  <c r="DA255"/>
  <c r="DB255"/>
  <c r="DC255"/>
  <c r="DD255"/>
  <c r="DF255"/>
  <c r="DM255"/>
  <c r="DN255"/>
  <c r="DO255"/>
  <c r="DP255"/>
  <c r="E257"/>
  <c r="G257"/>
  <c r="J257"/>
  <c r="K257"/>
  <c r="L257"/>
  <c r="M257"/>
  <c r="N257"/>
  <c r="O257"/>
  <c r="P257"/>
  <c r="Q257"/>
  <c r="R257"/>
  <c r="S257"/>
  <c r="T257"/>
  <c r="U257"/>
  <c r="V257"/>
  <c r="W257"/>
  <c r="X257"/>
  <c r="Y257"/>
  <c r="Z257"/>
  <c r="AA257"/>
  <c r="AB257"/>
  <c r="AC257"/>
  <c r="AD257"/>
  <c r="AE257"/>
  <c r="AF257"/>
  <c r="AG257"/>
  <c r="AH257"/>
  <c r="AI257"/>
  <c r="AJ257"/>
  <c r="AL257"/>
  <c r="AM257"/>
  <c r="AN257"/>
  <c r="AO257"/>
  <c r="AP257"/>
  <c r="AQ257"/>
  <c r="AR257"/>
  <c r="AS257"/>
  <c r="AT257"/>
  <c r="AU257"/>
  <c r="AV257"/>
  <c r="AW257"/>
  <c r="AX257"/>
  <c r="AY257"/>
  <c r="AZ257"/>
  <c r="BA257"/>
  <c r="BC257"/>
  <c r="BD257"/>
  <c r="BF257"/>
  <c r="BG257"/>
  <c r="BH257"/>
  <c r="BI257"/>
  <c r="BJ257"/>
  <c r="BK257"/>
  <c r="BL257"/>
  <c r="E258"/>
  <c r="G258"/>
  <c r="J258"/>
  <c r="K258"/>
  <c r="L258"/>
  <c r="M258"/>
  <c r="O258"/>
  <c r="Q258"/>
  <c r="R258"/>
  <c r="S258"/>
  <c r="U258"/>
  <c r="W258"/>
  <c r="Y258"/>
  <c r="AB258"/>
  <c r="AD258"/>
  <c r="AF258"/>
  <c r="AH258"/>
  <c r="AI258"/>
  <c r="AJ258"/>
  <c r="AM258"/>
  <c r="AO258"/>
  <c r="AQ258"/>
  <c r="AU258"/>
  <c r="AW258"/>
  <c r="AY258"/>
  <c r="BL258"/>
  <c r="E259"/>
  <c r="G259"/>
  <c r="I259"/>
  <c r="J259"/>
  <c r="K259"/>
  <c r="L259"/>
  <c r="M259"/>
  <c r="N259"/>
  <c r="O259"/>
  <c r="P259"/>
  <c r="Q259"/>
  <c r="R259"/>
  <c r="S259"/>
  <c r="T259"/>
  <c r="U259"/>
  <c r="V259"/>
  <c r="W259"/>
  <c r="X259"/>
  <c r="Y259"/>
  <c r="Z259"/>
  <c r="AA259"/>
  <c r="AB259"/>
  <c r="AC259"/>
  <c r="AD259"/>
  <c r="AE259"/>
  <c r="AF259"/>
  <c r="AG259"/>
  <c r="AH259"/>
  <c r="AI259"/>
  <c r="AJ259"/>
  <c r="AL259"/>
  <c r="AM259"/>
  <c r="AN259"/>
  <c r="AO259"/>
  <c r="AP259"/>
  <c r="AQ259"/>
  <c r="AR259"/>
  <c r="AS259"/>
  <c r="AT259"/>
  <c r="AU259"/>
  <c r="AV259"/>
  <c r="AW259"/>
  <c r="AX259"/>
  <c r="AY259"/>
  <c r="AZ259"/>
  <c r="BA259"/>
  <c r="BB259"/>
  <c r="BC259"/>
  <c r="BD259"/>
  <c r="BE259"/>
  <c r="BF259"/>
  <c r="BG259"/>
  <c r="BH259"/>
  <c r="BI259"/>
  <c r="BJ259"/>
  <c r="BK259"/>
  <c r="BL259"/>
  <c r="E260"/>
  <c r="G260"/>
  <c r="J260"/>
  <c r="L260"/>
  <c r="M260"/>
  <c r="N260"/>
  <c r="O260"/>
  <c r="P260"/>
  <c r="R260"/>
  <c r="T260"/>
  <c r="U260"/>
  <c r="V260"/>
  <c r="W260"/>
  <c r="X260"/>
  <c r="Z260"/>
  <c r="AB260"/>
  <c r="AD260"/>
  <c r="AH260"/>
  <c r="AJ260"/>
  <c r="AO260"/>
  <c r="AW260"/>
  <c r="BJ260"/>
  <c r="BL260"/>
  <c r="E261"/>
  <c r="G261"/>
  <c r="J261"/>
  <c r="K261"/>
  <c r="L261"/>
  <c r="M261"/>
  <c r="N261"/>
  <c r="O261"/>
  <c r="P261"/>
  <c r="Q261"/>
  <c r="R261"/>
  <c r="S261"/>
  <c r="T261"/>
  <c r="U261"/>
  <c r="V261"/>
  <c r="W261"/>
  <c r="X261"/>
  <c r="Y261"/>
  <c r="Z261"/>
  <c r="AA261"/>
  <c r="AB261"/>
  <c r="AC261"/>
  <c r="AD261"/>
  <c r="AE261"/>
  <c r="AF261"/>
  <c r="AG261"/>
  <c r="AH261"/>
  <c r="AI261"/>
  <c r="AJ261"/>
  <c r="AL261"/>
  <c r="AM261"/>
  <c r="AN261"/>
  <c r="AO261"/>
  <c r="AP261"/>
  <c r="AQ261"/>
  <c r="AR261"/>
  <c r="AS261"/>
  <c r="AT261"/>
  <c r="AU261"/>
  <c r="AV261"/>
  <c r="AW261"/>
  <c r="AX261"/>
  <c r="AZ261"/>
  <c r="BB261"/>
  <c r="BD261"/>
  <c r="BG261"/>
  <c r="BH261"/>
  <c r="BI261"/>
  <c r="BJ261"/>
  <c r="BK261"/>
  <c r="BL261"/>
  <c r="E262"/>
  <c r="G262"/>
  <c r="J262"/>
  <c r="L262"/>
  <c r="M262"/>
  <c r="N262"/>
  <c r="O262"/>
  <c r="P262"/>
  <c r="Q262"/>
  <c r="R262"/>
  <c r="S262"/>
  <c r="T262"/>
  <c r="U262"/>
  <c r="V262"/>
  <c r="W262"/>
  <c r="X262"/>
  <c r="Y262"/>
  <c r="Z262"/>
  <c r="AA262"/>
  <c r="AB262"/>
  <c r="AC262"/>
  <c r="AD262"/>
  <c r="AE262"/>
  <c r="AF262"/>
  <c r="AG262"/>
  <c r="AH262"/>
  <c r="AI262"/>
  <c r="AJ262"/>
  <c r="CP262"/>
  <c r="CR262"/>
  <c r="CS262"/>
  <c r="CT262"/>
  <c r="CU262"/>
  <c r="CV262"/>
  <c r="CW262"/>
  <c r="CX262"/>
  <c r="CY262"/>
  <c r="CZ262"/>
  <c r="DA262"/>
  <c r="DB262"/>
  <c r="DC262"/>
  <c r="DD262"/>
  <c r="DE262"/>
  <c r="DF262"/>
  <c r="DG262"/>
  <c r="DJ262"/>
  <c r="DL262"/>
  <c r="DN262"/>
  <c r="DP262"/>
  <c r="I265"/>
  <c r="E268" i="3" s="1"/>
  <c r="EK266" i="1"/>
  <c r="T274" i="3" s="1"/>
  <c r="I268" i="1"/>
  <c r="J268"/>
  <c r="M268"/>
  <c r="N268"/>
  <c r="DE268"/>
  <c r="DF268"/>
  <c r="I269"/>
  <c r="J269"/>
  <c r="M269"/>
  <c r="N269"/>
  <c r="I270"/>
  <c r="J270"/>
  <c r="K270" s="1"/>
  <c r="M270"/>
  <c r="N270" s="1"/>
  <c r="O270" s="1"/>
  <c r="BA270"/>
  <c r="DE270"/>
  <c r="BB270"/>
  <c r="DF270"/>
  <c r="I271"/>
  <c r="J271"/>
  <c r="M271"/>
  <c r="N271"/>
  <c r="BA271"/>
  <c r="BB271"/>
  <c r="DE271"/>
  <c r="DF271"/>
  <c r="I272"/>
  <c r="J272"/>
  <c r="M272"/>
  <c r="N272"/>
  <c r="BA272"/>
  <c r="BB272"/>
  <c r="DE272"/>
  <c r="DF272"/>
  <c r="J273"/>
  <c r="K273"/>
  <c r="AF273"/>
  <c r="AE273"/>
  <c r="BJ273"/>
  <c r="DN273"/>
  <c r="DO273" s="1"/>
  <c r="DP273" s="1"/>
  <c r="J274"/>
  <c r="K274"/>
  <c r="L274"/>
  <c r="M274"/>
  <c r="N274"/>
  <c r="O274"/>
  <c r="CV274" s="1"/>
  <c r="P274"/>
  <c r="Q274"/>
  <c r="AS274"/>
  <c r="R274"/>
  <c r="S274"/>
  <c r="AU274" s="1"/>
  <c r="CY274" s="1"/>
  <c r="T274"/>
  <c r="U274"/>
  <c r="AW274" s="1"/>
  <c r="AL274"/>
  <c r="AM274"/>
  <c r="CQ274"/>
  <c r="AN274"/>
  <c r="AO274"/>
  <c r="AP274"/>
  <c r="CT274" s="1"/>
  <c r="AQ274"/>
  <c r="CU274" s="1"/>
  <c r="AR274"/>
  <c r="AT274"/>
  <c r="AV274"/>
  <c r="BJ274"/>
  <c r="DO274"/>
  <c r="DP274"/>
  <c r="CP274"/>
  <c r="CX274"/>
  <c r="J275"/>
  <c r="AX275"/>
  <c r="AY275"/>
  <c r="DB275"/>
  <c r="DN275"/>
  <c r="DO275" s="1"/>
  <c r="DP275" s="1"/>
  <c r="K276"/>
  <c r="L276"/>
  <c r="M276" s="1"/>
  <c r="V276"/>
  <c r="AX276" s="1"/>
  <c r="W276"/>
  <c r="W289" s="1"/>
  <c r="X276"/>
  <c r="CB276" s="1"/>
  <c r="Y276"/>
  <c r="BA276" s="1"/>
  <c r="Z276"/>
  <c r="BB276" s="1"/>
  <c r="AA276"/>
  <c r="AB276"/>
  <c r="BD276"/>
  <c r="AC276"/>
  <c r="BE276"/>
  <c r="AD276"/>
  <c r="AE276"/>
  <c r="BG276" s="1"/>
  <c r="CK276" s="1"/>
  <c r="AF276"/>
  <c r="BH276" s="1"/>
  <c r="AL276"/>
  <c r="AM276"/>
  <c r="AY276"/>
  <c r="BI276"/>
  <c r="BJ276"/>
  <c r="J277"/>
  <c r="K277"/>
  <c r="AL277"/>
  <c r="CP277"/>
  <c r="AX277"/>
  <c r="DB277"/>
  <c r="AY277"/>
  <c r="AY319"/>
  <c r="BJ277"/>
  <c r="DN277"/>
  <c r="BK277"/>
  <c r="BL277"/>
  <c r="J278"/>
  <c r="K278"/>
  <c r="BJ278"/>
  <c r="AX279"/>
  <c r="DB279"/>
  <c r="AY279"/>
  <c r="DC279" s="1"/>
  <c r="BJ279"/>
  <c r="BJ320"/>
  <c r="BK279"/>
  <c r="BL279"/>
  <c r="BL320"/>
  <c r="DN279"/>
  <c r="DO279"/>
  <c r="J280"/>
  <c r="K280"/>
  <c r="AF280"/>
  <c r="AE280" s="1"/>
  <c r="BJ280"/>
  <c r="DN280" s="1"/>
  <c r="BK280"/>
  <c r="BL280"/>
  <c r="J281"/>
  <c r="K281"/>
  <c r="L281" s="1"/>
  <c r="AF281"/>
  <c r="AE281" s="1"/>
  <c r="BJ281"/>
  <c r="DN281" s="1"/>
  <c r="DO281" s="1"/>
  <c r="DP281" s="1"/>
  <c r="BK281"/>
  <c r="BL281"/>
  <c r="R282"/>
  <c r="S282" s="1"/>
  <c r="U282"/>
  <c r="AW282" s="1"/>
  <c r="AL282"/>
  <c r="AM282"/>
  <c r="AN282"/>
  <c r="AO282"/>
  <c r="AP282"/>
  <c r="AQ282"/>
  <c r="AR282"/>
  <c r="AS282"/>
  <c r="AX282"/>
  <c r="AY282"/>
  <c r="AZ282"/>
  <c r="BA282"/>
  <c r="BB282"/>
  <c r="BC282"/>
  <c r="BD282"/>
  <c r="BE282"/>
  <c r="BF282"/>
  <c r="BG282"/>
  <c r="EE282"/>
  <c r="EL307" s="1"/>
  <c r="BH282"/>
  <c r="BI282"/>
  <c r="BJ282"/>
  <c r="BK282"/>
  <c r="BL282"/>
  <c r="BP282"/>
  <c r="BO282" s="1"/>
  <c r="CB282"/>
  <c r="CA282" s="1"/>
  <c r="CN282"/>
  <c r="CM282" s="1"/>
  <c r="CP282"/>
  <c r="CQ282" s="1"/>
  <c r="CR282" s="1"/>
  <c r="CS282" s="1"/>
  <c r="CT282" s="1"/>
  <c r="CU282" s="1"/>
  <c r="CV282" s="1"/>
  <c r="CW282" s="1"/>
  <c r="DB282"/>
  <c r="DC282" s="1"/>
  <c r="DD282" s="1"/>
  <c r="DE282" s="1"/>
  <c r="DF282" s="1"/>
  <c r="DG282" s="1"/>
  <c r="DH282" s="1"/>
  <c r="DI282" s="1"/>
  <c r="DJ282" s="1"/>
  <c r="DK282" s="1"/>
  <c r="DL282" s="1"/>
  <c r="DM282" s="1"/>
  <c r="EB282" s="1"/>
  <c r="EG282" s="1"/>
  <c r="DN282"/>
  <c r="DO282" s="1"/>
  <c r="DP282" s="1"/>
  <c r="P283"/>
  <c r="Q283"/>
  <c r="Y283"/>
  <c r="AC283"/>
  <c r="AD283" s="1"/>
  <c r="AL283"/>
  <c r="BP283" s="1"/>
  <c r="BO283" s="1"/>
  <c r="AM283"/>
  <c r="AN283"/>
  <c r="AO283"/>
  <c r="AP283"/>
  <c r="AQ283"/>
  <c r="AX283"/>
  <c r="AY283"/>
  <c r="AZ283"/>
  <c r="BC283"/>
  <c r="BD283"/>
  <c r="BE283"/>
  <c r="BJ283"/>
  <c r="BK283"/>
  <c r="BL283"/>
  <c r="CP283"/>
  <c r="CQ283" s="1"/>
  <c r="CR283" s="1"/>
  <c r="CS283" s="1"/>
  <c r="CT283" s="1"/>
  <c r="CU283" s="1"/>
  <c r="M284"/>
  <c r="P284"/>
  <c r="Q284"/>
  <c r="CW284"/>
  <c r="S284"/>
  <c r="T284"/>
  <c r="CZ284"/>
  <c r="Y284"/>
  <c r="AA284"/>
  <c r="AB284" s="1"/>
  <c r="CP284"/>
  <c r="CQ284"/>
  <c r="CR284"/>
  <c r="CU284"/>
  <c r="CV284"/>
  <c r="CX284"/>
  <c r="DA284"/>
  <c r="EA284"/>
  <c r="DB284"/>
  <c r="DC284"/>
  <c r="DD284"/>
  <c r="DE284"/>
  <c r="DF284"/>
  <c r="DM284"/>
  <c r="EB284" s="1"/>
  <c r="DN284"/>
  <c r="DO284"/>
  <c r="DP284"/>
  <c r="EE284"/>
  <c r="EO309" s="1"/>
  <c r="EF284"/>
  <c r="EP309" s="1"/>
  <c r="M285"/>
  <c r="N285" s="1"/>
  <c r="P285"/>
  <c r="S285"/>
  <c r="T285"/>
  <c r="Y285"/>
  <c r="AA285"/>
  <c r="AB285" s="1"/>
  <c r="AC285" s="1"/>
  <c r="CP285"/>
  <c r="CQ285"/>
  <c r="CR285"/>
  <c r="CR321" s="1"/>
  <c r="CS285"/>
  <c r="CU285"/>
  <c r="CX285"/>
  <c r="CX321" s="1"/>
  <c r="CY285"/>
  <c r="DA285"/>
  <c r="EA285"/>
  <c r="DB285"/>
  <c r="DC285"/>
  <c r="DD285"/>
  <c r="DE285"/>
  <c r="DF285"/>
  <c r="DG285"/>
  <c r="DM285"/>
  <c r="EB285"/>
  <c r="DN285"/>
  <c r="DN321"/>
  <c r="DO285"/>
  <c r="DP285"/>
  <c r="DP321" s="1"/>
  <c r="EE285"/>
  <c r="EO310" s="1"/>
  <c r="EF285"/>
  <c r="EP310" s="1"/>
  <c r="M286"/>
  <c r="AO286" s="1"/>
  <c r="DB286"/>
  <c r="DC286" s="1"/>
  <c r="M287"/>
  <c r="M317" s="1"/>
  <c r="Y287"/>
  <c r="Z287"/>
  <c r="BB287"/>
  <c r="BA287"/>
  <c r="CC287"/>
  <c r="CD287" s="1"/>
  <c r="X288"/>
  <c r="Y288"/>
  <c r="BA288"/>
  <c r="CC288"/>
  <c r="DE288" s="1"/>
  <c r="Z288"/>
  <c r="AA288"/>
  <c r="BC288" s="1"/>
  <c r="AB288"/>
  <c r="AC288"/>
  <c r="BE288"/>
  <c r="CG288" s="1"/>
  <c r="DI288" s="1"/>
  <c r="AD288"/>
  <c r="AE288"/>
  <c r="BG288" s="1"/>
  <c r="CI288" s="1"/>
  <c r="DK288" s="1"/>
  <c r="AF288"/>
  <c r="BH288"/>
  <c r="CJ288" s="1"/>
  <c r="DL288" s="1"/>
  <c r="AG288"/>
  <c r="BI288"/>
  <c r="CK288" s="1"/>
  <c r="DM288" s="1"/>
  <c r="AH288"/>
  <c r="AZ288"/>
  <c r="CB288"/>
  <c r="DD288" s="1"/>
  <c r="BB288"/>
  <c r="CD288" s="1"/>
  <c r="DF288" s="1"/>
  <c r="BD288"/>
  <c r="CF288"/>
  <c r="DH288" s="1"/>
  <c r="BF288"/>
  <c r="CH288" s="1"/>
  <c r="DJ288" s="1"/>
  <c r="BJ288"/>
  <c r="CL288"/>
  <c r="DN288" s="1"/>
  <c r="EA288"/>
  <c r="EB288"/>
  <c r="V289"/>
  <c r="X289"/>
  <c r="AH289"/>
  <c r="AI289"/>
  <c r="AJ289"/>
  <c r="BJ289"/>
  <c r="BK289"/>
  <c r="BL289"/>
  <c r="CL289"/>
  <c r="CM289" s="1"/>
  <c r="CN289" s="1"/>
  <c r="DN289"/>
  <c r="DO289" s="1"/>
  <c r="EG289"/>
  <c r="AL291"/>
  <c r="AM291"/>
  <c r="AN291"/>
  <c r="AO291"/>
  <c r="AP291"/>
  <c r="AQ291"/>
  <c r="CU291" s="1"/>
  <c r="AR291"/>
  <c r="CV291" s="1"/>
  <c r="AS291"/>
  <c r="CW291" s="1"/>
  <c r="AT291"/>
  <c r="AU291"/>
  <c r="AV291"/>
  <c r="CZ291" s="1"/>
  <c r="AW291"/>
  <c r="DA291" s="1"/>
  <c r="AX291"/>
  <c r="AY291"/>
  <c r="AZ291"/>
  <c r="BA291"/>
  <c r="BB291"/>
  <c r="BC291"/>
  <c r="DG291"/>
  <c r="BD291"/>
  <c r="DH291"/>
  <c r="BE291"/>
  <c r="BF291"/>
  <c r="DJ291" s="1"/>
  <c r="BG291"/>
  <c r="BH291"/>
  <c r="BI291"/>
  <c r="DM291" s="1"/>
  <c r="BJ291"/>
  <c r="BK291"/>
  <c r="DO291" s="1"/>
  <c r="BL291"/>
  <c r="BV291"/>
  <c r="BU291" s="1"/>
  <c r="CP291"/>
  <c r="CR291"/>
  <c r="CT291"/>
  <c r="CX291"/>
  <c r="DB291"/>
  <c r="DD291"/>
  <c r="DF291"/>
  <c r="DI291"/>
  <c r="DK291"/>
  <c r="DL291"/>
  <c r="DN291"/>
  <c r="EJ291" s="1"/>
  <c r="DP291"/>
  <c r="EH291"/>
  <c r="EK291"/>
  <c r="AL292"/>
  <c r="AM292"/>
  <c r="CQ292"/>
  <c r="AN292"/>
  <c r="AO292"/>
  <c r="CS292" s="1"/>
  <c r="AP292"/>
  <c r="AQ292"/>
  <c r="CU292"/>
  <c r="AR292"/>
  <c r="AS292"/>
  <c r="AT292"/>
  <c r="AU292"/>
  <c r="CY292" s="1"/>
  <c r="AV292"/>
  <c r="AW292"/>
  <c r="AX292"/>
  <c r="AY292"/>
  <c r="DC292"/>
  <c r="AZ292"/>
  <c r="BA292"/>
  <c r="DE292" s="1"/>
  <c r="AM271" i="3" s="1"/>
  <c r="BB292" i="1"/>
  <c r="BC292"/>
  <c r="DG292"/>
  <c r="AO271" i="3" s="1"/>
  <c r="BD292" i="1"/>
  <c r="BE292"/>
  <c r="DI292"/>
  <c r="BF292"/>
  <c r="BG292"/>
  <c r="BH292"/>
  <c r="BI292"/>
  <c r="DM292" s="1"/>
  <c r="BJ292"/>
  <c r="BK292"/>
  <c r="DO292" s="1"/>
  <c r="BL292"/>
  <c r="BP292"/>
  <c r="BO292"/>
  <c r="CP292"/>
  <c r="CR292"/>
  <c r="CT292"/>
  <c r="CV292"/>
  <c r="CX292"/>
  <c r="CZ292"/>
  <c r="DB292"/>
  <c r="DD292"/>
  <c r="DF292"/>
  <c r="AN271" i="3" s="1"/>
  <c r="DH292" i="1"/>
  <c r="DJ292"/>
  <c r="DL292"/>
  <c r="DN292"/>
  <c r="DP292"/>
  <c r="EK292"/>
  <c r="AL293"/>
  <c r="CP293" s="1"/>
  <c r="AM293"/>
  <c r="AN293"/>
  <c r="AO293"/>
  <c r="CS293"/>
  <c r="AP293"/>
  <c r="AQ293"/>
  <c r="CU293" s="1"/>
  <c r="AR293"/>
  <c r="CV293" s="1"/>
  <c r="AS293"/>
  <c r="AT293"/>
  <c r="AU293"/>
  <c r="CY293" s="1"/>
  <c r="AV293"/>
  <c r="AW293"/>
  <c r="DA293"/>
  <c r="AX293"/>
  <c r="AY293"/>
  <c r="AZ293"/>
  <c r="BA293"/>
  <c r="BB293"/>
  <c r="BC293"/>
  <c r="DG293" s="1"/>
  <c r="BD293"/>
  <c r="DH293" s="1"/>
  <c r="BE293"/>
  <c r="DI293" s="1"/>
  <c r="BF293"/>
  <c r="DJ293" s="1"/>
  <c r="BG293"/>
  <c r="BH293"/>
  <c r="DL293"/>
  <c r="BI293"/>
  <c r="DM293"/>
  <c r="BJ293"/>
  <c r="BK293"/>
  <c r="DO293" s="1"/>
  <c r="BL293"/>
  <c r="DP293" s="1"/>
  <c r="BS293"/>
  <c r="BR293" s="1"/>
  <c r="CR293"/>
  <c r="CT293"/>
  <c r="CX293"/>
  <c r="DB293"/>
  <c r="DD293"/>
  <c r="DF293"/>
  <c r="DK293"/>
  <c r="EH293"/>
  <c r="EK293"/>
  <c r="AL294"/>
  <c r="AM294"/>
  <c r="CQ294" s="1"/>
  <c r="AN294"/>
  <c r="AO294"/>
  <c r="CS294"/>
  <c r="AP294"/>
  <c r="AQ294"/>
  <c r="CU294" s="1"/>
  <c r="AR294"/>
  <c r="AS294"/>
  <c r="CW294"/>
  <c r="AT294"/>
  <c r="AU294"/>
  <c r="CY294" s="1"/>
  <c r="AV294"/>
  <c r="AW294"/>
  <c r="DA294"/>
  <c r="AX294"/>
  <c r="AY294"/>
  <c r="DC294" s="1"/>
  <c r="AZ294"/>
  <c r="BA294"/>
  <c r="DE294"/>
  <c r="AM272" i="3"/>
  <c r="BB294" i="1"/>
  <c r="BC294"/>
  <c r="BD294"/>
  <c r="BE294"/>
  <c r="BF294"/>
  <c r="BG294"/>
  <c r="BH294"/>
  <c r="BI294"/>
  <c r="BJ294"/>
  <c r="BK294"/>
  <c r="CN294" s="1"/>
  <c r="BL294"/>
  <c r="BP294"/>
  <c r="BO294"/>
  <c r="BV294"/>
  <c r="BU294"/>
  <c r="CB294"/>
  <c r="CA294"/>
  <c r="CP294"/>
  <c r="CR294"/>
  <c r="CT294"/>
  <c r="CV294"/>
  <c r="CX294"/>
  <c r="CZ294"/>
  <c r="DB294"/>
  <c r="DD294"/>
  <c r="DF294"/>
  <c r="AN272" i="3"/>
  <c r="DH294" i="1"/>
  <c r="DJ294"/>
  <c r="DK294"/>
  <c r="DL294"/>
  <c r="DM294"/>
  <c r="DP294"/>
  <c r="EK294"/>
  <c r="AL295"/>
  <c r="AM295"/>
  <c r="BP295"/>
  <c r="AN295"/>
  <c r="CR295"/>
  <c r="AO295"/>
  <c r="CS295"/>
  <c r="AP295"/>
  <c r="AQ295"/>
  <c r="CU295" s="1"/>
  <c r="AR295"/>
  <c r="CV295" s="1"/>
  <c r="AS295"/>
  <c r="AT295"/>
  <c r="CX295"/>
  <c r="AU295"/>
  <c r="CY295"/>
  <c r="AV295"/>
  <c r="AW295"/>
  <c r="BY295" s="1"/>
  <c r="BX295" s="1"/>
  <c r="AX295"/>
  <c r="AY295"/>
  <c r="CB295"/>
  <c r="AZ295"/>
  <c r="BA295"/>
  <c r="BB295"/>
  <c r="BC295"/>
  <c r="BD295"/>
  <c r="DH295"/>
  <c r="BE295"/>
  <c r="BF295"/>
  <c r="DJ295" s="1"/>
  <c r="BG295"/>
  <c r="DK295" s="1"/>
  <c r="BH295"/>
  <c r="BI295"/>
  <c r="DM295"/>
  <c r="BJ295"/>
  <c r="BK295"/>
  <c r="DO295" s="1"/>
  <c r="BL295"/>
  <c r="DP295" s="1"/>
  <c r="CP295"/>
  <c r="CT295"/>
  <c r="CZ295"/>
  <c r="DB295"/>
  <c r="DD295"/>
  <c r="DF295"/>
  <c r="AN273" i="3"/>
  <c r="EH295" i="1"/>
  <c r="EK295"/>
  <c r="AL296"/>
  <c r="AM296"/>
  <c r="AN296"/>
  <c r="AO296"/>
  <c r="AP296"/>
  <c r="AQ296"/>
  <c r="BS296" s="1"/>
  <c r="AR296"/>
  <c r="AS296"/>
  <c r="AT296"/>
  <c r="AU296"/>
  <c r="AV296"/>
  <c r="AW296"/>
  <c r="AX296"/>
  <c r="AY296"/>
  <c r="AZ296"/>
  <c r="BA296"/>
  <c r="BB296"/>
  <c r="BC296"/>
  <c r="CE296" s="1"/>
  <c r="CC296" s="1"/>
  <c r="BD296"/>
  <c r="BE296"/>
  <c r="BF296"/>
  <c r="BG296"/>
  <c r="BH296"/>
  <c r="BH323" s="1"/>
  <c r="BI296"/>
  <c r="BK296"/>
  <c r="BL296"/>
  <c r="BL323"/>
  <c r="EK296"/>
  <c r="AL297"/>
  <c r="AM297"/>
  <c r="AN297"/>
  <c r="AO297"/>
  <c r="AP297"/>
  <c r="AQ297"/>
  <c r="AR297"/>
  <c r="AS297"/>
  <c r="AT297"/>
  <c r="AU297"/>
  <c r="AV297"/>
  <c r="AW297"/>
  <c r="AX297"/>
  <c r="AY297"/>
  <c r="AZ297"/>
  <c r="BA297"/>
  <c r="BB297"/>
  <c r="BC297"/>
  <c r="BD297"/>
  <c r="BE297"/>
  <c r="DI297"/>
  <c r="BF297"/>
  <c r="BF323" s="1"/>
  <c r="DJ297"/>
  <c r="BG297"/>
  <c r="DK297"/>
  <c r="BH297"/>
  <c r="BI297"/>
  <c r="DM297" s="1"/>
  <c r="DN297"/>
  <c r="BK297"/>
  <c r="DO297" s="1"/>
  <c r="BL297"/>
  <c r="DP297" s="1"/>
  <c r="BS297"/>
  <c r="BR297" s="1"/>
  <c r="CP297"/>
  <c r="CQ297" s="1"/>
  <c r="CR297" s="1"/>
  <c r="CS297"/>
  <c r="CT297"/>
  <c r="CU297"/>
  <c r="CV297"/>
  <c r="CW297"/>
  <c r="CX297"/>
  <c r="CY297"/>
  <c r="CZ297"/>
  <c r="DA297"/>
  <c r="DB297"/>
  <c r="DC297"/>
  <c r="DD297"/>
  <c r="DE297"/>
  <c r="DF297"/>
  <c r="DG297"/>
  <c r="EK297"/>
  <c r="AL298"/>
  <c r="AM298"/>
  <c r="BP298" s="1"/>
  <c r="AN298"/>
  <c r="AO298"/>
  <c r="AP298"/>
  <c r="AQ298"/>
  <c r="CU298"/>
  <c r="AR298"/>
  <c r="CV298"/>
  <c r="AS298"/>
  <c r="CW298"/>
  <c r="AT298"/>
  <c r="CX298"/>
  <c r="AU298"/>
  <c r="CY298"/>
  <c r="AV298"/>
  <c r="CZ298"/>
  <c r="AW298"/>
  <c r="AX298"/>
  <c r="DB298" s="1"/>
  <c r="AY298"/>
  <c r="DC298" s="1"/>
  <c r="AZ298"/>
  <c r="DD298" s="1"/>
  <c r="BA298"/>
  <c r="DE298" s="1"/>
  <c r="BB298"/>
  <c r="DF298" s="1"/>
  <c r="BC298"/>
  <c r="DG298" s="1"/>
  <c r="BD298"/>
  <c r="DH298" s="1"/>
  <c r="BE298"/>
  <c r="DI298" s="1"/>
  <c r="BF298"/>
  <c r="DJ298" s="1"/>
  <c r="BG298"/>
  <c r="DK298" s="1"/>
  <c r="BH298"/>
  <c r="BI298"/>
  <c r="DN298"/>
  <c r="BK298"/>
  <c r="DO298" s="1"/>
  <c r="BL298"/>
  <c r="DP298" s="1"/>
  <c r="CP298"/>
  <c r="CS298"/>
  <c r="DA298"/>
  <c r="EH298"/>
  <c r="EK298"/>
  <c r="EQ298"/>
  <c r="ER298"/>
  <c r="ES298"/>
  <c r="AL299"/>
  <c r="CP299"/>
  <c r="AM299"/>
  <c r="AN299"/>
  <c r="AO299"/>
  <c r="CS299"/>
  <c r="AP299"/>
  <c r="AQ299"/>
  <c r="AR299"/>
  <c r="CV299"/>
  <c r="AS299"/>
  <c r="CW299"/>
  <c r="AT299"/>
  <c r="CX299"/>
  <c r="AU299"/>
  <c r="AV299"/>
  <c r="AW299"/>
  <c r="AX299"/>
  <c r="DB299" s="1"/>
  <c r="AY299"/>
  <c r="DC299" s="1"/>
  <c r="AZ299"/>
  <c r="DD299"/>
  <c r="BA299"/>
  <c r="BB299"/>
  <c r="DF299" s="1"/>
  <c r="BC299"/>
  <c r="BD299"/>
  <c r="BE299"/>
  <c r="BF299"/>
  <c r="DJ299"/>
  <c r="BG299"/>
  <c r="BH299"/>
  <c r="DL299" s="1"/>
  <c r="BI299"/>
  <c r="DN299"/>
  <c r="BK299"/>
  <c r="DO299" s="1"/>
  <c r="BL299"/>
  <c r="CU299"/>
  <c r="CY299"/>
  <c r="DA299"/>
  <c r="DE299"/>
  <c r="DH299"/>
  <c r="DP299"/>
  <c r="EK299"/>
  <c r="EQ299"/>
  <c r="ER299"/>
  <c r="ES299"/>
  <c r="AL300"/>
  <c r="AM300"/>
  <c r="AN300"/>
  <c r="AO300"/>
  <c r="AP300"/>
  <c r="AQ300"/>
  <c r="AR300"/>
  <c r="AS300"/>
  <c r="AT300"/>
  <c r="AU300"/>
  <c r="AV300"/>
  <c r="CB300"/>
  <c r="CA300" s="1"/>
  <c r="CE300"/>
  <c r="CH300"/>
  <c r="CG300"/>
  <c r="CK300"/>
  <c r="CI300"/>
  <c r="CN300"/>
  <c r="CM300" s="1"/>
  <c r="CL300"/>
  <c r="CP300"/>
  <c r="CQ300"/>
  <c r="CR300" s="1"/>
  <c r="CS300" s="1"/>
  <c r="CT300" s="1"/>
  <c r="CU300" s="1"/>
  <c r="CV300" s="1"/>
  <c r="CW300" s="1"/>
  <c r="CX300" s="1"/>
  <c r="CY300" s="1"/>
  <c r="CZ300" s="1"/>
  <c r="DA300" s="1"/>
  <c r="DB300"/>
  <c r="DC300"/>
  <c r="DD300" s="1"/>
  <c r="DE300" s="1"/>
  <c r="DF300" s="1"/>
  <c r="DG300" s="1"/>
  <c r="DH300" s="1"/>
  <c r="DN300"/>
  <c r="DO300" s="1"/>
  <c r="DP300" s="1"/>
  <c r="EH300"/>
  <c r="EK300"/>
  <c r="AL301"/>
  <c r="AM301"/>
  <c r="AM325" s="1"/>
  <c r="AN301"/>
  <c r="AO301"/>
  <c r="AO325"/>
  <c r="AP301"/>
  <c r="AQ301"/>
  <c r="AQ325" s="1"/>
  <c r="AR301"/>
  <c r="AS301"/>
  <c r="AS325"/>
  <c r="AT301"/>
  <c r="AU301"/>
  <c r="AU325" s="1"/>
  <c r="AV301"/>
  <c r="AW301"/>
  <c r="AX301"/>
  <c r="AY301"/>
  <c r="AY325"/>
  <c r="AZ301"/>
  <c r="BA301"/>
  <c r="BA325" s="1"/>
  <c r="BB301"/>
  <c r="BC301"/>
  <c r="BD301"/>
  <c r="BE301"/>
  <c r="BE325"/>
  <c r="BF301"/>
  <c r="BG301"/>
  <c r="BH301"/>
  <c r="BI301"/>
  <c r="BJ301"/>
  <c r="EH301" s="1"/>
  <c r="BK301"/>
  <c r="BL301"/>
  <c r="BL313"/>
  <c r="CP301"/>
  <c r="EK301"/>
  <c r="AL302"/>
  <c r="CP302"/>
  <c r="AM302"/>
  <c r="AN302"/>
  <c r="AO302"/>
  <c r="AP302"/>
  <c r="AQ302"/>
  <c r="AR302"/>
  <c r="AS302"/>
  <c r="AT302"/>
  <c r="AU302"/>
  <c r="AV302"/>
  <c r="AW302"/>
  <c r="AX302"/>
  <c r="DB302" s="1"/>
  <c r="AY302"/>
  <c r="AZ302"/>
  <c r="BA302"/>
  <c r="BB302"/>
  <c r="BC302"/>
  <c r="BD302"/>
  <c r="BE302"/>
  <c r="BF302"/>
  <c r="BG302"/>
  <c r="CK302" s="1"/>
  <c r="BH302"/>
  <c r="BI302"/>
  <c r="BJ302"/>
  <c r="BK302"/>
  <c r="CN302" s="1"/>
  <c r="BL302"/>
  <c r="BP302"/>
  <c r="BO302" s="1"/>
  <c r="DN302"/>
  <c r="EK302"/>
  <c r="AL303"/>
  <c r="CP303" s="1"/>
  <c r="AM303"/>
  <c r="AM327" s="1"/>
  <c r="AN303"/>
  <c r="AO303"/>
  <c r="AP303"/>
  <c r="AQ303"/>
  <c r="AQ327" s="1"/>
  <c r="AR303"/>
  <c r="AS303"/>
  <c r="AT303"/>
  <c r="AU303"/>
  <c r="AV303"/>
  <c r="AW303"/>
  <c r="AW327" s="1"/>
  <c r="AX303"/>
  <c r="DB303" s="1"/>
  <c r="AY303"/>
  <c r="AZ303"/>
  <c r="BA303"/>
  <c r="BB303"/>
  <c r="BC303"/>
  <c r="BD303"/>
  <c r="BE303"/>
  <c r="BF303"/>
  <c r="BG303"/>
  <c r="BH303"/>
  <c r="BH899" s="1"/>
  <c r="BI303"/>
  <c r="DN303"/>
  <c r="BK303"/>
  <c r="BL303"/>
  <c r="EK303"/>
  <c r="AL304"/>
  <c r="AM304"/>
  <c r="AN304"/>
  <c r="AO304"/>
  <c r="AO327" s="1"/>
  <c r="AP304"/>
  <c r="AQ304"/>
  <c r="AR304"/>
  <c r="AS304"/>
  <c r="AT304"/>
  <c r="AU304"/>
  <c r="AU327" s="1"/>
  <c r="AV304"/>
  <c r="AW304"/>
  <c r="AX304"/>
  <c r="AY304"/>
  <c r="AZ304"/>
  <c r="BA304"/>
  <c r="BB304"/>
  <c r="BC304"/>
  <c r="BD304"/>
  <c r="BE304"/>
  <c r="BF304"/>
  <c r="BG304"/>
  <c r="CK304" s="1"/>
  <c r="BH304"/>
  <c r="BI304"/>
  <c r="BJ304"/>
  <c r="DN304" s="1"/>
  <c r="BK304"/>
  <c r="BL304"/>
  <c r="EK304"/>
  <c r="AL305"/>
  <c r="CP305"/>
  <c r="AM305"/>
  <c r="AN305"/>
  <c r="AO305"/>
  <c r="AP305"/>
  <c r="AQ305"/>
  <c r="AR305"/>
  <c r="AS305"/>
  <c r="AT305"/>
  <c r="AU305"/>
  <c r="AV305"/>
  <c r="AW305"/>
  <c r="AX305"/>
  <c r="DB305" s="1"/>
  <c r="AY305"/>
  <c r="AZ305"/>
  <c r="BA305"/>
  <c r="BB305"/>
  <c r="BC305"/>
  <c r="BD305"/>
  <c r="BE305"/>
  <c r="BF305"/>
  <c r="BG305"/>
  <c r="BH305"/>
  <c r="BI305"/>
  <c r="BJ305"/>
  <c r="BK305"/>
  <c r="BL305"/>
  <c r="EK305"/>
  <c r="AL306"/>
  <c r="AM306"/>
  <c r="AN306"/>
  <c r="AO306"/>
  <c r="AP306"/>
  <c r="AQ306"/>
  <c r="AR306"/>
  <c r="AS306"/>
  <c r="AT306"/>
  <c r="AU306"/>
  <c r="AV306"/>
  <c r="AW306"/>
  <c r="AX306"/>
  <c r="AY306"/>
  <c r="AZ306"/>
  <c r="BA306"/>
  <c r="BB306"/>
  <c r="BC306"/>
  <c r="BD306"/>
  <c r="BE306"/>
  <c r="BF306"/>
  <c r="BG306"/>
  <c r="BH306"/>
  <c r="BI306"/>
  <c r="BJ306"/>
  <c r="DN306" s="1"/>
  <c r="BK306"/>
  <c r="BL306"/>
  <c r="CP306"/>
  <c r="CQ306"/>
  <c r="CR306" s="1"/>
  <c r="CS306" s="1"/>
  <c r="CT306" s="1"/>
  <c r="CU306" s="1"/>
  <c r="CV306" s="1"/>
  <c r="CW306" s="1"/>
  <c r="CX306" s="1"/>
  <c r="CY306" s="1"/>
  <c r="CZ306" s="1"/>
  <c r="DA306" s="1"/>
  <c r="EK306"/>
  <c r="M307"/>
  <c r="AO307" s="1"/>
  <c r="AL307"/>
  <c r="AM307"/>
  <c r="AN307"/>
  <c r="AQ307"/>
  <c r="AR307"/>
  <c r="AS307"/>
  <c r="AT307"/>
  <c r="AU307"/>
  <c r="AV307"/>
  <c r="AW307"/>
  <c r="AX307"/>
  <c r="AY307"/>
  <c r="AZ307"/>
  <c r="BA307"/>
  <c r="BB307"/>
  <c r="BC307"/>
  <c r="BD307"/>
  <c r="BE307"/>
  <c r="BF307"/>
  <c r="BG307"/>
  <c r="BH307"/>
  <c r="BI307"/>
  <c r="BJ307"/>
  <c r="BK307"/>
  <c r="BL307"/>
  <c r="EK307"/>
  <c r="EQ307"/>
  <c r="AL308"/>
  <c r="AM308"/>
  <c r="AN308"/>
  <c r="AO308"/>
  <c r="AP308"/>
  <c r="AQ308"/>
  <c r="AR308"/>
  <c r="AS308"/>
  <c r="AT308"/>
  <c r="AU308"/>
  <c r="AV308"/>
  <c r="AW308"/>
  <c r="AX308"/>
  <c r="AY308"/>
  <c r="AZ308"/>
  <c r="BA308"/>
  <c r="BB308"/>
  <c r="BC308"/>
  <c r="BD308"/>
  <c r="BE308"/>
  <c r="BF308"/>
  <c r="BG308"/>
  <c r="BH308"/>
  <c r="BI308"/>
  <c r="BJ308"/>
  <c r="BK308"/>
  <c r="BL308"/>
  <c r="EQ308"/>
  <c r="ER308"/>
  <c r="K309"/>
  <c r="CQ309"/>
  <c r="M309"/>
  <c r="Q309"/>
  <c r="R309" s="1"/>
  <c r="CX309" s="1"/>
  <c r="AL309"/>
  <c r="AR309"/>
  <c r="AV309"/>
  <c r="AW309"/>
  <c r="AX309"/>
  <c r="AY309"/>
  <c r="AZ309"/>
  <c r="BA309"/>
  <c r="BB309"/>
  <c r="BC309"/>
  <c r="BD309"/>
  <c r="BE309"/>
  <c r="BF309"/>
  <c r="BG309"/>
  <c r="BH309"/>
  <c r="BI309"/>
  <c r="BJ309"/>
  <c r="BK309"/>
  <c r="BL309"/>
  <c r="CP309"/>
  <c r="CR309"/>
  <c r="CU309"/>
  <c r="CV309"/>
  <c r="CW309"/>
  <c r="CY309"/>
  <c r="CZ309"/>
  <c r="DA309"/>
  <c r="DB309"/>
  <c r="DC309"/>
  <c r="DD309"/>
  <c r="DE309"/>
  <c r="DF309"/>
  <c r="DG309"/>
  <c r="DH309"/>
  <c r="DI309"/>
  <c r="DJ309"/>
  <c r="DK309"/>
  <c r="EJ309"/>
  <c r="DL309"/>
  <c r="DM309"/>
  <c r="DN309"/>
  <c r="DO309"/>
  <c r="DP309"/>
  <c r="EK309"/>
  <c r="K310"/>
  <c r="CQ310"/>
  <c r="CQ328" s="1"/>
  <c r="M310"/>
  <c r="N310" s="1"/>
  <c r="O310"/>
  <c r="P310"/>
  <c r="Q310"/>
  <c r="AL310"/>
  <c r="AV310"/>
  <c r="AW310"/>
  <c r="AX310"/>
  <c r="AY310"/>
  <c r="AZ310"/>
  <c r="BA310"/>
  <c r="BB310"/>
  <c r="BC310"/>
  <c r="BD310"/>
  <c r="BE310"/>
  <c r="BF310"/>
  <c r="BG310"/>
  <c r="BH310"/>
  <c r="BI310"/>
  <c r="BJ310"/>
  <c r="BK310"/>
  <c r="BL310"/>
  <c r="CP310"/>
  <c r="CP328"/>
  <c r="CR310"/>
  <c r="CS310"/>
  <c r="CV310"/>
  <c r="CV328"/>
  <c r="CY310"/>
  <c r="CZ310"/>
  <c r="DA310"/>
  <c r="DB310"/>
  <c r="DB328" s="1"/>
  <c r="DC310"/>
  <c r="DD310"/>
  <c r="DD328"/>
  <c r="DE310"/>
  <c r="DF310"/>
  <c r="DF328" s="1"/>
  <c r="DG310"/>
  <c r="DH310"/>
  <c r="DI310"/>
  <c r="DJ310"/>
  <c r="DJ328"/>
  <c r="DK310"/>
  <c r="DL310"/>
  <c r="DL328"/>
  <c r="DM310"/>
  <c r="DN310"/>
  <c r="DN328" s="1"/>
  <c r="DO310"/>
  <c r="DP310"/>
  <c r="DP328" s="1"/>
  <c r="EK310"/>
  <c r="J311"/>
  <c r="K311"/>
  <c r="AM311" s="1"/>
  <c r="L311"/>
  <c r="L326" s="1"/>
  <c r="M311"/>
  <c r="AO311" s="1"/>
  <c r="N311"/>
  <c r="O311"/>
  <c r="AQ311"/>
  <c r="P311"/>
  <c r="Q311"/>
  <c r="AS311" s="1"/>
  <c r="R311"/>
  <c r="S311"/>
  <c r="AU311"/>
  <c r="T311"/>
  <c r="T326"/>
  <c r="U311"/>
  <c r="AW311"/>
  <c r="V311"/>
  <c r="W311"/>
  <c r="AY311" s="1"/>
  <c r="X311"/>
  <c r="AZ311" s="1"/>
  <c r="Y311"/>
  <c r="BA311" s="1"/>
  <c r="Z311"/>
  <c r="BB311" s="1"/>
  <c r="AA311"/>
  <c r="BC311"/>
  <c r="AB311"/>
  <c r="AB326"/>
  <c r="AC311"/>
  <c r="BE311"/>
  <c r="AD311"/>
  <c r="AE311"/>
  <c r="AF311"/>
  <c r="AG311"/>
  <c r="AH311"/>
  <c r="BJ311" s="1"/>
  <c r="AI311"/>
  <c r="AJ311"/>
  <c r="BL311" s="1"/>
  <c r="BL326" s="1"/>
  <c r="AN311"/>
  <c r="AP311"/>
  <c r="AR311"/>
  <c r="AX311"/>
  <c r="BG311"/>
  <c r="CI311" s="1"/>
  <c r="EK311"/>
  <c r="J312"/>
  <c r="AL312"/>
  <c r="K312"/>
  <c r="AM312"/>
  <c r="L312"/>
  <c r="AN312"/>
  <c r="M312"/>
  <c r="AO312"/>
  <c r="BQ312" s="1"/>
  <c r="N312"/>
  <c r="AP312" s="1"/>
  <c r="O312"/>
  <c r="P312"/>
  <c r="Q312"/>
  <c r="AS312" s="1"/>
  <c r="R312"/>
  <c r="AT312" s="1"/>
  <c r="S312"/>
  <c r="T312"/>
  <c r="U312"/>
  <c r="AW312" s="1"/>
  <c r="V312"/>
  <c r="AX312" s="1"/>
  <c r="W312"/>
  <c r="X312"/>
  <c r="AZ312"/>
  <c r="Y312"/>
  <c r="Z312"/>
  <c r="AA312"/>
  <c r="BC312"/>
  <c r="AB312"/>
  <c r="BD312"/>
  <c r="AC312"/>
  <c r="BE312"/>
  <c r="AD312"/>
  <c r="BF312"/>
  <c r="AE312"/>
  <c r="BG312"/>
  <c r="AF312"/>
  <c r="BH312"/>
  <c r="AG312"/>
  <c r="AG324"/>
  <c r="AH312"/>
  <c r="BJ312" s="1"/>
  <c r="AI312"/>
  <c r="BK312" s="1"/>
  <c r="AJ312"/>
  <c r="BL312"/>
  <c r="CP312"/>
  <c r="AR312"/>
  <c r="BT312" s="1"/>
  <c r="AV312"/>
  <c r="BA312"/>
  <c r="CC312"/>
  <c r="EK312"/>
  <c r="J313"/>
  <c r="CP313" s="1"/>
  <c r="K313"/>
  <c r="L313"/>
  <c r="M313"/>
  <c r="N313"/>
  <c r="O313"/>
  <c r="P313"/>
  <c r="Q313"/>
  <c r="R313"/>
  <c r="S313"/>
  <c r="T313"/>
  <c r="U313"/>
  <c r="V313"/>
  <c r="DB313"/>
  <c r="W313"/>
  <c r="X313"/>
  <c r="Y313"/>
  <c r="Z313"/>
  <c r="AA313"/>
  <c r="AB313"/>
  <c r="AC313"/>
  <c r="AD313"/>
  <c r="AE313"/>
  <c r="AF313"/>
  <c r="AH313"/>
  <c r="DN313" s="1"/>
  <c r="AI313"/>
  <c r="AJ313"/>
  <c r="AL313"/>
  <c r="AM313"/>
  <c r="AN313"/>
  <c r="AO313"/>
  <c r="BQ313"/>
  <c r="AP313"/>
  <c r="AR313"/>
  <c r="BT313" s="1"/>
  <c r="AS313"/>
  <c r="AT313"/>
  <c r="AU313"/>
  <c r="BW313" s="1"/>
  <c r="AV313"/>
  <c r="AX313"/>
  <c r="BZ313"/>
  <c r="AY313"/>
  <c r="AZ313"/>
  <c r="BA313"/>
  <c r="CC313"/>
  <c r="BC313"/>
  <c r="BD313"/>
  <c r="CF313" s="1"/>
  <c r="BE313"/>
  <c r="BF313"/>
  <c r="BG313"/>
  <c r="CI313" s="1"/>
  <c r="BI313"/>
  <c r="BK313"/>
  <c r="BN313"/>
  <c r="BO313" s="1"/>
  <c r="BP313" s="1"/>
  <c r="EK313"/>
  <c r="E316"/>
  <c r="G316"/>
  <c r="J316"/>
  <c r="AH316"/>
  <c r="AI316"/>
  <c r="AJ316"/>
  <c r="BJ316"/>
  <c r="BL316"/>
  <c r="E317"/>
  <c r="G317"/>
  <c r="E318"/>
  <c r="G318"/>
  <c r="I318"/>
  <c r="AH318"/>
  <c r="AI318"/>
  <c r="AJ318"/>
  <c r="BJ318"/>
  <c r="BL318"/>
  <c r="E319"/>
  <c r="G319"/>
  <c r="V319"/>
  <c r="W319"/>
  <c r="AX319"/>
  <c r="E320"/>
  <c r="G320"/>
  <c r="AH320"/>
  <c r="AI320"/>
  <c r="AJ320"/>
  <c r="BK320"/>
  <c r="E321"/>
  <c r="G321"/>
  <c r="J321"/>
  <c r="K321"/>
  <c r="L321"/>
  <c r="O321"/>
  <c r="R321"/>
  <c r="S321"/>
  <c r="U321"/>
  <c r="V321"/>
  <c r="W321"/>
  <c r="X321"/>
  <c r="Y321"/>
  <c r="Z321"/>
  <c r="AA321"/>
  <c r="AG321"/>
  <c r="AH321"/>
  <c r="AI321"/>
  <c r="AJ321"/>
  <c r="CP321"/>
  <c r="CQ321"/>
  <c r="CU321"/>
  <c r="DA321"/>
  <c r="DB321"/>
  <c r="DC321"/>
  <c r="DD321"/>
  <c r="DE321"/>
  <c r="DF321"/>
  <c r="DM321"/>
  <c r="DO321"/>
  <c r="EA321"/>
  <c r="E323"/>
  <c r="G323"/>
  <c r="J323"/>
  <c r="K323"/>
  <c r="L323"/>
  <c r="M323"/>
  <c r="N323"/>
  <c r="O323"/>
  <c r="P323"/>
  <c r="Q323"/>
  <c r="R323"/>
  <c r="S323"/>
  <c r="T323"/>
  <c r="U323"/>
  <c r="V323"/>
  <c r="W323"/>
  <c r="X323"/>
  <c r="Y323"/>
  <c r="Z323"/>
  <c r="AA323"/>
  <c r="AB323"/>
  <c r="AC323"/>
  <c r="AD323"/>
  <c r="AE323"/>
  <c r="AF323"/>
  <c r="AG323"/>
  <c r="AH323"/>
  <c r="AI323"/>
  <c r="AJ323"/>
  <c r="AL323"/>
  <c r="AM323"/>
  <c r="AN323"/>
  <c r="AO323"/>
  <c r="AP323"/>
  <c r="AQ323"/>
  <c r="AR323"/>
  <c r="AS323"/>
  <c r="AT323"/>
  <c r="AU323"/>
  <c r="AV323"/>
  <c r="AW323"/>
  <c r="AX323"/>
  <c r="AY323"/>
  <c r="AZ323"/>
  <c r="BA323"/>
  <c r="BB323"/>
  <c r="BC323"/>
  <c r="BD323"/>
  <c r="BG323"/>
  <c r="BI323"/>
  <c r="BK323"/>
  <c r="E324"/>
  <c r="G324"/>
  <c r="L324"/>
  <c r="N324"/>
  <c r="P324"/>
  <c r="T324"/>
  <c r="V324"/>
  <c r="X324"/>
  <c r="AC324"/>
  <c r="AJ324"/>
  <c r="AR324"/>
  <c r="E325"/>
  <c r="G325"/>
  <c r="I325"/>
  <c r="J325"/>
  <c r="K325"/>
  <c r="L325"/>
  <c r="M325"/>
  <c r="N325"/>
  <c r="O325"/>
  <c r="P325"/>
  <c r="Q325"/>
  <c r="R325"/>
  <c r="S325"/>
  <c r="T325"/>
  <c r="U325"/>
  <c r="V325"/>
  <c r="W325"/>
  <c r="X325"/>
  <c r="Y325"/>
  <c r="Z325"/>
  <c r="AA325"/>
  <c r="AB325"/>
  <c r="AC325"/>
  <c r="AD325"/>
  <c r="AE325"/>
  <c r="AF325"/>
  <c r="AG325"/>
  <c r="AH325"/>
  <c r="AI325"/>
  <c r="AJ325"/>
  <c r="AL325"/>
  <c r="AN325"/>
  <c r="AP325"/>
  <c r="AR325"/>
  <c r="AT325"/>
  <c r="AV325"/>
  <c r="AX325"/>
  <c r="AZ325"/>
  <c r="BC325"/>
  <c r="BF325"/>
  <c r="BG325"/>
  <c r="BH325"/>
  <c r="BI325"/>
  <c r="BJ325"/>
  <c r="BK325"/>
  <c r="BL325"/>
  <c r="E326"/>
  <c r="G326"/>
  <c r="K326"/>
  <c r="M326"/>
  <c r="N326"/>
  <c r="O326"/>
  <c r="P326"/>
  <c r="Q326"/>
  <c r="S326"/>
  <c r="U326"/>
  <c r="V326"/>
  <c r="W326"/>
  <c r="X326"/>
  <c r="Y326"/>
  <c r="Z326"/>
  <c r="AA326"/>
  <c r="AC326"/>
  <c r="AE326"/>
  <c r="AG326"/>
  <c r="AI326"/>
  <c r="AJ326"/>
  <c r="AP326"/>
  <c r="AX326"/>
  <c r="BG326"/>
  <c r="E327"/>
  <c r="G327"/>
  <c r="J327"/>
  <c r="K327"/>
  <c r="L327"/>
  <c r="M327"/>
  <c r="N327"/>
  <c r="O327"/>
  <c r="P327"/>
  <c r="Q327"/>
  <c r="R327"/>
  <c r="S327"/>
  <c r="T327"/>
  <c r="U327"/>
  <c r="V327"/>
  <c r="W327"/>
  <c r="X327"/>
  <c r="Y327"/>
  <c r="Z327"/>
  <c r="AA327"/>
  <c r="AB327"/>
  <c r="AC327"/>
  <c r="AD327"/>
  <c r="AE327"/>
  <c r="AF327"/>
  <c r="AG327"/>
  <c r="AH327"/>
  <c r="AI327"/>
  <c r="AJ327"/>
  <c r="AL327"/>
  <c r="AN327"/>
  <c r="AP327"/>
  <c r="AR327"/>
  <c r="AT327"/>
  <c r="AV327"/>
  <c r="AX327"/>
  <c r="AY327"/>
  <c r="AZ327"/>
  <c r="BA327"/>
  <c r="BB327"/>
  <c r="BC327"/>
  <c r="BD327"/>
  <c r="BE327"/>
  <c r="BF327"/>
  <c r="BG327"/>
  <c r="BH327"/>
  <c r="BI327"/>
  <c r="BJ327"/>
  <c r="BK327"/>
  <c r="BL327"/>
  <c r="E328"/>
  <c r="G328"/>
  <c r="J328"/>
  <c r="K328"/>
  <c r="L328"/>
  <c r="M328"/>
  <c r="P328"/>
  <c r="S328"/>
  <c r="T328"/>
  <c r="U328"/>
  <c r="V328"/>
  <c r="W328"/>
  <c r="X328"/>
  <c r="Y328"/>
  <c r="Z328"/>
  <c r="AA328"/>
  <c r="AB328"/>
  <c r="AC328"/>
  <c r="AD328"/>
  <c r="AE328"/>
  <c r="AF328"/>
  <c r="AG328"/>
  <c r="AH328"/>
  <c r="AI328"/>
  <c r="AJ328"/>
  <c r="CR328"/>
  <c r="CY328"/>
  <c r="DA328"/>
  <c r="DC328"/>
  <c r="DE328"/>
  <c r="DG328"/>
  <c r="DI328"/>
  <c r="DK328"/>
  <c r="DM328"/>
  <c r="DO328"/>
  <c r="I331"/>
  <c r="E331" s="1"/>
  <c r="AL334"/>
  <c r="AM334"/>
  <c r="CQ334"/>
  <c r="AN334"/>
  <c r="CR334"/>
  <c r="AO334"/>
  <c r="CS334"/>
  <c r="AP334"/>
  <c r="AQ334"/>
  <c r="AR334"/>
  <c r="CV334"/>
  <c r="AS334"/>
  <c r="AT334"/>
  <c r="CX334" s="1"/>
  <c r="AU334"/>
  <c r="AV334"/>
  <c r="CZ334"/>
  <c r="AW334"/>
  <c r="DA334"/>
  <c r="AX334"/>
  <c r="AY334"/>
  <c r="DC334" s="1"/>
  <c r="AZ334"/>
  <c r="DD334" s="1"/>
  <c r="EA334" s="1"/>
  <c r="BA334"/>
  <c r="BB334"/>
  <c r="DF334" s="1"/>
  <c r="CT334"/>
  <c r="DE334"/>
  <c r="DZ334"/>
  <c r="AL335"/>
  <c r="AM335"/>
  <c r="BP335" s="1"/>
  <c r="BO335" s="1"/>
  <c r="AN335"/>
  <c r="CR335"/>
  <c r="AO335"/>
  <c r="AP335"/>
  <c r="CT335" s="1"/>
  <c r="AQ335"/>
  <c r="CU335"/>
  <c r="AR335"/>
  <c r="CV335"/>
  <c r="AS335"/>
  <c r="AT335"/>
  <c r="AU335"/>
  <c r="CY335"/>
  <c r="AV335"/>
  <c r="CZ335"/>
  <c r="AW335"/>
  <c r="AX335"/>
  <c r="DB335" s="1"/>
  <c r="AY335"/>
  <c r="DC335"/>
  <c r="AZ335"/>
  <c r="DD335"/>
  <c r="EA335" s="1"/>
  <c r="BA335"/>
  <c r="DE335" s="1"/>
  <c r="BB335"/>
  <c r="DF335" s="1"/>
  <c r="CP335"/>
  <c r="CX335"/>
  <c r="DZ335"/>
  <c r="AL336"/>
  <c r="CP336"/>
  <c r="AM336"/>
  <c r="CQ336"/>
  <c r="AN336"/>
  <c r="AO336"/>
  <c r="CS336" s="1"/>
  <c r="AP336"/>
  <c r="AQ336"/>
  <c r="CU336"/>
  <c r="AR336"/>
  <c r="AS336"/>
  <c r="AT336"/>
  <c r="CX336"/>
  <c r="AU336"/>
  <c r="CY336"/>
  <c r="AV336"/>
  <c r="CZ336"/>
  <c r="AW336"/>
  <c r="AX336"/>
  <c r="DB336" s="1"/>
  <c r="AY336"/>
  <c r="AZ336"/>
  <c r="BA336"/>
  <c r="DE336" s="1"/>
  <c r="BB336"/>
  <c r="DF336" s="1"/>
  <c r="CW336"/>
  <c r="DA336"/>
  <c r="DC336"/>
  <c r="DZ336"/>
  <c r="AL337"/>
  <c r="AM337"/>
  <c r="CQ337"/>
  <c r="AN337"/>
  <c r="CR337"/>
  <c r="AO337"/>
  <c r="CS337"/>
  <c r="AP337"/>
  <c r="AQ337"/>
  <c r="AR337"/>
  <c r="CV337"/>
  <c r="AS337"/>
  <c r="AT337"/>
  <c r="CX337" s="1"/>
  <c r="AU337"/>
  <c r="AV337"/>
  <c r="CZ337"/>
  <c r="AW337"/>
  <c r="AX337"/>
  <c r="AY337"/>
  <c r="DC337"/>
  <c r="AZ337"/>
  <c r="DD337"/>
  <c r="EA337" s="1"/>
  <c r="BA337"/>
  <c r="DE337" s="1"/>
  <c r="BB337"/>
  <c r="DF337" s="1"/>
  <c r="CT337"/>
  <c r="DA337"/>
  <c r="DZ337"/>
  <c r="AL338"/>
  <c r="AM338"/>
  <c r="CQ338"/>
  <c r="AN338"/>
  <c r="AO338"/>
  <c r="AP338"/>
  <c r="CT338"/>
  <c r="AQ338"/>
  <c r="CU338"/>
  <c r="AR338"/>
  <c r="CV338"/>
  <c r="AS338"/>
  <c r="AT338"/>
  <c r="CX338" s="1"/>
  <c r="AU338"/>
  <c r="CY338" s="1"/>
  <c r="AV338"/>
  <c r="CZ338"/>
  <c r="AW338"/>
  <c r="AX338"/>
  <c r="AY338"/>
  <c r="DC338"/>
  <c r="AZ338"/>
  <c r="DD338"/>
  <c r="BA338"/>
  <c r="DE338"/>
  <c r="BB338"/>
  <c r="DF338"/>
  <c r="CR338"/>
  <c r="CW338"/>
  <c r="DB338"/>
  <c r="DZ338"/>
  <c r="AL339"/>
  <c r="CP339" s="1"/>
  <c r="AM339"/>
  <c r="AN339"/>
  <c r="AO339"/>
  <c r="AP339"/>
  <c r="AQ339"/>
  <c r="AR339"/>
  <c r="AS339"/>
  <c r="AT339"/>
  <c r="AU339"/>
  <c r="AV339"/>
  <c r="BY339" s="1"/>
  <c r="AW339"/>
  <c r="AX339"/>
  <c r="DB339"/>
  <c r="DC339" s="1"/>
  <c r="AY339"/>
  <c r="BJ339"/>
  <c r="DN339"/>
  <c r="AY340"/>
  <c r="DC340"/>
  <c r="DC382" s="1"/>
  <c r="AL340"/>
  <c r="AM340"/>
  <c r="AN340"/>
  <c r="CR340" s="1"/>
  <c r="AO340"/>
  <c r="CS340" s="1"/>
  <c r="AP340"/>
  <c r="CT340" s="1"/>
  <c r="AQ340"/>
  <c r="AR340"/>
  <c r="CV340" s="1"/>
  <c r="AS340"/>
  <c r="BV340"/>
  <c r="AT340"/>
  <c r="AU340"/>
  <c r="AV340"/>
  <c r="CZ340"/>
  <c r="AW340"/>
  <c r="BJ340"/>
  <c r="DO340"/>
  <c r="DP340"/>
  <c r="CQ340"/>
  <c r="CX340"/>
  <c r="DA340"/>
  <c r="EA340"/>
  <c r="AL341"/>
  <c r="AM341"/>
  <c r="AN341"/>
  <c r="AO341"/>
  <c r="AP341"/>
  <c r="AQ341"/>
  <c r="AR341"/>
  <c r="AS341"/>
  <c r="AT341"/>
  <c r="AU341"/>
  <c r="AV341"/>
  <c r="AW341"/>
  <c r="AX341"/>
  <c r="AY341"/>
  <c r="CP341"/>
  <c r="DN341"/>
  <c r="DO341" s="1"/>
  <c r="DP341" s="1"/>
  <c r="V342"/>
  <c r="AX342"/>
  <c r="W342"/>
  <c r="X342"/>
  <c r="CB342" s="1"/>
  <c r="Y342"/>
  <c r="BA342" s="1"/>
  <c r="Z342"/>
  <c r="BB342" s="1"/>
  <c r="AA342"/>
  <c r="AB342"/>
  <c r="BD342" s="1"/>
  <c r="AC342"/>
  <c r="BE342" s="1"/>
  <c r="AD342"/>
  <c r="AE342"/>
  <c r="BG342"/>
  <c r="AF342"/>
  <c r="BH342"/>
  <c r="AL342"/>
  <c r="AM342"/>
  <c r="AN342"/>
  <c r="AO342"/>
  <c r="AP342"/>
  <c r="AQ342"/>
  <c r="AR342"/>
  <c r="AS342"/>
  <c r="AT342"/>
  <c r="AU342"/>
  <c r="AV342"/>
  <c r="AW342"/>
  <c r="BI342"/>
  <c r="BJ342"/>
  <c r="BJ355" s="1"/>
  <c r="BK355"/>
  <c r="AL343"/>
  <c r="CP343" s="1"/>
  <c r="AM343"/>
  <c r="AN343"/>
  <c r="AO343"/>
  <c r="BS343" s="1"/>
  <c r="BR343" s="1"/>
  <c r="AP343"/>
  <c r="AQ343"/>
  <c r="AR343"/>
  <c r="AS343"/>
  <c r="AT343"/>
  <c r="AU343"/>
  <c r="AV343"/>
  <c r="AW343"/>
  <c r="AX343"/>
  <c r="DB343"/>
  <c r="AY343"/>
  <c r="BJ343"/>
  <c r="DN343" s="1"/>
  <c r="DO343" s="1"/>
  <c r="BK343"/>
  <c r="BL343"/>
  <c r="AL344"/>
  <c r="AM344"/>
  <c r="AN344"/>
  <c r="AO344"/>
  <c r="BS344" s="1"/>
  <c r="BR344" s="1"/>
  <c r="AP344"/>
  <c r="AQ344"/>
  <c r="AR344"/>
  <c r="AS344"/>
  <c r="AT344"/>
  <c r="AU344"/>
  <c r="AV344"/>
  <c r="AW344"/>
  <c r="AX344"/>
  <c r="AY344"/>
  <c r="AY913" s="1"/>
  <c r="BJ344"/>
  <c r="CP344"/>
  <c r="DN344"/>
  <c r="J345"/>
  <c r="K345"/>
  <c r="L345"/>
  <c r="M345"/>
  <c r="N345"/>
  <c r="O345"/>
  <c r="P345"/>
  <c r="Q345"/>
  <c r="R345"/>
  <c r="S345"/>
  <c r="T345"/>
  <c r="U345"/>
  <c r="AL345"/>
  <c r="CP345"/>
  <c r="CP386" s="1"/>
  <c r="AX345"/>
  <c r="DB345" s="1"/>
  <c r="DC345" s="1"/>
  <c r="AY345"/>
  <c r="BJ345"/>
  <c r="DN345" s="1"/>
  <c r="BK345"/>
  <c r="BL345"/>
  <c r="AL346"/>
  <c r="CP346" s="1"/>
  <c r="CQ346" s="1"/>
  <c r="AM346"/>
  <c r="AN346"/>
  <c r="AO346"/>
  <c r="AP346"/>
  <c r="AQ346"/>
  <c r="BS346" s="1"/>
  <c r="BR346" s="1"/>
  <c r="AR346"/>
  <c r="AS346"/>
  <c r="AT346"/>
  <c r="AU346"/>
  <c r="AV346"/>
  <c r="AW346"/>
  <c r="AX346"/>
  <c r="DB346"/>
  <c r="DC346" s="1"/>
  <c r="AY346"/>
  <c r="BJ346"/>
  <c r="DN346"/>
  <c r="DO346" s="1"/>
  <c r="BK346"/>
  <c r="BL346"/>
  <c r="CN346"/>
  <c r="AL347"/>
  <c r="CP347"/>
  <c r="AM347"/>
  <c r="AN347"/>
  <c r="AO347"/>
  <c r="AP347"/>
  <c r="AQ347"/>
  <c r="AR347"/>
  <c r="AS347"/>
  <c r="AT347"/>
  <c r="BV347" s="1"/>
  <c r="BU347" s="1"/>
  <c r="AU347"/>
  <c r="AV347"/>
  <c r="AW347"/>
  <c r="AX347"/>
  <c r="DB347" s="1"/>
  <c r="AY347"/>
  <c r="AZ347"/>
  <c r="BJ347"/>
  <c r="DN347" s="1"/>
  <c r="DO347" s="1"/>
  <c r="BK347"/>
  <c r="BL347"/>
  <c r="AL348"/>
  <c r="CP348"/>
  <c r="AM348"/>
  <c r="AN348"/>
  <c r="AO348"/>
  <c r="AP348"/>
  <c r="AQ348"/>
  <c r="AR348"/>
  <c r="AS348"/>
  <c r="AT348"/>
  <c r="AU348"/>
  <c r="AV348"/>
  <c r="AW348"/>
  <c r="AX348"/>
  <c r="DB348" s="1"/>
  <c r="AY348"/>
  <c r="AZ348"/>
  <c r="BA348"/>
  <c r="BB348"/>
  <c r="BC348"/>
  <c r="BD348"/>
  <c r="BE348"/>
  <c r="BF348"/>
  <c r="BG348"/>
  <c r="BH348"/>
  <c r="BI348"/>
  <c r="BJ348"/>
  <c r="DN348"/>
  <c r="BK348"/>
  <c r="BL348"/>
  <c r="EE348"/>
  <c r="Y349"/>
  <c r="BB349" s="1"/>
  <c r="AC349"/>
  <c r="AL349"/>
  <c r="CP349"/>
  <c r="AM349"/>
  <c r="AN349"/>
  <c r="AO349"/>
  <c r="AP349"/>
  <c r="AQ349"/>
  <c r="AR349"/>
  <c r="AS349"/>
  <c r="AT349"/>
  <c r="AU349"/>
  <c r="AV349"/>
  <c r="AW349"/>
  <c r="AX349"/>
  <c r="DB349" s="1"/>
  <c r="AY349"/>
  <c r="AZ349"/>
  <c r="BA349"/>
  <c r="BC349"/>
  <c r="BD349"/>
  <c r="BJ349"/>
  <c r="BK349"/>
  <c r="BL349"/>
  <c r="M350"/>
  <c r="N350" s="1"/>
  <c r="CT350" s="1"/>
  <c r="P350"/>
  <c r="Q350"/>
  <c r="CW350" s="1"/>
  <c r="S350"/>
  <c r="T350" s="1"/>
  <c r="CZ350" s="1"/>
  <c r="Y350"/>
  <c r="DE350"/>
  <c r="AA350"/>
  <c r="AB350"/>
  <c r="CP350"/>
  <c r="CQ350"/>
  <c r="CR350"/>
  <c r="CU350"/>
  <c r="CX350"/>
  <c r="DA350"/>
  <c r="DB350"/>
  <c r="DC350"/>
  <c r="DD350"/>
  <c r="DF350"/>
  <c r="DM350"/>
  <c r="EB350"/>
  <c r="DN350"/>
  <c r="DO350"/>
  <c r="DP350"/>
  <c r="EA350"/>
  <c r="EE350"/>
  <c r="EO375" s="1"/>
  <c r="EF350"/>
  <c r="EP375" s="1"/>
  <c r="M351"/>
  <c r="N351"/>
  <c r="P351"/>
  <c r="Q351"/>
  <c r="S351"/>
  <c r="T351"/>
  <c r="Y351"/>
  <c r="DE351"/>
  <c r="DE387" s="1"/>
  <c r="AA351"/>
  <c r="CP351"/>
  <c r="CQ351"/>
  <c r="CR351"/>
  <c r="CU351"/>
  <c r="CX351"/>
  <c r="CY351"/>
  <c r="DA351"/>
  <c r="EA351"/>
  <c r="DB351"/>
  <c r="DC351"/>
  <c r="DD351"/>
  <c r="DF351"/>
  <c r="DM351"/>
  <c r="EB351"/>
  <c r="DN351"/>
  <c r="DO351"/>
  <c r="DP351"/>
  <c r="EE351"/>
  <c r="EO376" s="1"/>
  <c r="EF351"/>
  <c r="EP376" s="1"/>
  <c r="J352"/>
  <c r="AL352" s="1"/>
  <c r="K352"/>
  <c r="L352"/>
  <c r="AN352" s="1"/>
  <c r="AN385" s="1"/>
  <c r="M352"/>
  <c r="N352"/>
  <c r="O352"/>
  <c r="AQ352" s="1"/>
  <c r="P352"/>
  <c r="AR352" s="1"/>
  <c r="Q352"/>
  <c r="AS352" s="1"/>
  <c r="AS385" s="1"/>
  <c r="R352"/>
  <c r="AT352" s="1"/>
  <c r="AT385" s="1"/>
  <c r="S352"/>
  <c r="AU352"/>
  <c r="BW352" s="1"/>
  <c r="T352"/>
  <c r="AV352" s="1"/>
  <c r="AV385" s="1"/>
  <c r="U352"/>
  <c r="AW352"/>
  <c r="AM352"/>
  <c r="AO352"/>
  <c r="BQ352" s="1"/>
  <c r="AP352"/>
  <c r="AX352"/>
  <c r="DB352"/>
  <c r="DC352" s="1"/>
  <c r="J353"/>
  <c r="AL353" s="1"/>
  <c r="K353"/>
  <c r="AM353" s="1"/>
  <c r="AM383" s="1"/>
  <c r="L353"/>
  <c r="AN353"/>
  <c r="M353"/>
  <c r="AO353"/>
  <c r="N353"/>
  <c r="AP353"/>
  <c r="O353"/>
  <c r="AQ353"/>
  <c r="P353"/>
  <c r="AR353"/>
  <c r="Q353"/>
  <c r="AS353"/>
  <c r="AS383" s="1"/>
  <c r="R353"/>
  <c r="AT353" s="1"/>
  <c r="S353"/>
  <c r="AU353" s="1"/>
  <c r="T353"/>
  <c r="AV353"/>
  <c r="U353"/>
  <c r="AW353"/>
  <c r="V353"/>
  <c r="AX353"/>
  <c r="W353"/>
  <c r="X353"/>
  <c r="AZ353" s="1"/>
  <c r="Y353"/>
  <c r="BA353" s="1"/>
  <c r="CC353" s="1"/>
  <c r="Z353"/>
  <c r="BB353"/>
  <c r="AY353"/>
  <c r="X354"/>
  <c r="AZ354" s="1"/>
  <c r="CB354" s="1"/>
  <c r="DD354" s="1"/>
  <c r="Y354"/>
  <c r="BA354" s="1"/>
  <c r="CC354" s="1"/>
  <c r="DE354" s="1"/>
  <c r="Z354"/>
  <c r="BB354" s="1"/>
  <c r="CD354" s="1"/>
  <c r="DF354" s="1"/>
  <c r="AA354"/>
  <c r="BC354" s="1"/>
  <c r="CE354" s="1"/>
  <c r="DG354" s="1"/>
  <c r="AB354"/>
  <c r="BD354" s="1"/>
  <c r="AC354"/>
  <c r="BE354" s="1"/>
  <c r="CG354" s="1"/>
  <c r="DI354" s="1"/>
  <c r="AD354"/>
  <c r="BF354" s="1"/>
  <c r="CH354" s="1"/>
  <c r="DJ354" s="1"/>
  <c r="AE354"/>
  <c r="BG354" s="1"/>
  <c r="CI354" s="1"/>
  <c r="DK354" s="1"/>
  <c r="AF354"/>
  <c r="BH354" s="1"/>
  <c r="CJ354" s="1"/>
  <c r="DL354" s="1"/>
  <c r="AG354"/>
  <c r="BI354" s="1"/>
  <c r="CK354" s="1"/>
  <c r="DM354" s="1"/>
  <c r="AH354"/>
  <c r="BJ354" s="1"/>
  <c r="CL354" s="1"/>
  <c r="DN354" s="1"/>
  <c r="EA354"/>
  <c r="EB354"/>
  <c r="J355"/>
  <c r="K355"/>
  <c r="L355"/>
  <c r="M355"/>
  <c r="BQ355"/>
  <c r="N355"/>
  <c r="O355"/>
  <c r="P355"/>
  <c r="BT355"/>
  <c r="Q355"/>
  <c r="R355"/>
  <c r="S355"/>
  <c r="T355"/>
  <c r="U355"/>
  <c r="V355"/>
  <c r="BZ355" s="1"/>
  <c r="X355"/>
  <c r="AH355"/>
  <c r="CL355" s="1"/>
  <c r="AI355"/>
  <c r="AJ355"/>
  <c r="AL355"/>
  <c r="BN355" s="1"/>
  <c r="AN355"/>
  <c r="AP355"/>
  <c r="AR355"/>
  <c r="AT355"/>
  <c r="AV355"/>
  <c r="BL355"/>
  <c r="BW355"/>
  <c r="CP355"/>
  <c r="CP342" s="1"/>
  <c r="CP384" s="1"/>
  <c r="EG355"/>
  <c r="AL357"/>
  <c r="CP357" s="1"/>
  <c r="AM357"/>
  <c r="CQ357"/>
  <c r="AN357"/>
  <c r="CR357"/>
  <c r="AO357"/>
  <c r="AP357"/>
  <c r="AQ357"/>
  <c r="CU357"/>
  <c r="AR357"/>
  <c r="AS357"/>
  <c r="CW357" s="1"/>
  <c r="AT357"/>
  <c r="CX357" s="1"/>
  <c r="AU357"/>
  <c r="AV357"/>
  <c r="CZ357"/>
  <c r="AW357"/>
  <c r="AX357"/>
  <c r="DB357" s="1"/>
  <c r="AY357"/>
  <c r="AZ357"/>
  <c r="DD357" s="1"/>
  <c r="BA357"/>
  <c r="BB357"/>
  <c r="BC357"/>
  <c r="DG357" s="1"/>
  <c r="BD357"/>
  <c r="DH357" s="1"/>
  <c r="BE357"/>
  <c r="BF357"/>
  <c r="BG357"/>
  <c r="BH357"/>
  <c r="DL357"/>
  <c r="BI357"/>
  <c r="DM357"/>
  <c r="BJ357"/>
  <c r="DN357" s="1"/>
  <c r="EJ357" s="1"/>
  <c r="BK357"/>
  <c r="BL357"/>
  <c r="DP357"/>
  <c r="CT357"/>
  <c r="DF357"/>
  <c r="EK357"/>
  <c r="AL358"/>
  <c r="AM358"/>
  <c r="AN358"/>
  <c r="CR358" s="1"/>
  <c r="AO358"/>
  <c r="CS358" s="1"/>
  <c r="AP358"/>
  <c r="CT358"/>
  <c r="AQ358"/>
  <c r="AR358"/>
  <c r="AS358"/>
  <c r="AT358"/>
  <c r="AU358"/>
  <c r="AV358"/>
  <c r="CZ358" s="1"/>
  <c r="AW358"/>
  <c r="DA358" s="1"/>
  <c r="AX358"/>
  <c r="AY358"/>
  <c r="DC358"/>
  <c r="AK337" i="3" s="1"/>
  <c r="AZ358" i="1"/>
  <c r="DD358" s="1"/>
  <c r="AL337" i="3" s="1"/>
  <c r="BA358" i="1"/>
  <c r="DE358"/>
  <c r="AM337" i="3" s="1"/>
  <c r="BB358" i="1"/>
  <c r="DF358" s="1"/>
  <c r="BC358"/>
  <c r="DG358" s="1"/>
  <c r="BD358"/>
  <c r="DH358" s="1"/>
  <c r="BE358"/>
  <c r="DI358"/>
  <c r="BF358"/>
  <c r="BG358"/>
  <c r="BH358"/>
  <c r="BI358"/>
  <c r="DM358" s="1"/>
  <c r="BJ358"/>
  <c r="BK358"/>
  <c r="DO358" s="1"/>
  <c r="BL358"/>
  <c r="DP358" s="1"/>
  <c r="CQ358"/>
  <c r="CU358"/>
  <c r="CW358"/>
  <c r="CY358"/>
  <c r="DJ358"/>
  <c r="DL358"/>
  <c r="EK358"/>
  <c r="AL359"/>
  <c r="CP359" s="1"/>
  <c r="AM359"/>
  <c r="CQ359" s="1"/>
  <c r="AN359"/>
  <c r="CR359" s="1"/>
  <c r="AO359"/>
  <c r="AP359"/>
  <c r="AQ359"/>
  <c r="AR359"/>
  <c r="AS359"/>
  <c r="CW359" s="1"/>
  <c r="AT359"/>
  <c r="CX359" s="1"/>
  <c r="AU359"/>
  <c r="AV359"/>
  <c r="CZ359"/>
  <c r="AW359"/>
  <c r="DA359"/>
  <c r="AX359"/>
  <c r="DB359"/>
  <c r="AY359"/>
  <c r="DC359"/>
  <c r="AZ359"/>
  <c r="BA359"/>
  <c r="BB359"/>
  <c r="BC359"/>
  <c r="DG359" s="1"/>
  <c r="BD359"/>
  <c r="DH359" s="1"/>
  <c r="BE359"/>
  <c r="DI359" s="1"/>
  <c r="BF359"/>
  <c r="DJ359" s="1"/>
  <c r="BG359"/>
  <c r="BH359"/>
  <c r="DL359" s="1"/>
  <c r="BI359"/>
  <c r="DM359" s="1"/>
  <c r="BJ359"/>
  <c r="BK359"/>
  <c r="BL359"/>
  <c r="DP359"/>
  <c r="CT359"/>
  <c r="DD359"/>
  <c r="DN359"/>
  <c r="EJ359" s="1"/>
  <c r="EK359"/>
  <c r="AL360"/>
  <c r="AM360"/>
  <c r="AN360"/>
  <c r="CR360" s="1"/>
  <c r="AO360"/>
  <c r="AP360"/>
  <c r="CT360"/>
  <c r="AQ360"/>
  <c r="CU360"/>
  <c r="AR360"/>
  <c r="AS360"/>
  <c r="CW360" s="1"/>
  <c r="AT360"/>
  <c r="CX360" s="1"/>
  <c r="AU360"/>
  <c r="CY360" s="1"/>
  <c r="AV360"/>
  <c r="AW360"/>
  <c r="DA360" s="1"/>
  <c r="AX360"/>
  <c r="AY360"/>
  <c r="DC360"/>
  <c r="AZ360"/>
  <c r="DD360"/>
  <c r="BA360"/>
  <c r="BB360"/>
  <c r="BC360"/>
  <c r="DG360"/>
  <c r="BD360"/>
  <c r="BE360"/>
  <c r="DI360" s="1"/>
  <c r="BF360"/>
  <c r="DJ360" s="1"/>
  <c r="BG360"/>
  <c r="DK360" s="1"/>
  <c r="BH360"/>
  <c r="BI360"/>
  <c r="DM360"/>
  <c r="BJ360"/>
  <c r="DN360" s="1"/>
  <c r="BK360"/>
  <c r="DO360"/>
  <c r="BL360"/>
  <c r="CQ360"/>
  <c r="DE360"/>
  <c r="DP360"/>
  <c r="EK360"/>
  <c r="AL361"/>
  <c r="AM361"/>
  <c r="CQ361" s="1"/>
  <c r="AN361"/>
  <c r="CR361"/>
  <c r="AO361"/>
  <c r="CS361"/>
  <c r="AP361"/>
  <c r="CT361"/>
  <c r="AQ361"/>
  <c r="AR361"/>
  <c r="CV361" s="1"/>
  <c r="AS361"/>
  <c r="CW361" s="1"/>
  <c r="AT361"/>
  <c r="CX361"/>
  <c r="AU361"/>
  <c r="AV361"/>
  <c r="CZ361" s="1"/>
  <c r="AW361"/>
  <c r="DA361" s="1"/>
  <c r="AX361"/>
  <c r="AY361"/>
  <c r="AZ361"/>
  <c r="DD361" s="1"/>
  <c r="BA361"/>
  <c r="DE361" s="1"/>
  <c r="AM339" i="3" s="1"/>
  <c r="BB361" i="1"/>
  <c r="DF361"/>
  <c r="AN339" i="3" s="1"/>
  <c r="BC361" i="1"/>
  <c r="BD361"/>
  <c r="BE361"/>
  <c r="BF361"/>
  <c r="DJ361"/>
  <c r="BG361"/>
  <c r="BH361"/>
  <c r="DL361" s="1"/>
  <c r="BI361"/>
  <c r="DM361" s="1"/>
  <c r="BK361"/>
  <c r="BL361"/>
  <c r="DP361" s="1"/>
  <c r="CU361"/>
  <c r="CY361"/>
  <c r="DC361"/>
  <c r="AK339" i="3"/>
  <c r="DH361" i="1"/>
  <c r="DN361"/>
  <c r="EH361"/>
  <c r="F339" i="3" s="1"/>
  <c r="EK361" i="1"/>
  <c r="AL362"/>
  <c r="CP362"/>
  <c r="AM362"/>
  <c r="AN362"/>
  <c r="AO362"/>
  <c r="AP362"/>
  <c r="AQ362"/>
  <c r="AR362"/>
  <c r="AS362"/>
  <c r="AT362"/>
  <c r="AU362"/>
  <c r="AV362"/>
  <c r="AW362"/>
  <c r="AX362"/>
  <c r="AY362"/>
  <c r="AZ362"/>
  <c r="BA362"/>
  <c r="BB362"/>
  <c r="BC362"/>
  <c r="BD362"/>
  <c r="BE362"/>
  <c r="BF362"/>
  <c r="BG362"/>
  <c r="BH362"/>
  <c r="BI362"/>
  <c r="BJ362"/>
  <c r="EH362" s="1"/>
  <c r="BK362"/>
  <c r="BL362"/>
  <c r="DB362"/>
  <c r="DC362" s="1"/>
  <c r="EK362"/>
  <c r="AL363"/>
  <c r="AM363"/>
  <c r="AN363"/>
  <c r="AO363"/>
  <c r="AP363"/>
  <c r="CT363" s="1"/>
  <c r="AQ363"/>
  <c r="CU363" s="1"/>
  <c r="AR363"/>
  <c r="AS363"/>
  <c r="CW363"/>
  <c r="AT363"/>
  <c r="CX363"/>
  <c r="AU363"/>
  <c r="CY363"/>
  <c r="AV363"/>
  <c r="AW363"/>
  <c r="DA363" s="1"/>
  <c r="AX363"/>
  <c r="AY363"/>
  <c r="DC363"/>
  <c r="AZ363"/>
  <c r="DD363" s="1"/>
  <c r="BA363"/>
  <c r="BB363"/>
  <c r="DF363"/>
  <c r="BC363"/>
  <c r="BD363"/>
  <c r="BE363"/>
  <c r="DI363"/>
  <c r="BF363"/>
  <c r="DJ363"/>
  <c r="BG363"/>
  <c r="DK363"/>
  <c r="BH363"/>
  <c r="BI363"/>
  <c r="CK363" s="1"/>
  <c r="BJ363"/>
  <c r="DN363" s="1"/>
  <c r="EJ363" s="1"/>
  <c r="BK363"/>
  <c r="BL363"/>
  <c r="DP363" s="1"/>
  <c r="DG363"/>
  <c r="DL363"/>
  <c r="DO363"/>
  <c r="EK363"/>
  <c r="AL364"/>
  <c r="AM364"/>
  <c r="AN364"/>
  <c r="AO364"/>
  <c r="AP364"/>
  <c r="CT364" s="1"/>
  <c r="AQ364"/>
  <c r="AR364"/>
  <c r="CV364" s="1"/>
  <c r="AS364"/>
  <c r="AT364"/>
  <c r="CX364" s="1"/>
  <c r="AU364"/>
  <c r="AV364"/>
  <c r="CZ364" s="1"/>
  <c r="AW364"/>
  <c r="DA364" s="1"/>
  <c r="AX364"/>
  <c r="AY364"/>
  <c r="AZ364"/>
  <c r="BA364"/>
  <c r="DE364" s="1"/>
  <c r="BB364"/>
  <c r="BC364"/>
  <c r="BC900" s="1"/>
  <c r="BD364"/>
  <c r="BE364"/>
  <c r="BE900" s="1"/>
  <c r="BF364"/>
  <c r="BG364"/>
  <c r="BG900" s="1"/>
  <c r="BH364"/>
  <c r="BI364"/>
  <c r="BJ364"/>
  <c r="BK364"/>
  <c r="DO364" s="1"/>
  <c r="BL364"/>
  <c r="DP364" s="1"/>
  <c r="CS364"/>
  <c r="CU364"/>
  <c r="CW364"/>
  <c r="CY364"/>
  <c r="DC364"/>
  <c r="DG364"/>
  <c r="EK364"/>
  <c r="EQ364"/>
  <c r="ER364"/>
  <c r="ES364"/>
  <c r="AL365"/>
  <c r="AM365"/>
  <c r="BP365"/>
  <c r="AN365"/>
  <c r="AO365"/>
  <c r="AP365"/>
  <c r="AQ365"/>
  <c r="CU365" s="1"/>
  <c r="AR365"/>
  <c r="CV365" s="1"/>
  <c r="AS365"/>
  <c r="AT365"/>
  <c r="AU365"/>
  <c r="CY365" s="1"/>
  <c r="AV365"/>
  <c r="CZ365" s="1"/>
  <c r="AW365"/>
  <c r="DA365"/>
  <c r="AX365"/>
  <c r="AY365"/>
  <c r="DC365" s="1"/>
  <c r="AZ365"/>
  <c r="DD365" s="1"/>
  <c r="BA365"/>
  <c r="DE365" s="1"/>
  <c r="BB365"/>
  <c r="DF365" s="1"/>
  <c r="BC365"/>
  <c r="DG365" s="1"/>
  <c r="BD365"/>
  <c r="DH365" s="1"/>
  <c r="BE365"/>
  <c r="DI365" s="1"/>
  <c r="BF365"/>
  <c r="DJ365" s="1"/>
  <c r="BG365"/>
  <c r="DK365" s="1"/>
  <c r="BH365"/>
  <c r="BI365"/>
  <c r="BJ365"/>
  <c r="DN365" s="1"/>
  <c r="BK365"/>
  <c r="BL365"/>
  <c r="DP365" s="1"/>
  <c r="BY365"/>
  <c r="BX365" s="1"/>
  <c r="CP365"/>
  <c r="CQ365" s="1"/>
  <c r="CR365" s="1"/>
  <c r="CT365"/>
  <c r="CX365"/>
  <c r="DB365"/>
  <c r="DM365"/>
  <c r="DO365"/>
  <c r="EH365"/>
  <c r="EK365"/>
  <c r="EQ365"/>
  <c r="ER365"/>
  <c r="ES365"/>
  <c r="AL366"/>
  <c r="AM366"/>
  <c r="BP366" s="1"/>
  <c r="BO366" s="1"/>
  <c r="AN366"/>
  <c r="AO366"/>
  <c r="AP366"/>
  <c r="AQ366"/>
  <c r="AR366"/>
  <c r="AS366"/>
  <c r="AS379" s="1"/>
  <c r="AT366"/>
  <c r="AU366"/>
  <c r="AV366"/>
  <c r="CE366"/>
  <c r="CD366"/>
  <c r="CH366"/>
  <c r="CF366"/>
  <c r="CN366"/>
  <c r="CL366" s="1"/>
  <c r="EI366" s="1"/>
  <c r="CP366"/>
  <c r="CQ366"/>
  <c r="CR366" s="1"/>
  <c r="CS366" s="1"/>
  <c r="CT366" s="1"/>
  <c r="CU366" s="1"/>
  <c r="CV366" s="1"/>
  <c r="CW366" s="1"/>
  <c r="CX366" s="1"/>
  <c r="CY366" s="1"/>
  <c r="CZ366" s="1"/>
  <c r="DA366" s="1"/>
  <c r="DB366"/>
  <c r="DC366"/>
  <c r="DD366" s="1"/>
  <c r="DE366" s="1"/>
  <c r="DF366" s="1"/>
  <c r="DG366" s="1"/>
  <c r="DH366" s="1"/>
  <c r="DI366" s="1"/>
  <c r="DJ366" s="1"/>
  <c r="EK366"/>
  <c r="AL367"/>
  <c r="AM367"/>
  <c r="AN367"/>
  <c r="AN379"/>
  <c r="AO367"/>
  <c r="AP367"/>
  <c r="AP379" s="1"/>
  <c r="AQ367"/>
  <c r="AR367"/>
  <c r="AS367"/>
  <c r="AT367"/>
  <c r="AU367"/>
  <c r="AV367"/>
  <c r="AV379"/>
  <c r="AW367"/>
  <c r="AX367"/>
  <c r="AX379" s="1"/>
  <c r="BZ379" s="1"/>
  <c r="AY367"/>
  <c r="AZ367"/>
  <c r="BA367"/>
  <c r="BB367"/>
  <c r="BC367"/>
  <c r="BD367"/>
  <c r="BE367"/>
  <c r="BF367"/>
  <c r="BG367"/>
  <c r="BH367"/>
  <c r="BI367"/>
  <c r="EH367"/>
  <c r="BJ367"/>
  <c r="BK367"/>
  <c r="BL367"/>
  <c r="BL379" s="1"/>
  <c r="CP367"/>
  <c r="EK367"/>
  <c r="AL368"/>
  <c r="AM368"/>
  <c r="AN368"/>
  <c r="AO368"/>
  <c r="AP368"/>
  <c r="AQ368"/>
  <c r="AR368"/>
  <c r="AS368"/>
  <c r="AT368"/>
  <c r="AU368"/>
  <c r="AV368"/>
  <c r="AW368"/>
  <c r="AX368"/>
  <c r="AY368"/>
  <c r="AZ368"/>
  <c r="BA368"/>
  <c r="BB368"/>
  <c r="BC368"/>
  <c r="BD368"/>
  <c r="BE368"/>
  <c r="BF368"/>
  <c r="BG368"/>
  <c r="BH368"/>
  <c r="BI368"/>
  <c r="BJ368"/>
  <c r="DN368" s="1"/>
  <c r="BK368"/>
  <c r="BL368"/>
  <c r="CN368" s="1"/>
  <c r="EK368"/>
  <c r="AL369"/>
  <c r="AM369"/>
  <c r="AN369"/>
  <c r="AO369"/>
  <c r="AP369"/>
  <c r="AQ369"/>
  <c r="BS369" s="1"/>
  <c r="BR369" s="1"/>
  <c r="AR369"/>
  <c r="AS369"/>
  <c r="AT369"/>
  <c r="AU369"/>
  <c r="AV369"/>
  <c r="AW369"/>
  <c r="AX369"/>
  <c r="DB369"/>
  <c r="AY369"/>
  <c r="AZ369"/>
  <c r="BA369"/>
  <c r="BB369"/>
  <c r="BC369"/>
  <c r="BD369"/>
  <c r="BE369"/>
  <c r="BF369"/>
  <c r="BG369"/>
  <c r="BH369"/>
  <c r="BH900" s="1"/>
  <c r="BI369"/>
  <c r="BJ369"/>
  <c r="BK369"/>
  <c r="BL369"/>
  <c r="CP369"/>
  <c r="CQ369"/>
  <c r="EK369"/>
  <c r="AL370"/>
  <c r="CP370" s="1"/>
  <c r="AM370"/>
  <c r="AN370"/>
  <c r="BP370" s="1"/>
  <c r="BO370" s="1"/>
  <c r="AO370"/>
  <c r="AP370"/>
  <c r="AQ370"/>
  <c r="AR370"/>
  <c r="AS370"/>
  <c r="AT370"/>
  <c r="BV370" s="1"/>
  <c r="BU370" s="1"/>
  <c r="AU370"/>
  <c r="AV370"/>
  <c r="BY370" s="1"/>
  <c r="AW370"/>
  <c r="AX370"/>
  <c r="AY370"/>
  <c r="AZ370"/>
  <c r="BA370"/>
  <c r="BB370"/>
  <c r="BC370"/>
  <c r="BD370"/>
  <c r="BE370"/>
  <c r="BF370"/>
  <c r="BG370"/>
  <c r="CK370" s="1"/>
  <c r="BH370"/>
  <c r="BI370"/>
  <c r="BJ370"/>
  <c r="DN370" s="1"/>
  <c r="BK370"/>
  <c r="BL370"/>
  <c r="EK370"/>
  <c r="AL371"/>
  <c r="AM371"/>
  <c r="AN371"/>
  <c r="AO371"/>
  <c r="AP371"/>
  <c r="AQ371"/>
  <c r="AR371"/>
  <c r="BV371" s="1"/>
  <c r="BU371" s="1"/>
  <c r="AS371"/>
  <c r="AT371"/>
  <c r="AU371"/>
  <c r="AV371"/>
  <c r="AW371"/>
  <c r="AX371"/>
  <c r="DB371" s="1"/>
  <c r="AY371"/>
  <c r="AZ371"/>
  <c r="CB371" s="1"/>
  <c r="CA371" s="1"/>
  <c r="BA371"/>
  <c r="BB371"/>
  <c r="BC371"/>
  <c r="BD371"/>
  <c r="BE371"/>
  <c r="BF371"/>
  <c r="BG371"/>
  <c r="BH371"/>
  <c r="BI371"/>
  <c r="BJ371"/>
  <c r="DN371" s="1"/>
  <c r="BK371"/>
  <c r="BL371"/>
  <c r="EK371"/>
  <c r="AL372"/>
  <c r="AM372"/>
  <c r="AN372"/>
  <c r="AO372"/>
  <c r="BS372" s="1"/>
  <c r="BR372" s="1"/>
  <c r="AP372"/>
  <c r="AQ372"/>
  <c r="AR372"/>
  <c r="AS372"/>
  <c r="AT372"/>
  <c r="AU372"/>
  <c r="AV372"/>
  <c r="AW372"/>
  <c r="AX372"/>
  <c r="AY372"/>
  <c r="AZ372"/>
  <c r="CB372"/>
  <c r="BA372"/>
  <c r="BB372"/>
  <c r="CE372" s="1"/>
  <c r="CD372" s="1"/>
  <c r="BC372"/>
  <c r="BD372"/>
  <c r="CH372" s="1"/>
  <c r="CG372" s="1"/>
  <c r="BE372"/>
  <c r="BF372"/>
  <c r="BG372"/>
  <c r="BH372"/>
  <c r="BI372"/>
  <c r="EH372"/>
  <c r="BJ372"/>
  <c r="DN372"/>
  <c r="DO372" s="1"/>
  <c r="BK372"/>
  <c r="BL372"/>
  <c r="EK372"/>
  <c r="AL373"/>
  <c r="AM373"/>
  <c r="AN373"/>
  <c r="AO373"/>
  <c r="AP373"/>
  <c r="AQ373"/>
  <c r="AR373"/>
  <c r="AS373"/>
  <c r="AT373"/>
  <c r="AU373"/>
  <c r="AV373"/>
  <c r="AW373"/>
  <c r="AX373"/>
  <c r="AY373"/>
  <c r="AZ373"/>
  <c r="BA373"/>
  <c r="BB373"/>
  <c r="BC373"/>
  <c r="BD373"/>
  <c r="BE373"/>
  <c r="BF373"/>
  <c r="BG373"/>
  <c r="BH373"/>
  <c r="BI373"/>
  <c r="EH373"/>
  <c r="BJ373"/>
  <c r="BK373"/>
  <c r="BL373"/>
  <c r="BS373"/>
  <c r="BR373" s="1"/>
  <c r="CE373"/>
  <c r="CC373" s="1"/>
  <c r="DN373"/>
  <c r="DO373" s="1"/>
  <c r="DP373" s="1"/>
  <c r="EK373"/>
  <c r="EQ373"/>
  <c r="AL374"/>
  <c r="CP374"/>
  <c r="AM374"/>
  <c r="AN374"/>
  <c r="BP374" s="1"/>
  <c r="BO374" s="1"/>
  <c r="AO374"/>
  <c r="AP374"/>
  <c r="AQ374"/>
  <c r="AR374"/>
  <c r="AS374"/>
  <c r="AT374"/>
  <c r="BV374" s="1"/>
  <c r="BU374" s="1"/>
  <c r="AU374"/>
  <c r="AV374"/>
  <c r="AW374"/>
  <c r="AX374"/>
  <c r="DB374" s="1"/>
  <c r="DC374" s="1"/>
  <c r="AY374"/>
  <c r="AZ374"/>
  <c r="BA374"/>
  <c r="BB374"/>
  <c r="BC374"/>
  <c r="BD374"/>
  <c r="BE374"/>
  <c r="BF374"/>
  <c r="BG374"/>
  <c r="BH374"/>
  <c r="BI374"/>
  <c r="BJ374"/>
  <c r="BK374"/>
  <c r="BL374"/>
  <c r="EQ374"/>
  <c r="ER374"/>
  <c r="Q375"/>
  <c r="R375"/>
  <c r="CX375" s="1"/>
  <c r="AL375"/>
  <c r="AQ375"/>
  <c r="AR375"/>
  <c r="AV375"/>
  <c r="AW375"/>
  <c r="AX375"/>
  <c r="AY375"/>
  <c r="AZ375"/>
  <c r="BA375"/>
  <c r="CP375"/>
  <c r="CQ375"/>
  <c r="CR375"/>
  <c r="CS375"/>
  <c r="CT375"/>
  <c r="CU375"/>
  <c r="CV375"/>
  <c r="CY375"/>
  <c r="CZ375"/>
  <c r="DA375"/>
  <c r="DB375"/>
  <c r="DC375"/>
  <c r="DD375"/>
  <c r="DE375"/>
  <c r="DF375"/>
  <c r="DG375"/>
  <c r="DH375"/>
  <c r="DI375"/>
  <c r="DJ375"/>
  <c r="DK375"/>
  <c r="DL375"/>
  <c r="DM375"/>
  <c r="DN375"/>
  <c r="EJ375" s="1"/>
  <c r="DO375"/>
  <c r="DP375"/>
  <c r="EK375"/>
  <c r="O376"/>
  <c r="AQ376" s="1"/>
  <c r="P376"/>
  <c r="Q376" s="1"/>
  <c r="AL376"/>
  <c r="AV376"/>
  <c r="AW376"/>
  <c r="AX376"/>
  <c r="AY376"/>
  <c r="AZ376"/>
  <c r="BA376"/>
  <c r="CP376"/>
  <c r="CQ376"/>
  <c r="CR376"/>
  <c r="CS376"/>
  <c r="CT376"/>
  <c r="CY376"/>
  <c r="CZ376"/>
  <c r="DA376"/>
  <c r="DB376"/>
  <c r="DC376"/>
  <c r="DD376"/>
  <c r="DE376"/>
  <c r="DF376"/>
  <c r="DG376"/>
  <c r="DH376"/>
  <c r="DI376"/>
  <c r="DJ376"/>
  <c r="DK376"/>
  <c r="DL376"/>
  <c r="DM376"/>
  <c r="DN376"/>
  <c r="EJ376" s="1"/>
  <c r="DO376"/>
  <c r="DP376"/>
  <c r="EK376"/>
  <c r="J377"/>
  <c r="AL377" s="1"/>
  <c r="K377"/>
  <c r="AM377"/>
  <c r="L377"/>
  <c r="M377"/>
  <c r="AO377" s="1"/>
  <c r="N377"/>
  <c r="O377"/>
  <c r="AQ377"/>
  <c r="P377"/>
  <c r="AR377"/>
  <c r="Q377"/>
  <c r="AS377"/>
  <c r="R377"/>
  <c r="AT377"/>
  <c r="S377"/>
  <c r="AU377"/>
  <c r="T377"/>
  <c r="U377"/>
  <c r="AW377" s="1"/>
  <c r="V377"/>
  <c r="W377"/>
  <c r="AY377"/>
  <c r="X377"/>
  <c r="Y377"/>
  <c r="BA377" s="1"/>
  <c r="Z377"/>
  <c r="AA377"/>
  <c r="AB377"/>
  <c r="BD377" s="1"/>
  <c r="AC377"/>
  <c r="AD377"/>
  <c r="BF377" s="1"/>
  <c r="AE377"/>
  <c r="AF377"/>
  <c r="BH377"/>
  <c r="AG377"/>
  <c r="AH377"/>
  <c r="BJ377" s="1"/>
  <c r="AI377"/>
  <c r="AJ377"/>
  <c r="BL377" s="1"/>
  <c r="BL392" s="1"/>
  <c r="AN377"/>
  <c r="AP377"/>
  <c r="AV377"/>
  <c r="AX377"/>
  <c r="BZ377" s="1"/>
  <c r="AZ377"/>
  <c r="BC377"/>
  <c r="BE377"/>
  <c r="BG377"/>
  <c r="CI377" s="1"/>
  <c r="BI377"/>
  <c r="DB377"/>
  <c r="EK377"/>
  <c r="J378"/>
  <c r="AL378" s="1"/>
  <c r="K378"/>
  <c r="AM378" s="1"/>
  <c r="L378"/>
  <c r="AN378" s="1"/>
  <c r="M378"/>
  <c r="AO378" s="1"/>
  <c r="BQ378" s="1"/>
  <c r="N378"/>
  <c r="AP378"/>
  <c r="O378"/>
  <c r="P378"/>
  <c r="AR378" s="1"/>
  <c r="BT378" s="1"/>
  <c r="Q378"/>
  <c r="AS378"/>
  <c r="R378"/>
  <c r="AT378"/>
  <c r="S378"/>
  <c r="T378"/>
  <c r="AV378" s="1"/>
  <c r="U378"/>
  <c r="AW378" s="1"/>
  <c r="V378"/>
  <c r="AX378" s="1"/>
  <c r="W378"/>
  <c r="W390" s="1"/>
  <c r="X378"/>
  <c r="AZ378"/>
  <c r="Y378"/>
  <c r="BA378"/>
  <c r="CC378" s="1"/>
  <c r="Z378"/>
  <c r="BB378" s="1"/>
  <c r="AA378"/>
  <c r="BC378" s="1"/>
  <c r="BC390" s="1"/>
  <c r="AB378"/>
  <c r="BD378"/>
  <c r="AC378"/>
  <c r="AC390"/>
  <c r="AD378"/>
  <c r="BF378"/>
  <c r="AE378"/>
  <c r="BG378" s="1"/>
  <c r="AF378"/>
  <c r="BH378" s="1"/>
  <c r="AG378"/>
  <c r="AG390" s="1"/>
  <c r="AH378"/>
  <c r="BJ378" s="1"/>
  <c r="AI378"/>
  <c r="BK378" s="1"/>
  <c r="AJ378"/>
  <c r="BL378" s="1"/>
  <c r="AQ378"/>
  <c r="AU378"/>
  <c r="BW378" s="1"/>
  <c r="AY378"/>
  <c r="EK378"/>
  <c r="J379"/>
  <c r="CP379" s="1"/>
  <c r="K379"/>
  <c r="L379"/>
  <c r="M379"/>
  <c r="N379"/>
  <c r="O379"/>
  <c r="P379"/>
  <c r="Q379"/>
  <c r="R379"/>
  <c r="S379"/>
  <c r="T379"/>
  <c r="U379"/>
  <c r="V379"/>
  <c r="DB379"/>
  <c r="W379"/>
  <c r="X379"/>
  <c r="Y379"/>
  <c r="Z379"/>
  <c r="AA379"/>
  <c r="AB379"/>
  <c r="AC379"/>
  <c r="AD379"/>
  <c r="AE379"/>
  <c r="AF379"/>
  <c r="AH379"/>
  <c r="DN379"/>
  <c r="AI379"/>
  <c r="AJ379"/>
  <c r="AM379"/>
  <c r="AQ379"/>
  <c r="AU379"/>
  <c r="BW379"/>
  <c r="BX379" s="1"/>
  <c r="AW379"/>
  <c r="AY379"/>
  <c r="AZ379"/>
  <c r="BA379"/>
  <c r="CC379"/>
  <c r="BB379"/>
  <c r="BC379"/>
  <c r="BD379"/>
  <c r="CF379"/>
  <c r="BE379"/>
  <c r="BF379"/>
  <c r="BG379"/>
  <c r="CI379"/>
  <c r="BH379"/>
  <c r="BI379"/>
  <c r="BJ379"/>
  <c r="CL379"/>
  <c r="BK379"/>
  <c r="EK379"/>
  <c r="E382"/>
  <c r="G382"/>
  <c r="J382"/>
  <c r="K382"/>
  <c r="L382"/>
  <c r="M382"/>
  <c r="N382"/>
  <c r="O382"/>
  <c r="P382"/>
  <c r="Q382"/>
  <c r="R382"/>
  <c r="S382"/>
  <c r="T382"/>
  <c r="U382"/>
  <c r="V382"/>
  <c r="W382"/>
  <c r="AH382"/>
  <c r="AI382"/>
  <c r="AJ382"/>
  <c r="AL382"/>
  <c r="AM382"/>
  <c r="AN382"/>
  <c r="AO382"/>
  <c r="AP382"/>
  <c r="AQ382"/>
  <c r="AR382"/>
  <c r="AS382"/>
  <c r="AT382"/>
  <c r="AU382"/>
  <c r="AV382"/>
  <c r="AW382"/>
  <c r="AY382"/>
  <c r="BJ382"/>
  <c r="BK382"/>
  <c r="BL382"/>
  <c r="E383"/>
  <c r="G383"/>
  <c r="J383"/>
  <c r="K383"/>
  <c r="L383"/>
  <c r="M383"/>
  <c r="N383"/>
  <c r="O383"/>
  <c r="P383"/>
  <c r="Q383"/>
  <c r="R383"/>
  <c r="S383"/>
  <c r="T383"/>
  <c r="U383"/>
  <c r="V383"/>
  <c r="W383"/>
  <c r="AY383"/>
  <c r="E384"/>
  <c r="G384"/>
  <c r="I384"/>
  <c r="J384"/>
  <c r="K384"/>
  <c r="L384"/>
  <c r="M384"/>
  <c r="N384"/>
  <c r="O384"/>
  <c r="P384"/>
  <c r="Q384"/>
  <c r="R384"/>
  <c r="S384"/>
  <c r="T384"/>
  <c r="U384"/>
  <c r="V384"/>
  <c r="W384"/>
  <c r="AH384"/>
  <c r="AI384"/>
  <c r="AJ384"/>
  <c r="AL384"/>
  <c r="AM384"/>
  <c r="AN384"/>
  <c r="AO384"/>
  <c r="AP384"/>
  <c r="AQ384"/>
  <c r="AR384"/>
  <c r="AS384"/>
  <c r="AT384"/>
  <c r="AU384"/>
  <c r="AV384"/>
  <c r="AW384"/>
  <c r="BJ384"/>
  <c r="BK384"/>
  <c r="BL384"/>
  <c r="E385"/>
  <c r="G385"/>
  <c r="J385"/>
  <c r="K385"/>
  <c r="L385"/>
  <c r="M385"/>
  <c r="N385"/>
  <c r="O385"/>
  <c r="P385"/>
  <c r="Q385"/>
  <c r="R385"/>
  <c r="S385"/>
  <c r="T385"/>
  <c r="U385"/>
  <c r="V385"/>
  <c r="W385"/>
  <c r="AM385"/>
  <c r="AO385"/>
  <c r="AP385"/>
  <c r="AU385"/>
  <c r="AX385"/>
  <c r="AY385"/>
  <c r="E386"/>
  <c r="G386"/>
  <c r="J386"/>
  <c r="K386"/>
  <c r="L386"/>
  <c r="M386"/>
  <c r="N386"/>
  <c r="O386"/>
  <c r="P386"/>
  <c r="Q386"/>
  <c r="R386"/>
  <c r="S386"/>
  <c r="T386"/>
  <c r="U386"/>
  <c r="V386"/>
  <c r="W386"/>
  <c r="AH386"/>
  <c r="AI386"/>
  <c r="AJ386"/>
  <c r="AL386"/>
  <c r="AX386"/>
  <c r="AY386"/>
  <c r="BJ386"/>
  <c r="BK386"/>
  <c r="BL386"/>
  <c r="E387"/>
  <c r="G387"/>
  <c r="J387"/>
  <c r="K387"/>
  <c r="L387"/>
  <c r="M387"/>
  <c r="O387"/>
  <c r="P387"/>
  <c r="R387"/>
  <c r="S387"/>
  <c r="U387"/>
  <c r="V387"/>
  <c r="W387"/>
  <c r="X387"/>
  <c r="Y387"/>
  <c r="Z387"/>
  <c r="AA387"/>
  <c r="AG387"/>
  <c r="AH387"/>
  <c r="AI387"/>
  <c r="AJ387"/>
  <c r="CP387"/>
  <c r="CQ387"/>
  <c r="CR387"/>
  <c r="CU387"/>
  <c r="CX387"/>
  <c r="DA387"/>
  <c r="DB387"/>
  <c r="DC387"/>
  <c r="DD387"/>
  <c r="DF387"/>
  <c r="DM387"/>
  <c r="DN387"/>
  <c r="DO387"/>
  <c r="DP387"/>
  <c r="EA387"/>
  <c r="E389"/>
  <c r="G389"/>
  <c r="J389"/>
  <c r="K389"/>
  <c r="L389"/>
  <c r="M389"/>
  <c r="N389"/>
  <c r="O389"/>
  <c r="P389"/>
  <c r="Q389"/>
  <c r="R389"/>
  <c r="S389"/>
  <c r="T389"/>
  <c r="U389"/>
  <c r="V389"/>
  <c r="W389"/>
  <c r="X389"/>
  <c r="Y389"/>
  <c r="Z389"/>
  <c r="AA389"/>
  <c r="AB389"/>
  <c r="AC389"/>
  <c r="AD389"/>
  <c r="AE389"/>
  <c r="AF389"/>
  <c r="AG389"/>
  <c r="AH389"/>
  <c r="AI389"/>
  <c r="AJ389"/>
  <c r="AL389"/>
  <c r="AM389"/>
  <c r="AN389"/>
  <c r="AO389"/>
  <c r="AP389"/>
  <c r="AQ389"/>
  <c r="AR389"/>
  <c r="AS389"/>
  <c r="AT389"/>
  <c r="AU389"/>
  <c r="AV389"/>
  <c r="AW389"/>
  <c r="AX389"/>
  <c r="AY389"/>
  <c r="AZ389"/>
  <c r="BA389"/>
  <c r="BB389"/>
  <c r="BC389"/>
  <c r="BD389"/>
  <c r="BE389"/>
  <c r="BF389"/>
  <c r="BG389"/>
  <c r="BH389"/>
  <c r="BI389"/>
  <c r="BJ389"/>
  <c r="BK389"/>
  <c r="BL389"/>
  <c r="E390"/>
  <c r="G390"/>
  <c r="J390"/>
  <c r="L390"/>
  <c r="N390"/>
  <c r="O390"/>
  <c r="P390"/>
  <c r="Q390"/>
  <c r="R390"/>
  <c r="S390"/>
  <c r="T390"/>
  <c r="V390"/>
  <c r="X390"/>
  <c r="Y390"/>
  <c r="Z390"/>
  <c r="AB390"/>
  <c r="AD390"/>
  <c r="AH390"/>
  <c r="AJ390"/>
  <c r="E391"/>
  <c r="G391"/>
  <c r="I391"/>
  <c r="J391"/>
  <c r="K391"/>
  <c r="L391"/>
  <c r="M391"/>
  <c r="N391"/>
  <c r="O391"/>
  <c r="P391"/>
  <c r="Q391"/>
  <c r="R391"/>
  <c r="S391"/>
  <c r="T391"/>
  <c r="U391"/>
  <c r="V391"/>
  <c r="W391"/>
  <c r="X391"/>
  <c r="Y391"/>
  <c r="Z391"/>
  <c r="AA391"/>
  <c r="AB391"/>
  <c r="AC391"/>
  <c r="AD391"/>
  <c r="AE391"/>
  <c r="AF391"/>
  <c r="AG391"/>
  <c r="AH391"/>
  <c r="AI391"/>
  <c r="AJ391"/>
  <c r="AL391"/>
  <c r="AM391"/>
  <c r="AN391"/>
  <c r="AO391"/>
  <c r="AP391"/>
  <c r="AQ391"/>
  <c r="AR391"/>
  <c r="AS391"/>
  <c r="AT391"/>
  <c r="AU391"/>
  <c r="AV391"/>
  <c r="AW391"/>
  <c r="AX391"/>
  <c r="AY391"/>
  <c r="AZ391"/>
  <c r="BA391"/>
  <c r="BB391"/>
  <c r="BC391"/>
  <c r="BD391"/>
  <c r="BE391"/>
  <c r="BF391"/>
  <c r="BG391"/>
  <c r="BH391"/>
  <c r="BI391"/>
  <c r="BJ391"/>
  <c r="BK391"/>
  <c r="BL391"/>
  <c r="E392"/>
  <c r="G392"/>
  <c r="J392"/>
  <c r="K392"/>
  <c r="L392"/>
  <c r="M392"/>
  <c r="N392"/>
  <c r="O392"/>
  <c r="P392"/>
  <c r="Q392"/>
  <c r="R392"/>
  <c r="S392"/>
  <c r="T392"/>
  <c r="U392"/>
  <c r="V392"/>
  <c r="W392"/>
  <c r="X392"/>
  <c r="Y392"/>
  <c r="Z392"/>
  <c r="AA392"/>
  <c r="AB392"/>
  <c r="AC392"/>
  <c r="AD392"/>
  <c r="AE392"/>
  <c r="AF392"/>
  <c r="AG392"/>
  <c r="AH392"/>
  <c r="AI392"/>
  <c r="AJ392"/>
  <c r="AN392"/>
  <c r="AP392"/>
  <c r="AT392"/>
  <c r="AV392"/>
  <c r="AX392"/>
  <c r="AZ392"/>
  <c r="BC392"/>
  <c r="BE392"/>
  <c r="BG392"/>
  <c r="BI392"/>
  <c r="E393"/>
  <c r="G393"/>
  <c r="J393"/>
  <c r="K393"/>
  <c r="L393"/>
  <c r="M393"/>
  <c r="N393"/>
  <c r="O393"/>
  <c r="P393"/>
  <c r="Q393"/>
  <c r="R393"/>
  <c r="S393"/>
  <c r="T393"/>
  <c r="U393"/>
  <c r="V393"/>
  <c r="W393"/>
  <c r="X393"/>
  <c r="Y393"/>
  <c r="Z393"/>
  <c r="AA393"/>
  <c r="AB393"/>
  <c r="AC393"/>
  <c r="AD393"/>
  <c r="AE393"/>
  <c r="AF393"/>
  <c r="AG393"/>
  <c r="AH393"/>
  <c r="AI393"/>
  <c r="AJ393"/>
  <c r="AL393"/>
  <c r="AM393"/>
  <c r="AN393"/>
  <c r="AO393"/>
  <c r="AP393"/>
  <c r="AQ393"/>
  <c r="AR393"/>
  <c r="AS393"/>
  <c r="AT393"/>
  <c r="AU393"/>
  <c r="AV393"/>
  <c r="AW393"/>
  <c r="AX393"/>
  <c r="AY393"/>
  <c r="AZ393"/>
  <c r="BA393"/>
  <c r="BB393"/>
  <c r="BC393"/>
  <c r="BD393"/>
  <c r="BE393"/>
  <c r="BF393"/>
  <c r="BG393"/>
  <c r="BH393"/>
  <c r="BI393"/>
  <c r="BJ393"/>
  <c r="BK393"/>
  <c r="BL393"/>
  <c r="E394"/>
  <c r="G394"/>
  <c r="J394"/>
  <c r="K394"/>
  <c r="L394"/>
  <c r="M394"/>
  <c r="N394"/>
  <c r="O394"/>
  <c r="P394"/>
  <c r="S394"/>
  <c r="T394"/>
  <c r="U394"/>
  <c r="V394"/>
  <c r="W394"/>
  <c r="X394"/>
  <c r="Y394"/>
  <c r="Z394"/>
  <c r="AA394"/>
  <c r="AB394"/>
  <c r="AC394"/>
  <c r="AD394"/>
  <c r="AE394"/>
  <c r="AF394"/>
  <c r="AG394"/>
  <c r="AH394"/>
  <c r="AI394"/>
  <c r="AJ394"/>
  <c r="CP394"/>
  <c r="CQ394"/>
  <c r="CR394"/>
  <c r="CS394"/>
  <c r="CT394"/>
  <c r="CY394"/>
  <c r="CZ394"/>
  <c r="DA394"/>
  <c r="DB394"/>
  <c r="DC394"/>
  <c r="DD394"/>
  <c r="DE394"/>
  <c r="DF394"/>
  <c r="DG394"/>
  <c r="DH394"/>
  <c r="DI394"/>
  <c r="DJ394"/>
  <c r="DK394"/>
  <c r="DL394"/>
  <c r="DM394"/>
  <c r="DN394"/>
  <c r="DO394"/>
  <c r="DP394"/>
  <c r="I397"/>
  <c r="E400" i="3" s="1"/>
  <c r="AL400" i="1"/>
  <c r="AM400"/>
  <c r="CQ400" s="1"/>
  <c r="AN400"/>
  <c r="CR400" s="1"/>
  <c r="AO400"/>
  <c r="CS400"/>
  <c r="AP400"/>
  <c r="AQ400"/>
  <c r="CU400" s="1"/>
  <c r="AR400"/>
  <c r="CV400" s="1"/>
  <c r="AS400"/>
  <c r="CW400"/>
  <c r="AT400"/>
  <c r="AU400"/>
  <c r="CY400" s="1"/>
  <c r="AV400"/>
  <c r="CZ400" s="1"/>
  <c r="AW400"/>
  <c r="DA400"/>
  <c r="AX400"/>
  <c r="AY400"/>
  <c r="DC400" s="1"/>
  <c r="AZ400"/>
  <c r="DD400" s="1"/>
  <c r="EA400" s="1"/>
  <c r="BA400"/>
  <c r="DE400"/>
  <c r="BB400"/>
  <c r="BP400"/>
  <c r="BO400" s="1"/>
  <c r="CP400"/>
  <c r="CT400"/>
  <c r="CX400"/>
  <c r="DB400"/>
  <c r="DF400"/>
  <c r="DZ400"/>
  <c r="AL401"/>
  <c r="AM401"/>
  <c r="BP401" s="1"/>
  <c r="BO401" s="1"/>
  <c r="AN401"/>
  <c r="CR401"/>
  <c r="AO401"/>
  <c r="AP401"/>
  <c r="CT401" s="1"/>
  <c r="AQ401"/>
  <c r="CU401" s="1"/>
  <c r="AR401"/>
  <c r="CV401"/>
  <c r="AS401"/>
  <c r="AT401"/>
  <c r="CX401" s="1"/>
  <c r="AU401"/>
  <c r="CY401" s="1"/>
  <c r="AV401"/>
  <c r="CZ401"/>
  <c r="AW401"/>
  <c r="AX401"/>
  <c r="DB401" s="1"/>
  <c r="AY401"/>
  <c r="DC401" s="1"/>
  <c r="AZ401"/>
  <c r="DD401"/>
  <c r="EA401" s="1"/>
  <c r="BA401"/>
  <c r="BB401"/>
  <c r="DF401"/>
  <c r="CS401"/>
  <c r="CW401"/>
  <c r="DA401"/>
  <c r="DE401"/>
  <c r="DZ401"/>
  <c r="AI402"/>
  <c r="AH402" s="1"/>
  <c r="AL402"/>
  <c r="BP402" s="1"/>
  <c r="BO402" s="1"/>
  <c r="AM402"/>
  <c r="AN402"/>
  <c r="AO402"/>
  <c r="AP402"/>
  <c r="AQ402"/>
  <c r="AR402"/>
  <c r="BV402" s="1"/>
  <c r="BU402" s="1"/>
  <c r="AS402"/>
  <c r="AT402"/>
  <c r="AU402"/>
  <c r="CY402"/>
  <c r="AV402"/>
  <c r="AW402"/>
  <c r="DA402" s="1"/>
  <c r="AX402"/>
  <c r="AY402"/>
  <c r="DC402"/>
  <c r="AZ402"/>
  <c r="CP402"/>
  <c r="CQ402"/>
  <c r="CR402"/>
  <c r="CS402"/>
  <c r="CT402"/>
  <c r="CU402"/>
  <c r="CV402"/>
  <c r="CZ402"/>
  <c r="DB402"/>
  <c r="DD402"/>
  <c r="DZ402"/>
  <c r="EA402"/>
  <c r="AL403"/>
  <c r="CP403" s="1"/>
  <c r="AM403"/>
  <c r="CQ403"/>
  <c r="AN403"/>
  <c r="AO403"/>
  <c r="CS403" s="1"/>
  <c r="AP403"/>
  <c r="CT403" s="1"/>
  <c r="AQ403"/>
  <c r="CU403"/>
  <c r="AR403"/>
  <c r="AS403"/>
  <c r="CW403" s="1"/>
  <c r="AT403"/>
  <c r="CX403" s="1"/>
  <c r="AU403"/>
  <c r="CY403"/>
  <c r="AV403"/>
  <c r="AW403"/>
  <c r="DA403" s="1"/>
  <c r="AX403"/>
  <c r="DB403" s="1"/>
  <c r="AY403"/>
  <c r="DC403"/>
  <c r="AZ403"/>
  <c r="BA403"/>
  <c r="DE403" s="1"/>
  <c r="BB403"/>
  <c r="DF403" s="1"/>
  <c r="CR403"/>
  <c r="CV403"/>
  <c r="CZ403"/>
  <c r="DD403"/>
  <c r="EA403" s="1"/>
  <c r="DZ403"/>
  <c r="AL404"/>
  <c r="AM404"/>
  <c r="CQ404"/>
  <c r="AN404"/>
  <c r="CR404"/>
  <c r="AO404"/>
  <c r="AP404"/>
  <c r="CT404" s="1"/>
  <c r="AQ404"/>
  <c r="CU404" s="1"/>
  <c r="AR404"/>
  <c r="CV404"/>
  <c r="AS404"/>
  <c r="AT404"/>
  <c r="CX404" s="1"/>
  <c r="AU404"/>
  <c r="CY404" s="1"/>
  <c r="AV404"/>
  <c r="CZ404" s="1"/>
  <c r="AW404"/>
  <c r="DA404" s="1"/>
  <c r="AX404"/>
  <c r="DB404"/>
  <c r="AY404"/>
  <c r="AZ404"/>
  <c r="DD404" s="1"/>
  <c r="EA404" s="1"/>
  <c r="BA404"/>
  <c r="BB404"/>
  <c r="DF404" s="1"/>
  <c r="CS404"/>
  <c r="CW404"/>
  <c r="DC404"/>
  <c r="DE404"/>
  <c r="DZ404"/>
  <c r="AL405"/>
  <c r="AM405"/>
  <c r="AN405"/>
  <c r="BP405"/>
  <c r="AO405"/>
  <c r="AP405"/>
  <c r="BS405" s="1"/>
  <c r="AQ405"/>
  <c r="AR405"/>
  <c r="AS405"/>
  <c r="AT405"/>
  <c r="AU405"/>
  <c r="AV405"/>
  <c r="AW405"/>
  <c r="BJ405"/>
  <c r="AL406"/>
  <c r="AM406"/>
  <c r="CQ406"/>
  <c r="AN406"/>
  <c r="CR406"/>
  <c r="AO406"/>
  <c r="CS406"/>
  <c r="AP406"/>
  <c r="CT406"/>
  <c r="AQ406"/>
  <c r="AR406"/>
  <c r="AS406"/>
  <c r="CW406"/>
  <c r="AT406"/>
  <c r="AU406"/>
  <c r="CY406" s="1"/>
  <c r="AV406"/>
  <c r="CZ406" s="1"/>
  <c r="AW406"/>
  <c r="DA406" s="1"/>
  <c r="EA406" s="1"/>
  <c r="DB449"/>
  <c r="BJ406"/>
  <c r="DP406"/>
  <c r="BS406"/>
  <c r="BR406"/>
  <c r="CU406"/>
  <c r="DO406"/>
  <c r="AL407"/>
  <c r="CP407"/>
  <c r="CQ407" s="1"/>
  <c r="AM407"/>
  <c r="AN407"/>
  <c r="BP407"/>
  <c r="AO407"/>
  <c r="AP407"/>
  <c r="AQ407"/>
  <c r="AQ421"/>
  <c r="AR407"/>
  <c r="AS407"/>
  <c r="AT407"/>
  <c r="AU407"/>
  <c r="AV407"/>
  <c r="BY407"/>
  <c r="AW407"/>
  <c r="BS407"/>
  <c r="BR407" s="1"/>
  <c r="DN407"/>
  <c r="DO407" s="1"/>
  <c r="V408"/>
  <c r="W408"/>
  <c r="AY408"/>
  <c r="X408"/>
  <c r="CB408"/>
  <c r="Y408"/>
  <c r="BA408"/>
  <c r="Z408"/>
  <c r="AA408"/>
  <c r="AB408"/>
  <c r="AC408"/>
  <c r="BE408"/>
  <c r="AD408"/>
  <c r="AE408"/>
  <c r="BG408" s="1"/>
  <c r="AF408"/>
  <c r="BH408" s="1"/>
  <c r="AL408"/>
  <c r="AM408"/>
  <c r="AN408"/>
  <c r="AO408"/>
  <c r="AP408"/>
  <c r="AQ408"/>
  <c r="AR408"/>
  <c r="AS408"/>
  <c r="AT408"/>
  <c r="AU408"/>
  <c r="AV408"/>
  <c r="AW408"/>
  <c r="AX408"/>
  <c r="BB408"/>
  <c r="BD408"/>
  <c r="CH408" s="1"/>
  <c r="BF408"/>
  <c r="BI408"/>
  <c r="BJ408"/>
  <c r="EE408" s="1"/>
  <c r="BS408"/>
  <c r="BR408" s="1"/>
  <c r="AL409"/>
  <c r="CP409" s="1"/>
  <c r="CP452" s="1"/>
  <c r="AM409"/>
  <c r="AN409"/>
  <c r="AO409"/>
  <c r="AP409"/>
  <c r="BS409" s="1"/>
  <c r="BR409" s="1"/>
  <c r="AQ409"/>
  <c r="AR409"/>
  <c r="AS409"/>
  <c r="AT409"/>
  <c r="AU409"/>
  <c r="AV409"/>
  <c r="AW409"/>
  <c r="BJ409"/>
  <c r="EE409" s="1"/>
  <c r="BK409"/>
  <c r="BL409"/>
  <c r="DN409"/>
  <c r="AL410"/>
  <c r="CP410" s="1"/>
  <c r="CQ410" s="1"/>
  <c r="CR410" s="1"/>
  <c r="CS410" s="1"/>
  <c r="CT410" s="1"/>
  <c r="CU410" s="1"/>
  <c r="CV410" s="1"/>
  <c r="CW410" s="1"/>
  <c r="CX410" s="1"/>
  <c r="CY410" s="1"/>
  <c r="CZ410" s="1"/>
  <c r="DA410" s="1"/>
  <c r="EA410" s="1"/>
  <c r="AM410"/>
  <c r="AN410"/>
  <c r="AO410"/>
  <c r="AP410"/>
  <c r="AQ410"/>
  <c r="AR410"/>
  <c r="AS410"/>
  <c r="AT410"/>
  <c r="AU410"/>
  <c r="AV410"/>
  <c r="AW410"/>
  <c r="AX410"/>
  <c r="AX914"/>
  <c r="AY410"/>
  <c r="AY914"/>
  <c r="BJ410"/>
  <c r="DN410" s="1"/>
  <c r="J411"/>
  <c r="K411"/>
  <c r="AM411" s="1"/>
  <c r="L411"/>
  <c r="M411"/>
  <c r="N411"/>
  <c r="O411"/>
  <c r="AQ411"/>
  <c r="AQ453" s="1"/>
  <c r="P411"/>
  <c r="Q411"/>
  <c r="AS411"/>
  <c r="R411"/>
  <c r="S411"/>
  <c r="T411"/>
  <c r="U411"/>
  <c r="AW411" s="1"/>
  <c r="AW453" s="1"/>
  <c r="AL411"/>
  <c r="AN411"/>
  <c r="AX411"/>
  <c r="DB411"/>
  <c r="AY411"/>
  <c r="BJ411"/>
  <c r="DN411" s="1"/>
  <c r="BK411"/>
  <c r="BL411"/>
  <c r="AL412"/>
  <c r="CP412" s="1"/>
  <c r="CQ412" s="1"/>
  <c r="CR412" s="1"/>
  <c r="CS412" s="1"/>
  <c r="CT412" s="1"/>
  <c r="CU412" s="1"/>
  <c r="CV412" s="1"/>
  <c r="CW412" s="1"/>
  <c r="CX412" s="1"/>
  <c r="CY412" s="1"/>
  <c r="CZ412" s="1"/>
  <c r="DA412" s="1"/>
  <c r="EA412" s="1"/>
  <c r="AM412"/>
  <c r="AN412"/>
  <c r="BP412" s="1"/>
  <c r="BO412" s="1"/>
  <c r="AO412"/>
  <c r="AP412"/>
  <c r="AQ412"/>
  <c r="AR412"/>
  <c r="AS412"/>
  <c r="AT412"/>
  <c r="AU412"/>
  <c r="AV412"/>
  <c r="AW412"/>
  <c r="AX412"/>
  <c r="AY412"/>
  <c r="BJ412"/>
  <c r="DN412" s="1"/>
  <c r="DO412" s="1"/>
  <c r="BK412"/>
  <c r="BL412"/>
  <c r="AL413"/>
  <c r="CP413" s="1"/>
  <c r="AM413"/>
  <c r="AN413"/>
  <c r="AO413"/>
  <c r="BS413" s="1"/>
  <c r="BR413" s="1"/>
  <c r="AP413"/>
  <c r="AQ413"/>
  <c r="AR413"/>
  <c r="AS413"/>
  <c r="AT413"/>
  <c r="AU413"/>
  <c r="BY413" s="1"/>
  <c r="BX413" s="1"/>
  <c r="AV413"/>
  <c r="AW413"/>
  <c r="AX413"/>
  <c r="AY413"/>
  <c r="AZ413"/>
  <c r="BJ413"/>
  <c r="DN413" s="1"/>
  <c r="BK413"/>
  <c r="BL413"/>
  <c r="Y414"/>
  <c r="Z414"/>
  <c r="AC414"/>
  <c r="AD414"/>
  <c r="AL414"/>
  <c r="AM414"/>
  <c r="AN414"/>
  <c r="AO414"/>
  <c r="AP414"/>
  <c r="AQ414"/>
  <c r="BS414" s="1"/>
  <c r="BR414" s="1"/>
  <c r="AR414"/>
  <c r="AS414"/>
  <c r="AT414"/>
  <c r="AU414"/>
  <c r="AV414"/>
  <c r="AW414"/>
  <c r="AX414"/>
  <c r="DB414"/>
  <c r="AY414"/>
  <c r="AZ414"/>
  <c r="BI414"/>
  <c r="BJ414"/>
  <c r="DN414" s="1"/>
  <c r="BK414"/>
  <c r="BL414"/>
  <c r="CP414"/>
  <c r="Y415"/>
  <c r="BB415" s="1"/>
  <c r="AC415"/>
  <c r="AD415" s="1"/>
  <c r="AL415"/>
  <c r="CP415" s="1"/>
  <c r="AM415"/>
  <c r="AN415"/>
  <c r="AO415"/>
  <c r="AP415"/>
  <c r="AQ415"/>
  <c r="AR415"/>
  <c r="AS415"/>
  <c r="BV415"/>
  <c r="AT415"/>
  <c r="AU415"/>
  <c r="BY415" s="1"/>
  <c r="BX415" s="1"/>
  <c r="AV415"/>
  <c r="AW415"/>
  <c r="AX415"/>
  <c r="DB415"/>
  <c r="AY415"/>
  <c r="AZ415"/>
  <c r="BC415"/>
  <c r="BD415"/>
  <c r="BJ415"/>
  <c r="BK415"/>
  <c r="BL415"/>
  <c r="Y416"/>
  <c r="DE416" s="1"/>
  <c r="AA416"/>
  <c r="AB416" s="1"/>
  <c r="CP416"/>
  <c r="CQ416"/>
  <c r="CR416"/>
  <c r="CS416"/>
  <c r="CT416"/>
  <c r="CU416"/>
  <c r="CV416"/>
  <c r="CW416"/>
  <c r="CX416"/>
  <c r="CY416"/>
  <c r="CZ416"/>
  <c r="DA416"/>
  <c r="EA416"/>
  <c r="DB416"/>
  <c r="DC416"/>
  <c r="DD416"/>
  <c r="DF416"/>
  <c r="DM416"/>
  <c r="EB416"/>
  <c r="DN416"/>
  <c r="DO416"/>
  <c r="DP416"/>
  <c r="EE416"/>
  <c r="EO441" s="1"/>
  <c r="EF416"/>
  <c r="EP441" s="1"/>
  <c r="Y417"/>
  <c r="DE417" s="1"/>
  <c r="DE454" s="1"/>
  <c r="AA417"/>
  <c r="AB417"/>
  <c r="AC417" s="1"/>
  <c r="CP417"/>
  <c r="CQ417"/>
  <c r="CR417"/>
  <c r="CS417"/>
  <c r="CT417"/>
  <c r="CU417"/>
  <c r="CV417"/>
  <c r="CW417"/>
  <c r="CX417"/>
  <c r="CY417"/>
  <c r="CZ417"/>
  <c r="DA417"/>
  <c r="DB417"/>
  <c r="DC417"/>
  <c r="DD417"/>
  <c r="DF417"/>
  <c r="DG417"/>
  <c r="DM417"/>
  <c r="EB417" s="1"/>
  <c r="DN417"/>
  <c r="DO417"/>
  <c r="DP417"/>
  <c r="EA417"/>
  <c r="EA454" s="1"/>
  <c r="EG454" s="1"/>
  <c r="EE417"/>
  <c r="EO442" s="1"/>
  <c r="EF417"/>
  <c r="EP442" s="1"/>
  <c r="J418"/>
  <c r="K418"/>
  <c r="L418"/>
  <c r="M418"/>
  <c r="N418"/>
  <c r="O418"/>
  <c r="P418"/>
  <c r="Q418"/>
  <c r="R418"/>
  <c r="AT418" s="1"/>
  <c r="AT452" s="1"/>
  <c r="S418"/>
  <c r="T418"/>
  <c r="U418"/>
  <c r="AL418"/>
  <c r="AM418"/>
  <c r="AN418"/>
  <c r="AO418"/>
  <c r="AP418"/>
  <c r="AQ418"/>
  <c r="AR418"/>
  <c r="BT418" s="1"/>
  <c r="AS418"/>
  <c r="AU418"/>
  <c r="BW418" s="1"/>
  <c r="AV418"/>
  <c r="AW418"/>
  <c r="BN418"/>
  <c r="BQ418"/>
  <c r="CP418"/>
  <c r="CQ418" s="1"/>
  <c r="CR418" s="1"/>
  <c r="CS418" s="1"/>
  <c r="CT418" s="1"/>
  <c r="CU418" s="1"/>
  <c r="CV418" s="1"/>
  <c r="CW418" s="1"/>
  <c r="CX418" s="1"/>
  <c r="CY418" s="1"/>
  <c r="CZ418" s="1"/>
  <c r="DA418" s="1"/>
  <c r="EA418" s="1"/>
  <c r="DB418"/>
  <c r="J419"/>
  <c r="AL419" s="1"/>
  <c r="K419"/>
  <c r="AM419" s="1"/>
  <c r="AM450" s="1"/>
  <c r="L419"/>
  <c r="AN419"/>
  <c r="AN450" s="1"/>
  <c r="M419"/>
  <c r="AO419" s="1"/>
  <c r="N419"/>
  <c r="AP419"/>
  <c r="AP450" s="1"/>
  <c r="O419"/>
  <c r="AQ419" s="1"/>
  <c r="AQ450" s="1"/>
  <c r="P419"/>
  <c r="AR419"/>
  <c r="Q419"/>
  <c r="R419"/>
  <c r="AT419" s="1"/>
  <c r="AT450" s="1"/>
  <c r="S419"/>
  <c r="T419"/>
  <c r="AV419" s="1"/>
  <c r="AV450" s="1"/>
  <c r="U419"/>
  <c r="V419"/>
  <c r="AX419" s="1"/>
  <c r="W419"/>
  <c r="AY419" s="1"/>
  <c r="X419"/>
  <c r="AZ419" s="1"/>
  <c r="Y419"/>
  <c r="BA419" s="1"/>
  <c r="CC419" s="1"/>
  <c r="Z419"/>
  <c r="BB419"/>
  <c r="AS419"/>
  <c r="AU419"/>
  <c r="BW419" s="1"/>
  <c r="AW419"/>
  <c r="X420"/>
  <c r="AZ420"/>
  <c r="CB420" s="1"/>
  <c r="DD420" s="1"/>
  <c r="AB420"/>
  <c r="BD420"/>
  <c r="CF420" s="1"/>
  <c r="DH420" s="1"/>
  <c r="AC420"/>
  <c r="AF420"/>
  <c r="BH420" s="1"/>
  <c r="CJ420" s="1"/>
  <c r="DL420" s="1"/>
  <c r="AG420"/>
  <c r="BI420" s="1"/>
  <c r="CK420" s="1"/>
  <c r="DM420" s="1"/>
  <c r="AH420"/>
  <c r="BJ420" s="1"/>
  <c r="CL420" s="1"/>
  <c r="DN420" s="1"/>
  <c r="BE420"/>
  <c r="CG420" s="1"/>
  <c r="DI420" s="1"/>
  <c r="EA420"/>
  <c r="EB420"/>
  <c r="J421"/>
  <c r="K421"/>
  <c r="L421"/>
  <c r="M421"/>
  <c r="N421"/>
  <c r="O421"/>
  <c r="P421"/>
  <c r="Q421"/>
  <c r="R421"/>
  <c r="S421"/>
  <c r="BW421" s="1"/>
  <c r="T421"/>
  <c r="U421"/>
  <c r="V421"/>
  <c r="W421"/>
  <c r="X421"/>
  <c r="AH421"/>
  <c r="CL421" s="1"/>
  <c r="AI421"/>
  <c r="AJ421"/>
  <c r="AL421"/>
  <c r="BN421"/>
  <c r="AN421"/>
  <c r="AP421"/>
  <c r="AR421"/>
  <c r="AT421"/>
  <c r="AV421"/>
  <c r="AX421"/>
  <c r="BJ421"/>
  <c r="BK421"/>
  <c r="BL421"/>
  <c r="BQ421"/>
  <c r="BR421" s="1"/>
  <c r="BT421"/>
  <c r="BZ421"/>
  <c r="CP421"/>
  <c r="DB421"/>
  <c r="DC421"/>
  <c r="DD421" s="1"/>
  <c r="DN421"/>
  <c r="DO421" s="1"/>
  <c r="DP421" s="1"/>
  <c r="EG421"/>
  <c r="AL423"/>
  <c r="AM423"/>
  <c r="AN423"/>
  <c r="AO423"/>
  <c r="BS423" s="1"/>
  <c r="BR423" s="1"/>
  <c r="AP423"/>
  <c r="AQ423"/>
  <c r="AR423"/>
  <c r="AS423"/>
  <c r="AT423"/>
  <c r="BV423"/>
  <c r="AU423"/>
  <c r="AV423"/>
  <c r="BY423" s="1"/>
  <c r="BX423" s="1"/>
  <c r="AW423"/>
  <c r="AX423"/>
  <c r="DB423" s="1"/>
  <c r="AY423"/>
  <c r="AZ423"/>
  <c r="DD423" s="1"/>
  <c r="BA423"/>
  <c r="BB423"/>
  <c r="DF423" s="1"/>
  <c r="BC423"/>
  <c r="BD423"/>
  <c r="CH423" s="1"/>
  <c r="CG423" s="1"/>
  <c r="BE423"/>
  <c r="BF423"/>
  <c r="BG423"/>
  <c r="BH423"/>
  <c r="BI423"/>
  <c r="BJ423"/>
  <c r="BK423"/>
  <c r="BL423"/>
  <c r="CP423"/>
  <c r="CQ423"/>
  <c r="CR423"/>
  <c r="CS423"/>
  <c r="CT423"/>
  <c r="CU423"/>
  <c r="CV423"/>
  <c r="CW423"/>
  <c r="CX423"/>
  <c r="CY423"/>
  <c r="DA423"/>
  <c r="DC423"/>
  <c r="DE423"/>
  <c r="DH423"/>
  <c r="DI423"/>
  <c r="DJ423"/>
  <c r="DK423"/>
  <c r="DL423"/>
  <c r="DM423"/>
  <c r="DN423"/>
  <c r="DO423"/>
  <c r="DP423"/>
  <c r="EK423"/>
  <c r="AL424"/>
  <c r="AM424"/>
  <c r="AN424"/>
  <c r="CR424" s="1"/>
  <c r="AO424"/>
  <c r="CS424" s="1"/>
  <c r="AP424"/>
  <c r="CT424"/>
  <c r="AQ424"/>
  <c r="AR424"/>
  <c r="AS424"/>
  <c r="AT424"/>
  <c r="AU424"/>
  <c r="AV424"/>
  <c r="CZ424" s="1"/>
  <c r="AW424"/>
  <c r="DA424" s="1"/>
  <c r="AX424"/>
  <c r="AY424"/>
  <c r="AZ424"/>
  <c r="DD424"/>
  <c r="BA424"/>
  <c r="BB424"/>
  <c r="DF424" s="1"/>
  <c r="BC424"/>
  <c r="BD424"/>
  <c r="BE424"/>
  <c r="BF424"/>
  <c r="BG424"/>
  <c r="BH424"/>
  <c r="BI424"/>
  <c r="BJ424"/>
  <c r="EH424" s="1"/>
  <c r="BK424"/>
  <c r="BL424"/>
  <c r="DP424" s="1"/>
  <c r="BS424"/>
  <c r="BR424" s="1"/>
  <c r="BY424"/>
  <c r="BX424" s="1"/>
  <c r="CH424"/>
  <c r="CF424" s="1"/>
  <c r="CQ424"/>
  <c r="CU424"/>
  <c r="CW424"/>
  <c r="CY424"/>
  <c r="DC424"/>
  <c r="AK403" i="3" s="1"/>
  <c r="DE424" i="1"/>
  <c r="AM403" i="3" s="1"/>
  <c r="DG424" i="1"/>
  <c r="DH424"/>
  <c r="DI424"/>
  <c r="DJ424"/>
  <c r="DK424"/>
  <c r="DM424"/>
  <c r="DO424"/>
  <c r="EK424"/>
  <c r="AL425"/>
  <c r="CP425" s="1"/>
  <c r="AM425"/>
  <c r="CQ425"/>
  <c r="AN425"/>
  <c r="AO425"/>
  <c r="AP425"/>
  <c r="AQ425"/>
  <c r="CU425" s="1"/>
  <c r="AR425"/>
  <c r="AS425"/>
  <c r="CW425"/>
  <c r="AT425"/>
  <c r="AU425"/>
  <c r="AV425"/>
  <c r="AW425"/>
  <c r="DA425" s="1"/>
  <c r="AX425"/>
  <c r="DB425" s="1"/>
  <c r="AY425"/>
  <c r="DC425"/>
  <c r="AZ425"/>
  <c r="BA425"/>
  <c r="BB425"/>
  <c r="BC425"/>
  <c r="DG425" s="1"/>
  <c r="BD425"/>
  <c r="BE425"/>
  <c r="BF425"/>
  <c r="BG425"/>
  <c r="DK425"/>
  <c r="BH425"/>
  <c r="BI425"/>
  <c r="DM425" s="1"/>
  <c r="BJ425"/>
  <c r="BK425"/>
  <c r="BL425"/>
  <c r="DP425" s="1"/>
  <c r="BP425"/>
  <c r="BO425" s="1"/>
  <c r="BV425"/>
  <c r="BU425" s="1"/>
  <c r="CB425"/>
  <c r="CA425" s="1"/>
  <c r="CK425"/>
  <c r="CJ425" s="1"/>
  <c r="CR425"/>
  <c r="CT425"/>
  <c r="CV425"/>
  <c r="CX425"/>
  <c r="CZ425"/>
  <c r="DD425"/>
  <c r="DF425"/>
  <c r="DH425"/>
  <c r="DL425"/>
  <c r="DN425"/>
  <c r="EJ425" s="1"/>
  <c r="EH425"/>
  <c r="EK425"/>
  <c r="AL426"/>
  <c r="AM426"/>
  <c r="CQ426"/>
  <c r="AN426"/>
  <c r="AO426"/>
  <c r="AP426"/>
  <c r="AQ426"/>
  <c r="CU426" s="1"/>
  <c r="AR426"/>
  <c r="CV426" s="1"/>
  <c r="AS426"/>
  <c r="CW426"/>
  <c r="AT426"/>
  <c r="AU426"/>
  <c r="AV426"/>
  <c r="AW426"/>
  <c r="DA426" s="1"/>
  <c r="AX426"/>
  <c r="AY426"/>
  <c r="DC426"/>
  <c r="AK404" i="3" s="1"/>
  <c r="AZ426" i="1"/>
  <c r="BA426"/>
  <c r="BB426"/>
  <c r="BC426"/>
  <c r="DG426"/>
  <c r="BD426"/>
  <c r="BE426"/>
  <c r="BF426"/>
  <c r="BG426"/>
  <c r="DK426" s="1"/>
  <c r="BH426"/>
  <c r="BI426"/>
  <c r="DM426"/>
  <c r="BJ426"/>
  <c r="BK426"/>
  <c r="BL426"/>
  <c r="BP426"/>
  <c r="BO426" s="1"/>
  <c r="BV426"/>
  <c r="BU426" s="1"/>
  <c r="CB426"/>
  <c r="CA426" s="1"/>
  <c r="CP426"/>
  <c r="CR426"/>
  <c r="CT426"/>
  <c r="CX426"/>
  <c r="CZ426"/>
  <c r="DB426"/>
  <c r="AJ404" i="3" s="1"/>
  <c r="DD426" i="1"/>
  <c r="AL404" i="3" s="1"/>
  <c r="DF426" i="1"/>
  <c r="DH426"/>
  <c r="DJ426"/>
  <c r="DL426"/>
  <c r="DN426"/>
  <c r="DP426"/>
  <c r="EH426"/>
  <c r="F404" i="3" s="1"/>
  <c r="EK426" i="1"/>
  <c r="AL427"/>
  <c r="AM427"/>
  <c r="AN427"/>
  <c r="AO427"/>
  <c r="AP427"/>
  <c r="AQ427"/>
  <c r="AR427"/>
  <c r="AS427"/>
  <c r="AT427"/>
  <c r="AU427"/>
  <c r="BY427" s="1"/>
  <c r="BX427" s="1"/>
  <c r="AV427"/>
  <c r="AW427"/>
  <c r="DA427" s="1"/>
  <c r="AX427"/>
  <c r="DB427"/>
  <c r="AY427"/>
  <c r="AZ427"/>
  <c r="DD427" s="1"/>
  <c r="BA427"/>
  <c r="BB427"/>
  <c r="DF427"/>
  <c r="BC427"/>
  <c r="BD427"/>
  <c r="DH427" s="1"/>
  <c r="BE427"/>
  <c r="BF427"/>
  <c r="DJ427"/>
  <c r="BG427"/>
  <c r="BH427"/>
  <c r="DL427" s="1"/>
  <c r="BI427"/>
  <c r="DM427" s="1"/>
  <c r="BJ427"/>
  <c r="EH427" s="1"/>
  <c r="F405" i="3" s="1"/>
  <c r="BK427" i="1"/>
  <c r="BL427"/>
  <c r="CP427"/>
  <c r="CQ427"/>
  <c r="CR427"/>
  <c r="CS427"/>
  <c r="CT427"/>
  <c r="CU427"/>
  <c r="CV427"/>
  <c r="CW427"/>
  <c r="CX427"/>
  <c r="CY427"/>
  <c r="DC427"/>
  <c r="AK405" i="3" s="1"/>
  <c r="DE427" i="1"/>
  <c r="AM405" i="3" s="1"/>
  <c r="DG427" i="1"/>
  <c r="DK427"/>
  <c r="DO427"/>
  <c r="EK427"/>
  <c r="AL428"/>
  <c r="AM428"/>
  <c r="AN428"/>
  <c r="AO428"/>
  <c r="AP428"/>
  <c r="AQ428"/>
  <c r="AR428"/>
  <c r="AS428"/>
  <c r="AT428"/>
  <c r="AU428"/>
  <c r="AV428"/>
  <c r="AW428"/>
  <c r="AX428"/>
  <c r="AY428"/>
  <c r="AZ428"/>
  <c r="BA428"/>
  <c r="BB428"/>
  <c r="BC428"/>
  <c r="CE428" s="1"/>
  <c r="CC428" s="1"/>
  <c r="BD428"/>
  <c r="BE428"/>
  <c r="BF428"/>
  <c r="CH428"/>
  <c r="CF428" s="1"/>
  <c r="BG428"/>
  <c r="BH428"/>
  <c r="BI428"/>
  <c r="BJ428"/>
  <c r="EH428" s="1"/>
  <c r="BK428"/>
  <c r="BL428"/>
  <c r="BS428"/>
  <c r="BR428" s="1"/>
  <c r="EK428"/>
  <c r="AL429"/>
  <c r="AM429"/>
  <c r="AN429"/>
  <c r="AO429"/>
  <c r="CS429" s="1"/>
  <c r="AP429"/>
  <c r="BS429"/>
  <c r="AQ429"/>
  <c r="CU429"/>
  <c r="AR429"/>
  <c r="AS429"/>
  <c r="AT429"/>
  <c r="AU429"/>
  <c r="CY429" s="1"/>
  <c r="AV429"/>
  <c r="CZ429" s="1"/>
  <c r="AW429"/>
  <c r="DA429"/>
  <c r="AX429"/>
  <c r="AY429"/>
  <c r="DC429" s="1"/>
  <c r="AZ429"/>
  <c r="DD429" s="1"/>
  <c r="BA429"/>
  <c r="DE429"/>
  <c r="BB429"/>
  <c r="BC429"/>
  <c r="DG429" s="1"/>
  <c r="BD429"/>
  <c r="DH429" s="1"/>
  <c r="BE429"/>
  <c r="DI429" s="1"/>
  <c r="BF429"/>
  <c r="BG429"/>
  <c r="DK429" s="1"/>
  <c r="BH429"/>
  <c r="DL429" s="1"/>
  <c r="BI429"/>
  <c r="DM429" s="1"/>
  <c r="BJ429"/>
  <c r="EH429" s="1"/>
  <c r="BK429"/>
  <c r="BL429"/>
  <c r="DP429" s="1"/>
  <c r="BP429"/>
  <c r="BO429" s="1"/>
  <c r="CB429"/>
  <c r="CA429" s="1"/>
  <c r="CP429"/>
  <c r="CQ429" s="1"/>
  <c r="CR429" s="1"/>
  <c r="CT429"/>
  <c r="CV429"/>
  <c r="CX429"/>
  <c r="DB429"/>
  <c r="DF429"/>
  <c r="DN429"/>
  <c r="EK429"/>
  <c r="AL430"/>
  <c r="AM430"/>
  <c r="AN430"/>
  <c r="AO430"/>
  <c r="BS430" s="1"/>
  <c r="AP430"/>
  <c r="CT430"/>
  <c r="AQ430"/>
  <c r="AR430"/>
  <c r="AS430"/>
  <c r="AT430"/>
  <c r="CX430" s="1"/>
  <c r="AU430"/>
  <c r="BY430" s="1"/>
  <c r="AV430"/>
  <c r="CZ430"/>
  <c r="AW430"/>
  <c r="AX430"/>
  <c r="AX901" s="1"/>
  <c r="AY430"/>
  <c r="AZ430"/>
  <c r="DD430" s="1"/>
  <c r="BA430"/>
  <c r="CE430" s="1"/>
  <c r="CC430" s="1"/>
  <c r="BB430"/>
  <c r="DF430"/>
  <c r="BC430"/>
  <c r="BD430"/>
  <c r="DH430" s="1"/>
  <c r="BE430"/>
  <c r="BE901" s="1"/>
  <c r="BF430"/>
  <c r="BG430"/>
  <c r="BG901" s="1"/>
  <c r="BH430"/>
  <c r="BI430"/>
  <c r="BJ430"/>
  <c r="DN430" s="1"/>
  <c r="BK430"/>
  <c r="DO430" s="1"/>
  <c r="BL430"/>
  <c r="DP430"/>
  <c r="CU430"/>
  <c r="CW430"/>
  <c r="CY430"/>
  <c r="DA430"/>
  <c r="DC430"/>
  <c r="DG430"/>
  <c r="DK430"/>
  <c r="EH430"/>
  <c r="EK430"/>
  <c r="EQ430"/>
  <c r="ER430"/>
  <c r="ES430"/>
  <c r="AL431"/>
  <c r="AM431"/>
  <c r="BP431" s="1"/>
  <c r="AN431"/>
  <c r="AO431"/>
  <c r="AP431"/>
  <c r="AQ431"/>
  <c r="AR431"/>
  <c r="AS431"/>
  <c r="AT431"/>
  <c r="AU431"/>
  <c r="AV431"/>
  <c r="AW431"/>
  <c r="AX431"/>
  <c r="AY431"/>
  <c r="AZ431"/>
  <c r="BA431"/>
  <c r="BB431"/>
  <c r="CE431" s="1"/>
  <c r="BC431"/>
  <c r="DG431" s="1"/>
  <c r="DG457" s="1"/>
  <c r="BD431"/>
  <c r="BE431"/>
  <c r="BF431"/>
  <c r="BG431"/>
  <c r="BH431"/>
  <c r="BI431"/>
  <c r="BJ431"/>
  <c r="BK431"/>
  <c r="DO431" s="1"/>
  <c r="BL431"/>
  <c r="BS431"/>
  <c r="BR431" s="1"/>
  <c r="BY431"/>
  <c r="BX431" s="1"/>
  <c r="CP431"/>
  <c r="CQ431" s="1"/>
  <c r="CR431" s="1"/>
  <c r="CS431"/>
  <c r="CT431"/>
  <c r="CU431"/>
  <c r="CV431"/>
  <c r="CW431"/>
  <c r="CX431"/>
  <c r="CY431"/>
  <c r="CZ431"/>
  <c r="DA431"/>
  <c r="DB431"/>
  <c r="DC431"/>
  <c r="DD431"/>
  <c r="DE431"/>
  <c r="DF431"/>
  <c r="DI431"/>
  <c r="DJ431"/>
  <c r="DK431"/>
  <c r="DL431"/>
  <c r="DM431"/>
  <c r="DN431"/>
  <c r="DP431"/>
  <c r="EH431"/>
  <c r="EK431"/>
  <c r="EQ431"/>
  <c r="ER431"/>
  <c r="ES431"/>
  <c r="AL432"/>
  <c r="AM432"/>
  <c r="AN432"/>
  <c r="AO432"/>
  <c r="AP432"/>
  <c r="AQ432"/>
  <c r="AR432"/>
  <c r="AS432"/>
  <c r="AT432"/>
  <c r="AU432"/>
  <c r="BY432" s="1"/>
  <c r="AV432"/>
  <c r="CB432"/>
  <c r="CA432"/>
  <c r="CE432"/>
  <c r="CC432"/>
  <c r="CH432"/>
  <c r="CG432"/>
  <c r="CK432"/>
  <c r="CJ432" s="1"/>
  <c r="CN432"/>
  <c r="CM432" s="1"/>
  <c r="CP432"/>
  <c r="CQ432"/>
  <c r="CR432" s="1"/>
  <c r="CS432" s="1"/>
  <c r="CT432" s="1"/>
  <c r="CU432" s="1"/>
  <c r="CV432" s="1"/>
  <c r="CW432" s="1"/>
  <c r="CX432" s="1"/>
  <c r="CY432" s="1"/>
  <c r="CZ432" s="1"/>
  <c r="DA432" s="1"/>
  <c r="DB432"/>
  <c r="DC432"/>
  <c r="DD432" s="1"/>
  <c r="DE432" s="1"/>
  <c r="DF432" s="1"/>
  <c r="DG432" s="1"/>
  <c r="DH432" s="1"/>
  <c r="DN432"/>
  <c r="DO432" s="1"/>
  <c r="DP432" s="1"/>
  <c r="EH432"/>
  <c r="EK432"/>
  <c r="AL433"/>
  <c r="AM433"/>
  <c r="AN433"/>
  <c r="AO433"/>
  <c r="AP433"/>
  <c r="AQ433"/>
  <c r="AR433"/>
  <c r="AS433"/>
  <c r="AT433"/>
  <c r="AU433"/>
  <c r="AV433"/>
  <c r="AW433"/>
  <c r="AX433"/>
  <c r="AY433"/>
  <c r="AZ433"/>
  <c r="CB433" s="1"/>
  <c r="CA433" s="1"/>
  <c r="BA433"/>
  <c r="BB433"/>
  <c r="BC433"/>
  <c r="BD433"/>
  <c r="BE433"/>
  <c r="BF433"/>
  <c r="BF445" s="1"/>
  <c r="BG433"/>
  <c r="BH433"/>
  <c r="BI433"/>
  <c r="BJ433"/>
  <c r="BK433"/>
  <c r="BL433"/>
  <c r="CP433"/>
  <c r="EK433"/>
  <c r="AL434"/>
  <c r="AM434"/>
  <c r="AN434"/>
  <c r="AO434"/>
  <c r="AP434"/>
  <c r="BS434" s="1"/>
  <c r="AQ434"/>
  <c r="AR434"/>
  <c r="AS434"/>
  <c r="AT434"/>
  <c r="AU434"/>
  <c r="AV434"/>
  <c r="BY434"/>
  <c r="AW434"/>
  <c r="AX434"/>
  <c r="AY434"/>
  <c r="AZ434"/>
  <c r="BA434"/>
  <c r="BB434"/>
  <c r="BC434"/>
  <c r="BD434"/>
  <c r="BE434"/>
  <c r="BF434"/>
  <c r="BG434"/>
  <c r="BH434"/>
  <c r="BI434"/>
  <c r="BJ434"/>
  <c r="EH434" s="1"/>
  <c r="EO434" s="1"/>
  <c r="BK434"/>
  <c r="BL434"/>
  <c r="BP434"/>
  <c r="BO434" s="1"/>
  <c r="BV434"/>
  <c r="BU434" s="1"/>
  <c r="CB434"/>
  <c r="CA434" s="1"/>
  <c r="CP434"/>
  <c r="CQ434" s="1"/>
  <c r="CR434" s="1"/>
  <c r="CS434" s="1"/>
  <c r="DB434"/>
  <c r="DC434" s="1"/>
  <c r="DN434"/>
  <c r="DO434" s="1"/>
  <c r="EK434"/>
  <c r="AL435"/>
  <c r="BP435" s="1"/>
  <c r="BO435" s="1"/>
  <c r="AM435"/>
  <c r="AN435"/>
  <c r="AO435"/>
  <c r="AP435"/>
  <c r="AQ435"/>
  <c r="AR435"/>
  <c r="BV435" s="1"/>
  <c r="BU435" s="1"/>
  <c r="AS435"/>
  <c r="AT435"/>
  <c r="AU435"/>
  <c r="AV435"/>
  <c r="AW435"/>
  <c r="AX435"/>
  <c r="AY435"/>
  <c r="AZ435"/>
  <c r="CB435"/>
  <c r="BA435"/>
  <c r="BB435"/>
  <c r="CE435" s="1"/>
  <c r="BC435"/>
  <c r="BD435"/>
  <c r="CH435" s="1"/>
  <c r="CG435" s="1"/>
  <c r="BE435"/>
  <c r="BF435"/>
  <c r="BG435"/>
  <c r="BH435"/>
  <c r="BH901" s="1"/>
  <c r="BI435"/>
  <c r="BJ435"/>
  <c r="DN435" s="1"/>
  <c r="BK435"/>
  <c r="BL435"/>
  <c r="CN435"/>
  <c r="CM435" s="1"/>
  <c r="DB435"/>
  <c r="EK435"/>
  <c r="AL436"/>
  <c r="AM436"/>
  <c r="AN436"/>
  <c r="AO436"/>
  <c r="AP436"/>
  <c r="AQ436"/>
  <c r="AR436"/>
  <c r="AS436"/>
  <c r="AT436"/>
  <c r="AU436"/>
  <c r="AV436"/>
  <c r="BY436" s="1"/>
  <c r="BX436" s="1"/>
  <c r="AW436"/>
  <c r="AX436"/>
  <c r="AY436"/>
  <c r="AZ436"/>
  <c r="BA436"/>
  <c r="BB436"/>
  <c r="BC436"/>
  <c r="BD436"/>
  <c r="BE436"/>
  <c r="BF436"/>
  <c r="BG436"/>
  <c r="BH436"/>
  <c r="CK436" s="1"/>
  <c r="BI436"/>
  <c r="BJ436"/>
  <c r="BK436"/>
  <c r="CN436" s="1"/>
  <c r="BL436"/>
  <c r="BS436"/>
  <c r="BR436" s="1"/>
  <c r="CP436"/>
  <c r="CQ436" s="1"/>
  <c r="DB436"/>
  <c r="DC436" s="1"/>
  <c r="DN436"/>
  <c r="EK436"/>
  <c r="AL437"/>
  <c r="BP437" s="1"/>
  <c r="BO437" s="1"/>
  <c r="AM437"/>
  <c r="AN437"/>
  <c r="AO437"/>
  <c r="AP437"/>
  <c r="AQ437"/>
  <c r="AR437"/>
  <c r="AS437"/>
  <c r="AT437"/>
  <c r="AU437"/>
  <c r="AV437"/>
  <c r="AW437"/>
  <c r="AX437"/>
  <c r="CB437" s="1"/>
  <c r="CA437" s="1"/>
  <c r="AY437"/>
  <c r="AZ437"/>
  <c r="BA437"/>
  <c r="BB437"/>
  <c r="BC437"/>
  <c r="BD437"/>
  <c r="BE437"/>
  <c r="BF437"/>
  <c r="BG437"/>
  <c r="BH437"/>
  <c r="BI437"/>
  <c r="BJ437"/>
  <c r="BK437"/>
  <c r="BL437"/>
  <c r="DN437"/>
  <c r="DO437" s="1"/>
  <c r="DP437" s="1"/>
  <c r="EH437"/>
  <c r="EK437"/>
  <c r="AL438"/>
  <c r="AM438"/>
  <c r="AN438"/>
  <c r="AO438"/>
  <c r="AP438"/>
  <c r="AQ438"/>
  <c r="BS438"/>
  <c r="BR438" s="1"/>
  <c r="AR438"/>
  <c r="AS438"/>
  <c r="AT438"/>
  <c r="AU438"/>
  <c r="AV438"/>
  <c r="AW438"/>
  <c r="AX438"/>
  <c r="AY438"/>
  <c r="AZ438"/>
  <c r="BA438"/>
  <c r="BB438"/>
  <c r="BC438"/>
  <c r="BD438"/>
  <c r="BE438"/>
  <c r="BF438"/>
  <c r="BG438"/>
  <c r="BH438"/>
  <c r="BI438"/>
  <c r="CK438"/>
  <c r="BJ438"/>
  <c r="BK438"/>
  <c r="CN438" s="1"/>
  <c r="BL438"/>
  <c r="BY438"/>
  <c r="BX438" s="1"/>
  <c r="CH438"/>
  <c r="CG438" s="1"/>
  <c r="DN438"/>
  <c r="DO438" s="1"/>
  <c r="DP438" s="1"/>
  <c r="EK438"/>
  <c r="AL439"/>
  <c r="CP439" s="1"/>
  <c r="CQ439" s="1"/>
  <c r="CR439" s="1"/>
  <c r="CS439" s="1"/>
  <c r="CT439" s="1"/>
  <c r="CU439" s="1"/>
  <c r="CV439" s="1"/>
  <c r="CW439" s="1"/>
  <c r="CX439" s="1"/>
  <c r="CY439" s="1"/>
  <c r="CZ439" s="1"/>
  <c r="DA439" s="1"/>
  <c r="AM439"/>
  <c r="AN439"/>
  <c r="AO439"/>
  <c r="AP439"/>
  <c r="BS439" s="1"/>
  <c r="BR439" s="1"/>
  <c r="AQ439"/>
  <c r="AR439"/>
  <c r="AS439"/>
  <c r="AT439"/>
  <c r="AU439"/>
  <c r="AV439"/>
  <c r="BY439" s="1"/>
  <c r="BX439" s="1"/>
  <c r="AW439"/>
  <c r="AX439"/>
  <c r="DB439" s="1"/>
  <c r="DC439" s="1"/>
  <c r="DD439" s="1"/>
  <c r="DE439" s="1"/>
  <c r="DF439" s="1"/>
  <c r="DG439" s="1"/>
  <c r="DH439" s="1"/>
  <c r="DI439" s="1"/>
  <c r="DJ439" s="1"/>
  <c r="DK439" s="1"/>
  <c r="DL439" s="1"/>
  <c r="DM439" s="1"/>
  <c r="AY439"/>
  <c r="AZ439"/>
  <c r="BA439"/>
  <c r="BB439"/>
  <c r="BC439"/>
  <c r="BD439"/>
  <c r="CH439" s="1"/>
  <c r="CG439" s="1"/>
  <c r="BE439"/>
  <c r="BF439"/>
  <c r="BG439"/>
  <c r="BH439"/>
  <c r="BI439"/>
  <c r="EH439"/>
  <c r="BJ439"/>
  <c r="DN439"/>
  <c r="BK439"/>
  <c r="BL439"/>
  <c r="EK439"/>
  <c r="EQ439"/>
  <c r="AL440"/>
  <c r="AM440"/>
  <c r="AN440"/>
  <c r="AO440"/>
  <c r="AP440"/>
  <c r="AQ440"/>
  <c r="AR440"/>
  <c r="AS440"/>
  <c r="AT440"/>
  <c r="AU440"/>
  <c r="AV440"/>
  <c r="AW440"/>
  <c r="AX440"/>
  <c r="DB440"/>
  <c r="AY440"/>
  <c r="CB440"/>
  <c r="AZ440"/>
  <c r="BA440"/>
  <c r="BB440"/>
  <c r="BC440"/>
  <c r="BD440"/>
  <c r="BE440"/>
  <c r="BF440"/>
  <c r="BG440"/>
  <c r="BH440"/>
  <c r="BI440"/>
  <c r="BJ440"/>
  <c r="EH440" s="1"/>
  <c r="BK440"/>
  <c r="BL440"/>
  <c r="CP440"/>
  <c r="CQ440"/>
  <c r="CR440" s="1"/>
  <c r="CS440" s="1"/>
  <c r="CT440" s="1"/>
  <c r="CU440" s="1"/>
  <c r="CV440" s="1"/>
  <c r="CW440" s="1"/>
  <c r="CX440" s="1"/>
  <c r="CY440" s="1"/>
  <c r="CZ440" s="1"/>
  <c r="DA440" s="1"/>
  <c r="EQ440"/>
  <c r="ER440"/>
  <c r="K441"/>
  <c r="CQ441" s="1"/>
  <c r="M441"/>
  <c r="N441"/>
  <c r="Q441"/>
  <c r="R441"/>
  <c r="CX441" s="1"/>
  <c r="AL441"/>
  <c r="AR441"/>
  <c r="AV441"/>
  <c r="AW441"/>
  <c r="AX441"/>
  <c r="AY441"/>
  <c r="AZ441"/>
  <c r="BA441"/>
  <c r="CP441"/>
  <c r="CR441"/>
  <c r="CU441"/>
  <c r="CV441"/>
  <c r="CY441"/>
  <c r="CZ441"/>
  <c r="DA441"/>
  <c r="DB441"/>
  <c r="DC441"/>
  <c r="DD441"/>
  <c r="DE441"/>
  <c r="DF441"/>
  <c r="DG441"/>
  <c r="DH441"/>
  <c r="DI441"/>
  <c r="DJ441"/>
  <c r="DK441"/>
  <c r="DL441"/>
  <c r="DM441"/>
  <c r="DN441"/>
  <c r="EJ441" s="1"/>
  <c r="DO441"/>
  <c r="DP441"/>
  <c r="EK441"/>
  <c r="K442"/>
  <c r="CQ442"/>
  <c r="CQ461" s="1"/>
  <c r="M442"/>
  <c r="N442" s="1"/>
  <c r="CT442" s="1"/>
  <c r="O442"/>
  <c r="CU442"/>
  <c r="P442"/>
  <c r="Q442"/>
  <c r="AL442"/>
  <c r="AV442"/>
  <c r="AW442"/>
  <c r="AX442"/>
  <c r="AY442"/>
  <c r="AZ442"/>
  <c r="BA442"/>
  <c r="CP442"/>
  <c r="CR442"/>
  <c r="CS442"/>
  <c r="CY442"/>
  <c r="CZ442"/>
  <c r="DA442"/>
  <c r="DB442"/>
  <c r="DC442"/>
  <c r="DD442"/>
  <c r="DE442"/>
  <c r="DF442"/>
  <c r="DG442"/>
  <c r="DH442"/>
  <c r="DI442"/>
  <c r="DJ442"/>
  <c r="DK442"/>
  <c r="DL442"/>
  <c r="DM442"/>
  <c r="DN442"/>
  <c r="EJ442" s="1"/>
  <c r="EJ461" s="1"/>
  <c r="ES461" s="1"/>
  <c r="DO442"/>
  <c r="DP442"/>
  <c r="EK442"/>
  <c r="J443"/>
  <c r="AL443"/>
  <c r="K443"/>
  <c r="L443"/>
  <c r="AN443" s="1"/>
  <c r="M443"/>
  <c r="AO443" s="1"/>
  <c r="N443"/>
  <c r="AP443"/>
  <c r="O443"/>
  <c r="P443"/>
  <c r="AR443" s="1"/>
  <c r="Q443"/>
  <c r="R443"/>
  <c r="AT443"/>
  <c r="S443"/>
  <c r="AU443"/>
  <c r="T443"/>
  <c r="AV443"/>
  <c r="U443"/>
  <c r="AW443"/>
  <c r="V443"/>
  <c r="W443"/>
  <c r="AY443" s="1"/>
  <c r="X443"/>
  <c r="Z443"/>
  <c r="BB443"/>
  <c r="AA443"/>
  <c r="AB443"/>
  <c r="BD443" s="1"/>
  <c r="BD459" s="1"/>
  <c r="AC443"/>
  <c r="AD443"/>
  <c r="BF443" s="1"/>
  <c r="AE443"/>
  <c r="BG443" s="1"/>
  <c r="BG457" s="1"/>
  <c r="AF443"/>
  <c r="BH443"/>
  <c r="AG443"/>
  <c r="BI443"/>
  <c r="AH443"/>
  <c r="BJ443" s="1"/>
  <c r="AI443"/>
  <c r="AJ443"/>
  <c r="BL443"/>
  <c r="BL459" s="1"/>
  <c r="AM443"/>
  <c r="AM457" s="1"/>
  <c r="AQ443"/>
  <c r="AS443"/>
  <c r="BA443"/>
  <c r="CC443"/>
  <c r="BC443"/>
  <c r="BE443"/>
  <c r="BK443"/>
  <c r="CM443" s="1"/>
  <c r="CN443" s="1"/>
  <c r="EK443"/>
  <c r="J444"/>
  <c r="K444"/>
  <c r="AM444"/>
  <c r="L444"/>
  <c r="AN444" s="1"/>
  <c r="M444"/>
  <c r="AO444"/>
  <c r="N444"/>
  <c r="O444"/>
  <c r="AQ444" s="1"/>
  <c r="AQ457" s="1"/>
  <c r="P444"/>
  <c r="Q444"/>
  <c r="AS444" s="1"/>
  <c r="R444"/>
  <c r="S444"/>
  <c r="AU444"/>
  <c r="T444"/>
  <c r="U444"/>
  <c r="AW444" s="1"/>
  <c r="V444"/>
  <c r="W444"/>
  <c r="X444"/>
  <c r="AZ444" s="1"/>
  <c r="Y444"/>
  <c r="Z444"/>
  <c r="BB444" s="1"/>
  <c r="AA444"/>
  <c r="BC444"/>
  <c r="AB444"/>
  <c r="AC444"/>
  <c r="BE444" s="1"/>
  <c r="BE457" s="1"/>
  <c r="AD444"/>
  <c r="BF444"/>
  <c r="AE444"/>
  <c r="AF444"/>
  <c r="BH444" s="1"/>
  <c r="AG444"/>
  <c r="BI444" s="1"/>
  <c r="AH444"/>
  <c r="AI444"/>
  <c r="BK444" s="1"/>
  <c r="AJ444"/>
  <c r="BL444" s="1"/>
  <c r="AL444"/>
  <c r="CP444" s="1"/>
  <c r="CQ444" s="1"/>
  <c r="AP444"/>
  <c r="AR444"/>
  <c r="BT444"/>
  <c r="BU444" s="1"/>
  <c r="AT444"/>
  <c r="AV444"/>
  <c r="AX444"/>
  <c r="DB444" s="1"/>
  <c r="AY444"/>
  <c r="BA444"/>
  <c r="CC444" s="1"/>
  <c r="CD444" s="1"/>
  <c r="BD444"/>
  <c r="CF444" s="1"/>
  <c r="BG444"/>
  <c r="CI444" s="1"/>
  <c r="BJ444"/>
  <c r="DN444" s="1"/>
  <c r="EK444"/>
  <c r="J445"/>
  <c r="CP445" s="1"/>
  <c r="CQ445" s="1"/>
  <c r="K445"/>
  <c r="L445"/>
  <c r="M445"/>
  <c r="N445"/>
  <c r="O445"/>
  <c r="P445"/>
  <c r="Q445"/>
  <c r="R445"/>
  <c r="S445"/>
  <c r="T445"/>
  <c r="U445"/>
  <c r="V445"/>
  <c r="DB445" s="1"/>
  <c r="W445"/>
  <c r="X445"/>
  <c r="Y445"/>
  <c r="Z445"/>
  <c r="AA445"/>
  <c r="AB445"/>
  <c r="AC445"/>
  <c r="AD445"/>
  <c r="AE445"/>
  <c r="AF445"/>
  <c r="AH445"/>
  <c r="DN445" s="1"/>
  <c r="AI445"/>
  <c r="AJ445"/>
  <c r="AL445"/>
  <c r="AM445"/>
  <c r="AN445"/>
  <c r="AO445"/>
  <c r="BQ445" s="1"/>
  <c r="BR445" s="1"/>
  <c r="BS445" s="1"/>
  <c r="AP445"/>
  <c r="AQ445"/>
  <c r="AR445"/>
  <c r="BT445" s="1"/>
  <c r="AS445"/>
  <c r="AT445"/>
  <c r="AU445"/>
  <c r="BW445" s="1"/>
  <c r="BX445" s="1"/>
  <c r="BY445" s="1"/>
  <c r="AV445"/>
  <c r="AW445"/>
  <c r="AX445"/>
  <c r="AY445"/>
  <c r="AZ445"/>
  <c r="BA445"/>
  <c r="BB445"/>
  <c r="BC445"/>
  <c r="BE445"/>
  <c r="BG445"/>
  <c r="CI445"/>
  <c r="CJ445" s="1"/>
  <c r="BH445"/>
  <c r="BI445"/>
  <c r="BJ445"/>
  <c r="CL445" s="1"/>
  <c r="BK445"/>
  <c r="BL445"/>
  <c r="BN445"/>
  <c r="BO445"/>
  <c r="BP445" s="1"/>
  <c r="BZ445"/>
  <c r="CA445" s="1"/>
  <c r="CB445" s="1"/>
  <c r="CC445"/>
  <c r="CD445"/>
  <c r="EK445"/>
  <c r="E449"/>
  <c r="G449"/>
  <c r="J449"/>
  <c r="K449"/>
  <c r="L449"/>
  <c r="M449"/>
  <c r="N449"/>
  <c r="O449"/>
  <c r="P449"/>
  <c r="Q449"/>
  <c r="R449"/>
  <c r="S449"/>
  <c r="T449"/>
  <c r="U449"/>
  <c r="V449"/>
  <c r="W449"/>
  <c r="X449"/>
  <c r="AH449"/>
  <c r="AI449"/>
  <c r="AJ449"/>
  <c r="AL449"/>
  <c r="AM449"/>
  <c r="AN449"/>
  <c r="AO449"/>
  <c r="AP449"/>
  <c r="AQ449"/>
  <c r="AR449"/>
  <c r="AS449"/>
  <c r="AT449"/>
  <c r="AU449"/>
  <c r="AV449"/>
  <c r="AW449"/>
  <c r="AX449"/>
  <c r="BJ449"/>
  <c r="BK449"/>
  <c r="BL449"/>
  <c r="E450"/>
  <c r="G450"/>
  <c r="J450"/>
  <c r="K450"/>
  <c r="L450"/>
  <c r="M450"/>
  <c r="N450"/>
  <c r="O450"/>
  <c r="P450"/>
  <c r="Q450"/>
  <c r="R450"/>
  <c r="S450"/>
  <c r="T450"/>
  <c r="U450"/>
  <c r="V450"/>
  <c r="W450"/>
  <c r="AS450"/>
  <c r="AU450"/>
  <c r="AW450"/>
  <c r="E451"/>
  <c r="G451"/>
  <c r="I451"/>
  <c r="J451"/>
  <c r="K451"/>
  <c r="L451"/>
  <c r="M451"/>
  <c r="N451"/>
  <c r="O451"/>
  <c r="P451"/>
  <c r="Q451"/>
  <c r="R451"/>
  <c r="S451"/>
  <c r="T451"/>
  <c r="U451"/>
  <c r="V451"/>
  <c r="W451"/>
  <c r="X451"/>
  <c r="AH451"/>
  <c r="AI451"/>
  <c r="AJ451"/>
  <c r="AL451"/>
  <c r="AM451"/>
  <c r="AN451"/>
  <c r="AO451"/>
  <c r="AP451"/>
  <c r="AQ451"/>
  <c r="AR451"/>
  <c r="AS451"/>
  <c r="AT451"/>
  <c r="AU451"/>
  <c r="AV451"/>
  <c r="AW451"/>
  <c r="AX451"/>
  <c r="BJ451"/>
  <c r="BK451"/>
  <c r="BL451"/>
  <c r="E452"/>
  <c r="G452"/>
  <c r="J452"/>
  <c r="K452"/>
  <c r="L452"/>
  <c r="M452"/>
  <c r="N452"/>
  <c r="O452"/>
  <c r="P452"/>
  <c r="Q452"/>
  <c r="R452"/>
  <c r="S452"/>
  <c r="T452"/>
  <c r="U452"/>
  <c r="V452"/>
  <c r="W452"/>
  <c r="AL452"/>
  <c r="AM452"/>
  <c r="AN452"/>
  <c r="AO452"/>
  <c r="AP452"/>
  <c r="AQ452"/>
  <c r="AR452"/>
  <c r="AS452"/>
  <c r="AU452"/>
  <c r="AV452"/>
  <c r="AW452"/>
  <c r="AX452"/>
  <c r="BJ452"/>
  <c r="DB452"/>
  <c r="E453"/>
  <c r="G453"/>
  <c r="J453"/>
  <c r="K453"/>
  <c r="L453"/>
  <c r="M453"/>
  <c r="N453"/>
  <c r="O453"/>
  <c r="P453"/>
  <c r="Q453"/>
  <c r="R453"/>
  <c r="S453"/>
  <c r="T453"/>
  <c r="U453"/>
  <c r="V453"/>
  <c r="W453"/>
  <c r="AH453"/>
  <c r="AI453"/>
  <c r="AJ453"/>
  <c r="AL453"/>
  <c r="AN453"/>
  <c r="AX453"/>
  <c r="AY453"/>
  <c r="BJ453"/>
  <c r="BK453"/>
  <c r="BL453"/>
  <c r="E454"/>
  <c r="G454"/>
  <c r="J454"/>
  <c r="K454"/>
  <c r="L454"/>
  <c r="M454"/>
  <c r="N454"/>
  <c r="O454"/>
  <c r="P454"/>
  <c r="Q454"/>
  <c r="R454"/>
  <c r="S454"/>
  <c r="T454"/>
  <c r="U454"/>
  <c r="V454"/>
  <c r="W454"/>
  <c r="X454"/>
  <c r="Y454"/>
  <c r="Z454"/>
  <c r="AA454"/>
  <c r="AG454"/>
  <c r="AH454"/>
  <c r="AI454"/>
  <c r="AJ454"/>
  <c r="CP454"/>
  <c r="CQ454"/>
  <c r="CR454"/>
  <c r="CS454"/>
  <c r="CT454"/>
  <c r="CU454"/>
  <c r="CV454"/>
  <c r="CW454"/>
  <c r="CX454"/>
  <c r="CY454"/>
  <c r="CZ454"/>
  <c r="DA454"/>
  <c r="DB454"/>
  <c r="DC454"/>
  <c r="DD454"/>
  <c r="DF454"/>
  <c r="DM454"/>
  <c r="DN454"/>
  <c r="DO454"/>
  <c r="DP454"/>
  <c r="E456"/>
  <c r="G456"/>
  <c r="J456"/>
  <c r="K456"/>
  <c r="L456"/>
  <c r="M456"/>
  <c r="N456"/>
  <c r="O456"/>
  <c r="P456"/>
  <c r="Q456"/>
  <c r="R456"/>
  <c r="S456"/>
  <c r="T456"/>
  <c r="U456"/>
  <c r="V456"/>
  <c r="AJ410" i="3" s="1"/>
  <c r="W456" i="1"/>
  <c r="X456"/>
  <c r="Y456"/>
  <c r="Z456"/>
  <c r="AA456"/>
  <c r="AB456"/>
  <c r="AC456"/>
  <c r="AD456"/>
  <c r="AE456"/>
  <c r="AF456"/>
  <c r="AG456"/>
  <c r="AH456"/>
  <c r="AI456"/>
  <c r="AJ456"/>
  <c r="AL456"/>
  <c r="AM456"/>
  <c r="AN456"/>
  <c r="AO456"/>
  <c r="AP456"/>
  <c r="AQ456"/>
  <c r="AR456"/>
  <c r="AS456"/>
  <c r="AT456"/>
  <c r="AU456"/>
  <c r="AV456"/>
  <c r="AW456"/>
  <c r="AX456"/>
  <c r="AY456"/>
  <c r="AZ456"/>
  <c r="BA456"/>
  <c r="BB456"/>
  <c r="BC456"/>
  <c r="BD456"/>
  <c r="BE456"/>
  <c r="BF456"/>
  <c r="BG456"/>
  <c r="BH456"/>
  <c r="BI456"/>
  <c r="BJ456"/>
  <c r="BK456"/>
  <c r="BL456"/>
  <c r="E457"/>
  <c r="G457"/>
  <c r="J457"/>
  <c r="K457"/>
  <c r="L457"/>
  <c r="M457"/>
  <c r="N457"/>
  <c r="O457"/>
  <c r="P457"/>
  <c r="Q457"/>
  <c r="R457"/>
  <c r="S457"/>
  <c r="T457"/>
  <c r="U457"/>
  <c r="V457"/>
  <c r="W457"/>
  <c r="X457"/>
  <c r="Y457"/>
  <c r="Z457"/>
  <c r="AA457"/>
  <c r="AB457"/>
  <c r="AC457"/>
  <c r="AD457"/>
  <c r="AE457"/>
  <c r="AF457"/>
  <c r="AG457"/>
  <c r="AH457"/>
  <c r="AI457"/>
  <c r="AJ457"/>
  <c r="BA457"/>
  <c r="CU457"/>
  <c r="CW457"/>
  <c r="CY457"/>
  <c r="DA457"/>
  <c r="DC457"/>
  <c r="DK457"/>
  <c r="E458"/>
  <c r="G458"/>
  <c r="I458"/>
  <c r="J458"/>
  <c r="K458"/>
  <c r="L458"/>
  <c r="M458"/>
  <c r="N458"/>
  <c r="O458"/>
  <c r="P458"/>
  <c r="Q458"/>
  <c r="R458"/>
  <c r="S458"/>
  <c r="T458"/>
  <c r="U458"/>
  <c r="V458"/>
  <c r="W458"/>
  <c r="X458"/>
  <c r="Y458"/>
  <c r="Z458"/>
  <c r="AA458"/>
  <c r="AB458"/>
  <c r="AC458"/>
  <c r="AD458"/>
  <c r="AE458"/>
  <c r="AF458"/>
  <c r="AG458"/>
  <c r="AH458"/>
  <c r="AI458"/>
  <c r="AJ458"/>
  <c r="AL458"/>
  <c r="AM458"/>
  <c r="AN458"/>
  <c r="AO458"/>
  <c r="AP458"/>
  <c r="AQ458"/>
  <c r="AR458"/>
  <c r="AS458"/>
  <c r="AT458"/>
  <c r="AU458"/>
  <c r="AV458"/>
  <c r="AW458"/>
  <c r="AX458"/>
  <c r="AY458"/>
  <c r="AZ458"/>
  <c r="BA458"/>
  <c r="BB458"/>
  <c r="BC458"/>
  <c r="BD458"/>
  <c r="BE458"/>
  <c r="BG458"/>
  <c r="BH458"/>
  <c r="BI458"/>
  <c r="BJ458"/>
  <c r="BK458"/>
  <c r="BL458"/>
  <c r="E459"/>
  <c r="G459"/>
  <c r="J459"/>
  <c r="K459"/>
  <c r="L459"/>
  <c r="M459"/>
  <c r="N459"/>
  <c r="O459"/>
  <c r="P459"/>
  <c r="Q459"/>
  <c r="R459"/>
  <c r="S459"/>
  <c r="T459"/>
  <c r="U459"/>
  <c r="V459"/>
  <c r="W459"/>
  <c r="X459"/>
  <c r="Y459"/>
  <c r="Z459"/>
  <c r="AA459"/>
  <c r="AB459"/>
  <c r="AC459"/>
  <c r="AD459"/>
  <c r="AE459"/>
  <c r="AF459"/>
  <c r="AG459"/>
  <c r="AH459"/>
  <c r="AI459"/>
  <c r="AJ459"/>
  <c r="AM459"/>
  <c r="AQ459"/>
  <c r="AS459"/>
  <c r="BA459"/>
  <c r="BC459"/>
  <c r="BE459"/>
  <c r="BK459"/>
  <c r="E460"/>
  <c r="G460"/>
  <c r="J460"/>
  <c r="K460"/>
  <c r="L460"/>
  <c r="M460"/>
  <c r="N460"/>
  <c r="O460"/>
  <c r="P460"/>
  <c r="Q460"/>
  <c r="R460"/>
  <c r="S460"/>
  <c r="T460"/>
  <c r="U460"/>
  <c r="V460"/>
  <c r="W460"/>
  <c r="X460"/>
  <c r="Y460"/>
  <c r="Z460"/>
  <c r="AA460"/>
  <c r="AB460"/>
  <c r="AC460"/>
  <c r="AD460"/>
  <c r="AE460"/>
  <c r="AF460"/>
  <c r="AG460"/>
  <c r="AH460"/>
  <c r="AI460"/>
  <c r="AJ460"/>
  <c r="AL460"/>
  <c r="AM460"/>
  <c r="AN460"/>
  <c r="AO460"/>
  <c r="AP460"/>
  <c r="AQ460"/>
  <c r="AR460"/>
  <c r="AS460"/>
  <c r="AT460"/>
  <c r="AU460"/>
  <c r="AV460"/>
  <c r="AW460"/>
  <c r="AX460"/>
  <c r="AY460"/>
  <c r="BA460"/>
  <c r="BB460"/>
  <c r="BC460"/>
  <c r="BD460"/>
  <c r="BE460"/>
  <c r="BF460"/>
  <c r="BG460"/>
  <c r="BH460"/>
  <c r="BI460"/>
  <c r="BJ460"/>
  <c r="BK460"/>
  <c r="BL460"/>
  <c r="DB460"/>
  <c r="DN460"/>
  <c r="E461"/>
  <c r="G461"/>
  <c r="J461"/>
  <c r="K461"/>
  <c r="L461"/>
  <c r="M461"/>
  <c r="O461"/>
  <c r="P461"/>
  <c r="S461"/>
  <c r="T461"/>
  <c r="U461"/>
  <c r="V461"/>
  <c r="W461"/>
  <c r="X461"/>
  <c r="Y461"/>
  <c r="Z461"/>
  <c r="AA461"/>
  <c r="AB461"/>
  <c r="AC461"/>
  <c r="AD461"/>
  <c r="AE461"/>
  <c r="AF461"/>
  <c r="AG461"/>
  <c r="AH461"/>
  <c r="AI461"/>
  <c r="AJ461"/>
  <c r="CP461"/>
  <c r="CR461"/>
  <c r="CY461"/>
  <c r="CZ461"/>
  <c r="DA461"/>
  <c r="DB461"/>
  <c r="DC461"/>
  <c r="DD461"/>
  <c r="DE461"/>
  <c r="DF461"/>
  <c r="DG461"/>
  <c r="DH461"/>
  <c r="DI461"/>
  <c r="DJ461"/>
  <c r="DK461"/>
  <c r="DL461"/>
  <c r="DM461"/>
  <c r="DN461"/>
  <c r="DO461"/>
  <c r="DP461"/>
  <c r="I463"/>
  <c r="E466" i="3" s="1"/>
  <c r="AL466" i="1"/>
  <c r="AM466"/>
  <c r="CQ466" s="1"/>
  <c r="AN466"/>
  <c r="CR466" s="1"/>
  <c r="AO466"/>
  <c r="CS466"/>
  <c r="AP466"/>
  <c r="AQ466"/>
  <c r="CU466" s="1"/>
  <c r="AR466"/>
  <c r="CV466" s="1"/>
  <c r="AS466"/>
  <c r="CW466"/>
  <c r="AT466"/>
  <c r="AU466"/>
  <c r="CY466" s="1"/>
  <c r="AV466"/>
  <c r="CZ466" s="1"/>
  <c r="AW466"/>
  <c r="DA466"/>
  <c r="AX466"/>
  <c r="DB466"/>
  <c r="AY466"/>
  <c r="DC466"/>
  <c r="AZ466"/>
  <c r="BA466"/>
  <c r="BB466"/>
  <c r="DF466" s="1"/>
  <c r="BS466"/>
  <c r="BR466" s="1"/>
  <c r="CP466"/>
  <c r="CT466"/>
  <c r="CX466"/>
  <c r="DD466"/>
  <c r="DZ466"/>
  <c r="EA466"/>
  <c r="Z467"/>
  <c r="AA467"/>
  <c r="AA485" s="1"/>
  <c r="BC485"/>
  <c r="AL467"/>
  <c r="AM467"/>
  <c r="CQ467" s="1"/>
  <c r="AN467"/>
  <c r="AO467"/>
  <c r="CS467" s="1"/>
  <c r="AP467"/>
  <c r="CT467"/>
  <c r="AQ467"/>
  <c r="CU467"/>
  <c r="AR467"/>
  <c r="AS467"/>
  <c r="CW467" s="1"/>
  <c r="AT467"/>
  <c r="CX467"/>
  <c r="AU467"/>
  <c r="CY467"/>
  <c r="AV467"/>
  <c r="CZ467"/>
  <c r="AW467"/>
  <c r="AX467"/>
  <c r="DB467" s="1"/>
  <c r="AY467"/>
  <c r="AZ467"/>
  <c r="DD467"/>
  <c r="EA467" s="1"/>
  <c r="BA467"/>
  <c r="CP467"/>
  <c r="CR467"/>
  <c r="DZ467"/>
  <c r="AL468"/>
  <c r="CP468" s="1"/>
  <c r="AM468"/>
  <c r="CQ468"/>
  <c r="AN468"/>
  <c r="AO468"/>
  <c r="AP468"/>
  <c r="AQ468"/>
  <c r="CU468" s="1"/>
  <c r="AR468"/>
  <c r="AS468"/>
  <c r="AT468"/>
  <c r="CX468" s="1"/>
  <c r="AU468"/>
  <c r="AV468"/>
  <c r="CZ468" s="1"/>
  <c r="AW468"/>
  <c r="AX468"/>
  <c r="DB468" s="1"/>
  <c r="AY468"/>
  <c r="AZ468"/>
  <c r="BA468"/>
  <c r="DE468"/>
  <c r="BB468"/>
  <c r="DF468"/>
  <c r="CS468"/>
  <c r="CW468"/>
  <c r="CY468"/>
  <c r="DA468"/>
  <c r="DC468"/>
  <c r="DZ468"/>
  <c r="AI469"/>
  <c r="AH469"/>
  <c r="AG469" s="1"/>
  <c r="AL469"/>
  <c r="AM469"/>
  <c r="CQ469"/>
  <c r="AN469"/>
  <c r="AO469"/>
  <c r="CS469" s="1"/>
  <c r="AP469"/>
  <c r="AQ469"/>
  <c r="CU469" s="1"/>
  <c r="AR469"/>
  <c r="CV469" s="1"/>
  <c r="AS469"/>
  <c r="CW469"/>
  <c r="AT469"/>
  <c r="AU469"/>
  <c r="CY469" s="1"/>
  <c r="AV469"/>
  <c r="CZ469" s="1"/>
  <c r="AW469"/>
  <c r="DA469"/>
  <c r="AX469"/>
  <c r="AY469"/>
  <c r="DC469" s="1"/>
  <c r="AZ469"/>
  <c r="BS469"/>
  <c r="BR469" s="1"/>
  <c r="CP469"/>
  <c r="CR469"/>
  <c r="CT469"/>
  <c r="CX469"/>
  <c r="DB469"/>
  <c r="DD469"/>
  <c r="EA469" s="1"/>
  <c r="DZ469"/>
  <c r="Z470"/>
  <c r="AA470"/>
  <c r="AL470"/>
  <c r="AM470"/>
  <c r="CQ470" s="1"/>
  <c r="AN470"/>
  <c r="AO470"/>
  <c r="CS470" s="1"/>
  <c r="AP470"/>
  <c r="AQ470"/>
  <c r="AR470"/>
  <c r="AS470"/>
  <c r="CW470" s="1"/>
  <c r="AT470"/>
  <c r="AU470"/>
  <c r="AV470"/>
  <c r="CZ470" s="1"/>
  <c r="AW470"/>
  <c r="AX470"/>
  <c r="DB470" s="1"/>
  <c r="AY470"/>
  <c r="AZ470"/>
  <c r="DD470" s="1"/>
  <c r="EA470" s="1"/>
  <c r="BA470"/>
  <c r="BP470"/>
  <c r="BO470" s="1"/>
  <c r="CP470"/>
  <c r="CR470"/>
  <c r="CT470"/>
  <c r="CV470"/>
  <c r="CX470"/>
  <c r="DA470"/>
  <c r="DC470"/>
  <c r="DE470"/>
  <c r="DZ470"/>
  <c r="AL471"/>
  <c r="CP471"/>
  <c r="AM471"/>
  <c r="AN471"/>
  <c r="BP471" s="1"/>
  <c r="AO471"/>
  <c r="AP471"/>
  <c r="AQ471"/>
  <c r="AR471"/>
  <c r="BV471" s="1"/>
  <c r="AS471"/>
  <c r="AT471"/>
  <c r="AU471"/>
  <c r="AV471"/>
  <c r="AW471"/>
  <c r="AX471"/>
  <c r="DB471" s="1"/>
  <c r="AY471"/>
  <c r="AZ471"/>
  <c r="BJ471"/>
  <c r="AZ472"/>
  <c r="AL472"/>
  <c r="AM472"/>
  <c r="CQ472"/>
  <c r="AN472"/>
  <c r="CR472"/>
  <c r="AO472"/>
  <c r="AP472"/>
  <c r="CT472" s="1"/>
  <c r="AQ472"/>
  <c r="CU472" s="1"/>
  <c r="AR472"/>
  <c r="BV472" s="1"/>
  <c r="AS472"/>
  <c r="AT472"/>
  <c r="AU472"/>
  <c r="AV472"/>
  <c r="CZ472" s="1"/>
  <c r="AW472"/>
  <c r="AX472"/>
  <c r="DB472"/>
  <c r="DB515" s="1"/>
  <c r="BJ472"/>
  <c r="DO472"/>
  <c r="DP472"/>
  <c r="CS472"/>
  <c r="CW472"/>
  <c r="DA472"/>
  <c r="EA472" s="1"/>
  <c r="K473"/>
  <c r="L473" s="1"/>
  <c r="AL473"/>
  <c r="AX473"/>
  <c r="DN473"/>
  <c r="DO473"/>
  <c r="DP473" s="1"/>
  <c r="V474"/>
  <c r="AX474" s="1"/>
  <c r="W474"/>
  <c r="AY474" s="1"/>
  <c r="X474"/>
  <c r="CB474" s="1"/>
  <c r="Y474"/>
  <c r="BA474" s="1"/>
  <c r="Z474"/>
  <c r="BB474" s="1"/>
  <c r="AA474"/>
  <c r="AB474"/>
  <c r="AC474"/>
  <c r="BE474"/>
  <c r="AD474"/>
  <c r="AE474"/>
  <c r="BG474" s="1"/>
  <c r="CK474" s="1"/>
  <c r="AF474"/>
  <c r="AL474"/>
  <c r="AL487" s="1"/>
  <c r="BN487" s="1"/>
  <c r="AM474"/>
  <c r="AN474"/>
  <c r="AO474"/>
  <c r="AP474"/>
  <c r="AQ474"/>
  <c r="AR474"/>
  <c r="AS474"/>
  <c r="AT474"/>
  <c r="AU474"/>
  <c r="AV474"/>
  <c r="AW474"/>
  <c r="AZ474"/>
  <c r="BD474"/>
  <c r="CH474" s="1"/>
  <c r="BF474"/>
  <c r="BH474"/>
  <c r="BI474"/>
  <c r="BJ474"/>
  <c r="BJ487" s="1"/>
  <c r="BL487"/>
  <c r="AL475"/>
  <c r="CP475" s="1"/>
  <c r="CQ475" s="1"/>
  <c r="AM475"/>
  <c r="AN475"/>
  <c r="AO475"/>
  <c r="AP475"/>
  <c r="AQ475"/>
  <c r="AR475"/>
  <c r="AS475"/>
  <c r="AT475"/>
  <c r="AU475"/>
  <c r="AV475"/>
  <c r="AW475"/>
  <c r="AX475"/>
  <c r="BZ475" s="1"/>
  <c r="BZ518" s="1"/>
  <c r="AY475"/>
  <c r="BJ475"/>
  <c r="DN475" s="1"/>
  <c r="DO475" s="1"/>
  <c r="DP475" s="1"/>
  <c r="BK475"/>
  <c r="BL475"/>
  <c r="AL476"/>
  <c r="AM476"/>
  <c r="AN476"/>
  <c r="AO476"/>
  <c r="AP476"/>
  <c r="AQ476"/>
  <c r="AR476"/>
  <c r="AS476"/>
  <c r="AT476"/>
  <c r="AU476"/>
  <c r="AV476"/>
  <c r="AW476"/>
  <c r="AX476"/>
  <c r="AX915" s="1"/>
  <c r="BJ476"/>
  <c r="J477"/>
  <c r="K477"/>
  <c r="AM477" s="1"/>
  <c r="AM519" s="1"/>
  <c r="L477"/>
  <c r="AN477"/>
  <c r="AN519" s="1"/>
  <c r="M477"/>
  <c r="N477"/>
  <c r="AP477"/>
  <c r="AP519" s="1"/>
  <c r="O477"/>
  <c r="AQ477" s="1"/>
  <c r="AQ519" s="1"/>
  <c r="P477"/>
  <c r="Q477"/>
  <c r="AS477" s="1"/>
  <c r="AS519" s="1"/>
  <c r="R477"/>
  <c r="S477"/>
  <c r="T477"/>
  <c r="U477"/>
  <c r="AX477"/>
  <c r="DB477"/>
  <c r="DC477" s="1"/>
  <c r="DD477" s="1"/>
  <c r="AY477"/>
  <c r="BJ477"/>
  <c r="DN477"/>
  <c r="BK477"/>
  <c r="BL477"/>
  <c r="AL478"/>
  <c r="AM478"/>
  <c r="AN478"/>
  <c r="AO478"/>
  <c r="AP478"/>
  <c r="AQ478"/>
  <c r="AR478"/>
  <c r="AS478"/>
  <c r="AT478"/>
  <c r="AU478"/>
  <c r="AV478"/>
  <c r="AW478"/>
  <c r="AX478"/>
  <c r="DB478"/>
  <c r="AY478"/>
  <c r="BJ478"/>
  <c r="DN478" s="1"/>
  <c r="BK478"/>
  <c r="BL478"/>
  <c r="CL478"/>
  <c r="CM478"/>
  <c r="AL479"/>
  <c r="CP479" s="1"/>
  <c r="CQ479" s="1"/>
  <c r="AM479"/>
  <c r="AN479"/>
  <c r="AO479"/>
  <c r="AP479"/>
  <c r="AQ479"/>
  <c r="AR479"/>
  <c r="AS479"/>
  <c r="AT479"/>
  <c r="AU479"/>
  <c r="AV479"/>
  <c r="AW479"/>
  <c r="AX479"/>
  <c r="DB479" s="1"/>
  <c r="DC479" s="1"/>
  <c r="DD479" s="1"/>
  <c r="AY479"/>
  <c r="AZ479"/>
  <c r="BJ479"/>
  <c r="DN479" s="1"/>
  <c r="BK479"/>
  <c r="BL479"/>
  <c r="CL479"/>
  <c r="CM479"/>
  <c r="AL480"/>
  <c r="CP480" s="1"/>
  <c r="CQ480" s="1"/>
  <c r="CR480" s="1"/>
  <c r="CS480" s="1"/>
  <c r="CT480" s="1"/>
  <c r="CU480" s="1"/>
  <c r="CV480" s="1"/>
  <c r="CW480" s="1"/>
  <c r="CX480" s="1"/>
  <c r="CY480" s="1"/>
  <c r="CZ480" s="1"/>
  <c r="DA480" s="1"/>
  <c r="EA480" s="1"/>
  <c r="AM480"/>
  <c r="AN480"/>
  <c r="AO480"/>
  <c r="AP480"/>
  <c r="AQ480"/>
  <c r="AR480"/>
  <c r="AS480"/>
  <c r="AT480"/>
  <c r="AU480"/>
  <c r="AV480"/>
  <c r="AW480"/>
  <c r="AX480"/>
  <c r="AY480"/>
  <c r="AZ480"/>
  <c r="BA480"/>
  <c r="BB480"/>
  <c r="BC480"/>
  <c r="BD480"/>
  <c r="BE480"/>
  <c r="BF480"/>
  <c r="BG480"/>
  <c r="BH480"/>
  <c r="BI480"/>
  <c r="BJ480"/>
  <c r="EE480" s="1"/>
  <c r="BK480"/>
  <c r="BL480"/>
  <c r="DB480"/>
  <c r="DC480" s="1"/>
  <c r="DD480" s="1"/>
  <c r="DE480" s="1"/>
  <c r="DF480" s="1"/>
  <c r="DG480" s="1"/>
  <c r="DH480" s="1"/>
  <c r="DI480" s="1"/>
  <c r="DJ480" s="1"/>
  <c r="DK480" s="1"/>
  <c r="DL480" s="1"/>
  <c r="DM480" s="1"/>
  <c r="EB480" s="1"/>
  <c r="EG480" s="1"/>
  <c r="DN480"/>
  <c r="Y481"/>
  <c r="BB481" s="1"/>
  <c r="AC481"/>
  <c r="AL481"/>
  <c r="CP481"/>
  <c r="AM481"/>
  <c r="AN481"/>
  <c r="AO481"/>
  <c r="AP481"/>
  <c r="AQ481"/>
  <c r="BS481"/>
  <c r="AR481"/>
  <c r="AS481"/>
  <c r="BV481" s="1"/>
  <c r="AT481"/>
  <c r="AU481"/>
  <c r="AV481"/>
  <c r="AW481"/>
  <c r="AX481"/>
  <c r="DB481" s="1"/>
  <c r="DC481" s="1"/>
  <c r="DD481" s="1"/>
  <c r="AY481"/>
  <c r="AZ481"/>
  <c r="BC481"/>
  <c r="BD481"/>
  <c r="BJ481"/>
  <c r="BK481"/>
  <c r="BL481"/>
  <c r="Y482"/>
  <c r="DE482" s="1"/>
  <c r="AA482"/>
  <c r="CP482"/>
  <c r="CQ482"/>
  <c r="CR482"/>
  <c r="CS482"/>
  <c r="CT482"/>
  <c r="CU482"/>
  <c r="CV482"/>
  <c r="CW482"/>
  <c r="CX482"/>
  <c r="CY482"/>
  <c r="CZ482"/>
  <c r="DA482"/>
  <c r="EA482" s="1"/>
  <c r="DB482"/>
  <c r="DC482"/>
  <c r="DD482"/>
  <c r="DF482"/>
  <c r="DM482"/>
  <c r="EB482" s="1"/>
  <c r="DN482"/>
  <c r="DO482"/>
  <c r="DP482"/>
  <c r="EE482"/>
  <c r="EO507" s="1"/>
  <c r="EF482"/>
  <c r="EP507" s="1"/>
  <c r="Y483"/>
  <c r="DE483"/>
  <c r="DE520" s="1"/>
  <c r="AA483"/>
  <c r="AB483" s="1"/>
  <c r="CP483"/>
  <c r="CQ483"/>
  <c r="CR483"/>
  <c r="CS483"/>
  <c r="CT483"/>
  <c r="CU483"/>
  <c r="CV483"/>
  <c r="CW483"/>
  <c r="CX483"/>
  <c r="CY483"/>
  <c r="CZ483"/>
  <c r="DA483"/>
  <c r="EA483"/>
  <c r="DB483"/>
  <c r="DC483"/>
  <c r="DD483"/>
  <c r="DF483"/>
  <c r="DM483"/>
  <c r="EB483"/>
  <c r="EB520" s="1"/>
  <c r="DN483"/>
  <c r="DO483"/>
  <c r="DP483"/>
  <c r="EE483"/>
  <c r="EO508" s="1"/>
  <c r="EF483"/>
  <c r="EP508" s="1"/>
  <c r="J484"/>
  <c r="AL484"/>
  <c r="K484"/>
  <c r="L484"/>
  <c r="M484"/>
  <c r="N484"/>
  <c r="AP484" s="1"/>
  <c r="O484"/>
  <c r="AQ484" s="1"/>
  <c r="AQ518" s="1"/>
  <c r="P484"/>
  <c r="AR484"/>
  <c r="Q484"/>
  <c r="AS484"/>
  <c r="AS518" s="1"/>
  <c r="R484"/>
  <c r="AT484" s="1"/>
  <c r="AT518" s="1"/>
  <c r="S484"/>
  <c r="AU484"/>
  <c r="T484"/>
  <c r="AV484"/>
  <c r="U484"/>
  <c r="AW484"/>
  <c r="AM484"/>
  <c r="AN484"/>
  <c r="AO484"/>
  <c r="BQ484"/>
  <c r="BR484" s="1"/>
  <c r="DB484"/>
  <c r="J485"/>
  <c r="K485"/>
  <c r="AM485"/>
  <c r="L485"/>
  <c r="M485"/>
  <c r="AO485" s="1"/>
  <c r="N485"/>
  <c r="AP485" s="1"/>
  <c r="O485"/>
  <c r="AQ485"/>
  <c r="P485"/>
  <c r="Q485"/>
  <c r="AS485" s="1"/>
  <c r="R485"/>
  <c r="AT485" s="1"/>
  <c r="S485"/>
  <c r="AU485" s="1"/>
  <c r="T485"/>
  <c r="AV485" s="1"/>
  <c r="U485"/>
  <c r="AW485" s="1"/>
  <c r="AW516" s="1"/>
  <c r="V485"/>
  <c r="W485"/>
  <c r="AY485" s="1"/>
  <c r="X485"/>
  <c r="AZ485" s="1"/>
  <c r="AZ516" s="1"/>
  <c r="Y485"/>
  <c r="BA485" s="1"/>
  <c r="Z485"/>
  <c r="AL485"/>
  <c r="BN485" s="1"/>
  <c r="AN485"/>
  <c r="AR485"/>
  <c r="BT485" s="1"/>
  <c r="AX485"/>
  <c r="BZ485" s="1"/>
  <c r="BB485"/>
  <c r="X486"/>
  <c r="AZ486"/>
  <c r="CB486" s="1"/>
  <c r="DD486" s="1"/>
  <c r="Y486"/>
  <c r="BA486"/>
  <c r="CC486" s="1"/>
  <c r="DE486" s="1"/>
  <c r="Z486"/>
  <c r="AA486"/>
  <c r="BC486" s="1"/>
  <c r="CE486" s="1"/>
  <c r="DG486" s="1"/>
  <c r="AB486"/>
  <c r="AC486"/>
  <c r="BE486"/>
  <c r="CG486" s="1"/>
  <c r="DI486" s="1"/>
  <c r="AD486"/>
  <c r="BF486"/>
  <c r="CH486" s="1"/>
  <c r="DJ486" s="1"/>
  <c r="AE486"/>
  <c r="BG486"/>
  <c r="CI486" s="1"/>
  <c r="DK486" s="1"/>
  <c r="AF486"/>
  <c r="BH486"/>
  <c r="CJ486" s="1"/>
  <c r="DL486" s="1"/>
  <c r="AG486"/>
  <c r="BI486"/>
  <c r="CK486" s="1"/>
  <c r="DM486" s="1"/>
  <c r="AH486"/>
  <c r="BJ486"/>
  <c r="CL486" s="1"/>
  <c r="BB486"/>
  <c r="CD486"/>
  <c r="DF486" s="1"/>
  <c r="BD486"/>
  <c r="CF486" s="1"/>
  <c r="DH486" s="1"/>
  <c r="EA486"/>
  <c r="EB486"/>
  <c r="J487"/>
  <c r="K487"/>
  <c r="AH487"/>
  <c r="DN487" s="1"/>
  <c r="AI487"/>
  <c r="AJ487"/>
  <c r="BK487"/>
  <c r="CP487"/>
  <c r="EG487"/>
  <c r="AL489"/>
  <c r="CP489" s="1"/>
  <c r="AM489"/>
  <c r="AN489"/>
  <c r="AO489"/>
  <c r="AP489"/>
  <c r="CT489" s="1"/>
  <c r="AQ489"/>
  <c r="CU489"/>
  <c r="AR489"/>
  <c r="AS489"/>
  <c r="AT489"/>
  <c r="AU489"/>
  <c r="AV489"/>
  <c r="AW489"/>
  <c r="AX489"/>
  <c r="AY489"/>
  <c r="AZ489"/>
  <c r="BA489"/>
  <c r="BB489"/>
  <c r="BC489"/>
  <c r="DG489" s="1"/>
  <c r="BD489"/>
  <c r="BE489"/>
  <c r="BF489"/>
  <c r="DJ489" s="1"/>
  <c r="BG489"/>
  <c r="DK489"/>
  <c r="BH489"/>
  <c r="BI489"/>
  <c r="DM489" s="1"/>
  <c r="BJ489"/>
  <c r="DN489" s="1"/>
  <c r="EJ489" s="1"/>
  <c r="BK489"/>
  <c r="BL489"/>
  <c r="DP489" s="1"/>
  <c r="BZ489"/>
  <c r="CR489"/>
  <c r="CV489"/>
  <c r="CX489"/>
  <c r="CZ489"/>
  <c r="DB489"/>
  <c r="DD489"/>
  <c r="DF489"/>
  <c r="DH489"/>
  <c r="DL489"/>
  <c r="EH489"/>
  <c r="EK489"/>
  <c r="AL490"/>
  <c r="CP490" s="1"/>
  <c r="AM490"/>
  <c r="AN490"/>
  <c r="CR490" s="1"/>
  <c r="AO490"/>
  <c r="AP490"/>
  <c r="BS490" s="1"/>
  <c r="AQ490"/>
  <c r="AR490"/>
  <c r="AS490"/>
  <c r="AT490"/>
  <c r="AU490"/>
  <c r="AV490"/>
  <c r="BY490"/>
  <c r="AW490"/>
  <c r="AX490"/>
  <c r="DB490" s="1"/>
  <c r="AJ469" i="3" s="1"/>
  <c r="AY490" i="1"/>
  <c r="AZ490"/>
  <c r="DD490" s="1"/>
  <c r="AL469" i="3" s="1"/>
  <c r="BA490" i="1"/>
  <c r="BB490"/>
  <c r="CE490" s="1"/>
  <c r="BC490"/>
  <c r="BD490"/>
  <c r="DH490" s="1"/>
  <c r="BE490"/>
  <c r="BF490"/>
  <c r="DJ490" s="1"/>
  <c r="BG490"/>
  <c r="BH490"/>
  <c r="BI490"/>
  <c r="CK490"/>
  <c r="BJ490"/>
  <c r="BK490"/>
  <c r="DO490" s="1"/>
  <c r="BL490"/>
  <c r="CA490"/>
  <c r="CQ490"/>
  <c r="CS490"/>
  <c r="CU490"/>
  <c r="CV490"/>
  <c r="CW490"/>
  <c r="CX490"/>
  <c r="CY490"/>
  <c r="CZ490"/>
  <c r="DA490"/>
  <c r="DC490"/>
  <c r="DE490"/>
  <c r="DG490"/>
  <c r="DI490"/>
  <c r="DK490"/>
  <c r="DL490"/>
  <c r="DM490"/>
  <c r="DN490"/>
  <c r="DP490"/>
  <c r="EK490"/>
  <c r="AL491"/>
  <c r="CP491" s="1"/>
  <c r="AM491"/>
  <c r="AN491"/>
  <c r="CR491"/>
  <c r="AO491"/>
  <c r="AP491"/>
  <c r="AQ491"/>
  <c r="CU491"/>
  <c r="AR491"/>
  <c r="AS491"/>
  <c r="AT491"/>
  <c r="CX491"/>
  <c r="AU491"/>
  <c r="AV491"/>
  <c r="CZ491" s="1"/>
  <c r="AW491"/>
  <c r="AX491"/>
  <c r="AY491"/>
  <c r="AZ491"/>
  <c r="DD491"/>
  <c r="BA491"/>
  <c r="BB491"/>
  <c r="DF491" s="1"/>
  <c r="BC491"/>
  <c r="DG491" s="1"/>
  <c r="BD491"/>
  <c r="DH491" s="1"/>
  <c r="BE491"/>
  <c r="BF491"/>
  <c r="DJ491"/>
  <c r="BG491"/>
  <c r="DK491"/>
  <c r="BH491"/>
  <c r="DL491"/>
  <c r="BI491"/>
  <c r="DM491"/>
  <c r="BJ491"/>
  <c r="BK491"/>
  <c r="BL491"/>
  <c r="DP491" s="1"/>
  <c r="CT491"/>
  <c r="DB491"/>
  <c r="DN491"/>
  <c r="EJ491" s="1"/>
  <c r="EK491"/>
  <c r="AL492"/>
  <c r="CP492" s="1"/>
  <c r="AM492"/>
  <c r="AN492"/>
  <c r="CR492"/>
  <c r="AO492"/>
  <c r="AP492"/>
  <c r="AQ492"/>
  <c r="AR492"/>
  <c r="CV492" s="1"/>
  <c r="AS492"/>
  <c r="CW492" s="1"/>
  <c r="AT492"/>
  <c r="AU492"/>
  <c r="AV492"/>
  <c r="AW492"/>
  <c r="BZ492" s="1"/>
  <c r="AX492"/>
  <c r="AY492"/>
  <c r="AZ492"/>
  <c r="DD492"/>
  <c r="AL470" i="3" s="1"/>
  <c r="BA492" i="1"/>
  <c r="BB492"/>
  <c r="BC492"/>
  <c r="DG492" s="1"/>
  <c r="BD492"/>
  <c r="BE492"/>
  <c r="BF492"/>
  <c r="DJ492" s="1"/>
  <c r="BG492"/>
  <c r="DK492" s="1"/>
  <c r="BH492"/>
  <c r="DL492" s="1"/>
  <c r="BI492"/>
  <c r="DM492" s="1"/>
  <c r="BJ492"/>
  <c r="DN492" s="1"/>
  <c r="BK492"/>
  <c r="DO492" s="1"/>
  <c r="BL492"/>
  <c r="DP492" s="1"/>
  <c r="CQ492"/>
  <c r="CS492"/>
  <c r="CU492"/>
  <c r="DA492"/>
  <c r="DF492"/>
  <c r="DI492"/>
  <c r="EJ492"/>
  <c r="S470" i="3" s="1"/>
  <c r="EK492" i="1"/>
  <c r="AL493"/>
  <c r="AM493"/>
  <c r="AN493"/>
  <c r="CR493" s="1"/>
  <c r="AO493"/>
  <c r="AP493"/>
  <c r="CT493"/>
  <c r="AQ493"/>
  <c r="AR493"/>
  <c r="AS493"/>
  <c r="AT493"/>
  <c r="AU493"/>
  <c r="AV493"/>
  <c r="CZ493" s="1"/>
  <c r="AW493"/>
  <c r="AX493"/>
  <c r="AY493"/>
  <c r="DC493" s="1"/>
  <c r="AK471" i="3" s="1"/>
  <c r="AZ493" i="1"/>
  <c r="DD493"/>
  <c r="AL471" i="3" s="1"/>
  <c r="BA493" i="1"/>
  <c r="DE493" s="1"/>
  <c r="AM471" i="3" s="1"/>
  <c r="BB493" i="1"/>
  <c r="BC493"/>
  <c r="DG493" s="1"/>
  <c r="BD493"/>
  <c r="DH493"/>
  <c r="BE493"/>
  <c r="BF493"/>
  <c r="CH493" s="1"/>
  <c r="BG493"/>
  <c r="DK493" s="1"/>
  <c r="BH493"/>
  <c r="DL493"/>
  <c r="BI493"/>
  <c r="BJ493"/>
  <c r="BK493"/>
  <c r="BL493"/>
  <c r="DP493" s="1"/>
  <c r="BZ493"/>
  <c r="CQ493"/>
  <c r="CS493"/>
  <c r="CU493"/>
  <c r="CW493"/>
  <c r="CY493"/>
  <c r="DA493"/>
  <c r="DI493"/>
  <c r="DM493"/>
  <c r="DO493"/>
  <c r="EK493"/>
  <c r="AL494"/>
  <c r="CP494"/>
  <c r="AM494"/>
  <c r="AN494"/>
  <c r="AO494"/>
  <c r="AP494"/>
  <c r="AQ494"/>
  <c r="AR494"/>
  <c r="AS494"/>
  <c r="AT494"/>
  <c r="BW494" s="1"/>
  <c r="AU494"/>
  <c r="AV494"/>
  <c r="AW494"/>
  <c r="AX494"/>
  <c r="AY494"/>
  <c r="BJ494"/>
  <c r="DN494" s="1"/>
  <c r="BK494"/>
  <c r="BL494"/>
  <c r="DB494"/>
  <c r="EK494"/>
  <c r="AL495"/>
  <c r="AM495"/>
  <c r="AN495"/>
  <c r="AO495"/>
  <c r="AP495"/>
  <c r="AQ495"/>
  <c r="AR495"/>
  <c r="AS495"/>
  <c r="AT495"/>
  <c r="AU495"/>
  <c r="AV495"/>
  <c r="BY495" s="1"/>
  <c r="AW495"/>
  <c r="AX495"/>
  <c r="AY495" s="1"/>
  <c r="BJ495"/>
  <c r="BK495"/>
  <c r="DO495" s="1"/>
  <c r="BL495"/>
  <c r="DP495" s="1"/>
  <c r="CP495"/>
  <c r="CQ495" s="1"/>
  <c r="CR495" s="1"/>
  <c r="CS495"/>
  <c r="CT495"/>
  <c r="CU495"/>
  <c r="CV495"/>
  <c r="CW495"/>
  <c r="CX495"/>
  <c r="CY495"/>
  <c r="CZ495"/>
  <c r="DA495"/>
  <c r="DB495"/>
  <c r="DN495"/>
  <c r="EJ495" s="1"/>
  <c r="EK495"/>
  <c r="AL496"/>
  <c r="AM496"/>
  <c r="AN496"/>
  <c r="AO496"/>
  <c r="BS496" s="1"/>
  <c r="AP496"/>
  <c r="AQ496"/>
  <c r="CU496" s="1"/>
  <c r="AR496"/>
  <c r="CV496" s="1"/>
  <c r="AS496"/>
  <c r="AT496"/>
  <c r="BW496"/>
  <c r="AU496"/>
  <c r="AV496"/>
  <c r="CZ496" s="1"/>
  <c r="AW496"/>
  <c r="AX496"/>
  <c r="CA496"/>
  <c r="AY496"/>
  <c r="AZ496"/>
  <c r="BA496"/>
  <c r="BB496"/>
  <c r="BC496"/>
  <c r="BD496"/>
  <c r="CF496" s="1"/>
  <c r="BE496"/>
  <c r="BF496"/>
  <c r="BF902" s="1"/>
  <c r="BG496"/>
  <c r="BH496"/>
  <c r="BI496"/>
  <c r="BJ496"/>
  <c r="BK496"/>
  <c r="BL496"/>
  <c r="DP496" s="1"/>
  <c r="BZ496"/>
  <c r="CC496"/>
  <c r="CS496"/>
  <c r="CW496"/>
  <c r="CY496"/>
  <c r="DA496"/>
  <c r="DC496"/>
  <c r="DD496"/>
  <c r="DE496"/>
  <c r="DF496"/>
  <c r="DI496"/>
  <c r="DK496"/>
  <c r="DM496"/>
  <c r="DO496"/>
  <c r="EK496"/>
  <c r="EQ496"/>
  <c r="ER496"/>
  <c r="ES496"/>
  <c r="AL497"/>
  <c r="AM497"/>
  <c r="AN497"/>
  <c r="AO497"/>
  <c r="CS497" s="1"/>
  <c r="AP497"/>
  <c r="AQ497"/>
  <c r="CU497" s="1"/>
  <c r="AR497"/>
  <c r="AS497"/>
  <c r="CW497" s="1"/>
  <c r="AT497"/>
  <c r="BW497"/>
  <c r="AU497"/>
  <c r="AV497"/>
  <c r="CZ497" s="1"/>
  <c r="AW497"/>
  <c r="AX497"/>
  <c r="CA497"/>
  <c r="AY497"/>
  <c r="AZ497"/>
  <c r="DD497" s="1"/>
  <c r="BA497"/>
  <c r="CC497" s="1"/>
  <c r="BB497"/>
  <c r="BC497"/>
  <c r="DG497" s="1"/>
  <c r="BD497"/>
  <c r="CF497"/>
  <c r="BE497"/>
  <c r="BF497"/>
  <c r="DJ497" s="1"/>
  <c r="BG497"/>
  <c r="CK497" s="1"/>
  <c r="BH497"/>
  <c r="BI497"/>
  <c r="EI497"/>
  <c r="BJ497"/>
  <c r="DN497"/>
  <c r="BK497"/>
  <c r="BL497"/>
  <c r="DP497" s="1"/>
  <c r="BZ497"/>
  <c r="CH497"/>
  <c r="CP497"/>
  <c r="CQ497" s="1"/>
  <c r="CR497" s="1"/>
  <c r="CT497"/>
  <c r="CV497"/>
  <c r="CX497"/>
  <c r="CY497"/>
  <c r="DA497"/>
  <c r="DC497"/>
  <c r="DE497"/>
  <c r="DH497"/>
  <c r="DM497"/>
  <c r="DO497"/>
  <c r="EK497"/>
  <c r="EQ497"/>
  <c r="ER497"/>
  <c r="ES497"/>
  <c r="AL498"/>
  <c r="AM498"/>
  <c r="AN498"/>
  <c r="AO498"/>
  <c r="AP498"/>
  <c r="AQ498"/>
  <c r="AR498"/>
  <c r="AS498"/>
  <c r="AT498"/>
  <c r="AU498"/>
  <c r="AV498"/>
  <c r="BZ498" s="1"/>
  <c r="BZ499" s="1"/>
  <c r="CB498"/>
  <c r="CK498"/>
  <c r="CJ498"/>
  <c r="CP498"/>
  <c r="CQ498"/>
  <c r="CR498" s="1"/>
  <c r="CS498" s="1"/>
  <c r="CT498" s="1"/>
  <c r="CU498" s="1"/>
  <c r="CV498" s="1"/>
  <c r="CW498" s="1"/>
  <c r="CX498" s="1"/>
  <c r="CY498" s="1"/>
  <c r="CZ498" s="1"/>
  <c r="DA498" s="1"/>
  <c r="DB498"/>
  <c r="DC498"/>
  <c r="DD498" s="1"/>
  <c r="DE498" s="1"/>
  <c r="DF498" s="1"/>
  <c r="DG498" s="1"/>
  <c r="DH498" s="1"/>
  <c r="DI498" s="1"/>
  <c r="DJ498" s="1"/>
  <c r="DN498"/>
  <c r="DO498" s="1"/>
  <c r="DP498" s="1"/>
  <c r="EH498"/>
  <c r="EK498"/>
  <c r="AL499"/>
  <c r="AM499"/>
  <c r="AN499"/>
  <c r="AO499"/>
  <c r="AP499"/>
  <c r="AQ499"/>
  <c r="AR499"/>
  <c r="AS499"/>
  <c r="AT499"/>
  <c r="AU499"/>
  <c r="AV499"/>
  <c r="AW499"/>
  <c r="AX499"/>
  <c r="AY499"/>
  <c r="AZ499"/>
  <c r="BA499"/>
  <c r="BB499"/>
  <c r="BC499"/>
  <c r="BD499"/>
  <c r="BE499"/>
  <c r="BF499"/>
  <c r="BG499"/>
  <c r="BH499"/>
  <c r="BI499"/>
  <c r="BJ499"/>
  <c r="BK499"/>
  <c r="BL499"/>
  <c r="BT499"/>
  <c r="BU499"/>
  <c r="CP499"/>
  <c r="EK499"/>
  <c r="AL500"/>
  <c r="AM500"/>
  <c r="AN500"/>
  <c r="AO500"/>
  <c r="AP500"/>
  <c r="AQ500"/>
  <c r="AR500"/>
  <c r="AS500"/>
  <c r="AT500"/>
  <c r="AU500"/>
  <c r="AV500"/>
  <c r="AW500"/>
  <c r="AX500"/>
  <c r="BZ500" s="1"/>
  <c r="AY500"/>
  <c r="AZ500"/>
  <c r="BA500"/>
  <c r="CC500" s="1"/>
  <c r="BB500"/>
  <c r="BC500"/>
  <c r="BD500"/>
  <c r="CF500" s="1"/>
  <c r="BE500"/>
  <c r="BF500"/>
  <c r="BG500"/>
  <c r="BH500"/>
  <c r="BI500"/>
  <c r="BJ500"/>
  <c r="BK500"/>
  <c r="BL500"/>
  <c r="BV500"/>
  <c r="BT500" s="1"/>
  <c r="CI500"/>
  <c r="DN500"/>
  <c r="EK500"/>
  <c r="AL501"/>
  <c r="AM501"/>
  <c r="AN501"/>
  <c r="AO501"/>
  <c r="AP501"/>
  <c r="AQ501"/>
  <c r="AR501"/>
  <c r="AS501"/>
  <c r="BV501" s="1"/>
  <c r="AT501"/>
  <c r="AU501"/>
  <c r="AV501"/>
  <c r="AW501"/>
  <c r="AX501"/>
  <c r="AX902"/>
  <c r="AY501"/>
  <c r="AZ501"/>
  <c r="BA501"/>
  <c r="BB501"/>
  <c r="BC501"/>
  <c r="BD501"/>
  <c r="CF501" s="1"/>
  <c r="BE501"/>
  <c r="BF501"/>
  <c r="BG501"/>
  <c r="BH501"/>
  <c r="BI501"/>
  <c r="BI902" s="1"/>
  <c r="BJ501"/>
  <c r="EH501" s="1"/>
  <c r="BK501"/>
  <c r="BL501"/>
  <c r="CC501"/>
  <c r="CP501"/>
  <c r="EK501"/>
  <c r="EQ501"/>
  <c r="ER501"/>
  <c r="ES501"/>
  <c r="AL502"/>
  <c r="CP502" s="1"/>
  <c r="AM502"/>
  <c r="AN502"/>
  <c r="AO502"/>
  <c r="AP502"/>
  <c r="AQ502"/>
  <c r="AR502"/>
  <c r="AS502"/>
  <c r="AT502"/>
  <c r="AU502"/>
  <c r="AV502"/>
  <c r="AW502"/>
  <c r="AX502"/>
  <c r="BZ502" s="1"/>
  <c r="AY502"/>
  <c r="AZ502"/>
  <c r="BA502"/>
  <c r="CC502"/>
  <c r="CC526" s="1"/>
  <c r="BB502"/>
  <c r="CD502" s="1"/>
  <c r="BC502"/>
  <c r="BD502"/>
  <c r="CF502" s="1"/>
  <c r="BE502"/>
  <c r="BF502"/>
  <c r="BG502"/>
  <c r="CI502" s="1"/>
  <c r="BH502"/>
  <c r="BI502"/>
  <c r="BJ502"/>
  <c r="BK502"/>
  <c r="BL502"/>
  <c r="BX502"/>
  <c r="CB502"/>
  <c r="CG502"/>
  <c r="CJ502"/>
  <c r="DN502"/>
  <c r="DO502" s="1"/>
  <c r="EK502"/>
  <c r="AL503"/>
  <c r="CP503" s="1"/>
  <c r="AM503"/>
  <c r="AN503"/>
  <c r="AO503"/>
  <c r="AP503"/>
  <c r="AQ503"/>
  <c r="AR503"/>
  <c r="BV503" s="1"/>
  <c r="BU503" s="1"/>
  <c r="AS503"/>
  <c r="AT503"/>
  <c r="BX503" s="1"/>
  <c r="AU503"/>
  <c r="AV503"/>
  <c r="BY503" s="1"/>
  <c r="AW503"/>
  <c r="AX503"/>
  <c r="AY503"/>
  <c r="CA503" s="1"/>
  <c r="AZ503"/>
  <c r="BA503"/>
  <c r="BB503"/>
  <c r="BC503"/>
  <c r="BD503"/>
  <c r="CF503"/>
  <c r="BE503"/>
  <c r="BF503"/>
  <c r="BG503"/>
  <c r="CJ503"/>
  <c r="BH503"/>
  <c r="BI503"/>
  <c r="CK503" s="1"/>
  <c r="EI503"/>
  <c r="BJ503"/>
  <c r="BK503"/>
  <c r="BL503"/>
  <c r="BW503"/>
  <c r="BZ503"/>
  <c r="CC503"/>
  <c r="DB503"/>
  <c r="DC503" s="1"/>
  <c r="DD503" s="1"/>
  <c r="DE503" s="1"/>
  <c r="DF503" s="1"/>
  <c r="DG503" s="1"/>
  <c r="DH503" s="1"/>
  <c r="DI503" s="1"/>
  <c r="DJ503" s="1"/>
  <c r="DN503"/>
  <c r="DO503" s="1"/>
  <c r="DP503" s="1"/>
  <c r="EK503"/>
  <c r="AL504"/>
  <c r="BP504" s="1"/>
  <c r="AM504"/>
  <c r="AN504"/>
  <c r="AO504"/>
  <c r="AP504"/>
  <c r="AQ504"/>
  <c r="AR504"/>
  <c r="BV504" s="1"/>
  <c r="AS504"/>
  <c r="AT504"/>
  <c r="BX504" s="1"/>
  <c r="AU504"/>
  <c r="AV504"/>
  <c r="AW504"/>
  <c r="AX504"/>
  <c r="CB504" s="1"/>
  <c r="AY504"/>
  <c r="AZ504"/>
  <c r="BA504"/>
  <c r="CC504"/>
  <c r="BB504"/>
  <c r="BC504"/>
  <c r="BD504"/>
  <c r="BE504"/>
  <c r="CG504" s="1"/>
  <c r="BF504"/>
  <c r="BG504"/>
  <c r="CI504"/>
  <c r="BH504"/>
  <c r="BI504"/>
  <c r="BJ504"/>
  <c r="EH504" s="1"/>
  <c r="BK504"/>
  <c r="BL504"/>
  <c r="BZ504"/>
  <c r="CF504"/>
  <c r="CJ504"/>
  <c r="CP504"/>
  <c r="CQ504" s="1"/>
  <c r="CR504" s="1"/>
  <c r="CS504" s="1"/>
  <c r="CT504" s="1"/>
  <c r="CU504" s="1"/>
  <c r="CV504" s="1"/>
  <c r="CW504" s="1"/>
  <c r="CX504" s="1"/>
  <c r="CY504" s="1"/>
  <c r="CZ504" s="1"/>
  <c r="DA504" s="1"/>
  <c r="DB504"/>
  <c r="EK504"/>
  <c r="AL505"/>
  <c r="AM505"/>
  <c r="AN505"/>
  <c r="AO505"/>
  <c r="AP505"/>
  <c r="AQ505"/>
  <c r="AR505"/>
  <c r="AS505"/>
  <c r="AT505"/>
  <c r="AU505"/>
  <c r="AV505"/>
  <c r="AW505"/>
  <c r="BZ505" s="1"/>
  <c r="AX505"/>
  <c r="AY505"/>
  <c r="AZ505"/>
  <c r="BA505"/>
  <c r="BB505"/>
  <c r="BC505"/>
  <c r="BD505"/>
  <c r="BE505"/>
  <c r="CH505" s="1"/>
  <c r="BF505"/>
  <c r="BG505"/>
  <c r="CK505" s="1"/>
  <c r="CJ505" s="1"/>
  <c r="BH505"/>
  <c r="BI505"/>
  <c r="BJ505"/>
  <c r="BK505"/>
  <c r="BL505"/>
  <c r="BP505"/>
  <c r="BO505" s="1"/>
  <c r="BS505"/>
  <c r="BR505" s="1"/>
  <c r="BV505"/>
  <c r="BU505" s="1"/>
  <c r="BX505"/>
  <c r="CB505"/>
  <c r="CP505"/>
  <c r="CQ505"/>
  <c r="CR505" s="1"/>
  <c r="CS505" s="1"/>
  <c r="CT505" s="1"/>
  <c r="CU505" s="1"/>
  <c r="CV505" s="1"/>
  <c r="CW505" s="1"/>
  <c r="CX505" s="1"/>
  <c r="CY505" s="1"/>
  <c r="CZ505" s="1"/>
  <c r="DA505" s="1"/>
  <c r="DB505"/>
  <c r="DC505"/>
  <c r="DD505" s="1"/>
  <c r="DE505" s="1"/>
  <c r="DF505" s="1"/>
  <c r="DG505" s="1"/>
  <c r="DH505" s="1"/>
  <c r="DN505"/>
  <c r="DO505"/>
  <c r="DP505" s="1"/>
  <c r="EH505"/>
  <c r="EK505"/>
  <c r="EQ505"/>
  <c r="AL506"/>
  <c r="AM506"/>
  <c r="AN506"/>
  <c r="AO506"/>
  <c r="AP506"/>
  <c r="AQ506"/>
  <c r="AR506"/>
  <c r="AS506"/>
  <c r="BV506" s="1"/>
  <c r="AT506"/>
  <c r="AU506"/>
  <c r="AV506"/>
  <c r="AW506"/>
  <c r="AX506"/>
  <c r="AY506"/>
  <c r="CB506" s="1"/>
  <c r="AZ506"/>
  <c r="BA506"/>
  <c r="BB506"/>
  <c r="BC506"/>
  <c r="BD506"/>
  <c r="BE506"/>
  <c r="BF506"/>
  <c r="BG506"/>
  <c r="BH506"/>
  <c r="BI506"/>
  <c r="BJ506"/>
  <c r="BK506"/>
  <c r="CN506" s="1"/>
  <c r="BL506"/>
  <c r="BP506"/>
  <c r="BO506" s="1"/>
  <c r="BS506"/>
  <c r="BR506" s="1"/>
  <c r="BY506"/>
  <c r="BX506" s="1"/>
  <c r="CP506"/>
  <c r="CQ506" s="1"/>
  <c r="CR506" s="1"/>
  <c r="CS506" s="1"/>
  <c r="CT506" s="1"/>
  <c r="CU506" s="1"/>
  <c r="CV506" s="1"/>
  <c r="CW506" s="1"/>
  <c r="CX506" s="1"/>
  <c r="CY506" s="1"/>
  <c r="CZ506" s="1"/>
  <c r="DA506" s="1"/>
  <c r="DB506"/>
  <c r="EH506"/>
  <c r="EQ506"/>
  <c r="ER506"/>
  <c r="K507"/>
  <c r="CQ507" s="1"/>
  <c r="M507"/>
  <c r="CS507" s="1"/>
  <c r="Q507"/>
  <c r="R507"/>
  <c r="CX507" s="1"/>
  <c r="AL507"/>
  <c r="AQ507"/>
  <c r="AR507"/>
  <c r="AV507"/>
  <c r="AW507"/>
  <c r="AX507"/>
  <c r="AY507"/>
  <c r="AZ507"/>
  <c r="BA507"/>
  <c r="CP507"/>
  <c r="CR507"/>
  <c r="CT507"/>
  <c r="CU507"/>
  <c r="CV507"/>
  <c r="CY507"/>
  <c r="CZ507"/>
  <c r="DA507"/>
  <c r="DB507"/>
  <c r="DC507"/>
  <c r="DD507"/>
  <c r="DE507"/>
  <c r="DF507"/>
  <c r="DG507"/>
  <c r="DH507"/>
  <c r="DI507"/>
  <c r="DJ507"/>
  <c r="DK507"/>
  <c r="DL507"/>
  <c r="DM507"/>
  <c r="DN507"/>
  <c r="EJ507" s="1"/>
  <c r="DO507"/>
  <c r="DP507"/>
  <c r="EK507"/>
  <c r="K508"/>
  <c r="CQ508"/>
  <c r="CQ527" s="1"/>
  <c r="M508"/>
  <c r="O508"/>
  <c r="AQ508"/>
  <c r="P508"/>
  <c r="Q508"/>
  <c r="AL508"/>
  <c r="AV508"/>
  <c r="AW508"/>
  <c r="AX508"/>
  <c r="AY508"/>
  <c r="AZ508"/>
  <c r="BA508"/>
  <c r="CP508"/>
  <c r="CR508"/>
  <c r="CS508"/>
  <c r="CT508"/>
  <c r="CY508"/>
  <c r="CZ508"/>
  <c r="DA508"/>
  <c r="DB508"/>
  <c r="DC508"/>
  <c r="DD508"/>
  <c r="DE508"/>
  <c r="DF508"/>
  <c r="DG508"/>
  <c r="DH508"/>
  <c r="DI508"/>
  <c r="DJ508"/>
  <c r="DK508"/>
  <c r="DL508"/>
  <c r="DM508"/>
  <c r="DN508"/>
  <c r="EJ508" s="1"/>
  <c r="DO508"/>
  <c r="DP508"/>
  <c r="EK508"/>
  <c r="J509"/>
  <c r="AL509" s="1"/>
  <c r="AL523" s="1"/>
  <c r="K509"/>
  <c r="AM509" s="1"/>
  <c r="L509"/>
  <c r="AN509" s="1"/>
  <c r="AN525" s="1"/>
  <c r="M509"/>
  <c r="AO509"/>
  <c r="N509"/>
  <c r="O509"/>
  <c r="AQ509" s="1"/>
  <c r="P509"/>
  <c r="Q509"/>
  <c r="AS509"/>
  <c r="R509"/>
  <c r="S509"/>
  <c r="AU509" s="1"/>
  <c r="T509"/>
  <c r="U509"/>
  <c r="AW509"/>
  <c r="V509"/>
  <c r="W509"/>
  <c r="AY509" s="1"/>
  <c r="X509"/>
  <c r="AZ509" s="1"/>
  <c r="AZ525" s="1"/>
  <c r="Y509"/>
  <c r="BA509"/>
  <c r="Z509"/>
  <c r="AA509"/>
  <c r="AB509"/>
  <c r="AC509"/>
  <c r="BE509" s="1"/>
  <c r="AD509"/>
  <c r="AE509"/>
  <c r="AF509"/>
  <c r="AG509"/>
  <c r="AH509"/>
  <c r="AI509"/>
  <c r="BK509" s="1"/>
  <c r="AJ509"/>
  <c r="BL509" s="1"/>
  <c r="AP509"/>
  <c r="AR509"/>
  <c r="BT509" s="1"/>
  <c r="BU509" s="1"/>
  <c r="BU525" s="1"/>
  <c r="AT509"/>
  <c r="AV509"/>
  <c r="AX509"/>
  <c r="BZ509"/>
  <c r="BB509"/>
  <c r="BG509"/>
  <c r="CI509" s="1"/>
  <c r="BH509"/>
  <c r="EK509"/>
  <c r="J510"/>
  <c r="AL510"/>
  <c r="K510"/>
  <c r="L510"/>
  <c r="AN510" s="1"/>
  <c r="M510"/>
  <c r="AO510" s="1"/>
  <c r="BQ510" s="1"/>
  <c r="N510"/>
  <c r="AP510"/>
  <c r="O510"/>
  <c r="P510"/>
  <c r="AR510" s="1"/>
  <c r="Q510"/>
  <c r="AS510" s="1"/>
  <c r="R510"/>
  <c r="AT510" s="1"/>
  <c r="AT523" s="1"/>
  <c r="S510"/>
  <c r="T510"/>
  <c r="AV510" s="1"/>
  <c r="U510"/>
  <c r="AW510" s="1"/>
  <c r="V510"/>
  <c r="AX510"/>
  <c r="W510"/>
  <c r="X510"/>
  <c r="AZ510" s="1"/>
  <c r="Y510"/>
  <c r="BA510" s="1"/>
  <c r="CC510" s="1"/>
  <c r="Z510"/>
  <c r="BB510"/>
  <c r="BB523" s="1"/>
  <c r="AA510"/>
  <c r="BC510" s="1"/>
  <c r="AB510"/>
  <c r="BD510" s="1"/>
  <c r="CF510" s="1"/>
  <c r="AC510"/>
  <c r="AD510"/>
  <c r="AE510"/>
  <c r="BG510"/>
  <c r="AF510"/>
  <c r="AG510"/>
  <c r="AH510"/>
  <c r="CL510" s="1"/>
  <c r="AI510"/>
  <c r="BK510" s="1"/>
  <c r="BK523" s="1"/>
  <c r="AJ510"/>
  <c r="AM510"/>
  <c r="AQ510"/>
  <c r="AU510"/>
  <c r="AY510"/>
  <c r="BE510"/>
  <c r="BF510"/>
  <c r="BH510"/>
  <c r="BI510"/>
  <c r="BJ510"/>
  <c r="BL510"/>
  <c r="BW510"/>
  <c r="DN510"/>
  <c r="EK510"/>
  <c r="J511"/>
  <c r="CP511"/>
  <c r="CQ511" s="1"/>
  <c r="K511"/>
  <c r="L511"/>
  <c r="M511"/>
  <c r="N511"/>
  <c r="O511"/>
  <c r="P511"/>
  <c r="Q511"/>
  <c r="R511"/>
  <c r="S511"/>
  <c r="T511"/>
  <c r="U511"/>
  <c r="V511"/>
  <c r="DB511"/>
  <c r="W511"/>
  <c r="X511"/>
  <c r="Y511"/>
  <c r="Z511"/>
  <c r="AA511"/>
  <c r="AB511"/>
  <c r="AC511"/>
  <c r="AD511"/>
  <c r="AE511"/>
  <c r="AF511"/>
  <c r="AH511"/>
  <c r="DN511" s="1"/>
  <c r="AI511"/>
  <c r="AJ511"/>
  <c r="AL511"/>
  <c r="BN511" s="1"/>
  <c r="AM511"/>
  <c r="AN511"/>
  <c r="AO511"/>
  <c r="BQ511" s="1"/>
  <c r="AP511"/>
  <c r="AQ511"/>
  <c r="AR511"/>
  <c r="BT511" s="1"/>
  <c r="AS511"/>
  <c r="AT511"/>
  <c r="AU511"/>
  <c r="BW511" s="1"/>
  <c r="AV511"/>
  <c r="AX511"/>
  <c r="BZ511"/>
  <c r="AZ511"/>
  <c r="BC511"/>
  <c r="BD511"/>
  <c r="CF511"/>
  <c r="BE511"/>
  <c r="BF511"/>
  <c r="BG511"/>
  <c r="CI511"/>
  <c r="BH511"/>
  <c r="BI511"/>
  <c r="BJ511"/>
  <c r="BK511"/>
  <c r="BL511"/>
  <c r="EK511"/>
  <c r="E515"/>
  <c r="G515"/>
  <c r="J515"/>
  <c r="K515"/>
  <c r="L515"/>
  <c r="M515"/>
  <c r="N515"/>
  <c r="O515"/>
  <c r="P515"/>
  <c r="Q515"/>
  <c r="R515"/>
  <c r="S515"/>
  <c r="T515"/>
  <c r="U515"/>
  <c r="V515"/>
  <c r="W515"/>
  <c r="X515"/>
  <c r="AH515"/>
  <c r="AI515"/>
  <c r="AJ515"/>
  <c r="AL515"/>
  <c r="AM515"/>
  <c r="AN515"/>
  <c r="AO515"/>
  <c r="AP515"/>
  <c r="AQ515"/>
  <c r="AR515"/>
  <c r="AS515"/>
  <c r="AT515"/>
  <c r="AU515"/>
  <c r="AV515"/>
  <c r="AW515"/>
  <c r="AX515"/>
  <c r="BJ515"/>
  <c r="BK515"/>
  <c r="BL515"/>
  <c r="E516"/>
  <c r="G516"/>
  <c r="J516"/>
  <c r="K516"/>
  <c r="L516"/>
  <c r="M516"/>
  <c r="N516"/>
  <c r="O516"/>
  <c r="P516"/>
  <c r="Q516"/>
  <c r="R516"/>
  <c r="S516"/>
  <c r="T516"/>
  <c r="U516"/>
  <c r="V516"/>
  <c r="W516"/>
  <c r="AN516"/>
  <c r="AX516"/>
  <c r="E517"/>
  <c r="G517"/>
  <c r="I517"/>
  <c r="J517"/>
  <c r="K517"/>
  <c r="V517"/>
  <c r="W517"/>
  <c r="X517"/>
  <c r="AH517"/>
  <c r="AI517"/>
  <c r="AJ517"/>
  <c r="AL517"/>
  <c r="BJ517"/>
  <c r="BK517"/>
  <c r="BL517"/>
  <c r="E518"/>
  <c r="G518"/>
  <c r="J518"/>
  <c r="K518"/>
  <c r="L518"/>
  <c r="M518"/>
  <c r="N518"/>
  <c r="O518"/>
  <c r="P518"/>
  <c r="Q518"/>
  <c r="R518"/>
  <c r="S518"/>
  <c r="T518"/>
  <c r="U518"/>
  <c r="V518"/>
  <c r="W518"/>
  <c r="AM518"/>
  <c r="AN518"/>
  <c r="AO518"/>
  <c r="AW518"/>
  <c r="AX518"/>
  <c r="AY518"/>
  <c r="E519"/>
  <c r="G519"/>
  <c r="J519"/>
  <c r="K519"/>
  <c r="L519"/>
  <c r="M519"/>
  <c r="N519"/>
  <c r="O519"/>
  <c r="P519"/>
  <c r="Q519"/>
  <c r="R519"/>
  <c r="S519"/>
  <c r="T519"/>
  <c r="U519"/>
  <c r="V519"/>
  <c r="AH519"/>
  <c r="AI519"/>
  <c r="AJ519"/>
  <c r="AX519"/>
  <c r="BJ519"/>
  <c r="BK519"/>
  <c r="BL519"/>
  <c r="E520"/>
  <c r="G520"/>
  <c r="J520"/>
  <c r="K520"/>
  <c r="L520"/>
  <c r="M520"/>
  <c r="N520"/>
  <c r="O520"/>
  <c r="P520"/>
  <c r="Q520"/>
  <c r="R520"/>
  <c r="S520"/>
  <c r="T520"/>
  <c r="U520"/>
  <c r="V520"/>
  <c r="W520"/>
  <c r="X520"/>
  <c r="Y520"/>
  <c r="Z520"/>
  <c r="AA520"/>
  <c r="AG520"/>
  <c r="AH520"/>
  <c r="AI520"/>
  <c r="AJ520"/>
  <c r="CP520"/>
  <c r="CQ520"/>
  <c r="CR520"/>
  <c r="CS520"/>
  <c r="CT520"/>
  <c r="CU520"/>
  <c r="CV520"/>
  <c r="CW520"/>
  <c r="CX520"/>
  <c r="CY520"/>
  <c r="CZ520"/>
  <c r="DA520"/>
  <c r="DB520"/>
  <c r="DC520"/>
  <c r="DD520"/>
  <c r="DF520"/>
  <c r="DM520"/>
  <c r="DN520"/>
  <c r="DO520"/>
  <c r="DP520"/>
  <c r="E522"/>
  <c r="G522"/>
  <c r="J522"/>
  <c r="K522"/>
  <c r="L522"/>
  <c r="M522"/>
  <c r="N522"/>
  <c r="O522"/>
  <c r="P522"/>
  <c r="Q522"/>
  <c r="R522"/>
  <c r="S522"/>
  <c r="T522"/>
  <c r="U522"/>
  <c r="V522"/>
  <c r="W522"/>
  <c r="X522"/>
  <c r="Y522"/>
  <c r="Z522"/>
  <c r="AA522"/>
  <c r="AB522"/>
  <c r="AC522"/>
  <c r="AD522"/>
  <c r="AE522"/>
  <c r="AF522"/>
  <c r="AG522"/>
  <c r="AH522"/>
  <c r="AI522"/>
  <c r="AJ522"/>
  <c r="AL522"/>
  <c r="AM522"/>
  <c r="AN522"/>
  <c r="AO522"/>
  <c r="AP522"/>
  <c r="AQ522"/>
  <c r="AR522"/>
  <c r="AS522"/>
  <c r="AT522"/>
  <c r="AU522"/>
  <c r="AV522"/>
  <c r="AW522"/>
  <c r="AX522"/>
  <c r="BJ522"/>
  <c r="BK522"/>
  <c r="BL522"/>
  <c r="CL522"/>
  <c r="CM522"/>
  <c r="CN522"/>
  <c r="DB522"/>
  <c r="E523"/>
  <c r="G523"/>
  <c r="J523"/>
  <c r="K523"/>
  <c r="L523"/>
  <c r="M523"/>
  <c r="N523"/>
  <c r="O523"/>
  <c r="P523"/>
  <c r="Q523"/>
  <c r="R523"/>
  <c r="S523"/>
  <c r="T523"/>
  <c r="U523"/>
  <c r="V523"/>
  <c r="W523"/>
  <c r="X523"/>
  <c r="Y523"/>
  <c r="Z523"/>
  <c r="AA523"/>
  <c r="AB523"/>
  <c r="AC523"/>
  <c r="AD523"/>
  <c r="AE523"/>
  <c r="AF523"/>
  <c r="AG523"/>
  <c r="AH523"/>
  <c r="AI523"/>
  <c r="AJ523"/>
  <c r="AV523"/>
  <c r="BH523"/>
  <c r="CM523"/>
  <c r="CN523"/>
  <c r="E524"/>
  <c r="G524"/>
  <c r="I524"/>
  <c r="J524"/>
  <c r="K524"/>
  <c r="L524"/>
  <c r="M524"/>
  <c r="N524"/>
  <c r="O524"/>
  <c r="P524"/>
  <c r="Q524"/>
  <c r="R524"/>
  <c r="S524"/>
  <c r="T524"/>
  <c r="U524"/>
  <c r="V524"/>
  <c r="W524"/>
  <c r="X524"/>
  <c r="Y524"/>
  <c r="Z524"/>
  <c r="AA524"/>
  <c r="AB524"/>
  <c r="AC524"/>
  <c r="AD524"/>
  <c r="AE524"/>
  <c r="AF524"/>
  <c r="AG524"/>
  <c r="AH524"/>
  <c r="AI524"/>
  <c r="AJ524"/>
  <c r="AL524"/>
  <c r="AM524"/>
  <c r="AN524"/>
  <c r="AO524"/>
  <c r="AP524"/>
  <c r="AQ524"/>
  <c r="AR524"/>
  <c r="AS524"/>
  <c r="AT524"/>
  <c r="AU524"/>
  <c r="AV524"/>
  <c r="AW524"/>
  <c r="AX524"/>
  <c r="BJ524"/>
  <c r="BK524"/>
  <c r="BL524"/>
  <c r="CL524"/>
  <c r="CM524"/>
  <c r="CN524"/>
  <c r="E525"/>
  <c r="G525"/>
  <c r="J525"/>
  <c r="K525"/>
  <c r="L525"/>
  <c r="M525"/>
  <c r="N525"/>
  <c r="O525"/>
  <c r="P525"/>
  <c r="Q525"/>
  <c r="R525"/>
  <c r="S525"/>
  <c r="T525"/>
  <c r="U525"/>
  <c r="V525"/>
  <c r="W525"/>
  <c r="X525"/>
  <c r="Y525"/>
  <c r="Z525"/>
  <c r="AB525"/>
  <c r="AC525"/>
  <c r="AD525"/>
  <c r="AE525"/>
  <c r="AF525"/>
  <c r="AG525"/>
  <c r="AH525"/>
  <c r="AI525"/>
  <c r="AJ525"/>
  <c r="AP525"/>
  <c r="AR525"/>
  <c r="AT525"/>
  <c r="AV525"/>
  <c r="AX525"/>
  <c r="BG525"/>
  <c r="BH525"/>
  <c r="CM525"/>
  <c r="CN525"/>
  <c r="E526"/>
  <c r="G526"/>
  <c r="J526"/>
  <c r="K526"/>
  <c r="L526"/>
  <c r="M526"/>
  <c r="N526"/>
  <c r="O526"/>
  <c r="P526"/>
  <c r="Q526"/>
  <c r="R526"/>
  <c r="S526"/>
  <c r="T526"/>
  <c r="U526"/>
  <c r="V526"/>
  <c r="W526"/>
  <c r="X526"/>
  <c r="Y526"/>
  <c r="Z526"/>
  <c r="AA526"/>
  <c r="AB526"/>
  <c r="AC526"/>
  <c r="AD526"/>
  <c r="AE526"/>
  <c r="AF526"/>
  <c r="AG526"/>
  <c r="AH526"/>
  <c r="AI526"/>
  <c r="AJ526"/>
  <c r="AL526"/>
  <c r="AM526"/>
  <c r="AN526"/>
  <c r="AO526"/>
  <c r="AP526"/>
  <c r="AQ526"/>
  <c r="AR526"/>
  <c r="AS526"/>
  <c r="AT526"/>
  <c r="AU526"/>
  <c r="AV526"/>
  <c r="AW526"/>
  <c r="AX526"/>
  <c r="AY526"/>
  <c r="AZ526"/>
  <c r="BA526"/>
  <c r="BB526"/>
  <c r="BC526"/>
  <c r="BD526"/>
  <c r="BE526"/>
  <c r="BF526"/>
  <c r="BG526"/>
  <c r="BH526"/>
  <c r="BI526"/>
  <c r="BJ526"/>
  <c r="BK526"/>
  <c r="BL526"/>
  <c r="CL526"/>
  <c r="CM526"/>
  <c r="CN526"/>
  <c r="E527"/>
  <c r="G527"/>
  <c r="J527"/>
  <c r="K527"/>
  <c r="L527"/>
  <c r="M527"/>
  <c r="N527"/>
  <c r="O527"/>
  <c r="P527"/>
  <c r="S527"/>
  <c r="T527"/>
  <c r="U527"/>
  <c r="V527"/>
  <c r="W527"/>
  <c r="X527"/>
  <c r="Y527"/>
  <c r="Z527"/>
  <c r="AA527"/>
  <c r="AB527"/>
  <c r="AC527"/>
  <c r="AD527"/>
  <c r="AE527"/>
  <c r="AF527"/>
  <c r="AG527"/>
  <c r="AH527"/>
  <c r="AI527"/>
  <c r="AJ527"/>
  <c r="CP527"/>
  <c r="CR527"/>
  <c r="CS527"/>
  <c r="CT527"/>
  <c r="CY527"/>
  <c r="CZ527"/>
  <c r="DA527"/>
  <c r="DB527"/>
  <c r="DC527"/>
  <c r="DD527"/>
  <c r="DE527"/>
  <c r="DF527"/>
  <c r="DG527"/>
  <c r="DH527"/>
  <c r="DI527"/>
  <c r="DJ527"/>
  <c r="DK527"/>
  <c r="DL527"/>
  <c r="DM527"/>
  <c r="DN527"/>
  <c r="DO527"/>
  <c r="DP527"/>
  <c r="I529"/>
  <c r="E532" i="3"/>
  <c r="AL532" i="1"/>
  <c r="CP532"/>
  <c r="AM532"/>
  <c r="CQ532"/>
  <c r="AN532"/>
  <c r="AO532"/>
  <c r="CS532" s="1"/>
  <c r="AP532"/>
  <c r="AQ532"/>
  <c r="BS532"/>
  <c r="BR532" s="1"/>
  <c r="AR532"/>
  <c r="CV532" s="1"/>
  <c r="AS532"/>
  <c r="CW532"/>
  <c r="AT532"/>
  <c r="CX532"/>
  <c r="AU532"/>
  <c r="AV532"/>
  <c r="AW532"/>
  <c r="DA532"/>
  <c r="AX532"/>
  <c r="DB532"/>
  <c r="AY532"/>
  <c r="DC532"/>
  <c r="AZ532"/>
  <c r="DD532"/>
  <c r="EA532" s="1"/>
  <c r="BA532"/>
  <c r="DE532" s="1"/>
  <c r="BB532"/>
  <c r="DF532" s="1"/>
  <c r="CR532"/>
  <c r="CT532"/>
  <c r="CZ532"/>
  <c r="DZ532"/>
  <c r="EJ532"/>
  <c r="AL533"/>
  <c r="CP533" s="1"/>
  <c r="AM533"/>
  <c r="AN533"/>
  <c r="CR533"/>
  <c r="AO533"/>
  <c r="CS533"/>
  <c r="AP533"/>
  <c r="AQ533"/>
  <c r="CU533" s="1"/>
  <c r="AR533"/>
  <c r="CV533"/>
  <c r="AS533"/>
  <c r="CW533"/>
  <c r="AT533"/>
  <c r="CX533"/>
  <c r="AU533"/>
  <c r="AV533"/>
  <c r="AW533"/>
  <c r="DA533"/>
  <c r="AX533"/>
  <c r="DB533"/>
  <c r="AY533"/>
  <c r="DC533"/>
  <c r="AZ533"/>
  <c r="DD533"/>
  <c r="EA533" s="1"/>
  <c r="BA533"/>
  <c r="DE533" s="1"/>
  <c r="BB533"/>
  <c r="DF533" s="1"/>
  <c r="CQ533"/>
  <c r="CY533"/>
  <c r="DZ533"/>
  <c r="AI534"/>
  <c r="AH534" s="1"/>
  <c r="AL534"/>
  <c r="CP534" s="1"/>
  <c r="AM534"/>
  <c r="AN534"/>
  <c r="CR534"/>
  <c r="AO534"/>
  <c r="AP534"/>
  <c r="AQ534"/>
  <c r="CU534"/>
  <c r="AR534"/>
  <c r="CV534"/>
  <c r="AS534"/>
  <c r="AT534"/>
  <c r="CX534" s="1"/>
  <c r="AU534"/>
  <c r="CY534" s="1"/>
  <c r="AV534"/>
  <c r="CZ534"/>
  <c r="AW534"/>
  <c r="AX534"/>
  <c r="DB534" s="1"/>
  <c r="AY534"/>
  <c r="DC534" s="1"/>
  <c r="AZ534"/>
  <c r="DD534" s="1"/>
  <c r="EA534" s="1"/>
  <c r="BV534"/>
  <c r="BU534" s="1"/>
  <c r="CQ534"/>
  <c r="CS534"/>
  <c r="CW534"/>
  <c r="DA534"/>
  <c r="DZ534"/>
  <c r="AL535"/>
  <c r="AM535"/>
  <c r="CQ535" s="1"/>
  <c r="AN535"/>
  <c r="CR535" s="1"/>
  <c r="AO535"/>
  <c r="CS535"/>
  <c r="AP535"/>
  <c r="AQ535"/>
  <c r="CU535" s="1"/>
  <c r="AR535"/>
  <c r="CV535" s="1"/>
  <c r="AS535"/>
  <c r="AT535"/>
  <c r="AU535"/>
  <c r="CY535" s="1"/>
  <c r="AV535"/>
  <c r="CZ535" s="1"/>
  <c r="AW535"/>
  <c r="AX535"/>
  <c r="AY535"/>
  <c r="AZ535"/>
  <c r="CB535" s="1"/>
  <c r="BA535"/>
  <c r="DE535"/>
  <c r="BB535"/>
  <c r="BP535"/>
  <c r="BO535" s="1"/>
  <c r="CP535"/>
  <c r="CT535"/>
  <c r="CX535"/>
  <c r="DB535"/>
  <c r="DF535"/>
  <c r="DZ535"/>
  <c r="AL536"/>
  <c r="AM536"/>
  <c r="CQ536" s="1"/>
  <c r="AN536"/>
  <c r="CR536" s="1"/>
  <c r="AO536"/>
  <c r="AP536"/>
  <c r="AQ536"/>
  <c r="CU536" s="1"/>
  <c r="AR536"/>
  <c r="CV536" s="1"/>
  <c r="AS536"/>
  <c r="AT536"/>
  <c r="AU536"/>
  <c r="CY536"/>
  <c r="AV536"/>
  <c r="AW536"/>
  <c r="DA536" s="1"/>
  <c r="CB536"/>
  <c r="BZ536" s="1"/>
  <c r="CS536"/>
  <c r="CX536"/>
  <c r="CZ536"/>
  <c r="DZ536"/>
  <c r="EA536"/>
  <c r="AF537"/>
  <c r="AE537" s="1"/>
  <c r="AL537"/>
  <c r="CP537" s="1"/>
  <c r="AM537"/>
  <c r="AN537"/>
  <c r="AO537"/>
  <c r="AP537"/>
  <c r="BS537" s="1"/>
  <c r="AQ537"/>
  <c r="AR537"/>
  <c r="BV537" s="1"/>
  <c r="BU537" s="1"/>
  <c r="AS537"/>
  <c r="AT537"/>
  <c r="AU537"/>
  <c r="AV537"/>
  <c r="AW537"/>
  <c r="BJ537"/>
  <c r="BK537"/>
  <c r="BL537"/>
  <c r="AL538"/>
  <c r="AM538"/>
  <c r="AN538"/>
  <c r="AO538"/>
  <c r="CS538" s="1"/>
  <c r="AP538"/>
  <c r="AQ538"/>
  <c r="CU538"/>
  <c r="AR538"/>
  <c r="AS538"/>
  <c r="CW538" s="1"/>
  <c r="AT538"/>
  <c r="AU538"/>
  <c r="CY538"/>
  <c r="AV538"/>
  <c r="AW538"/>
  <c r="DA538" s="1"/>
  <c r="EA538" s="1"/>
  <c r="BJ538"/>
  <c r="BK538"/>
  <c r="DO538" s="1"/>
  <c r="BL538"/>
  <c r="DP538" s="1"/>
  <c r="CP538"/>
  <c r="CR538"/>
  <c r="CT538"/>
  <c r="CV538"/>
  <c r="CX538"/>
  <c r="CZ538"/>
  <c r="K539"/>
  <c r="L539"/>
  <c r="AL539"/>
  <c r="CP539"/>
  <c r="AX539"/>
  <c r="AY539"/>
  <c r="DB539"/>
  <c r="DN539"/>
  <c r="DO539" s="1"/>
  <c r="DP539" s="1"/>
  <c r="V540"/>
  <c r="W540"/>
  <c r="AY540" s="1"/>
  <c r="AY553" s="1"/>
  <c r="X540"/>
  <c r="CB540" s="1"/>
  <c r="Y540"/>
  <c r="BA540" s="1"/>
  <c r="CE540" s="1"/>
  <c r="Z540"/>
  <c r="BB540" s="1"/>
  <c r="AA540"/>
  <c r="AB540"/>
  <c r="AC540"/>
  <c r="BE540" s="1"/>
  <c r="AD540"/>
  <c r="AE540"/>
  <c r="BG540" s="1"/>
  <c r="CK540" s="1"/>
  <c r="AF540"/>
  <c r="AL540"/>
  <c r="AL553" s="1"/>
  <c r="BN553" s="1"/>
  <c r="AM540"/>
  <c r="AN540"/>
  <c r="AO540"/>
  <c r="AP540"/>
  <c r="AQ540"/>
  <c r="AR540"/>
  <c r="AS540"/>
  <c r="AT540"/>
  <c r="AU540"/>
  <c r="AV540"/>
  <c r="AW540"/>
  <c r="AX540"/>
  <c r="AX553" s="1"/>
  <c r="BD540"/>
  <c r="BF540"/>
  <c r="BH540"/>
  <c r="BI540"/>
  <c r="BJ540"/>
  <c r="BK540"/>
  <c r="BK553" s="1"/>
  <c r="BL540"/>
  <c r="AL541"/>
  <c r="BP541" s="1"/>
  <c r="AM541"/>
  <c r="AN541"/>
  <c r="AO541"/>
  <c r="AP541"/>
  <c r="AQ541"/>
  <c r="AR541"/>
  <c r="AS541"/>
  <c r="AT541"/>
  <c r="BV541" s="1"/>
  <c r="AU541"/>
  <c r="AV541"/>
  <c r="AW541"/>
  <c r="BJ541"/>
  <c r="BK541"/>
  <c r="BL541"/>
  <c r="BZ584"/>
  <c r="CP541"/>
  <c r="CQ541" s="1"/>
  <c r="CR541" s="1"/>
  <c r="CS541" s="1"/>
  <c r="DN541"/>
  <c r="AL542"/>
  <c r="AM542"/>
  <c r="AN542"/>
  <c r="AO542"/>
  <c r="AP542"/>
  <c r="BS542"/>
  <c r="AQ542"/>
  <c r="AR542"/>
  <c r="AS542"/>
  <c r="AT542"/>
  <c r="AU542"/>
  <c r="AV542"/>
  <c r="BY542" s="1"/>
  <c r="BX542" s="1"/>
  <c r="AW542"/>
  <c r="AX542"/>
  <c r="AX916" s="1"/>
  <c r="AY542"/>
  <c r="AY916" s="1"/>
  <c r="BJ542"/>
  <c r="BK542"/>
  <c r="BL542"/>
  <c r="CP542"/>
  <c r="CQ542"/>
  <c r="J543"/>
  <c r="K543"/>
  <c r="AM543" s="1"/>
  <c r="AM585" s="1"/>
  <c r="L543"/>
  <c r="M543"/>
  <c r="N543"/>
  <c r="O543"/>
  <c r="AQ543" s="1"/>
  <c r="AQ585" s="1"/>
  <c r="P543"/>
  <c r="Q543"/>
  <c r="AS543" s="1"/>
  <c r="AS585" s="1"/>
  <c r="R543"/>
  <c r="S543"/>
  <c r="AU543" s="1"/>
  <c r="AU585" s="1"/>
  <c r="T543"/>
  <c r="U543"/>
  <c r="AW543" s="1"/>
  <c r="AW585" s="1"/>
  <c r="AL543"/>
  <c r="AO543"/>
  <c r="AX543"/>
  <c r="AY543"/>
  <c r="BJ543"/>
  <c r="DN543" s="1"/>
  <c r="DO543" s="1"/>
  <c r="BK543"/>
  <c r="BL543"/>
  <c r="CP543"/>
  <c r="DB543"/>
  <c r="AL544"/>
  <c r="AM544"/>
  <c r="AN544"/>
  <c r="AO544"/>
  <c r="AP544"/>
  <c r="AQ544"/>
  <c r="BS544" s="1"/>
  <c r="BR544" s="1"/>
  <c r="AR544"/>
  <c r="AS544"/>
  <c r="AT544"/>
  <c r="AU544"/>
  <c r="BY544" s="1"/>
  <c r="BX544" s="1"/>
  <c r="AV544"/>
  <c r="AW544"/>
  <c r="AX544"/>
  <c r="DB544"/>
  <c r="DC544" s="1"/>
  <c r="DD544" s="1"/>
  <c r="AY544"/>
  <c r="BJ544"/>
  <c r="DN544" s="1"/>
  <c r="DO544" s="1"/>
  <c r="DP544" s="1"/>
  <c r="BK544"/>
  <c r="BL544"/>
  <c r="CL544"/>
  <c r="CM544"/>
  <c r="AL545"/>
  <c r="AM545"/>
  <c r="AN545"/>
  <c r="AO545"/>
  <c r="AP545"/>
  <c r="AQ545"/>
  <c r="AR545"/>
  <c r="AS545"/>
  <c r="AT545"/>
  <c r="AU545"/>
  <c r="AV545"/>
  <c r="AW545"/>
  <c r="AX545"/>
  <c r="DB545" s="1"/>
  <c r="DC545" s="1"/>
  <c r="DD545" s="1"/>
  <c r="AY545"/>
  <c r="BJ545"/>
  <c r="DN545" s="1"/>
  <c r="BK545"/>
  <c r="BL545"/>
  <c r="BS545"/>
  <c r="BQ545" s="1"/>
  <c r="BV545"/>
  <c r="BU545" s="1"/>
  <c r="BY545"/>
  <c r="BW545" s="1"/>
  <c r="CL545"/>
  <c r="CM545"/>
  <c r="CP545"/>
  <c r="CQ545" s="1"/>
  <c r="CR545" s="1"/>
  <c r="CS545" s="1"/>
  <c r="CT545" s="1"/>
  <c r="CU545" s="1"/>
  <c r="CV545" s="1"/>
  <c r="CW545" s="1"/>
  <c r="CX545" s="1"/>
  <c r="CY545" s="1"/>
  <c r="CZ545" s="1"/>
  <c r="DA545" s="1"/>
  <c r="EA545" s="1"/>
  <c r="Y546"/>
  <c r="BA546"/>
  <c r="AC546"/>
  <c r="AD546"/>
  <c r="AL546"/>
  <c r="AM546"/>
  <c r="BP546" s="1"/>
  <c r="BO546" s="1"/>
  <c r="AN546"/>
  <c r="AO546"/>
  <c r="AP546"/>
  <c r="AQ546"/>
  <c r="AR546"/>
  <c r="AS546"/>
  <c r="BV546" s="1"/>
  <c r="BU546" s="1"/>
  <c r="AT546"/>
  <c r="AU546"/>
  <c r="AV546"/>
  <c r="AW546"/>
  <c r="AX546"/>
  <c r="DB546"/>
  <c r="AY546"/>
  <c r="AZ546"/>
  <c r="CB546" s="1"/>
  <c r="CA546" s="1"/>
  <c r="BI546"/>
  <c r="BJ546"/>
  <c r="CN546" s="1"/>
  <c r="BK546"/>
  <c r="BL546"/>
  <c r="CP546"/>
  <c r="CQ546"/>
  <c r="CR546" s="1"/>
  <c r="CS546" s="1"/>
  <c r="CT546" s="1"/>
  <c r="CU546" s="1"/>
  <c r="CV546" s="1"/>
  <c r="CW546" s="1"/>
  <c r="CX546" s="1"/>
  <c r="CY546" s="1"/>
  <c r="CZ546" s="1"/>
  <c r="DA546" s="1"/>
  <c r="EA546" s="1"/>
  <c r="DN546"/>
  <c r="Y547"/>
  <c r="AC547"/>
  <c r="AL547"/>
  <c r="AM547"/>
  <c r="AN547"/>
  <c r="AO547"/>
  <c r="AP547"/>
  <c r="AQ547"/>
  <c r="AR547"/>
  <c r="AS547"/>
  <c r="AT547"/>
  <c r="AU547"/>
  <c r="AV547"/>
  <c r="AW547"/>
  <c r="AX547"/>
  <c r="AY547"/>
  <c r="AZ547"/>
  <c r="BD547"/>
  <c r="BJ547"/>
  <c r="BK547"/>
  <c r="BL547"/>
  <c r="CP547"/>
  <c r="CQ547" s="1"/>
  <c r="CR547" s="1"/>
  <c r="CS547" s="1"/>
  <c r="CT547" s="1"/>
  <c r="CU547" s="1"/>
  <c r="CV547" s="1"/>
  <c r="CW547" s="1"/>
  <c r="CX547" s="1"/>
  <c r="CY547" s="1"/>
  <c r="CZ547" s="1"/>
  <c r="DA547" s="1"/>
  <c r="EA547" s="1"/>
  <c r="Y548"/>
  <c r="AA548"/>
  <c r="AB548" s="1"/>
  <c r="CP548"/>
  <c r="CQ548"/>
  <c r="CR548"/>
  <c r="CS548"/>
  <c r="CT548"/>
  <c r="CU548"/>
  <c r="CV548"/>
  <c r="CW548"/>
  <c r="CX548"/>
  <c r="CY548"/>
  <c r="CZ548"/>
  <c r="DA548"/>
  <c r="EA548"/>
  <c r="DB548"/>
  <c r="DC548"/>
  <c r="DD548"/>
  <c r="DE548"/>
  <c r="DF548"/>
  <c r="DM548"/>
  <c r="EB548" s="1"/>
  <c r="DN548"/>
  <c r="DO548"/>
  <c r="DP548"/>
  <c r="EE548"/>
  <c r="EO573" s="1"/>
  <c r="EF548"/>
  <c r="EP573" s="1"/>
  <c r="Y549"/>
  <c r="DE549"/>
  <c r="DE586" s="1"/>
  <c r="AA549"/>
  <c r="AB549" s="1"/>
  <c r="CP549"/>
  <c r="CQ549"/>
  <c r="CR549"/>
  <c r="CS549"/>
  <c r="CT549"/>
  <c r="CU549"/>
  <c r="CV549"/>
  <c r="CW549"/>
  <c r="CX549"/>
  <c r="CY549"/>
  <c r="CZ549"/>
  <c r="DA549"/>
  <c r="EA549"/>
  <c r="DB549"/>
  <c r="DC549"/>
  <c r="DD549"/>
  <c r="DF549"/>
  <c r="DM549"/>
  <c r="EB549" s="1"/>
  <c r="DN549"/>
  <c r="DO549"/>
  <c r="DP549"/>
  <c r="EE549"/>
  <c r="EO574" s="1"/>
  <c r="EF549"/>
  <c r="EP574" s="1"/>
  <c r="AL550"/>
  <c r="AM550"/>
  <c r="AN550"/>
  <c r="AO550"/>
  <c r="AP550"/>
  <c r="AQ550"/>
  <c r="AR550"/>
  <c r="AS550"/>
  <c r="AT550"/>
  <c r="AU550"/>
  <c r="AV550"/>
  <c r="AW550"/>
  <c r="BN550"/>
  <c r="BQ550"/>
  <c r="BT550"/>
  <c r="BW550"/>
  <c r="CP550"/>
  <c r="CQ550" s="1"/>
  <c r="M551"/>
  <c r="AO551" s="1"/>
  <c r="N551"/>
  <c r="AP551"/>
  <c r="AP582" s="1"/>
  <c r="O551"/>
  <c r="AQ551" s="1"/>
  <c r="AQ582" s="1"/>
  <c r="P551"/>
  <c r="AR551"/>
  <c r="Q551"/>
  <c r="R551"/>
  <c r="AT551" s="1"/>
  <c r="AT582" s="1"/>
  <c r="S551"/>
  <c r="T551"/>
  <c r="AV551" s="1"/>
  <c r="AV582" s="1"/>
  <c r="U551"/>
  <c r="V551"/>
  <c r="AX551" s="1"/>
  <c r="W551"/>
  <c r="X551"/>
  <c r="AZ551"/>
  <c r="AZ582" s="1"/>
  <c r="Y551"/>
  <c r="BA551" s="1"/>
  <c r="Z551"/>
  <c r="BB551" s="1"/>
  <c r="BB582" s="1"/>
  <c r="AL551"/>
  <c r="BN551"/>
  <c r="AM551"/>
  <c r="AN551"/>
  <c r="AS551"/>
  <c r="AU551"/>
  <c r="BW551"/>
  <c r="AW551"/>
  <c r="AY551"/>
  <c r="CP551"/>
  <c r="CQ551"/>
  <c r="X552"/>
  <c r="AZ552"/>
  <c r="CB552" s="1"/>
  <c r="DD552" s="1"/>
  <c r="Y552"/>
  <c r="BA552"/>
  <c r="CC552" s="1"/>
  <c r="DE552" s="1"/>
  <c r="AB552"/>
  <c r="BD552"/>
  <c r="CF552" s="1"/>
  <c r="DH552" s="1"/>
  <c r="AC552"/>
  <c r="BE552"/>
  <c r="CG552" s="1"/>
  <c r="DI552" s="1"/>
  <c r="AF552"/>
  <c r="AG552"/>
  <c r="BI552" s="1"/>
  <c r="CK552" s="1"/>
  <c r="DM552" s="1"/>
  <c r="AH552"/>
  <c r="BJ552" s="1"/>
  <c r="CL552" s="1"/>
  <c r="DN552" s="1"/>
  <c r="BH552"/>
  <c r="CJ552" s="1"/>
  <c r="DL552" s="1"/>
  <c r="EA552"/>
  <c r="EB552"/>
  <c r="J553"/>
  <c r="CP553"/>
  <c r="CP540" s="1"/>
  <c r="CP583" s="1"/>
  <c r="K553"/>
  <c r="V553"/>
  <c r="BZ553" s="1"/>
  <c r="W553"/>
  <c r="AH553"/>
  <c r="DN553" s="1"/>
  <c r="AI553"/>
  <c r="AJ553"/>
  <c r="BJ553"/>
  <c r="BL553"/>
  <c r="EG553"/>
  <c r="AL555"/>
  <c r="AM555"/>
  <c r="CQ555" s="1"/>
  <c r="AN555"/>
  <c r="AO555"/>
  <c r="CS555" s="1"/>
  <c r="AP555"/>
  <c r="AQ555"/>
  <c r="CU555" s="1"/>
  <c r="AR555"/>
  <c r="AS555"/>
  <c r="CW555" s="1"/>
  <c r="AT555"/>
  <c r="AU555"/>
  <c r="CY555" s="1"/>
  <c r="AV555"/>
  <c r="AW555"/>
  <c r="DA555" s="1"/>
  <c r="AX555"/>
  <c r="AY555"/>
  <c r="DC555" s="1"/>
  <c r="AZ555"/>
  <c r="BA555"/>
  <c r="DE555" s="1"/>
  <c r="BB555"/>
  <c r="BC555"/>
  <c r="DG555" s="1"/>
  <c r="BD555"/>
  <c r="BE555"/>
  <c r="DI555" s="1"/>
  <c r="BF555"/>
  <c r="DJ555"/>
  <c r="BG555"/>
  <c r="BH555"/>
  <c r="BI555"/>
  <c r="BJ555"/>
  <c r="EH555" s="1"/>
  <c r="BK555"/>
  <c r="BL555"/>
  <c r="DP555" s="1"/>
  <c r="BS555"/>
  <c r="BR555" s="1"/>
  <c r="BY555"/>
  <c r="BX555" s="1"/>
  <c r="CE555"/>
  <c r="CC555" s="1"/>
  <c r="CP555"/>
  <c r="CR555"/>
  <c r="CT555"/>
  <c r="CV555"/>
  <c r="CX555"/>
  <c r="CZ555"/>
  <c r="DB555"/>
  <c r="DD555"/>
  <c r="DF555"/>
  <c r="DH555"/>
  <c r="DK555"/>
  <c r="DM555"/>
  <c r="DO555"/>
  <c r="EK555"/>
  <c r="AL556"/>
  <c r="AM556"/>
  <c r="CQ556" s="1"/>
  <c r="AN556"/>
  <c r="AO556"/>
  <c r="CS556" s="1"/>
  <c r="AP556"/>
  <c r="AQ556"/>
  <c r="CU556" s="1"/>
  <c r="AR556"/>
  <c r="AS556"/>
  <c r="CW556" s="1"/>
  <c r="AT556"/>
  <c r="AU556"/>
  <c r="CY556" s="1"/>
  <c r="AV556"/>
  <c r="AW556"/>
  <c r="DA556" s="1"/>
  <c r="AX556"/>
  <c r="AY556"/>
  <c r="DC556" s="1"/>
  <c r="AZ556"/>
  <c r="BA556"/>
  <c r="BB556"/>
  <c r="BC556"/>
  <c r="BD556"/>
  <c r="DH556"/>
  <c r="BE556"/>
  <c r="BF556"/>
  <c r="DJ556" s="1"/>
  <c r="BG556"/>
  <c r="BH556"/>
  <c r="CK556"/>
  <c r="BI556"/>
  <c r="BJ556"/>
  <c r="DN556" s="1"/>
  <c r="BK556"/>
  <c r="BL556"/>
  <c r="DP556" s="1"/>
  <c r="BS556"/>
  <c r="BR556" s="1"/>
  <c r="BY556"/>
  <c r="BX556" s="1"/>
  <c r="CB556"/>
  <c r="CA556" s="1"/>
  <c r="CE556"/>
  <c r="CC556" s="1"/>
  <c r="CH556"/>
  <c r="CG556" s="1"/>
  <c r="CP556"/>
  <c r="CR556"/>
  <c r="CT556"/>
  <c r="CV556"/>
  <c r="CX556"/>
  <c r="CZ556"/>
  <c r="DB556"/>
  <c r="DD556"/>
  <c r="AL535" i="3" s="1"/>
  <c r="DE556" i="1"/>
  <c r="AM535" i="3" s="1"/>
  <c r="DF556" i="1"/>
  <c r="AN535" i="3" s="1"/>
  <c r="DG556" i="1"/>
  <c r="DI556"/>
  <c r="DK556"/>
  <c r="DM556"/>
  <c r="AU535" i="3" s="1"/>
  <c r="DO556" i="1"/>
  <c r="EK556"/>
  <c r="AL557"/>
  <c r="AM557"/>
  <c r="CQ557" s="1"/>
  <c r="AN557"/>
  <c r="AO557"/>
  <c r="CS557" s="1"/>
  <c r="AP557"/>
  <c r="AQ557"/>
  <c r="CU557" s="1"/>
  <c r="AR557"/>
  <c r="AS557"/>
  <c r="CW557" s="1"/>
  <c r="AT557"/>
  <c r="AU557"/>
  <c r="CY557" s="1"/>
  <c r="AV557"/>
  <c r="AW557"/>
  <c r="DA557" s="1"/>
  <c r="AX557"/>
  <c r="AY557"/>
  <c r="DC557" s="1"/>
  <c r="AZ557"/>
  <c r="BA557"/>
  <c r="DE557" s="1"/>
  <c r="BB557"/>
  <c r="CE557"/>
  <c r="BC557"/>
  <c r="BD557"/>
  <c r="DH557" s="1"/>
  <c r="BE557"/>
  <c r="BF557"/>
  <c r="BG557"/>
  <c r="DK557" s="1"/>
  <c r="BH557"/>
  <c r="DL557" s="1"/>
  <c r="BI557"/>
  <c r="DM557" s="1"/>
  <c r="BJ557"/>
  <c r="BK557"/>
  <c r="DO557" s="1"/>
  <c r="BL557"/>
  <c r="DP557" s="1"/>
  <c r="CP557"/>
  <c r="CR557"/>
  <c r="CT557"/>
  <c r="CV557"/>
  <c r="CX557"/>
  <c r="CZ557"/>
  <c r="DB557"/>
  <c r="DD557"/>
  <c r="DF557"/>
  <c r="DG557"/>
  <c r="DJ557"/>
  <c r="EK557"/>
  <c r="AL558"/>
  <c r="AM558"/>
  <c r="CQ558"/>
  <c r="AN558"/>
  <c r="CR558"/>
  <c r="AO558"/>
  <c r="AP558"/>
  <c r="CT558" s="1"/>
  <c r="AQ558"/>
  <c r="CU558"/>
  <c r="AR558"/>
  <c r="CV558"/>
  <c r="AS558"/>
  <c r="AT558"/>
  <c r="BV558" s="1"/>
  <c r="BU558" s="1"/>
  <c r="AU558"/>
  <c r="CY558"/>
  <c r="AV558"/>
  <c r="AW558"/>
  <c r="DA558" s="1"/>
  <c r="AX558"/>
  <c r="AY558"/>
  <c r="DC558"/>
  <c r="AZ558"/>
  <c r="DD558"/>
  <c r="BA558"/>
  <c r="DE558" s="1"/>
  <c r="BB558"/>
  <c r="BC558"/>
  <c r="DG558"/>
  <c r="BD558"/>
  <c r="DH558"/>
  <c r="BE558"/>
  <c r="DI558"/>
  <c r="BF558"/>
  <c r="BG558"/>
  <c r="DK558" s="1"/>
  <c r="BH558"/>
  <c r="DL558" s="1"/>
  <c r="BI558"/>
  <c r="DM558"/>
  <c r="BJ558"/>
  <c r="DN558" s="1"/>
  <c r="BK558"/>
  <c r="DO558" s="1"/>
  <c r="BL558"/>
  <c r="CP558"/>
  <c r="CX558"/>
  <c r="CZ558"/>
  <c r="DB558"/>
  <c r="AJ536" i="3" s="1"/>
  <c r="DF558" i="1"/>
  <c r="AN536" i="3" s="1"/>
  <c r="DJ558" i="1"/>
  <c r="EJ558"/>
  <c r="S536" i="3" s="1"/>
  <c r="DP558" i="1"/>
  <c r="EK558"/>
  <c r="AL559"/>
  <c r="AM559"/>
  <c r="CQ559" s="1"/>
  <c r="AN559"/>
  <c r="AO559"/>
  <c r="CS559" s="1"/>
  <c r="AP559"/>
  <c r="AQ559"/>
  <c r="CU559" s="1"/>
  <c r="AR559"/>
  <c r="AS559"/>
  <c r="CW559" s="1"/>
  <c r="AT559"/>
  <c r="AU559"/>
  <c r="CY559" s="1"/>
  <c r="AV559"/>
  <c r="BY559"/>
  <c r="AW559"/>
  <c r="AX559"/>
  <c r="AY559"/>
  <c r="AZ559"/>
  <c r="DD559" s="1"/>
  <c r="AL537" i="3" s="1"/>
  <c r="BA559" i="1"/>
  <c r="DE559"/>
  <c r="AM537" i="3" s="1"/>
  <c r="BB559" i="1"/>
  <c r="DF559" s="1"/>
  <c r="BC559"/>
  <c r="BD559"/>
  <c r="DH559"/>
  <c r="BE559"/>
  <c r="BF559"/>
  <c r="DJ559" s="1"/>
  <c r="BG559"/>
  <c r="BH559"/>
  <c r="DL559"/>
  <c r="BI559"/>
  <c r="DM559"/>
  <c r="BJ559"/>
  <c r="DN559" s="1"/>
  <c r="BK559"/>
  <c r="BL559"/>
  <c r="DP559" s="1"/>
  <c r="CP559"/>
  <c r="CR559"/>
  <c r="CT559"/>
  <c r="CV559"/>
  <c r="CX559"/>
  <c r="CZ559"/>
  <c r="DA559"/>
  <c r="DB559"/>
  <c r="AJ537" i="3" s="1"/>
  <c r="DC559" i="1"/>
  <c r="AK537" i="3" s="1"/>
  <c r="DG559" i="1"/>
  <c r="DI559"/>
  <c r="DK559"/>
  <c r="DO559"/>
  <c r="EH559"/>
  <c r="F537" i="3" s="1"/>
  <c r="EK559" i="1"/>
  <c r="AL560"/>
  <c r="CP560" s="1"/>
  <c r="AM560"/>
  <c r="AN560"/>
  <c r="AO560"/>
  <c r="AP560"/>
  <c r="AQ560"/>
  <c r="AR560"/>
  <c r="AS560"/>
  <c r="AT560"/>
  <c r="AU560"/>
  <c r="AV560"/>
  <c r="BY560"/>
  <c r="AW560"/>
  <c r="AX560"/>
  <c r="AY560"/>
  <c r="AZ560"/>
  <c r="BA560"/>
  <c r="BB560"/>
  <c r="BC560"/>
  <c r="BD560"/>
  <c r="BE560"/>
  <c r="CH560"/>
  <c r="BF560"/>
  <c r="BG560"/>
  <c r="BH560"/>
  <c r="BI560"/>
  <c r="BJ560"/>
  <c r="BK560"/>
  <c r="BL560"/>
  <c r="BS560"/>
  <c r="BR560" s="1"/>
  <c r="EH560"/>
  <c r="EK560"/>
  <c r="AL561"/>
  <c r="CP561" s="1"/>
  <c r="AM561"/>
  <c r="AN561"/>
  <c r="AO561"/>
  <c r="AP561"/>
  <c r="CT561" s="1"/>
  <c r="AQ561"/>
  <c r="AR561"/>
  <c r="CV561" s="1"/>
  <c r="AS561"/>
  <c r="AT561"/>
  <c r="CX561" s="1"/>
  <c r="AU561"/>
  <c r="AV561"/>
  <c r="CZ561" s="1"/>
  <c r="AW561"/>
  <c r="AX561"/>
  <c r="DB561" s="1"/>
  <c r="AY561"/>
  <c r="AZ561"/>
  <c r="DD561" s="1"/>
  <c r="BA561"/>
  <c r="BB561"/>
  <c r="DF561" s="1"/>
  <c r="BC561"/>
  <c r="BD561"/>
  <c r="DH561" s="1"/>
  <c r="BE561"/>
  <c r="BF561"/>
  <c r="DJ561" s="1"/>
  <c r="BG561"/>
  <c r="BH561"/>
  <c r="BI561"/>
  <c r="EH561"/>
  <c r="BJ561"/>
  <c r="DN561"/>
  <c r="BK561"/>
  <c r="BL561"/>
  <c r="DP561" s="1"/>
  <c r="CS561"/>
  <c r="CU561"/>
  <c r="CW561"/>
  <c r="CY561"/>
  <c r="DA561"/>
  <c r="DC561"/>
  <c r="DE561"/>
  <c r="DG561"/>
  <c r="DI561"/>
  <c r="DL561"/>
  <c r="EK561"/>
  <c r="AL562"/>
  <c r="CP562"/>
  <c r="CQ562" s="1"/>
  <c r="CR562" s="1"/>
  <c r="AM562"/>
  <c r="AN562"/>
  <c r="AO562"/>
  <c r="AP562"/>
  <c r="BS562" s="1"/>
  <c r="BR562" s="1"/>
  <c r="AQ562"/>
  <c r="AR562"/>
  <c r="CV562" s="1"/>
  <c r="AS562"/>
  <c r="AT562"/>
  <c r="CX562" s="1"/>
  <c r="AU562"/>
  <c r="AV562"/>
  <c r="CZ562" s="1"/>
  <c r="AW562"/>
  <c r="AX562"/>
  <c r="AX903" s="1"/>
  <c r="AY562"/>
  <c r="AZ562"/>
  <c r="BA562"/>
  <c r="BB562"/>
  <c r="BC562"/>
  <c r="BC903" s="1"/>
  <c r="BD562"/>
  <c r="BE562"/>
  <c r="BE903" s="1"/>
  <c r="BF562"/>
  <c r="BG562"/>
  <c r="BG903" s="1"/>
  <c r="BH562"/>
  <c r="BI562"/>
  <c r="DM562" s="1"/>
  <c r="BJ562"/>
  <c r="EH562" s="1"/>
  <c r="BK562"/>
  <c r="DO562" s="1"/>
  <c r="BL562"/>
  <c r="CS562"/>
  <c r="CU562"/>
  <c r="CW562"/>
  <c r="CY562"/>
  <c r="DA562"/>
  <c r="DC562"/>
  <c r="DD562"/>
  <c r="DE562"/>
  <c r="DF562"/>
  <c r="DG562"/>
  <c r="DH562"/>
  <c r="DI562"/>
  <c r="DJ562"/>
  <c r="DK562"/>
  <c r="DN562"/>
  <c r="DP562"/>
  <c r="EK562"/>
  <c r="EQ562"/>
  <c r="ER562"/>
  <c r="ES562"/>
  <c r="AL563"/>
  <c r="AM563"/>
  <c r="AN563"/>
  <c r="AO563"/>
  <c r="CS563"/>
  <c r="AP563"/>
  <c r="AQ563"/>
  <c r="CU563" s="1"/>
  <c r="AR563"/>
  <c r="AS563"/>
  <c r="AT563"/>
  <c r="CX563" s="1"/>
  <c r="AU563"/>
  <c r="CY563"/>
  <c r="AV563"/>
  <c r="CZ563"/>
  <c r="AW563"/>
  <c r="DA563"/>
  <c r="AX563"/>
  <c r="AY563"/>
  <c r="DC563" s="1"/>
  <c r="AZ563"/>
  <c r="DD563" s="1"/>
  <c r="BA563"/>
  <c r="DE563"/>
  <c r="BB563"/>
  <c r="BC563"/>
  <c r="DG563" s="1"/>
  <c r="BD563"/>
  <c r="DH563" s="1"/>
  <c r="BE563"/>
  <c r="DI563" s="1"/>
  <c r="BF563"/>
  <c r="DJ563" s="1"/>
  <c r="BG563"/>
  <c r="DK563"/>
  <c r="BH563"/>
  <c r="BI563"/>
  <c r="DM563" s="1"/>
  <c r="EJ563"/>
  <c r="BJ563"/>
  <c r="BK563"/>
  <c r="BL563"/>
  <c r="BP563"/>
  <c r="BN563" s="1"/>
  <c r="CB563"/>
  <c r="BZ563" s="1"/>
  <c r="CH563"/>
  <c r="CG563" s="1"/>
  <c r="CP563"/>
  <c r="CQ563" s="1"/>
  <c r="CR563" s="1"/>
  <c r="CT563"/>
  <c r="CV563"/>
  <c r="DB563"/>
  <c r="DF563"/>
  <c r="DL563"/>
  <c r="DN563"/>
  <c r="DP563"/>
  <c r="EH563"/>
  <c r="EK563"/>
  <c r="EQ563"/>
  <c r="ER563"/>
  <c r="ES563"/>
  <c r="AL564"/>
  <c r="AL577" s="1"/>
  <c r="BN577" s="1"/>
  <c r="AM564"/>
  <c r="AN564"/>
  <c r="AO564"/>
  <c r="AP564"/>
  <c r="AQ564"/>
  <c r="AR564"/>
  <c r="AS564"/>
  <c r="AT564"/>
  <c r="AU564"/>
  <c r="AV564"/>
  <c r="CB564"/>
  <c r="CA564"/>
  <c r="CE564"/>
  <c r="CD564"/>
  <c r="CH564"/>
  <c r="CF564"/>
  <c r="CK564"/>
  <c r="CJ564"/>
  <c r="CN564"/>
  <c r="CL564"/>
  <c r="CP564"/>
  <c r="CQ564"/>
  <c r="CR564" s="1"/>
  <c r="CS564" s="1"/>
  <c r="CT564" s="1"/>
  <c r="CU564" s="1"/>
  <c r="CV564" s="1"/>
  <c r="CW564" s="1"/>
  <c r="CX564" s="1"/>
  <c r="CY564" s="1"/>
  <c r="CZ564" s="1"/>
  <c r="DA564" s="1"/>
  <c r="DB564"/>
  <c r="DC564"/>
  <c r="DD564" s="1"/>
  <c r="DE564" s="1"/>
  <c r="DF564" s="1"/>
  <c r="DG564" s="1"/>
  <c r="DH564" s="1"/>
  <c r="DI564" s="1"/>
  <c r="DJ564" s="1"/>
  <c r="DN564"/>
  <c r="DO564" s="1"/>
  <c r="EH564"/>
  <c r="EK564"/>
  <c r="AL565"/>
  <c r="AM565"/>
  <c r="AM577" s="1"/>
  <c r="AN565"/>
  <c r="AO565"/>
  <c r="AO577" s="1"/>
  <c r="BQ577" s="1"/>
  <c r="AP565"/>
  <c r="AQ565"/>
  <c r="AQ577" s="1"/>
  <c r="AR565"/>
  <c r="AS565"/>
  <c r="AS577" s="1"/>
  <c r="AT565"/>
  <c r="AU565"/>
  <c r="AU577" s="1"/>
  <c r="BW577" s="1"/>
  <c r="BX577" s="1"/>
  <c r="AV565"/>
  <c r="AW565"/>
  <c r="AW577" s="1"/>
  <c r="AX565"/>
  <c r="AY565"/>
  <c r="AZ565"/>
  <c r="CB565" s="1"/>
  <c r="BA565"/>
  <c r="BB565"/>
  <c r="BB577" s="1"/>
  <c r="BC565"/>
  <c r="CE565"/>
  <c r="BD565"/>
  <c r="BE565"/>
  <c r="BE577" s="1"/>
  <c r="BF565"/>
  <c r="BF577" s="1"/>
  <c r="BG565"/>
  <c r="CK565" s="1"/>
  <c r="BH565"/>
  <c r="BI565"/>
  <c r="BJ565"/>
  <c r="BK565"/>
  <c r="BL565"/>
  <c r="CP565"/>
  <c r="EK565"/>
  <c r="AL566"/>
  <c r="AM566"/>
  <c r="AN566"/>
  <c r="AO566"/>
  <c r="AP566"/>
  <c r="AQ566"/>
  <c r="AR566"/>
  <c r="AS566"/>
  <c r="AT566"/>
  <c r="AU566"/>
  <c r="AV566"/>
  <c r="AW566"/>
  <c r="AX566"/>
  <c r="AY566"/>
  <c r="AZ566"/>
  <c r="BA566"/>
  <c r="BB566"/>
  <c r="CE566"/>
  <c r="BC566"/>
  <c r="BD566"/>
  <c r="BE566"/>
  <c r="BF566"/>
  <c r="BG566"/>
  <c r="BH566"/>
  <c r="BI566"/>
  <c r="EH566"/>
  <c r="BJ566"/>
  <c r="DN566" s="1"/>
  <c r="BK566"/>
  <c r="BL566"/>
  <c r="BV566"/>
  <c r="BU566" s="1"/>
  <c r="CN566"/>
  <c r="CM566" s="1"/>
  <c r="DB566"/>
  <c r="DC566"/>
  <c r="DD566" s="1"/>
  <c r="EK566"/>
  <c r="AL567"/>
  <c r="CP567" s="1"/>
  <c r="AM567"/>
  <c r="AN567"/>
  <c r="AO567"/>
  <c r="AP567"/>
  <c r="AQ567"/>
  <c r="AR567"/>
  <c r="AS567"/>
  <c r="AT567"/>
  <c r="BV567" s="1"/>
  <c r="AU567"/>
  <c r="AV567"/>
  <c r="AW567"/>
  <c r="AX567"/>
  <c r="DB567" s="1"/>
  <c r="AY567"/>
  <c r="AZ567"/>
  <c r="BA567"/>
  <c r="BB567"/>
  <c r="BC567"/>
  <c r="BD567"/>
  <c r="BE567"/>
  <c r="BF567"/>
  <c r="BG567"/>
  <c r="BH567"/>
  <c r="BI567"/>
  <c r="BJ567"/>
  <c r="BK567"/>
  <c r="BL567"/>
  <c r="EK567"/>
  <c r="AL568"/>
  <c r="AM568"/>
  <c r="AN568"/>
  <c r="AO568"/>
  <c r="AP568"/>
  <c r="AQ568"/>
  <c r="AR568"/>
  <c r="AS568"/>
  <c r="AT568"/>
  <c r="AU568"/>
  <c r="AV568"/>
  <c r="AW568"/>
  <c r="AX568"/>
  <c r="DB568"/>
  <c r="AY568"/>
  <c r="AZ568"/>
  <c r="BA568"/>
  <c r="BB568"/>
  <c r="BC568"/>
  <c r="BD568"/>
  <c r="BE568"/>
  <c r="BF568"/>
  <c r="BG568"/>
  <c r="BH568"/>
  <c r="BI568"/>
  <c r="EH568"/>
  <c r="BJ568"/>
  <c r="DN568"/>
  <c r="BK568"/>
  <c r="BL568"/>
  <c r="CP568"/>
  <c r="EK568"/>
  <c r="AL569"/>
  <c r="AM569"/>
  <c r="AN569"/>
  <c r="AO569"/>
  <c r="BS569" s="1"/>
  <c r="AP569"/>
  <c r="AQ569"/>
  <c r="AR569"/>
  <c r="AS569"/>
  <c r="AT569"/>
  <c r="AU569"/>
  <c r="AV569"/>
  <c r="AW569"/>
  <c r="AX569"/>
  <c r="AY569"/>
  <c r="AZ569"/>
  <c r="BA569"/>
  <c r="BB569"/>
  <c r="BC569"/>
  <c r="BD569"/>
  <c r="BE569"/>
  <c r="BF569"/>
  <c r="BG569"/>
  <c r="BH569"/>
  <c r="BI569"/>
  <c r="BJ569"/>
  <c r="DN569" s="1"/>
  <c r="BK569"/>
  <c r="BL569"/>
  <c r="EK569"/>
  <c r="AL570"/>
  <c r="CP570" s="1"/>
  <c r="AM570"/>
  <c r="AN570"/>
  <c r="AO570"/>
  <c r="AP570"/>
  <c r="AQ570"/>
  <c r="AR570"/>
  <c r="AS570"/>
  <c r="AT570"/>
  <c r="AU570"/>
  <c r="AV570"/>
  <c r="AW570"/>
  <c r="BY570" s="1"/>
  <c r="AX570"/>
  <c r="DB570"/>
  <c r="DC570" s="1"/>
  <c r="AY570"/>
  <c r="AZ570"/>
  <c r="BA570"/>
  <c r="BB570"/>
  <c r="BC570"/>
  <c r="BD570"/>
  <c r="BE570"/>
  <c r="BF570"/>
  <c r="BG570"/>
  <c r="BH570"/>
  <c r="BI570"/>
  <c r="BJ570"/>
  <c r="EH570" s="1"/>
  <c r="BK570"/>
  <c r="BL570"/>
  <c r="EK570"/>
  <c r="AL571"/>
  <c r="AM571"/>
  <c r="AN571"/>
  <c r="AO571"/>
  <c r="AP571"/>
  <c r="BV571"/>
  <c r="BT571"/>
  <c r="BY571"/>
  <c r="BX571"/>
  <c r="CH571"/>
  <c r="CG571"/>
  <c r="CK571"/>
  <c r="CJ571"/>
  <c r="CN571"/>
  <c r="CM571"/>
  <c r="DB571"/>
  <c r="DC571"/>
  <c r="DD571" s="1"/>
  <c r="DE571" s="1"/>
  <c r="DF571" s="1"/>
  <c r="DG571" s="1"/>
  <c r="DH571" s="1"/>
  <c r="DI571" s="1"/>
  <c r="DJ571" s="1"/>
  <c r="DK571" s="1"/>
  <c r="DL571" s="1"/>
  <c r="DM571" s="1"/>
  <c r="DN571"/>
  <c r="DO571"/>
  <c r="DP571" s="1"/>
  <c r="EH571"/>
  <c r="EK571"/>
  <c r="EQ571"/>
  <c r="AL572"/>
  <c r="AM572"/>
  <c r="AN572"/>
  <c r="BP572" s="1"/>
  <c r="AO572"/>
  <c r="AP572"/>
  <c r="AQ572"/>
  <c r="AR572"/>
  <c r="BV572" s="1"/>
  <c r="AS572"/>
  <c r="AT572"/>
  <c r="AU572"/>
  <c r="AV572"/>
  <c r="AW572"/>
  <c r="AX572"/>
  <c r="AY572"/>
  <c r="AZ572"/>
  <c r="CB572" s="1"/>
  <c r="BA572"/>
  <c r="BB572"/>
  <c r="BC572"/>
  <c r="BD572"/>
  <c r="CH572" s="1"/>
  <c r="BE572"/>
  <c r="BF572"/>
  <c r="BG572"/>
  <c r="BH572"/>
  <c r="BI572"/>
  <c r="BJ572"/>
  <c r="BK572"/>
  <c r="BL572"/>
  <c r="EQ572"/>
  <c r="ER572"/>
  <c r="AL573"/>
  <c r="AQ573"/>
  <c r="AR573"/>
  <c r="AS573"/>
  <c r="AT573"/>
  <c r="AU573"/>
  <c r="AV573"/>
  <c r="AW573"/>
  <c r="AX573"/>
  <c r="AY573"/>
  <c r="AZ573"/>
  <c r="BA573"/>
  <c r="CP573"/>
  <c r="CQ573"/>
  <c r="CR573"/>
  <c r="CS573"/>
  <c r="CT573"/>
  <c r="CU573"/>
  <c r="CV573"/>
  <c r="CW573"/>
  <c r="CX573"/>
  <c r="CY573"/>
  <c r="CZ573"/>
  <c r="DA573"/>
  <c r="DB573"/>
  <c r="DC573"/>
  <c r="DD573"/>
  <c r="DE573"/>
  <c r="DF573"/>
  <c r="DG573"/>
  <c r="DH573"/>
  <c r="DI573"/>
  <c r="DJ573"/>
  <c r="DK573"/>
  <c r="DL573"/>
  <c r="DM573"/>
  <c r="DN573"/>
  <c r="EJ573" s="1"/>
  <c r="DO573"/>
  <c r="DP573"/>
  <c r="EK573"/>
  <c r="K574"/>
  <c r="M574"/>
  <c r="CS574" s="1"/>
  <c r="CS593" s="1"/>
  <c r="R574"/>
  <c r="AT574"/>
  <c r="AL574"/>
  <c r="AQ574"/>
  <c r="AR574"/>
  <c r="AS574"/>
  <c r="AU574"/>
  <c r="AV574"/>
  <c r="AW574"/>
  <c r="AX574"/>
  <c r="AY574"/>
  <c r="AZ574"/>
  <c r="BA574"/>
  <c r="CP574"/>
  <c r="CQ574"/>
  <c r="CR574"/>
  <c r="CT574"/>
  <c r="CU574"/>
  <c r="CV574"/>
  <c r="CW574"/>
  <c r="CX574"/>
  <c r="CY574"/>
  <c r="CZ574"/>
  <c r="DA574"/>
  <c r="DB574"/>
  <c r="DC574"/>
  <c r="DD574"/>
  <c r="DE574"/>
  <c r="DF574"/>
  <c r="DG574"/>
  <c r="DH574"/>
  <c r="DI574"/>
  <c r="DJ574"/>
  <c r="DK574"/>
  <c r="DL574"/>
  <c r="DM574"/>
  <c r="DN574"/>
  <c r="EJ574" s="1"/>
  <c r="DO574"/>
  <c r="DP574"/>
  <c r="EK574"/>
  <c r="J575"/>
  <c r="J591" s="1"/>
  <c r="K575"/>
  <c r="L575"/>
  <c r="L589" s="1"/>
  <c r="M575"/>
  <c r="N575"/>
  <c r="AP575" s="1"/>
  <c r="O575"/>
  <c r="AQ575" s="1"/>
  <c r="P575"/>
  <c r="AR575" s="1"/>
  <c r="Q575"/>
  <c r="AS575" s="1"/>
  <c r="R575"/>
  <c r="R591" s="1"/>
  <c r="S575"/>
  <c r="AU575"/>
  <c r="T575"/>
  <c r="AV575"/>
  <c r="U575"/>
  <c r="AW575"/>
  <c r="BC575"/>
  <c r="AH575"/>
  <c r="BJ575" s="1"/>
  <c r="AI575"/>
  <c r="AJ575"/>
  <c r="BL575" s="1"/>
  <c r="AL575"/>
  <c r="BN575" s="1"/>
  <c r="BO575" s="1"/>
  <c r="AM575"/>
  <c r="AN575"/>
  <c r="AN591" s="1"/>
  <c r="AO575"/>
  <c r="BQ575" s="1"/>
  <c r="BQ589" s="1"/>
  <c r="AT575"/>
  <c r="AT591" s="1"/>
  <c r="AX575"/>
  <c r="AY575"/>
  <c r="AY589" s="1"/>
  <c r="AZ575"/>
  <c r="BA575"/>
  <c r="CC575" s="1"/>
  <c r="CD575" s="1"/>
  <c r="BB575"/>
  <c r="BD575"/>
  <c r="CF575"/>
  <c r="BE575"/>
  <c r="BF575"/>
  <c r="BG575"/>
  <c r="CI575"/>
  <c r="BH575"/>
  <c r="BH591"/>
  <c r="BI575"/>
  <c r="EH575"/>
  <c r="EK575"/>
  <c r="J576"/>
  <c r="AL576" s="1"/>
  <c r="K576"/>
  <c r="K589" s="1"/>
  <c r="L576"/>
  <c r="AN576" s="1"/>
  <c r="AN589" s="1"/>
  <c r="M576"/>
  <c r="N576"/>
  <c r="AP576" s="1"/>
  <c r="O576"/>
  <c r="O589"/>
  <c r="P576"/>
  <c r="AR576"/>
  <c r="Q576"/>
  <c r="R576"/>
  <c r="AT576" s="1"/>
  <c r="AT589" s="1"/>
  <c r="S576"/>
  <c r="T576"/>
  <c r="AV576" s="1"/>
  <c r="U576"/>
  <c r="V576"/>
  <c r="AX576"/>
  <c r="W576"/>
  <c r="W589"/>
  <c r="X576"/>
  <c r="AZ576"/>
  <c r="Y576"/>
  <c r="BA576"/>
  <c r="Z576"/>
  <c r="BB576"/>
  <c r="AA576"/>
  <c r="BC576"/>
  <c r="AB576"/>
  <c r="AC576"/>
  <c r="BE576" s="1"/>
  <c r="BE589" s="1"/>
  <c r="AD576"/>
  <c r="BF576"/>
  <c r="AE576"/>
  <c r="BG576"/>
  <c r="AF576"/>
  <c r="BH576"/>
  <c r="BH589" s="1"/>
  <c r="AG576"/>
  <c r="BI576" s="1"/>
  <c r="AH576"/>
  <c r="AI576"/>
  <c r="AJ576"/>
  <c r="AO576"/>
  <c r="AQ576"/>
  <c r="AS576"/>
  <c r="AU576"/>
  <c r="BW576" s="1"/>
  <c r="BX576" s="1"/>
  <c r="BY576" s="1"/>
  <c r="AW576"/>
  <c r="AY576"/>
  <c r="BD576"/>
  <c r="CF576" s="1"/>
  <c r="BJ576"/>
  <c r="DN576" s="1"/>
  <c r="BK576"/>
  <c r="BL576"/>
  <c r="BQ576"/>
  <c r="EK576"/>
  <c r="J577"/>
  <c r="K577"/>
  <c r="L577"/>
  <c r="M577"/>
  <c r="N577"/>
  <c r="O577"/>
  <c r="P577"/>
  <c r="Q577"/>
  <c r="R577"/>
  <c r="S577"/>
  <c r="T577"/>
  <c r="U577"/>
  <c r="V577"/>
  <c r="W577"/>
  <c r="X577"/>
  <c r="Y577"/>
  <c r="Z577"/>
  <c r="AA577"/>
  <c r="AB577"/>
  <c r="AC577"/>
  <c r="AD577"/>
  <c r="AE577"/>
  <c r="AF577"/>
  <c r="AH577"/>
  <c r="AI577"/>
  <c r="AJ577"/>
  <c r="AN577"/>
  <c r="AP577"/>
  <c r="AR577"/>
  <c r="AT577"/>
  <c r="AV577"/>
  <c r="AX577"/>
  <c r="BZ577" s="1"/>
  <c r="CA577" s="1"/>
  <c r="AY577"/>
  <c r="BA577"/>
  <c r="BC577"/>
  <c r="BD577"/>
  <c r="CF577"/>
  <c r="BG577"/>
  <c r="BH577"/>
  <c r="BI577"/>
  <c r="BJ577"/>
  <c r="CL577" s="1"/>
  <c r="CM577" s="1"/>
  <c r="BK577"/>
  <c r="BL577"/>
  <c r="BT577"/>
  <c r="BU577" s="1"/>
  <c r="BV577" s="1"/>
  <c r="CC577"/>
  <c r="CP577"/>
  <c r="CQ577"/>
  <c r="CQ565" s="1"/>
  <c r="DB577"/>
  <c r="DB565" s="1"/>
  <c r="DN577"/>
  <c r="DN565" s="1"/>
  <c r="EK577"/>
  <c r="E581"/>
  <c r="G581"/>
  <c r="J581"/>
  <c r="K581"/>
  <c r="L581"/>
  <c r="M581"/>
  <c r="N581"/>
  <c r="O581"/>
  <c r="P581"/>
  <c r="Q581"/>
  <c r="R581"/>
  <c r="S581"/>
  <c r="T581"/>
  <c r="U581"/>
  <c r="AH581"/>
  <c r="AI581"/>
  <c r="AJ581"/>
  <c r="AL581"/>
  <c r="AM581"/>
  <c r="AN581"/>
  <c r="AO581"/>
  <c r="AP581"/>
  <c r="AQ581"/>
  <c r="AR581"/>
  <c r="AS581"/>
  <c r="AT581"/>
  <c r="AU581"/>
  <c r="AV581"/>
  <c r="AW581"/>
  <c r="BJ581"/>
  <c r="BK581"/>
  <c r="BL581"/>
  <c r="E582"/>
  <c r="G582"/>
  <c r="J582"/>
  <c r="K582"/>
  <c r="L582"/>
  <c r="M582"/>
  <c r="N582"/>
  <c r="O582"/>
  <c r="P582"/>
  <c r="Q582"/>
  <c r="R582"/>
  <c r="S582"/>
  <c r="T582"/>
  <c r="U582"/>
  <c r="V582"/>
  <c r="W582"/>
  <c r="X582"/>
  <c r="AL582"/>
  <c r="AM582"/>
  <c r="AN582"/>
  <c r="AS582"/>
  <c r="AU582"/>
  <c r="AW582"/>
  <c r="AY582"/>
  <c r="CP582"/>
  <c r="E583"/>
  <c r="G583"/>
  <c r="I583"/>
  <c r="J583"/>
  <c r="K583"/>
  <c r="AH583"/>
  <c r="AI583"/>
  <c r="AJ583"/>
  <c r="AL583"/>
  <c r="BJ583"/>
  <c r="BK583"/>
  <c r="BL583"/>
  <c r="E584"/>
  <c r="G584"/>
  <c r="J584"/>
  <c r="K584"/>
  <c r="L584"/>
  <c r="M584"/>
  <c r="N584"/>
  <c r="O584"/>
  <c r="P584"/>
  <c r="Q584"/>
  <c r="R584"/>
  <c r="S584"/>
  <c r="T584"/>
  <c r="U584"/>
  <c r="V584"/>
  <c r="W584"/>
  <c r="AL584"/>
  <c r="AM584"/>
  <c r="AN584"/>
  <c r="AO584"/>
  <c r="AP584"/>
  <c r="AQ584"/>
  <c r="AR584"/>
  <c r="AS584"/>
  <c r="AT584"/>
  <c r="AU584"/>
  <c r="AV584"/>
  <c r="AW584"/>
  <c r="AX584"/>
  <c r="AY584"/>
  <c r="CP584"/>
  <c r="DB584"/>
  <c r="E585"/>
  <c r="G585"/>
  <c r="J585"/>
  <c r="K585"/>
  <c r="L585"/>
  <c r="M585"/>
  <c r="N585"/>
  <c r="O585"/>
  <c r="P585"/>
  <c r="Q585"/>
  <c r="R585"/>
  <c r="S585"/>
  <c r="T585"/>
  <c r="U585"/>
  <c r="V585"/>
  <c r="W585"/>
  <c r="AH585"/>
  <c r="AI585"/>
  <c r="AJ585"/>
  <c r="AL585"/>
  <c r="AO585"/>
  <c r="AX585"/>
  <c r="AY585"/>
  <c r="BJ585"/>
  <c r="BK585"/>
  <c r="BL585"/>
  <c r="CP585"/>
  <c r="E586"/>
  <c r="G586"/>
  <c r="J586"/>
  <c r="K586"/>
  <c r="L586"/>
  <c r="M586"/>
  <c r="N586"/>
  <c r="O586"/>
  <c r="P586"/>
  <c r="Q586"/>
  <c r="R586"/>
  <c r="S586"/>
  <c r="T586"/>
  <c r="U586"/>
  <c r="V586"/>
  <c r="W586"/>
  <c r="X586"/>
  <c r="Y586"/>
  <c r="Z586"/>
  <c r="AA586"/>
  <c r="AG586"/>
  <c r="AH586"/>
  <c r="AI586"/>
  <c r="AJ586"/>
  <c r="CP586"/>
  <c r="CQ586"/>
  <c r="CR586"/>
  <c r="CS586"/>
  <c r="CT586"/>
  <c r="CU586"/>
  <c r="CV586"/>
  <c r="CW586"/>
  <c r="CX586"/>
  <c r="CY586"/>
  <c r="CZ586"/>
  <c r="DA586"/>
  <c r="DB586"/>
  <c r="DC586"/>
  <c r="DD586"/>
  <c r="DF586"/>
  <c r="DM586"/>
  <c r="DN586"/>
  <c r="DO586"/>
  <c r="DP586"/>
  <c r="E588"/>
  <c r="G588"/>
  <c r="J588"/>
  <c r="K588"/>
  <c r="L588"/>
  <c r="M588"/>
  <c r="N588"/>
  <c r="O588"/>
  <c r="P588"/>
  <c r="Q588"/>
  <c r="R588"/>
  <c r="S588"/>
  <c r="T588"/>
  <c r="U588"/>
  <c r="V588"/>
  <c r="W588"/>
  <c r="X588"/>
  <c r="Y588"/>
  <c r="Z588"/>
  <c r="AA588"/>
  <c r="AB588"/>
  <c r="AC588"/>
  <c r="AD588"/>
  <c r="AE588"/>
  <c r="AF588"/>
  <c r="AG588"/>
  <c r="AH588"/>
  <c r="AI588"/>
  <c r="AJ588"/>
  <c r="AL588"/>
  <c r="AM588"/>
  <c r="AN588"/>
  <c r="AO588"/>
  <c r="AP588"/>
  <c r="AQ588"/>
  <c r="AR588"/>
  <c r="AS588"/>
  <c r="AT588"/>
  <c r="AU588"/>
  <c r="AV588"/>
  <c r="AW588"/>
  <c r="AX588"/>
  <c r="AY588"/>
  <c r="AZ588"/>
  <c r="BA588"/>
  <c r="BB588"/>
  <c r="BC588"/>
  <c r="BD588"/>
  <c r="BF588"/>
  <c r="BG588"/>
  <c r="BH588"/>
  <c r="BI588"/>
  <c r="BJ588"/>
  <c r="BK588"/>
  <c r="BL588"/>
  <c r="E589"/>
  <c r="G589"/>
  <c r="J589"/>
  <c r="M589"/>
  <c r="P589"/>
  <c r="R589"/>
  <c r="V589"/>
  <c r="X589"/>
  <c r="Z589"/>
  <c r="AB589"/>
  <c r="AD589"/>
  <c r="AE589"/>
  <c r="AF589"/>
  <c r="AH589"/>
  <c r="AO589"/>
  <c r="BD589"/>
  <c r="E590"/>
  <c r="G590"/>
  <c r="I590"/>
  <c r="J590"/>
  <c r="K590"/>
  <c r="L590"/>
  <c r="M590"/>
  <c r="N590"/>
  <c r="O590"/>
  <c r="P590"/>
  <c r="Q590"/>
  <c r="R590"/>
  <c r="S590"/>
  <c r="T590"/>
  <c r="U590"/>
  <c r="V590"/>
  <c r="W590"/>
  <c r="X590"/>
  <c r="Y590"/>
  <c r="Z590"/>
  <c r="AA590"/>
  <c r="AB590"/>
  <c r="AC590"/>
  <c r="AD590"/>
  <c r="AE590"/>
  <c r="AF590"/>
  <c r="AG590"/>
  <c r="AH590"/>
  <c r="AI590"/>
  <c r="AJ590"/>
  <c r="AL590"/>
  <c r="AM590"/>
  <c r="AN590"/>
  <c r="AO590"/>
  <c r="AP590"/>
  <c r="AQ590"/>
  <c r="AR590"/>
  <c r="AS590"/>
  <c r="AT590"/>
  <c r="AU590"/>
  <c r="AV590"/>
  <c r="AW590"/>
  <c r="AX590"/>
  <c r="AY590"/>
  <c r="AZ590"/>
  <c r="BA590"/>
  <c r="BB590"/>
  <c r="BC590"/>
  <c r="BD590"/>
  <c r="BF590"/>
  <c r="BG590"/>
  <c r="BH590"/>
  <c r="BI590"/>
  <c r="BJ590"/>
  <c r="BK590"/>
  <c r="BL590"/>
  <c r="E591"/>
  <c r="G591"/>
  <c r="K591"/>
  <c r="M591"/>
  <c r="O591"/>
  <c r="Q591"/>
  <c r="T591"/>
  <c r="V591"/>
  <c r="W591"/>
  <c r="X591"/>
  <c r="Y591"/>
  <c r="Z591"/>
  <c r="AA591"/>
  <c r="AB591"/>
  <c r="AC591"/>
  <c r="AD591"/>
  <c r="AE591"/>
  <c r="AF591"/>
  <c r="AG591"/>
  <c r="AJ591"/>
  <c r="AM591"/>
  <c r="AO591"/>
  <c r="AX591"/>
  <c r="AZ591"/>
  <c r="BB591"/>
  <c r="BE591"/>
  <c r="BG591"/>
  <c r="BI591"/>
  <c r="E592"/>
  <c r="G592"/>
  <c r="J592"/>
  <c r="K592"/>
  <c r="L592"/>
  <c r="M592"/>
  <c r="N592"/>
  <c r="O592"/>
  <c r="P592"/>
  <c r="Q592"/>
  <c r="R592"/>
  <c r="S592"/>
  <c r="T592"/>
  <c r="U592"/>
  <c r="V592"/>
  <c r="W592"/>
  <c r="X592"/>
  <c r="Y592"/>
  <c r="Z592"/>
  <c r="AA592"/>
  <c r="AB592"/>
  <c r="AC592"/>
  <c r="AD592"/>
  <c r="AE592"/>
  <c r="AF592"/>
  <c r="AG592"/>
  <c r="AH592"/>
  <c r="AI592"/>
  <c r="AJ592"/>
  <c r="AL592"/>
  <c r="AM592"/>
  <c r="AN592"/>
  <c r="AO592"/>
  <c r="AP592"/>
  <c r="AQ592"/>
  <c r="AR592"/>
  <c r="AS592"/>
  <c r="AT592"/>
  <c r="AU592"/>
  <c r="AV592"/>
  <c r="AW592"/>
  <c r="AX592"/>
  <c r="AY592"/>
  <c r="AZ592"/>
  <c r="BA592"/>
  <c r="BB592"/>
  <c r="BC592"/>
  <c r="BD592"/>
  <c r="BE592"/>
  <c r="BF592"/>
  <c r="BG592"/>
  <c r="BH592"/>
  <c r="BI592"/>
  <c r="BJ592"/>
  <c r="BK592"/>
  <c r="BL592"/>
  <c r="E593"/>
  <c r="G593"/>
  <c r="J593"/>
  <c r="K593"/>
  <c r="L593"/>
  <c r="M593"/>
  <c r="N593"/>
  <c r="O593"/>
  <c r="P593"/>
  <c r="Q593"/>
  <c r="R593"/>
  <c r="S593"/>
  <c r="T593"/>
  <c r="U593"/>
  <c r="V593"/>
  <c r="W593"/>
  <c r="X593"/>
  <c r="Y593"/>
  <c r="Z593"/>
  <c r="AA593"/>
  <c r="AB593"/>
  <c r="AC593"/>
  <c r="AD593"/>
  <c r="AE593"/>
  <c r="AF593"/>
  <c r="AG593"/>
  <c r="AH593"/>
  <c r="AI593"/>
  <c r="AJ593"/>
  <c r="CP593"/>
  <c r="CQ593"/>
  <c r="CR593"/>
  <c r="CT593"/>
  <c r="CU593"/>
  <c r="CV593"/>
  <c r="CW593"/>
  <c r="CX593"/>
  <c r="CY593"/>
  <c r="CZ593"/>
  <c r="DA593"/>
  <c r="DB593"/>
  <c r="DC593"/>
  <c r="DD593"/>
  <c r="DE593"/>
  <c r="DF593"/>
  <c r="DG593"/>
  <c r="DH593"/>
  <c r="DI593"/>
  <c r="DJ593"/>
  <c r="DK593"/>
  <c r="DL593"/>
  <c r="DM593"/>
  <c r="DN593"/>
  <c r="DO593"/>
  <c r="DP593"/>
  <c r="I595"/>
  <c r="E595" s="1"/>
  <c r="AL598"/>
  <c r="AM598"/>
  <c r="AN598"/>
  <c r="BP598"/>
  <c r="BN598" s="1"/>
  <c r="AO598"/>
  <c r="CS598" s="1"/>
  <c r="AP598"/>
  <c r="CT598" s="1"/>
  <c r="AQ598"/>
  <c r="BS598"/>
  <c r="AR598"/>
  <c r="AS598"/>
  <c r="CW598" s="1"/>
  <c r="AT598"/>
  <c r="CX598" s="1"/>
  <c r="AU598"/>
  <c r="CY598"/>
  <c r="AV598"/>
  <c r="CZ598"/>
  <c r="AW598"/>
  <c r="DA598"/>
  <c r="AX598"/>
  <c r="AY598"/>
  <c r="CB598" s="1"/>
  <c r="AZ598"/>
  <c r="BA598"/>
  <c r="DE598" s="1"/>
  <c r="BB598"/>
  <c r="DF598" s="1"/>
  <c r="BC598"/>
  <c r="CP598"/>
  <c r="CV598"/>
  <c r="DB598"/>
  <c r="DD598"/>
  <c r="EA598"/>
  <c r="DZ598"/>
  <c r="AL599"/>
  <c r="CP599"/>
  <c r="AM599"/>
  <c r="AN599"/>
  <c r="CR599" s="1"/>
  <c r="AO599"/>
  <c r="BS599" s="1"/>
  <c r="AP599"/>
  <c r="CT599"/>
  <c r="AQ599"/>
  <c r="CU599"/>
  <c r="AR599"/>
  <c r="CV599"/>
  <c r="AS599"/>
  <c r="AT599"/>
  <c r="CX599" s="1"/>
  <c r="AU599"/>
  <c r="AV599"/>
  <c r="CZ599"/>
  <c r="AW599"/>
  <c r="AX599"/>
  <c r="DB599" s="1"/>
  <c r="AY599"/>
  <c r="DC599" s="1"/>
  <c r="AZ599"/>
  <c r="DD599" s="1"/>
  <c r="BA599"/>
  <c r="CQ599"/>
  <c r="CS599"/>
  <c r="CW599"/>
  <c r="CY599"/>
  <c r="DA599"/>
  <c r="DE599"/>
  <c r="DZ599"/>
  <c r="AL600"/>
  <c r="CP600" s="1"/>
  <c r="AM600"/>
  <c r="AN600"/>
  <c r="CR600"/>
  <c r="AO600"/>
  <c r="AP600"/>
  <c r="CT600" s="1"/>
  <c r="AQ600"/>
  <c r="AR600"/>
  <c r="CV600"/>
  <c r="AS600"/>
  <c r="AT600"/>
  <c r="CX600" s="1"/>
  <c r="AU600"/>
  <c r="AV600"/>
  <c r="CZ600"/>
  <c r="AW600"/>
  <c r="AX600"/>
  <c r="AY600"/>
  <c r="AZ600"/>
  <c r="DD600" s="1"/>
  <c r="EA600" s="1"/>
  <c r="BA600"/>
  <c r="BB600"/>
  <c r="DF600" s="1"/>
  <c r="CQ600"/>
  <c r="CS600"/>
  <c r="CU600"/>
  <c r="CW600"/>
  <c r="CY600"/>
  <c r="DA600"/>
  <c r="DC600"/>
  <c r="DE600"/>
  <c r="DZ600"/>
  <c r="AL601"/>
  <c r="CP601"/>
  <c r="AM601"/>
  <c r="AN601"/>
  <c r="AO601"/>
  <c r="CS601"/>
  <c r="AP601"/>
  <c r="AQ601"/>
  <c r="AR601"/>
  <c r="CV601"/>
  <c r="AS601"/>
  <c r="CW601"/>
  <c r="AT601"/>
  <c r="CX601"/>
  <c r="AU601"/>
  <c r="AV601"/>
  <c r="BY601" s="1"/>
  <c r="AW601"/>
  <c r="AX601"/>
  <c r="DB601" s="1"/>
  <c r="AY601"/>
  <c r="DC601" s="1"/>
  <c r="AZ601"/>
  <c r="BA601"/>
  <c r="BB601"/>
  <c r="DF601"/>
  <c r="CQ601"/>
  <c r="CU601"/>
  <c r="CY601"/>
  <c r="DA601"/>
  <c r="DE601"/>
  <c r="DZ601"/>
  <c r="AL602"/>
  <c r="AM602"/>
  <c r="BP602"/>
  <c r="AN602"/>
  <c r="AO602"/>
  <c r="CS602" s="1"/>
  <c r="AP602"/>
  <c r="CT602" s="1"/>
  <c r="AQ602"/>
  <c r="CU602" s="1"/>
  <c r="AR602"/>
  <c r="AS602"/>
  <c r="CW602"/>
  <c r="AT602"/>
  <c r="AU602"/>
  <c r="AV602"/>
  <c r="CZ602"/>
  <c r="AW602"/>
  <c r="DA602"/>
  <c r="AX602"/>
  <c r="AY602"/>
  <c r="DC602" s="1"/>
  <c r="AZ602"/>
  <c r="DD602" s="1"/>
  <c r="BA602"/>
  <c r="DE602"/>
  <c r="BB602"/>
  <c r="BS602"/>
  <c r="BQ602" s="1"/>
  <c r="CP602"/>
  <c r="CR602"/>
  <c r="CV602"/>
  <c r="CX602"/>
  <c r="DB602"/>
  <c r="DF602"/>
  <c r="DZ602"/>
  <c r="AL603"/>
  <c r="AM603"/>
  <c r="AN603"/>
  <c r="AO603"/>
  <c r="AP603"/>
  <c r="AQ603"/>
  <c r="AR603"/>
  <c r="AS603"/>
  <c r="AT603"/>
  <c r="AU603"/>
  <c r="AV603"/>
  <c r="AW603"/>
  <c r="AX603"/>
  <c r="AY603"/>
  <c r="AZ603"/>
  <c r="BJ603"/>
  <c r="CP603"/>
  <c r="DB603"/>
  <c r="DC603" s="1"/>
  <c r="AL604"/>
  <c r="AM604"/>
  <c r="AN604"/>
  <c r="CR604" s="1"/>
  <c r="AO604"/>
  <c r="CS604" s="1"/>
  <c r="AP604"/>
  <c r="CT604" s="1"/>
  <c r="AQ604"/>
  <c r="CU604" s="1"/>
  <c r="AR604"/>
  <c r="AS604"/>
  <c r="AT604"/>
  <c r="AU604"/>
  <c r="CY604" s="1"/>
  <c r="AV604"/>
  <c r="CZ604"/>
  <c r="AW604"/>
  <c r="DA604"/>
  <c r="EA604" s="1"/>
  <c r="AX604"/>
  <c r="DB604" s="1"/>
  <c r="DB647" s="1"/>
  <c r="AY604"/>
  <c r="BJ604"/>
  <c r="DN604" s="1"/>
  <c r="DO604"/>
  <c r="DP604"/>
  <c r="BS604"/>
  <c r="BQ604" s="1"/>
  <c r="CQ604"/>
  <c r="CW604"/>
  <c r="DC604"/>
  <c r="K605"/>
  <c r="L605"/>
  <c r="AL605"/>
  <c r="AX605"/>
  <c r="AY605" s="1"/>
  <c r="CP605"/>
  <c r="DN605"/>
  <c r="DO605"/>
  <c r="DP605" s="1"/>
  <c r="V606"/>
  <c r="AX606" s="1"/>
  <c r="W606"/>
  <c r="W619" s="1"/>
  <c r="X606"/>
  <c r="CB606" s="1"/>
  <c r="Y606"/>
  <c r="CC606" s="1"/>
  <c r="Z606"/>
  <c r="CD606" s="1"/>
  <c r="BB606"/>
  <c r="AA606"/>
  <c r="CE606" s="1"/>
  <c r="AB606"/>
  <c r="CF606" s="1"/>
  <c r="AC606"/>
  <c r="CG606" s="1"/>
  <c r="AD606"/>
  <c r="CH606" s="1"/>
  <c r="AE606"/>
  <c r="CI606" s="1"/>
  <c r="BG606"/>
  <c r="AF606"/>
  <c r="CJ606" s="1"/>
  <c r="AL606"/>
  <c r="AL619" s="1"/>
  <c r="BN619" s="1"/>
  <c r="AM606"/>
  <c r="AN606"/>
  <c r="AO606"/>
  <c r="AP606"/>
  <c r="AQ606"/>
  <c r="AR606"/>
  <c r="AS606"/>
  <c r="AT606"/>
  <c r="AU606"/>
  <c r="AV606"/>
  <c r="AW606"/>
  <c r="AY606"/>
  <c r="BC606"/>
  <c r="BI606"/>
  <c r="BJ606"/>
  <c r="EE606" s="1"/>
  <c r="BL619"/>
  <c r="AL607"/>
  <c r="CP607"/>
  <c r="AM607"/>
  <c r="AN607"/>
  <c r="AO607"/>
  <c r="AP607"/>
  <c r="AQ607"/>
  <c r="AR607"/>
  <c r="BV607" s="1"/>
  <c r="AS607"/>
  <c r="AT607"/>
  <c r="AU607"/>
  <c r="AV607"/>
  <c r="AW607"/>
  <c r="BJ607"/>
  <c r="DN607"/>
  <c r="BK607"/>
  <c r="BL607"/>
  <c r="EE607"/>
  <c r="AL608"/>
  <c r="AM608"/>
  <c r="AN608"/>
  <c r="AO608"/>
  <c r="AP608"/>
  <c r="AQ608"/>
  <c r="AR608"/>
  <c r="AS608"/>
  <c r="AT608"/>
  <c r="AU608"/>
  <c r="AV608"/>
  <c r="AW608"/>
  <c r="BJ608"/>
  <c r="J609"/>
  <c r="K609"/>
  <c r="L609"/>
  <c r="AO609" s="1"/>
  <c r="AO651" s="1"/>
  <c r="M609"/>
  <c r="N609"/>
  <c r="O609"/>
  <c r="P609"/>
  <c r="Q609"/>
  <c r="AS609"/>
  <c r="AS651" s="1"/>
  <c r="R609"/>
  <c r="S609"/>
  <c r="T609"/>
  <c r="U609"/>
  <c r="AL609"/>
  <c r="AW609"/>
  <c r="AX609"/>
  <c r="AY609"/>
  <c r="BJ609"/>
  <c r="BK609"/>
  <c r="BL609"/>
  <c r="CP609"/>
  <c r="DB609"/>
  <c r="DN609"/>
  <c r="DO609" s="1"/>
  <c r="DP609" s="1"/>
  <c r="AL610"/>
  <c r="AM610"/>
  <c r="AN610"/>
  <c r="AO610"/>
  <c r="AP610"/>
  <c r="AQ610"/>
  <c r="AR610"/>
  <c r="AS610"/>
  <c r="AT610"/>
  <c r="AU610"/>
  <c r="AV610"/>
  <c r="AW610"/>
  <c r="BY610" s="1"/>
  <c r="AX610"/>
  <c r="AY610"/>
  <c r="BJ610"/>
  <c r="BK610"/>
  <c r="BL610"/>
  <c r="BS610"/>
  <c r="BQ610" s="1"/>
  <c r="CL610"/>
  <c r="CM610"/>
  <c r="CP610"/>
  <c r="CQ610" s="1"/>
  <c r="CR610" s="1"/>
  <c r="CS610" s="1"/>
  <c r="CT610" s="1"/>
  <c r="CU610" s="1"/>
  <c r="CV610" s="1"/>
  <c r="CW610" s="1"/>
  <c r="CX610" s="1"/>
  <c r="CY610" s="1"/>
  <c r="CZ610" s="1"/>
  <c r="DA610" s="1"/>
  <c r="EA610" s="1"/>
  <c r="DB610"/>
  <c r="DC610"/>
  <c r="DN610"/>
  <c r="DO610"/>
  <c r="DP610" s="1"/>
  <c r="AL611"/>
  <c r="CP611" s="1"/>
  <c r="AM611"/>
  <c r="AN611"/>
  <c r="BP611" s="1"/>
  <c r="BO611" s="1"/>
  <c r="AO611"/>
  <c r="AP611"/>
  <c r="BS611" s="1"/>
  <c r="AQ611"/>
  <c r="AR611"/>
  <c r="AS611"/>
  <c r="AT611"/>
  <c r="BV611" s="1"/>
  <c r="BU611" s="1"/>
  <c r="AU611"/>
  <c r="AV611"/>
  <c r="BY611" s="1"/>
  <c r="AW611"/>
  <c r="AX611"/>
  <c r="DB611" s="1"/>
  <c r="AY611"/>
  <c r="AZ611"/>
  <c r="BJ611"/>
  <c r="BK611"/>
  <c r="BL611"/>
  <c r="CL611"/>
  <c r="CM611"/>
  <c r="DN611"/>
  <c r="DO611" s="1"/>
  <c r="DP611" s="1"/>
  <c r="AL612"/>
  <c r="AM612"/>
  <c r="AN612"/>
  <c r="AO612"/>
  <c r="BS612" s="1"/>
  <c r="BR612" s="1"/>
  <c r="AP612"/>
  <c r="AQ612"/>
  <c r="AR612"/>
  <c r="AS612"/>
  <c r="AT612"/>
  <c r="AU612"/>
  <c r="BY612" s="1"/>
  <c r="BX612" s="1"/>
  <c r="AV612"/>
  <c r="AW612"/>
  <c r="AX612"/>
  <c r="AY612"/>
  <c r="AZ612"/>
  <c r="BA612"/>
  <c r="CE612" s="1"/>
  <c r="CD612" s="1"/>
  <c r="BB612"/>
  <c r="BC612"/>
  <c r="BD612"/>
  <c r="BE612"/>
  <c r="CH612" s="1"/>
  <c r="BF612"/>
  <c r="BG612"/>
  <c r="BH612"/>
  <c r="BI612"/>
  <c r="BJ612"/>
  <c r="BK612"/>
  <c r="CN612" s="1"/>
  <c r="BL612"/>
  <c r="BP612"/>
  <c r="BN612" s="1"/>
  <c r="BV612"/>
  <c r="BT612" s="1"/>
  <c r="BZ612"/>
  <c r="CP612"/>
  <c r="CQ612"/>
  <c r="CR612" s="1"/>
  <c r="CS612" s="1"/>
  <c r="CT612" s="1"/>
  <c r="CU612" s="1"/>
  <c r="CV612" s="1"/>
  <c r="CW612" s="1"/>
  <c r="CX612" s="1"/>
  <c r="CY612" s="1"/>
  <c r="CZ612" s="1"/>
  <c r="DA612" s="1"/>
  <c r="EA612" s="1"/>
  <c r="DB612"/>
  <c r="DN612"/>
  <c r="DO612"/>
  <c r="DP612" s="1"/>
  <c r="Y613"/>
  <c r="BA613" s="1"/>
  <c r="AC613"/>
  <c r="AL613"/>
  <c r="AM613"/>
  <c r="BP613" s="1"/>
  <c r="AN613"/>
  <c r="AO613"/>
  <c r="AP613"/>
  <c r="AQ613"/>
  <c r="AR613"/>
  <c r="AS613"/>
  <c r="AT613"/>
  <c r="AU613"/>
  <c r="AV613"/>
  <c r="AW613"/>
  <c r="AX613"/>
  <c r="DB613" s="1"/>
  <c r="DC613" s="1"/>
  <c r="DD613" s="1"/>
  <c r="AY613"/>
  <c r="AZ613"/>
  <c r="BC613"/>
  <c r="BD613"/>
  <c r="BJ613"/>
  <c r="BK613"/>
  <c r="BL613"/>
  <c r="CN613"/>
  <c r="CL613" s="1"/>
  <c r="CP613"/>
  <c r="L614"/>
  <c r="CR614" s="1"/>
  <c r="CR652" s="1"/>
  <c r="M614"/>
  <c r="CS614"/>
  <c r="N614"/>
  <c r="CT614"/>
  <c r="O614"/>
  <c r="CU614"/>
  <c r="P614"/>
  <c r="CV614"/>
  <c r="Q614"/>
  <c r="CW614"/>
  <c r="R614"/>
  <c r="S614"/>
  <c r="CY614" s="1"/>
  <c r="T614"/>
  <c r="CZ614" s="1"/>
  <c r="U614"/>
  <c r="DA614"/>
  <c r="Y614"/>
  <c r="DE614"/>
  <c r="AA614"/>
  <c r="AB614"/>
  <c r="CP614"/>
  <c r="CQ614"/>
  <c r="CX614"/>
  <c r="DB614"/>
  <c r="DC614"/>
  <c r="DD614"/>
  <c r="DF614"/>
  <c r="DM614"/>
  <c r="DN614"/>
  <c r="DO614"/>
  <c r="DP614"/>
  <c r="EB614"/>
  <c r="EE614"/>
  <c r="EO639" s="1"/>
  <c r="EF614"/>
  <c r="EP639" s="1"/>
  <c r="Y615"/>
  <c r="AA615"/>
  <c r="AB615"/>
  <c r="AC615" s="1"/>
  <c r="CP615"/>
  <c r="CQ615"/>
  <c r="CR615"/>
  <c r="CS615"/>
  <c r="CT615"/>
  <c r="CU615"/>
  <c r="CV615"/>
  <c r="CW615"/>
  <c r="CX615"/>
  <c r="CY615"/>
  <c r="CZ615"/>
  <c r="CZ652" s="1"/>
  <c r="DA615"/>
  <c r="EA615"/>
  <c r="DB615"/>
  <c r="DC615"/>
  <c r="DD615"/>
  <c r="DE615"/>
  <c r="DF615"/>
  <c r="DM615"/>
  <c r="EB615" s="1"/>
  <c r="EB652" s="1"/>
  <c r="DN615"/>
  <c r="DO615"/>
  <c r="DP615"/>
  <c r="EE615"/>
  <c r="EO640" s="1"/>
  <c r="EF615"/>
  <c r="EP640" s="1"/>
  <c r="AL616"/>
  <c r="BN616" s="1"/>
  <c r="AM616"/>
  <c r="AN616"/>
  <c r="AO616"/>
  <c r="BQ616" s="1"/>
  <c r="BR616" s="1"/>
  <c r="BS616" s="1"/>
  <c r="BK616"/>
  <c r="BL616"/>
  <c r="CP616"/>
  <c r="CQ616" s="1"/>
  <c r="DB616"/>
  <c r="DC616" s="1"/>
  <c r="J617"/>
  <c r="K617"/>
  <c r="L617"/>
  <c r="AN617" s="1"/>
  <c r="AN648" s="1"/>
  <c r="M617"/>
  <c r="N617"/>
  <c r="O617"/>
  <c r="P617"/>
  <c r="Q617"/>
  <c r="R617"/>
  <c r="S617"/>
  <c r="T617"/>
  <c r="AV617" s="1"/>
  <c r="U617"/>
  <c r="V617"/>
  <c r="AX617" s="1"/>
  <c r="W617"/>
  <c r="X617"/>
  <c r="CB617" s="1"/>
  <c r="Y617"/>
  <c r="AL617"/>
  <c r="CP617" s="1"/>
  <c r="AM617"/>
  <c r="AO617"/>
  <c r="BQ617" s="1"/>
  <c r="BQ648" s="1"/>
  <c r="AP617"/>
  <c r="AQ617"/>
  <c r="AR617"/>
  <c r="AS617"/>
  <c r="AT617"/>
  <c r="AU617"/>
  <c r="BW617"/>
  <c r="AW617"/>
  <c r="AY617"/>
  <c r="AZ617"/>
  <c r="BA617"/>
  <c r="BN617"/>
  <c r="BO617" s="1"/>
  <c r="BT617"/>
  <c r="BU617" s="1"/>
  <c r="BV617" s="1"/>
  <c r="CC617"/>
  <c r="X618"/>
  <c r="CB618" s="1"/>
  <c r="DD618"/>
  <c r="Y618"/>
  <c r="Z618"/>
  <c r="BB618" s="1"/>
  <c r="CD618" s="1"/>
  <c r="DF618" s="1"/>
  <c r="AA618"/>
  <c r="BC618" s="1"/>
  <c r="CE618" s="1"/>
  <c r="DG618" s="1"/>
  <c r="AB618"/>
  <c r="BD618"/>
  <c r="CF618" s="1"/>
  <c r="AC618"/>
  <c r="AD618"/>
  <c r="BF618"/>
  <c r="CH618" s="1"/>
  <c r="DJ618" s="1"/>
  <c r="AE618"/>
  <c r="BG618"/>
  <c r="CI618" s="1"/>
  <c r="DK618" s="1"/>
  <c r="AF618"/>
  <c r="BH618"/>
  <c r="CJ618" s="1"/>
  <c r="DL618" s="1"/>
  <c r="AG618"/>
  <c r="AH618"/>
  <c r="BJ618" s="1"/>
  <c r="BA618"/>
  <c r="CC618" s="1"/>
  <c r="DE618" s="1"/>
  <c r="BE618"/>
  <c r="CG618" s="1"/>
  <c r="DI618" s="1"/>
  <c r="BI618"/>
  <c r="CK618"/>
  <c r="DM618" s="1"/>
  <c r="EA618"/>
  <c r="EB618"/>
  <c r="J619"/>
  <c r="AH619"/>
  <c r="CL619" s="1"/>
  <c r="AI619"/>
  <c r="AJ619"/>
  <c r="BK619"/>
  <c r="CP619"/>
  <c r="CP606" s="1"/>
  <c r="CP649" s="1"/>
  <c r="EG619"/>
  <c r="AL621"/>
  <c r="AM621"/>
  <c r="AN621"/>
  <c r="AO621"/>
  <c r="AP621"/>
  <c r="AQ621"/>
  <c r="BS621" s="1"/>
  <c r="AR621"/>
  <c r="AS621"/>
  <c r="AT621"/>
  <c r="AU621"/>
  <c r="AV621"/>
  <c r="AW621"/>
  <c r="BY621" s="1"/>
  <c r="AX621"/>
  <c r="AY621"/>
  <c r="AZ621"/>
  <c r="BA621"/>
  <c r="BB621"/>
  <c r="BC621"/>
  <c r="CE621" s="1"/>
  <c r="BD621"/>
  <c r="BE621"/>
  <c r="BF621"/>
  <c r="BG621"/>
  <c r="CK621" s="1"/>
  <c r="BH621"/>
  <c r="BI621"/>
  <c r="DM621" s="1"/>
  <c r="BJ621"/>
  <c r="EH621" s="1"/>
  <c r="BK621"/>
  <c r="BL621"/>
  <c r="CP621"/>
  <c r="CQ621"/>
  <c r="CR621"/>
  <c r="CS621"/>
  <c r="CT621"/>
  <c r="CU621"/>
  <c r="CV621"/>
  <c r="CW621"/>
  <c r="CX621"/>
  <c r="CY621"/>
  <c r="CZ621"/>
  <c r="DA621"/>
  <c r="DB621"/>
  <c r="DC621"/>
  <c r="DD621"/>
  <c r="DE621"/>
  <c r="DF621"/>
  <c r="DG621"/>
  <c r="DH621"/>
  <c r="DI621"/>
  <c r="DJ621"/>
  <c r="DK621"/>
  <c r="DL621"/>
  <c r="DN621"/>
  <c r="EJ621" s="1"/>
  <c r="DO621"/>
  <c r="DP621"/>
  <c r="EK621"/>
  <c r="AL622"/>
  <c r="AM622"/>
  <c r="CQ622" s="1"/>
  <c r="AN622"/>
  <c r="CR622" s="1"/>
  <c r="AO622"/>
  <c r="CS622"/>
  <c r="AP622"/>
  <c r="AQ622"/>
  <c r="CU622" s="1"/>
  <c r="AR622"/>
  <c r="BV622" s="1"/>
  <c r="BU622" s="1"/>
  <c r="AS622"/>
  <c r="CW622"/>
  <c r="AT622"/>
  <c r="AU622"/>
  <c r="CY622" s="1"/>
  <c r="AV622"/>
  <c r="CZ622" s="1"/>
  <c r="AW622"/>
  <c r="DA622"/>
  <c r="AX622"/>
  <c r="AY622"/>
  <c r="DC622" s="1"/>
  <c r="AZ622"/>
  <c r="DD622" s="1"/>
  <c r="BA622"/>
  <c r="BB622"/>
  <c r="BC622"/>
  <c r="CE622" s="1"/>
  <c r="BD622"/>
  <c r="CH622" s="1"/>
  <c r="BE622"/>
  <c r="DI622"/>
  <c r="BF622"/>
  <c r="BG622"/>
  <c r="DK622" s="1"/>
  <c r="BH622"/>
  <c r="BI622"/>
  <c r="DM622" s="1"/>
  <c r="BJ622"/>
  <c r="BK622"/>
  <c r="DO622" s="1"/>
  <c r="BL622"/>
  <c r="CP622"/>
  <c r="CT622"/>
  <c r="CX622"/>
  <c r="DB622"/>
  <c r="DF622"/>
  <c r="DJ622"/>
  <c r="DL622"/>
  <c r="DP622"/>
  <c r="EK622"/>
  <c r="AL623"/>
  <c r="CP623" s="1"/>
  <c r="AM623"/>
  <c r="CQ623"/>
  <c r="AN623"/>
  <c r="AO623"/>
  <c r="CS623" s="1"/>
  <c r="AP623"/>
  <c r="CT623" s="1"/>
  <c r="AQ623"/>
  <c r="BS623"/>
  <c r="BQ623" s="1"/>
  <c r="AR623"/>
  <c r="BV623" s="1"/>
  <c r="BU623" s="1"/>
  <c r="AS623"/>
  <c r="CW623"/>
  <c r="AT623"/>
  <c r="AU623"/>
  <c r="CY623" s="1"/>
  <c r="AV623"/>
  <c r="AW623"/>
  <c r="BY623"/>
  <c r="BW623" s="1"/>
  <c r="AX623"/>
  <c r="DB623" s="1"/>
  <c r="AY623"/>
  <c r="DC623"/>
  <c r="AZ623"/>
  <c r="BA623"/>
  <c r="DE623" s="1"/>
  <c r="BB623"/>
  <c r="DF623" s="1"/>
  <c r="BC623"/>
  <c r="CE623"/>
  <c r="CD623" s="1"/>
  <c r="BD623"/>
  <c r="BE623"/>
  <c r="DI623"/>
  <c r="BF623"/>
  <c r="DJ623"/>
  <c r="BG623"/>
  <c r="DK623"/>
  <c r="BH623"/>
  <c r="BI623"/>
  <c r="BJ623"/>
  <c r="DN623" s="1"/>
  <c r="BK623"/>
  <c r="DO623" s="1"/>
  <c r="BL623"/>
  <c r="DP623"/>
  <c r="CR623"/>
  <c r="CV623"/>
  <c r="CX623"/>
  <c r="CZ623"/>
  <c r="DD623"/>
  <c r="DM623"/>
  <c r="EH623"/>
  <c r="EK623"/>
  <c r="AL624"/>
  <c r="CP624"/>
  <c r="AM624"/>
  <c r="AN624"/>
  <c r="CR624" s="1"/>
  <c r="AO624"/>
  <c r="AP624"/>
  <c r="CT624"/>
  <c r="AQ624"/>
  <c r="AR624"/>
  <c r="BV624" s="1"/>
  <c r="AS624"/>
  <c r="AT624"/>
  <c r="CX624"/>
  <c r="AU624"/>
  <c r="AV624"/>
  <c r="CZ624" s="1"/>
  <c r="AW624"/>
  <c r="AX624"/>
  <c r="DB624"/>
  <c r="AY624"/>
  <c r="AZ624"/>
  <c r="DD624" s="1"/>
  <c r="BA624"/>
  <c r="DE624" s="1"/>
  <c r="AM602" i="3" s="1"/>
  <c r="BB624" i="1"/>
  <c r="BC624"/>
  <c r="DG624" s="1"/>
  <c r="BD624"/>
  <c r="DH624" s="1"/>
  <c r="BE624"/>
  <c r="BF624"/>
  <c r="BG624"/>
  <c r="DK624" s="1"/>
  <c r="BH624"/>
  <c r="DL624" s="1"/>
  <c r="BI624"/>
  <c r="DM624" s="1"/>
  <c r="BJ624"/>
  <c r="DN624" s="1"/>
  <c r="BK624"/>
  <c r="BL624"/>
  <c r="CQ624"/>
  <c r="CS624"/>
  <c r="CU624"/>
  <c r="CW624"/>
  <c r="CY624"/>
  <c r="DA624"/>
  <c r="DF624"/>
  <c r="DJ624"/>
  <c r="DP624"/>
  <c r="EK624"/>
  <c r="AL625"/>
  <c r="AM625"/>
  <c r="CQ625" s="1"/>
  <c r="AN625"/>
  <c r="AO625"/>
  <c r="CS625"/>
  <c r="AP625"/>
  <c r="AQ625"/>
  <c r="CU625" s="1"/>
  <c r="AR625"/>
  <c r="AS625"/>
  <c r="CW625"/>
  <c r="AT625"/>
  <c r="AU625"/>
  <c r="CY625" s="1"/>
  <c r="AV625"/>
  <c r="AW625"/>
  <c r="DA625"/>
  <c r="AX625"/>
  <c r="AY625"/>
  <c r="AZ625"/>
  <c r="BA625"/>
  <c r="BB625"/>
  <c r="BC625"/>
  <c r="DG625" s="1"/>
  <c r="BD625"/>
  <c r="DH625" s="1"/>
  <c r="BE625"/>
  <c r="DI625" s="1"/>
  <c r="BF625"/>
  <c r="DJ625" s="1"/>
  <c r="BG625"/>
  <c r="DK625" s="1"/>
  <c r="AS603" i="3" s="1"/>
  <c r="BH625" i="1"/>
  <c r="BI625"/>
  <c r="CK625"/>
  <c r="BJ625"/>
  <c r="EH625" s="1"/>
  <c r="BK625"/>
  <c r="BL625"/>
  <c r="DP625" s="1"/>
  <c r="CP625"/>
  <c r="CR625"/>
  <c r="CT625"/>
  <c r="CV625"/>
  <c r="CX625"/>
  <c r="CZ625"/>
  <c r="DB625"/>
  <c r="AJ603" i="3"/>
  <c r="DD625" i="1"/>
  <c r="DF625"/>
  <c r="AN603" i="3"/>
  <c r="DO625" i="1"/>
  <c r="EK625"/>
  <c r="AL626"/>
  <c r="AM626"/>
  <c r="AN626"/>
  <c r="AO626"/>
  <c r="AP626"/>
  <c r="AQ626"/>
  <c r="AR626"/>
  <c r="AS626"/>
  <c r="AT626"/>
  <c r="AU626"/>
  <c r="AV626"/>
  <c r="AW626"/>
  <c r="AX626"/>
  <c r="AY626"/>
  <c r="AZ626"/>
  <c r="BA626"/>
  <c r="BB626"/>
  <c r="BC626"/>
  <c r="BD626"/>
  <c r="BE626"/>
  <c r="BF626"/>
  <c r="BG626"/>
  <c r="BH626"/>
  <c r="BI626"/>
  <c r="EH626"/>
  <c r="BJ626"/>
  <c r="BK626"/>
  <c r="BL626"/>
  <c r="CP626"/>
  <c r="CQ626" s="1"/>
  <c r="DB626"/>
  <c r="EK626"/>
  <c r="AL627"/>
  <c r="AM627"/>
  <c r="AN627"/>
  <c r="AO627"/>
  <c r="CS627"/>
  <c r="AP627"/>
  <c r="AQ627"/>
  <c r="CU627" s="1"/>
  <c r="AR627"/>
  <c r="CV627" s="1"/>
  <c r="AS627"/>
  <c r="AT627"/>
  <c r="AU627"/>
  <c r="CY627" s="1"/>
  <c r="AV627"/>
  <c r="CZ627" s="1"/>
  <c r="AW627"/>
  <c r="DA627" s="1"/>
  <c r="AX627"/>
  <c r="AY627"/>
  <c r="DC627"/>
  <c r="AZ627"/>
  <c r="BA627"/>
  <c r="DE627" s="1"/>
  <c r="BB627"/>
  <c r="BC627"/>
  <c r="DG627"/>
  <c r="BD627"/>
  <c r="CH627"/>
  <c r="BE627"/>
  <c r="DI627"/>
  <c r="BF627"/>
  <c r="BG627"/>
  <c r="BH627"/>
  <c r="BI627"/>
  <c r="BJ627"/>
  <c r="EH627" s="1"/>
  <c r="BK627"/>
  <c r="DO627" s="1"/>
  <c r="BL627"/>
  <c r="DP627" s="1"/>
  <c r="CP627"/>
  <c r="CQ627" s="1"/>
  <c r="CR627" s="1"/>
  <c r="CT627"/>
  <c r="CX627"/>
  <c r="DB627"/>
  <c r="DD627"/>
  <c r="DF627"/>
  <c r="DJ627"/>
  <c r="DM627"/>
  <c r="EK627"/>
  <c r="AL628"/>
  <c r="CP628" s="1"/>
  <c r="AM628"/>
  <c r="AN628"/>
  <c r="AO628"/>
  <c r="AP628"/>
  <c r="AQ628"/>
  <c r="CU628" s="1"/>
  <c r="AR628"/>
  <c r="AS628"/>
  <c r="AT628"/>
  <c r="CX628" s="1"/>
  <c r="AU628"/>
  <c r="AV628"/>
  <c r="AW628"/>
  <c r="DA628" s="1"/>
  <c r="AX628"/>
  <c r="DB628" s="1"/>
  <c r="DB904" s="1"/>
  <c r="AY628"/>
  <c r="AZ628"/>
  <c r="DD628" s="1"/>
  <c r="DD904" s="1"/>
  <c r="BA628"/>
  <c r="BA904" s="1"/>
  <c r="BB628"/>
  <c r="BB904" s="1"/>
  <c r="BC628"/>
  <c r="DG628"/>
  <c r="BD628"/>
  <c r="BE628"/>
  <c r="BE904" s="1"/>
  <c r="BF628"/>
  <c r="DJ628" s="1"/>
  <c r="BG628"/>
  <c r="BG904" s="1"/>
  <c r="BH628"/>
  <c r="BI628"/>
  <c r="BJ628"/>
  <c r="EH628" s="1"/>
  <c r="BK628"/>
  <c r="BL628"/>
  <c r="DP628"/>
  <c r="CT628"/>
  <c r="CV628"/>
  <c r="CZ628"/>
  <c r="DF628"/>
  <c r="DH628"/>
  <c r="DM628"/>
  <c r="EK628"/>
  <c r="EQ628"/>
  <c r="ER628"/>
  <c r="ES628"/>
  <c r="AL629"/>
  <c r="CP629"/>
  <c r="AM629"/>
  <c r="AN629"/>
  <c r="AO629"/>
  <c r="CS629"/>
  <c r="AP629"/>
  <c r="AQ629"/>
  <c r="CU629" s="1"/>
  <c r="AR629"/>
  <c r="CV629"/>
  <c r="AS629"/>
  <c r="AT629"/>
  <c r="CX629" s="1"/>
  <c r="AU629"/>
  <c r="AV629"/>
  <c r="AW629"/>
  <c r="DA629" s="1"/>
  <c r="AX629"/>
  <c r="DB629" s="1"/>
  <c r="AY629"/>
  <c r="AZ629"/>
  <c r="DD629"/>
  <c r="BA629"/>
  <c r="DE629"/>
  <c r="BB629"/>
  <c r="BC629"/>
  <c r="CE629" s="1"/>
  <c r="BD629"/>
  <c r="DH629" s="1"/>
  <c r="BE629"/>
  <c r="DI629" s="1"/>
  <c r="BF629"/>
  <c r="DJ629" s="1"/>
  <c r="BG629"/>
  <c r="DK629" s="1"/>
  <c r="BH629"/>
  <c r="DL629" s="1"/>
  <c r="BI629"/>
  <c r="BJ629"/>
  <c r="BK629"/>
  <c r="DO629" s="1"/>
  <c r="BL629"/>
  <c r="DP629" s="1"/>
  <c r="CW629"/>
  <c r="CZ629"/>
  <c r="DF629"/>
  <c r="DM629"/>
  <c r="EK629"/>
  <c r="EQ629"/>
  <c r="ER629"/>
  <c r="ES629"/>
  <c r="AL630"/>
  <c r="AM630"/>
  <c r="AN630"/>
  <c r="AO630"/>
  <c r="AP630"/>
  <c r="AQ630"/>
  <c r="AR630"/>
  <c r="BV630" s="1"/>
  <c r="AS630"/>
  <c r="AT630"/>
  <c r="AU630"/>
  <c r="BY630" s="1"/>
  <c r="AV630"/>
  <c r="CB630"/>
  <c r="CA630"/>
  <c r="CE630"/>
  <c r="CH630"/>
  <c r="CG630" s="1"/>
  <c r="CK630"/>
  <c r="CI630" s="1"/>
  <c r="CN630"/>
  <c r="CM630" s="1"/>
  <c r="CP630"/>
  <c r="CQ630"/>
  <c r="CR630" s="1"/>
  <c r="CS630" s="1"/>
  <c r="CT630" s="1"/>
  <c r="CU630" s="1"/>
  <c r="CV630" s="1"/>
  <c r="CW630" s="1"/>
  <c r="CX630" s="1"/>
  <c r="CY630" s="1"/>
  <c r="CZ630" s="1"/>
  <c r="DA630" s="1"/>
  <c r="DB630"/>
  <c r="DC630"/>
  <c r="DD630" s="1"/>
  <c r="DE630" s="1"/>
  <c r="DF630" s="1"/>
  <c r="DG630" s="1"/>
  <c r="DH630" s="1"/>
  <c r="DI630" s="1"/>
  <c r="DJ630" s="1"/>
  <c r="DN630"/>
  <c r="DO630" s="1"/>
  <c r="DP630" s="1"/>
  <c r="EH630"/>
  <c r="EK630"/>
  <c r="AL631"/>
  <c r="AM631"/>
  <c r="AN631"/>
  <c r="AO631"/>
  <c r="CP631"/>
  <c r="EH631"/>
  <c r="EL631" s="1"/>
  <c r="EQ631" s="1"/>
  <c r="EK631"/>
  <c r="AL632"/>
  <c r="AM632"/>
  <c r="AN632"/>
  <c r="AO632"/>
  <c r="AP632"/>
  <c r="BS632"/>
  <c r="AQ632"/>
  <c r="AR632"/>
  <c r="AS632"/>
  <c r="AT632"/>
  <c r="AU632"/>
  <c r="AV632"/>
  <c r="AW632"/>
  <c r="AX632"/>
  <c r="DB632" s="1"/>
  <c r="AY632"/>
  <c r="AZ632"/>
  <c r="BA632"/>
  <c r="BB632"/>
  <c r="BC632"/>
  <c r="BD632"/>
  <c r="BE632"/>
  <c r="BF632"/>
  <c r="BG632"/>
  <c r="BH632"/>
  <c r="BI632"/>
  <c r="BJ632"/>
  <c r="EH632" s="1"/>
  <c r="EO632" s="1"/>
  <c r="BK632"/>
  <c r="BL632"/>
  <c r="EK632"/>
  <c r="AL633"/>
  <c r="CP633"/>
  <c r="AM633"/>
  <c r="AN633"/>
  <c r="AO633"/>
  <c r="AP633"/>
  <c r="BS633" s="1"/>
  <c r="AQ633"/>
  <c r="AR633"/>
  <c r="AS633"/>
  <c r="AT633"/>
  <c r="AU633"/>
  <c r="AV633"/>
  <c r="AW633"/>
  <c r="AX633"/>
  <c r="DB633"/>
  <c r="AY633"/>
  <c r="AZ633"/>
  <c r="BA633"/>
  <c r="BB633"/>
  <c r="BC633"/>
  <c r="BD633"/>
  <c r="BE633"/>
  <c r="BF633"/>
  <c r="BG633"/>
  <c r="BH633"/>
  <c r="CK633" s="1"/>
  <c r="BI633"/>
  <c r="BI904" s="1"/>
  <c r="BJ633"/>
  <c r="BK633"/>
  <c r="BL633"/>
  <c r="EK633"/>
  <c r="AL634"/>
  <c r="AM634"/>
  <c r="AN634"/>
  <c r="AO634"/>
  <c r="AP634"/>
  <c r="AQ634"/>
  <c r="AR634"/>
  <c r="AS634"/>
  <c r="AT634"/>
  <c r="AU634"/>
  <c r="AV634"/>
  <c r="BY634" s="1"/>
  <c r="AW634"/>
  <c r="AX634"/>
  <c r="DB634"/>
  <c r="AY634"/>
  <c r="AZ634"/>
  <c r="BA634"/>
  <c r="BB634"/>
  <c r="BC634"/>
  <c r="BD634"/>
  <c r="BE634"/>
  <c r="BF634"/>
  <c r="BG634"/>
  <c r="BH634"/>
  <c r="BI634"/>
  <c r="EH634"/>
  <c r="BJ634"/>
  <c r="BK634"/>
  <c r="BL634"/>
  <c r="CP634"/>
  <c r="CQ634" s="1"/>
  <c r="CR634" s="1"/>
  <c r="CS634" s="1"/>
  <c r="CT634" s="1"/>
  <c r="CU634" s="1"/>
  <c r="CV634" s="1"/>
  <c r="CW634" s="1"/>
  <c r="CX634" s="1"/>
  <c r="CY634" s="1"/>
  <c r="CZ634" s="1"/>
  <c r="DA634" s="1"/>
  <c r="EK634"/>
  <c r="AL635"/>
  <c r="AM635"/>
  <c r="BP635" s="1"/>
  <c r="AN635"/>
  <c r="AO635"/>
  <c r="AP635"/>
  <c r="AQ635"/>
  <c r="AR635"/>
  <c r="AS635"/>
  <c r="AT635"/>
  <c r="AU635"/>
  <c r="AV635"/>
  <c r="AW635"/>
  <c r="AX635"/>
  <c r="DB635" s="1"/>
  <c r="AY635"/>
  <c r="AZ635"/>
  <c r="BA635"/>
  <c r="BB635"/>
  <c r="BC635"/>
  <c r="BD635"/>
  <c r="BE635"/>
  <c r="BF635"/>
  <c r="BG635"/>
  <c r="BH635"/>
  <c r="BI635"/>
  <c r="BJ635"/>
  <c r="DN635" s="1"/>
  <c r="DO635" s="1"/>
  <c r="BK635"/>
  <c r="BL635"/>
  <c r="CP635"/>
  <c r="EK635"/>
  <c r="AL636"/>
  <c r="CP636"/>
  <c r="CQ636" s="1"/>
  <c r="AM636"/>
  <c r="AN636"/>
  <c r="BP636"/>
  <c r="AO636"/>
  <c r="AP636"/>
  <c r="AQ636"/>
  <c r="AR636"/>
  <c r="AS636"/>
  <c r="AT636"/>
  <c r="AU636"/>
  <c r="AV636"/>
  <c r="AW636"/>
  <c r="AX636"/>
  <c r="DB636" s="1"/>
  <c r="DC636" s="1"/>
  <c r="DD636" s="1"/>
  <c r="DE636" s="1"/>
  <c r="DF636" s="1"/>
  <c r="DG636" s="1"/>
  <c r="DH636" s="1"/>
  <c r="AY636"/>
  <c r="AZ636"/>
  <c r="BA636"/>
  <c r="BB636"/>
  <c r="CE636" s="1"/>
  <c r="BC636"/>
  <c r="BD636"/>
  <c r="BE636"/>
  <c r="CH636" s="1"/>
  <c r="BF636"/>
  <c r="BG636"/>
  <c r="BH636"/>
  <c r="BI636"/>
  <c r="BJ636"/>
  <c r="BK636"/>
  <c r="BL636"/>
  <c r="DN636"/>
  <c r="EK636"/>
  <c r="AL637"/>
  <c r="AM637"/>
  <c r="AN637"/>
  <c r="AO637"/>
  <c r="AP637"/>
  <c r="AQ637"/>
  <c r="AR637"/>
  <c r="AS637"/>
  <c r="AT637"/>
  <c r="AU637"/>
  <c r="AV637"/>
  <c r="AW637"/>
  <c r="AX637"/>
  <c r="AY637"/>
  <c r="AZ637"/>
  <c r="BA637"/>
  <c r="BB637"/>
  <c r="BC637"/>
  <c r="BD637"/>
  <c r="BE637"/>
  <c r="BF637"/>
  <c r="BG637"/>
  <c r="BH637"/>
  <c r="BI637"/>
  <c r="EH637"/>
  <c r="BJ637"/>
  <c r="DN637"/>
  <c r="BK637"/>
  <c r="CN637"/>
  <c r="BL637"/>
  <c r="EK637"/>
  <c r="EQ637"/>
  <c r="AL638"/>
  <c r="CP638" s="1"/>
  <c r="AM638"/>
  <c r="AN638"/>
  <c r="AO638"/>
  <c r="AP638"/>
  <c r="AQ638"/>
  <c r="AR638"/>
  <c r="AS638"/>
  <c r="AT638"/>
  <c r="AU638"/>
  <c r="AV638"/>
  <c r="AW638"/>
  <c r="AX638"/>
  <c r="DB638" s="1"/>
  <c r="DC638" s="1"/>
  <c r="AY638"/>
  <c r="AZ638"/>
  <c r="BA638"/>
  <c r="BB638"/>
  <c r="BC638"/>
  <c r="BD638"/>
  <c r="BE638"/>
  <c r="BF638"/>
  <c r="BG638"/>
  <c r="BH638"/>
  <c r="BI638"/>
  <c r="BJ638"/>
  <c r="BK638"/>
  <c r="BL638"/>
  <c r="EH638"/>
  <c r="EQ638"/>
  <c r="ER638"/>
  <c r="Q639"/>
  <c r="R639"/>
  <c r="AL639"/>
  <c r="AQ639"/>
  <c r="AR639"/>
  <c r="AV639"/>
  <c r="AW639"/>
  <c r="AX639"/>
  <c r="AY639"/>
  <c r="AZ639"/>
  <c r="BA639"/>
  <c r="CP639"/>
  <c r="CQ639"/>
  <c r="CR639"/>
  <c r="CS639"/>
  <c r="CT639"/>
  <c r="CU639"/>
  <c r="CV639"/>
  <c r="CY639"/>
  <c r="CZ639"/>
  <c r="DA639"/>
  <c r="DB639"/>
  <c r="DC639"/>
  <c r="DD639"/>
  <c r="DE639"/>
  <c r="DF639"/>
  <c r="DG639"/>
  <c r="DH639"/>
  <c r="DI639"/>
  <c r="DJ639"/>
  <c r="DK639"/>
  <c r="EJ639"/>
  <c r="DL639"/>
  <c r="DM639"/>
  <c r="DN639"/>
  <c r="DO639"/>
  <c r="DP639"/>
  <c r="EK639"/>
  <c r="K640"/>
  <c r="CQ640"/>
  <c r="CQ659" s="1"/>
  <c r="O640"/>
  <c r="CU640" s="1"/>
  <c r="CU659" s="1"/>
  <c r="P640"/>
  <c r="Q640"/>
  <c r="AL640"/>
  <c r="AV640"/>
  <c r="AW640"/>
  <c r="AX640"/>
  <c r="AY640"/>
  <c r="AZ640"/>
  <c r="BA640"/>
  <c r="CP640"/>
  <c r="CR640"/>
  <c r="CS640"/>
  <c r="CT640"/>
  <c r="CV640"/>
  <c r="CY640"/>
  <c r="CZ640"/>
  <c r="DA640"/>
  <c r="DB640"/>
  <c r="DC640"/>
  <c r="DD640"/>
  <c r="DE640"/>
  <c r="DF640"/>
  <c r="DG640"/>
  <c r="DH640"/>
  <c r="DI640"/>
  <c r="DJ640"/>
  <c r="DK640"/>
  <c r="EJ640"/>
  <c r="DL640"/>
  <c r="DM640"/>
  <c r="DN640"/>
  <c r="DO640"/>
  <c r="DP640"/>
  <c r="EK640"/>
  <c r="J641"/>
  <c r="AL641"/>
  <c r="K641"/>
  <c r="AM641"/>
  <c r="L641"/>
  <c r="M641"/>
  <c r="AO641" s="1"/>
  <c r="N641"/>
  <c r="O641"/>
  <c r="P641"/>
  <c r="Q641"/>
  <c r="R641"/>
  <c r="AT641" s="1"/>
  <c r="S641"/>
  <c r="T641"/>
  <c r="U641"/>
  <c r="V641"/>
  <c r="W641"/>
  <c r="X641"/>
  <c r="Y641"/>
  <c r="BB641"/>
  <c r="AA641"/>
  <c r="BC641"/>
  <c r="AB641"/>
  <c r="AC641"/>
  <c r="BE641" s="1"/>
  <c r="AD641"/>
  <c r="BF641"/>
  <c r="AE641"/>
  <c r="BG641"/>
  <c r="AF641"/>
  <c r="BH641"/>
  <c r="AG641"/>
  <c r="BI641"/>
  <c r="AH641"/>
  <c r="AI641"/>
  <c r="BK641" s="1"/>
  <c r="AJ641"/>
  <c r="AN641"/>
  <c r="AP641"/>
  <c r="AP655" s="1"/>
  <c r="AQ641"/>
  <c r="AR641"/>
  <c r="BT641" s="1"/>
  <c r="AS641"/>
  <c r="AS655" s="1"/>
  <c r="AU641"/>
  <c r="BW641" s="1"/>
  <c r="AV641"/>
  <c r="AW641"/>
  <c r="AX641"/>
  <c r="DB641" s="1"/>
  <c r="AY641"/>
  <c r="AZ641"/>
  <c r="AZ655" s="1"/>
  <c r="BA641"/>
  <c r="CC641"/>
  <c r="BD641"/>
  <c r="CF641"/>
  <c r="BJ641"/>
  <c r="DN641" s="1"/>
  <c r="BL641"/>
  <c r="BZ641"/>
  <c r="EK641"/>
  <c r="J642"/>
  <c r="AL642" s="1"/>
  <c r="K642"/>
  <c r="AM642" s="1"/>
  <c r="AM655" s="1"/>
  <c r="L642"/>
  <c r="AN642"/>
  <c r="M642"/>
  <c r="AO642"/>
  <c r="N642"/>
  <c r="AP642"/>
  <c r="O642"/>
  <c r="AQ642" s="1"/>
  <c r="AQ655" s="1"/>
  <c r="P642"/>
  <c r="AR642"/>
  <c r="Q642"/>
  <c r="AS642"/>
  <c r="R642"/>
  <c r="AT642" s="1"/>
  <c r="S642"/>
  <c r="T642"/>
  <c r="AV642" s="1"/>
  <c r="AV655" s="1"/>
  <c r="U642"/>
  <c r="V642"/>
  <c r="AX642" s="1"/>
  <c r="W642"/>
  <c r="AY642" s="1"/>
  <c r="AY655" s="1"/>
  <c r="X642"/>
  <c r="AZ642"/>
  <c r="Y642"/>
  <c r="Y655" s="1"/>
  <c r="Z642"/>
  <c r="BB642" s="1"/>
  <c r="AA642"/>
  <c r="BC642" s="1"/>
  <c r="AB642"/>
  <c r="BD642" s="1"/>
  <c r="AC642"/>
  <c r="AD642"/>
  <c r="BF642"/>
  <c r="AE642"/>
  <c r="AF642"/>
  <c r="BH642" s="1"/>
  <c r="AG642"/>
  <c r="BI642" s="1"/>
  <c r="AH642"/>
  <c r="BJ642" s="1"/>
  <c r="AI642"/>
  <c r="BK642" s="1"/>
  <c r="AJ642"/>
  <c r="AU642"/>
  <c r="BW642"/>
  <c r="AW642"/>
  <c r="BA642"/>
  <c r="CC642" s="1"/>
  <c r="BE642"/>
  <c r="BG642"/>
  <c r="CI642"/>
  <c r="BL642"/>
  <c r="EK642"/>
  <c r="J643"/>
  <c r="CP643" s="1"/>
  <c r="K643"/>
  <c r="L643"/>
  <c r="M643"/>
  <c r="N643"/>
  <c r="O643"/>
  <c r="P643"/>
  <c r="Q643"/>
  <c r="R643"/>
  <c r="S643"/>
  <c r="T643"/>
  <c r="U643"/>
  <c r="V643"/>
  <c r="W643"/>
  <c r="X643"/>
  <c r="Y643"/>
  <c r="Z643"/>
  <c r="AA643"/>
  <c r="AB643"/>
  <c r="AC643"/>
  <c r="AD643"/>
  <c r="AE643"/>
  <c r="AF643"/>
  <c r="AH643"/>
  <c r="DN643" s="1"/>
  <c r="AI643"/>
  <c r="AJ643"/>
  <c r="AL643"/>
  <c r="BN643" s="1"/>
  <c r="BO643" s="1"/>
  <c r="BP643" s="1"/>
  <c r="AM643"/>
  <c r="AN643"/>
  <c r="AO643"/>
  <c r="BQ643" s="1"/>
  <c r="AP643"/>
  <c r="AQ643"/>
  <c r="AR643"/>
  <c r="BT643" s="1"/>
  <c r="BU643" s="1"/>
  <c r="BV643" s="1"/>
  <c r="AS643"/>
  <c r="AT643"/>
  <c r="AU643"/>
  <c r="BW643" s="1"/>
  <c r="AV643"/>
  <c r="AW643"/>
  <c r="AX643"/>
  <c r="AY643"/>
  <c r="AZ643"/>
  <c r="BA643"/>
  <c r="CC643"/>
  <c r="BB643"/>
  <c r="BC643"/>
  <c r="BD643"/>
  <c r="CF643"/>
  <c r="CG643" s="1"/>
  <c r="CH643" s="1"/>
  <c r="BE643"/>
  <c r="BF643"/>
  <c r="BG643"/>
  <c r="BI643"/>
  <c r="BH643"/>
  <c r="BJ643"/>
  <c r="CL643" s="1"/>
  <c r="BK643"/>
  <c r="BL643"/>
  <c r="BZ643"/>
  <c r="DB643"/>
  <c r="DB631" s="1"/>
  <c r="DB656" s="1"/>
  <c r="EK643"/>
  <c r="E647"/>
  <c r="G647"/>
  <c r="J647"/>
  <c r="K647"/>
  <c r="L647"/>
  <c r="M647"/>
  <c r="N647"/>
  <c r="O647"/>
  <c r="P647"/>
  <c r="Q647"/>
  <c r="R647"/>
  <c r="S647"/>
  <c r="T647"/>
  <c r="U647"/>
  <c r="V647"/>
  <c r="W647"/>
  <c r="AH647"/>
  <c r="AI647"/>
  <c r="AJ647"/>
  <c r="AL647"/>
  <c r="AM647"/>
  <c r="AN647"/>
  <c r="AO647"/>
  <c r="AP647"/>
  <c r="AQ647"/>
  <c r="AR647"/>
  <c r="AS647"/>
  <c r="AT647"/>
  <c r="AU647"/>
  <c r="AV647"/>
  <c r="AW647"/>
  <c r="AX647"/>
  <c r="AY647"/>
  <c r="BJ647"/>
  <c r="BK647"/>
  <c r="BL647"/>
  <c r="E648"/>
  <c r="G648"/>
  <c r="J648"/>
  <c r="K648"/>
  <c r="L648"/>
  <c r="M648"/>
  <c r="V648"/>
  <c r="W648"/>
  <c r="X648"/>
  <c r="AL648"/>
  <c r="AM648"/>
  <c r="AO648"/>
  <c r="AY648"/>
  <c r="E649"/>
  <c r="G649"/>
  <c r="I649"/>
  <c r="J649"/>
  <c r="K649"/>
  <c r="V649"/>
  <c r="W649"/>
  <c r="X649"/>
  <c r="AH649"/>
  <c r="AI649"/>
  <c r="AJ649"/>
  <c r="AL649"/>
  <c r="BJ649"/>
  <c r="BK649"/>
  <c r="BL649"/>
  <c r="E650"/>
  <c r="G650"/>
  <c r="J650"/>
  <c r="K650"/>
  <c r="L650"/>
  <c r="M650"/>
  <c r="V650"/>
  <c r="W650"/>
  <c r="AH650"/>
  <c r="AI650"/>
  <c r="AJ650"/>
  <c r="AL650"/>
  <c r="AM650"/>
  <c r="AN650"/>
  <c r="AO650"/>
  <c r="AX650"/>
  <c r="AY650"/>
  <c r="BK650"/>
  <c r="BL650"/>
  <c r="BZ650"/>
  <c r="DB650"/>
  <c r="E651"/>
  <c r="G651"/>
  <c r="J651"/>
  <c r="K651"/>
  <c r="L651"/>
  <c r="M651"/>
  <c r="N651"/>
  <c r="O651"/>
  <c r="P651"/>
  <c r="Q651"/>
  <c r="R651"/>
  <c r="S651"/>
  <c r="T651"/>
  <c r="U651"/>
  <c r="AH651"/>
  <c r="AI651"/>
  <c r="AJ651"/>
  <c r="AL651"/>
  <c r="AW651"/>
  <c r="BJ651"/>
  <c r="BK651"/>
  <c r="BL651"/>
  <c r="E652"/>
  <c r="G652"/>
  <c r="J652"/>
  <c r="K652"/>
  <c r="L652"/>
  <c r="M652"/>
  <c r="N652"/>
  <c r="O652"/>
  <c r="P652"/>
  <c r="Q652"/>
  <c r="R652"/>
  <c r="S652"/>
  <c r="T652"/>
  <c r="U652"/>
  <c r="V652"/>
  <c r="W652"/>
  <c r="X652"/>
  <c r="Y652"/>
  <c r="Z652"/>
  <c r="AA652"/>
  <c r="AG652"/>
  <c r="AH652"/>
  <c r="AI652"/>
  <c r="AJ652"/>
  <c r="CP652"/>
  <c r="CQ652"/>
  <c r="CT652"/>
  <c r="CX652"/>
  <c r="DB652"/>
  <c r="DC652"/>
  <c r="DD652"/>
  <c r="DE652"/>
  <c r="DF652"/>
  <c r="DM652"/>
  <c r="DN652"/>
  <c r="DO652"/>
  <c r="DP652"/>
  <c r="E654"/>
  <c r="G654"/>
  <c r="J654"/>
  <c r="K654"/>
  <c r="L654"/>
  <c r="M654"/>
  <c r="N654"/>
  <c r="O654"/>
  <c r="P654"/>
  <c r="Q654"/>
  <c r="R654"/>
  <c r="S654"/>
  <c r="T654"/>
  <c r="U654"/>
  <c r="V654"/>
  <c r="W654"/>
  <c r="X654"/>
  <c r="Y654"/>
  <c r="Z654"/>
  <c r="AA654"/>
  <c r="AB654"/>
  <c r="AC654"/>
  <c r="AD654"/>
  <c r="AE654"/>
  <c r="AF654"/>
  <c r="AG654"/>
  <c r="AH654"/>
  <c r="AI654"/>
  <c r="AJ654"/>
  <c r="AL654"/>
  <c r="AM654"/>
  <c r="AN654"/>
  <c r="AO654"/>
  <c r="AP654"/>
  <c r="AQ654"/>
  <c r="AR654"/>
  <c r="AS654"/>
  <c r="AT654"/>
  <c r="AU654"/>
  <c r="AV654"/>
  <c r="AW654"/>
  <c r="AX654"/>
  <c r="AY654"/>
  <c r="AZ654"/>
  <c r="BA654"/>
  <c r="BB654"/>
  <c r="BC654"/>
  <c r="BD654"/>
  <c r="BE654"/>
  <c r="BF654"/>
  <c r="BG654"/>
  <c r="BH654"/>
  <c r="BI654"/>
  <c r="BJ654"/>
  <c r="BK654"/>
  <c r="BL654"/>
  <c r="CP654"/>
  <c r="DB654"/>
  <c r="E655"/>
  <c r="G655"/>
  <c r="L655"/>
  <c r="N655"/>
  <c r="O655"/>
  <c r="P655"/>
  <c r="R655"/>
  <c r="S655"/>
  <c r="T655"/>
  <c r="U655"/>
  <c r="V655"/>
  <c r="X655"/>
  <c r="AA655"/>
  <c r="AC655"/>
  <c r="AD655"/>
  <c r="AE655"/>
  <c r="AG655"/>
  <c r="AI655"/>
  <c r="AJ655"/>
  <c r="AN655"/>
  <c r="AW655"/>
  <c r="E656"/>
  <c r="G656"/>
  <c r="I656"/>
  <c r="J656"/>
  <c r="K656"/>
  <c r="L656"/>
  <c r="M656"/>
  <c r="N656"/>
  <c r="O656"/>
  <c r="P656"/>
  <c r="Q656"/>
  <c r="R656"/>
  <c r="S656"/>
  <c r="T656"/>
  <c r="U656"/>
  <c r="V656"/>
  <c r="W656"/>
  <c r="X656"/>
  <c r="Y656"/>
  <c r="Z656"/>
  <c r="AA656"/>
  <c r="AB656"/>
  <c r="AC656"/>
  <c r="AD656"/>
  <c r="AE656"/>
  <c r="AF656"/>
  <c r="AG656"/>
  <c r="AH656"/>
  <c r="AI656"/>
  <c r="AJ656"/>
  <c r="AL656"/>
  <c r="AM656"/>
  <c r="AN656"/>
  <c r="AO656"/>
  <c r="AP656"/>
  <c r="AQ656"/>
  <c r="AR656"/>
  <c r="AS656"/>
  <c r="AT656"/>
  <c r="AU656"/>
  <c r="AV656"/>
  <c r="AW656"/>
  <c r="AX656"/>
  <c r="AY656"/>
  <c r="AZ656"/>
  <c r="BA656"/>
  <c r="BB656"/>
  <c r="BC656"/>
  <c r="BD656"/>
  <c r="BE656"/>
  <c r="BF656"/>
  <c r="BG656"/>
  <c r="BH656"/>
  <c r="BI656"/>
  <c r="BJ656"/>
  <c r="BK656"/>
  <c r="BL656"/>
  <c r="CP656"/>
  <c r="E657"/>
  <c r="G657"/>
  <c r="J657"/>
  <c r="K657"/>
  <c r="L657"/>
  <c r="M657"/>
  <c r="N657"/>
  <c r="O657"/>
  <c r="P657"/>
  <c r="Q657"/>
  <c r="R657"/>
  <c r="S657"/>
  <c r="T657"/>
  <c r="U657"/>
  <c r="V657"/>
  <c r="W657"/>
  <c r="X657"/>
  <c r="Y657"/>
  <c r="AA657"/>
  <c r="AB657"/>
  <c r="AC657"/>
  <c r="AD657"/>
  <c r="AE657"/>
  <c r="AF657"/>
  <c r="AG657"/>
  <c r="AH657"/>
  <c r="AI657"/>
  <c r="AJ657"/>
  <c r="AM657"/>
  <c r="AN657"/>
  <c r="AP657"/>
  <c r="AQ657"/>
  <c r="AR657"/>
  <c r="AS657"/>
  <c r="AU657"/>
  <c r="AV657"/>
  <c r="AW657"/>
  <c r="AX657"/>
  <c r="AY657"/>
  <c r="AZ657"/>
  <c r="BA657"/>
  <c r="BD657"/>
  <c r="BG657"/>
  <c r="BJ657"/>
  <c r="BL657"/>
  <c r="E658"/>
  <c r="G658"/>
  <c r="J658"/>
  <c r="K658"/>
  <c r="L658"/>
  <c r="M658"/>
  <c r="N658"/>
  <c r="O658"/>
  <c r="P658"/>
  <c r="Q658"/>
  <c r="R658"/>
  <c r="S658"/>
  <c r="T658"/>
  <c r="U658"/>
  <c r="V658"/>
  <c r="W658"/>
  <c r="X658"/>
  <c r="Y658"/>
  <c r="Z658"/>
  <c r="AA658"/>
  <c r="AB658"/>
  <c r="AC658"/>
  <c r="AD658"/>
  <c r="AE658"/>
  <c r="AF658"/>
  <c r="AG658"/>
  <c r="AH658"/>
  <c r="AI658"/>
  <c r="AJ658"/>
  <c r="AL658"/>
  <c r="AM658"/>
  <c r="AN658"/>
  <c r="AO658"/>
  <c r="AP658"/>
  <c r="AQ658"/>
  <c r="AR658"/>
  <c r="AS658"/>
  <c r="AT658"/>
  <c r="AU658"/>
  <c r="AV658"/>
  <c r="AW658"/>
  <c r="AX658"/>
  <c r="AY658"/>
  <c r="AZ658"/>
  <c r="BA658"/>
  <c r="BB658"/>
  <c r="BC658"/>
  <c r="BD658"/>
  <c r="BE658"/>
  <c r="BF658"/>
  <c r="BG658"/>
  <c r="BH658"/>
  <c r="BI658"/>
  <c r="BJ658"/>
  <c r="BK658"/>
  <c r="BL658"/>
  <c r="CP658"/>
  <c r="E659"/>
  <c r="G659"/>
  <c r="J659"/>
  <c r="K659"/>
  <c r="L659"/>
  <c r="M659"/>
  <c r="N659"/>
  <c r="O659"/>
  <c r="P659"/>
  <c r="S659"/>
  <c r="T659"/>
  <c r="U659"/>
  <c r="V659"/>
  <c r="W659"/>
  <c r="X659"/>
  <c r="Y659"/>
  <c r="Z659"/>
  <c r="AA659"/>
  <c r="AB659"/>
  <c r="AC659"/>
  <c r="AD659"/>
  <c r="AE659"/>
  <c r="AF659"/>
  <c r="AG659"/>
  <c r="AH659"/>
  <c r="AI659"/>
  <c r="AJ659"/>
  <c r="CP659"/>
  <c r="CR659"/>
  <c r="CS659"/>
  <c r="CT659"/>
  <c r="CV659"/>
  <c r="CY659"/>
  <c r="CZ659"/>
  <c r="DA659"/>
  <c r="DB659"/>
  <c r="DC659"/>
  <c r="DD659"/>
  <c r="DE659"/>
  <c r="DF659"/>
  <c r="DG659"/>
  <c r="DH659"/>
  <c r="DI659"/>
  <c r="DJ659"/>
  <c r="DK659"/>
  <c r="DL659"/>
  <c r="DM659"/>
  <c r="DN659"/>
  <c r="DO659"/>
  <c r="DP659"/>
  <c r="I661"/>
  <c r="E664" i="3" s="1"/>
  <c r="AL664" i="1"/>
  <c r="CP664" s="1"/>
  <c r="AM664"/>
  <c r="AN664"/>
  <c r="CR664" s="1"/>
  <c r="AO664"/>
  <c r="AP664"/>
  <c r="AQ664"/>
  <c r="AR664"/>
  <c r="AS664"/>
  <c r="AT664"/>
  <c r="CX664" s="1"/>
  <c r="AU664"/>
  <c r="CY664" s="1"/>
  <c r="AV664"/>
  <c r="CZ664"/>
  <c r="AW664"/>
  <c r="DA664"/>
  <c r="AX664"/>
  <c r="DB664"/>
  <c r="AY664"/>
  <c r="AZ664"/>
  <c r="CB664" s="1"/>
  <c r="BA664"/>
  <c r="DE664" s="1"/>
  <c r="BB664"/>
  <c r="DF664"/>
  <c r="CQ664"/>
  <c r="CS664"/>
  <c r="CU664"/>
  <c r="CW664"/>
  <c r="DC664"/>
  <c r="DZ664"/>
  <c r="AI665"/>
  <c r="AH665" s="1"/>
  <c r="AL665"/>
  <c r="CP665" s="1"/>
  <c r="AM665"/>
  <c r="AN665"/>
  <c r="CR665"/>
  <c r="AO665"/>
  <c r="AP665"/>
  <c r="CT665" s="1"/>
  <c r="AQ665"/>
  <c r="AR665"/>
  <c r="CV665"/>
  <c r="AS665"/>
  <c r="AT665"/>
  <c r="CX665" s="1"/>
  <c r="AU665"/>
  <c r="AV665"/>
  <c r="CZ665"/>
  <c r="AW665"/>
  <c r="AX665"/>
  <c r="DB665" s="1"/>
  <c r="AY665"/>
  <c r="AZ665"/>
  <c r="DD665"/>
  <c r="EA665" s="1"/>
  <c r="CQ665"/>
  <c r="CS665"/>
  <c r="CU665"/>
  <c r="CW665"/>
  <c r="CY665"/>
  <c r="DA665"/>
  <c r="DC665"/>
  <c r="DZ665"/>
  <c r="AL666"/>
  <c r="CP666" s="1"/>
  <c r="AM666"/>
  <c r="CQ666"/>
  <c r="AN666"/>
  <c r="AO666"/>
  <c r="CS666" s="1"/>
  <c r="AP666"/>
  <c r="CT666" s="1"/>
  <c r="AQ666"/>
  <c r="CU666" s="1"/>
  <c r="AR666"/>
  <c r="CV666" s="1"/>
  <c r="AS666"/>
  <c r="CW666"/>
  <c r="AT666"/>
  <c r="AU666"/>
  <c r="CY666" s="1"/>
  <c r="AV666"/>
  <c r="CZ666" s="1"/>
  <c r="AW666"/>
  <c r="DA666"/>
  <c r="AX666"/>
  <c r="DB666"/>
  <c r="AY666"/>
  <c r="DC666"/>
  <c r="AZ666"/>
  <c r="BA666"/>
  <c r="DE666" s="1"/>
  <c r="BB666"/>
  <c r="CR666"/>
  <c r="CX666"/>
  <c r="DD666"/>
  <c r="EA666" s="1"/>
  <c r="DF666"/>
  <c r="DZ666"/>
  <c r="AI667"/>
  <c r="AH667" s="1"/>
  <c r="AL667"/>
  <c r="CP667" s="1"/>
  <c r="AM667"/>
  <c r="AN667"/>
  <c r="CR667" s="1"/>
  <c r="AO667"/>
  <c r="AP667"/>
  <c r="CT667" s="1"/>
  <c r="AQ667"/>
  <c r="AR667"/>
  <c r="CV667" s="1"/>
  <c r="AS667"/>
  <c r="AT667"/>
  <c r="CX667" s="1"/>
  <c r="AU667"/>
  <c r="AV667"/>
  <c r="CZ667" s="1"/>
  <c r="AW667"/>
  <c r="AX667"/>
  <c r="DB667" s="1"/>
  <c r="AY667"/>
  <c r="AZ667"/>
  <c r="DD667" s="1"/>
  <c r="EA667" s="1"/>
  <c r="CQ667"/>
  <c r="CS667"/>
  <c r="CU667"/>
  <c r="CW667"/>
  <c r="CY667"/>
  <c r="DA667"/>
  <c r="DC667"/>
  <c r="DZ667"/>
  <c r="EJ667"/>
  <c r="AL668"/>
  <c r="CP668"/>
  <c r="AM668"/>
  <c r="CQ668"/>
  <c r="AN668"/>
  <c r="CR668"/>
  <c r="AO668"/>
  <c r="CS668"/>
  <c r="AP668"/>
  <c r="AQ668"/>
  <c r="AR668"/>
  <c r="CV668"/>
  <c r="AS668"/>
  <c r="AT668"/>
  <c r="CX668" s="1"/>
  <c r="AU668"/>
  <c r="CY668" s="1"/>
  <c r="AV668"/>
  <c r="AW668"/>
  <c r="DA668"/>
  <c r="AX668"/>
  <c r="DB668"/>
  <c r="AY668"/>
  <c r="AZ668"/>
  <c r="DD668" s="1"/>
  <c r="EA668" s="1"/>
  <c r="BA668"/>
  <c r="BB668"/>
  <c r="DF668" s="1"/>
  <c r="CU668"/>
  <c r="CW668"/>
  <c r="DC668"/>
  <c r="DE668"/>
  <c r="DZ668"/>
  <c r="AL669"/>
  <c r="AM669"/>
  <c r="AN669"/>
  <c r="AO669"/>
  <c r="AP669"/>
  <c r="AQ669"/>
  <c r="AR669"/>
  <c r="AS669"/>
  <c r="AT669"/>
  <c r="AU669"/>
  <c r="AV669"/>
  <c r="AW669"/>
  <c r="AX669"/>
  <c r="DB669"/>
  <c r="AY669"/>
  <c r="AZ669"/>
  <c r="BJ669"/>
  <c r="DN669" s="1"/>
  <c r="BK669"/>
  <c r="BL669"/>
  <c r="CP669"/>
  <c r="AL670"/>
  <c r="AM670"/>
  <c r="CQ670" s="1"/>
  <c r="AN670"/>
  <c r="CR670" s="1"/>
  <c r="AO670"/>
  <c r="AP670"/>
  <c r="CT670"/>
  <c r="AQ670"/>
  <c r="CU670"/>
  <c r="AR670"/>
  <c r="AS670"/>
  <c r="CW670" s="1"/>
  <c r="AT670"/>
  <c r="AU670"/>
  <c r="AV670"/>
  <c r="CZ670" s="1"/>
  <c r="AW670"/>
  <c r="AX670"/>
  <c r="AY670"/>
  <c r="DC670"/>
  <c r="BJ670"/>
  <c r="EE670" s="1"/>
  <c r="BK670"/>
  <c r="DO670" s="1"/>
  <c r="BL670"/>
  <c r="BP670"/>
  <c r="BN670" s="1"/>
  <c r="CP670"/>
  <c r="CV670"/>
  <c r="CX670"/>
  <c r="DB670"/>
  <c r="DP670"/>
  <c r="K671"/>
  <c r="L671" s="1"/>
  <c r="AL671"/>
  <c r="AX671"/>
  <c r="AY671" s="1"/>
  <c r="CP671"/>
  <c r="DN671"/>
  <c r="DO671" s="1"/>
  <c r="DP671" s="1"/>
  <c r="V672"/>
  <c r="W672"/>
  <c r="AY672" s="1"/>
  <c r="X672"/>
  <c r="CB672" s="1"/>
  <c r="Y672"/>
  <c r="BA672" s="1"/>
  <c r="CE672" s="1"/>
  <c r="Z672"/>
  <c r="BB672" s="1"/>
  <c r="AA672"/>
  <c r="AB672"/>
  <c r="BD672" s="1"/>
  <c r="AC672"/>
  <c r="BE672" s="1"/>
  <c r="AD672"/>
  <c r="AE672"/>
  <c r="BG672"/>
  <c r="AF672"/>
  <c r="AL672"/>
  <c r="AM672"/>
  <c r="AN672"/>
  <c r="AO672"/>
  <c r="AP672"/>
  <c r="AQ672"/>
  <c r="AR672"/>
  <c r="AS672"/>
  <c r="AT672"/>
  <c r="AU672"/>
  <c r="AV672"/>
  <c r="AW672"/>
  <c r="AX672"/>
  <c r="BH672"/>
  <c r="BI672"/>
  <c r="BJ672"/>
  <c r="BK672"/>
  <c r="BL672"/>
  <c r="AL673"/>
  <c r="AM673"/>
  <c r="AN673"/>
  <c r="AO673"/>
  <c r="AP673"/>
  <c r="AQ673"/>
  <c r="AR673"/>
  <c r="AS673"/>
  <c r="AT673"/>
  <c r="AU673"/>
  <c r="BY673" s="1"/>
  <c r="AV673"/>
  <c r="AW673"/>
  <c r="AX673"/>
  <c r="DB673" s="1"/>
  <c r="AY673"/>
  <c r="BJ673"/>
  <c r="DN673"/>
  <c r="BK673"/>
  <c r="BL673"/>
  <c r="AL674"/>
  <c r="AM674"/>
  <c r="AN674"/>
  <c r="BP674" s="1"/>
  <c r="AO674"/>
  <c r="AP674"/>
  <c r="AQ674"/>
  <c r="AR674"/>
  <c r="BV674" s="1"/>
  <c r="AS674"/>
  <c r="AT674"/>
  <c r="AU674"/>
  <c r="AV674"/>
  <c r="AW674"/>
  <c r="AX674"/>
  <c r="AX918" s="1"/>
  <c r="BJ674"/>
  <c r="DN674" s="1"/>
  <c r="BK674"/>
  <c r="BL674"/>
  <c r="J675"/>
  <c r="AL675" s="1"/>
  <c r="K675"/>
  <c r="L675"/>
  <c r="M675"/>
  <c r="N675"/>
  <c r="AP675"/>
  <c r="AP717" s="1"/>
  <c r="O675"/>
  <c r="P675"/>
  <c r="Q675"/>
  <c r="AT675" s="1"/>
  <c r="AT717" s="1"/>
  <c r="R675"/>
  <c r="S675"/>
  <c r="T675"/>
  <c r="U675"/>
  <c r="AX675"/>
  <c r="DB675" s="1"/>
  <c r="DC675" s="1"/>
  <c r="AY675"/>
  <c r="BJ675"/>
  <c r="DN675"/>
  <c r="BK675"/>
  <c r="BL675"/>
  <c r="AL676"/>
  <c r="AM676"/>
  <c r="BP676" s="1"/>
  <c r="AN676"/>
  <c r="AO676"/>
  <c r="AP676"/>
  <c r="AQ676"/>
  <c r="AR676"/>
  <c r="AS676"/>
  <c r="AT676"/>
  <c r="AU676"/>
  <c r="AV676"/>
  <c r="AW676"/>
  <c r="BY676" s="1"/>
  <c r="AX676"/>
  <c r="DB676"/>
  <c r="DC676" s="1"/>
  <c r="DD676" s="1"/>
  <c r="DE676" s="1"/>
  <c r="AY676"/>
  <c r="BJ676"/>
  <c r="BK676"/>
  <c r="BL676"/>
  <c r="CL676"/>
  <c r="CM676"/>
  <c r="CP676"/>
  <c r="CQ676" s="1"/>
  <c r="CR676" s="1"/>
  <c r="CS676" s="1"/>
  <c r="CT676" s="1"/>
  <c r="CU676" s="1"/>
  <c r="CV676" s="1"/>
  <c r="CW676" s="1"/>
  <c r="CX676" s="1"/>
  <c r="CY676" s="1"/>
  <c r="CZ676" s="1"/>
  <c r="DA676" s="1"/>
  <c r="EA676" s="1"/>
  <c r="DN676"/>
  <c r="DO676"/>
  <c r="DP676" s="1"/>
  <c r="AL677"/>
  <c r="CP677" s="1"/>
  <c r="AM677"/>
  <c r="AN677"/>
  <c r="BP677"/>
  <c r="AO677"/>
  <c r="AP677"/>
  <c r="AQ677"/>
  <c r="AR677"/>
  <c r="BV677" s="1"/>
  <c r="AS677"/>
  <c r="AT677"/>
  <c r="AU677"/>
  <c r="AV677"/>
  <c r="BY677"/>
  <c r="AW677"/>
  <c r="AX677"/>
  <c r="DB677" s="1"/>
  <c r="DC677" s="1"/>
  <c r="AY677"/>
  <c r="AZ677"/>
  <c r="BJ677"/>
  <c r="DN677"/>
  <c r="BK677"/>
  <c r="BL677"/>
  <c r="CL677"/>
  <c r="CM677"/>
  <c r="AL678"/>
  <c r="CP678"/>
  <c r="AM678"/>
  <c r="AN678"/>
  <c r="AO678"/>
  <c r="AP678"/>
  <c r="AQ678"/>
  <c r="AR678"/>
  <c r="AS678"/>
  <c r="AT678"/>
  <c r="AU678"/>
  <c r="AV678"/>
  <c r="BY678" s="1"/>
  <c r="AW678"/>
  <c r="AX678"/>
  <c r="AY678"/>
  <c r="AZ678"/>
  <c r="BA678"/>
  <c r="BB678"/>
  <c r="BC678"/>
  <c r="BD678"/>
  <c r="BE678"/>
  <c r="BF678"/>
  <c r="BG678"/>
  <c r="BH678"/>
  <c r="BI678"/>
  <c r="BJ678"/>
  <c r="DN678"/>
  <c r="BK678"/>
  <c r="BL678"/>
  <c r="DB678"/>
  <c r="DC678"/>
  <c r="DD678" s="1"/>
  <c r="DE678" s="1"/>
  <c r="DF678" s="1"/>
  <c r="DG678" s="1"/>
  <c r="DH678" s="1"/>
  <c r="DI678" s="1"/>
  <c r="DJ678" s="1"/>
  <c r="DK678" s="1"/>
  <c r="DL678" s="1"/>
  <c r="DM678" s="1"/>
  <c r="EB678" s="1"/>
  <c r="EG678" s="1"/>
  <c r="EE678"/>
  <c r="Y679"/>
  <c r="BA679" s="1"/>
  <c r="AC679"/>
  <c r="AL679"/>
  <c r="CP679"/>
  <c r="CQ679" s="1"/>
  <c r="AM679"/>
  <c r="AN679"/>
  <c r="AO679"/>
  <c r="AP679"/>
  <c r="BS679"/>
  <c r="AQ679"/>
  <c r="AR679"/>
  <c r="AS679"/>
  <c r="AT679"/>
  <c r="AU679"/>
  <c r="AV679"/>
  <c r="AW679"/>
  <c r="AX679"/>
  <c r="DB679" s="1"/>
  <c r="DC679" s="1"/>
  <c r="AY679"/>
  <c r="AZ679"/>
  <c r="BC679"/>
  <c r="BD679"/>
  <c r="BJ679"/>
  <c r="BK679"/>
  <c r="BL679"/>
  <c r="Y680"/>
  <c r="DE680"/>
  <c r="AA680"/>
  <c r="AB680"/>
  <c r="CP680"/>
  <c r="CQ680"/>
  <c r="CR680"/>
  <c r="CS680"/>
  <c r="CT680"/>
  <c r="CU680"/>
  <c r="CV680"/>
  <c r="CW680"/>
  <c r="CX680"/>
  <c r="CY680"/>
  <c r="CZ680"/>
  <c r="DA680"/>
  <c r="EA680" s="1"/>
  <c r="DB680"/>
  <c r="DC680"/>
  <c r="DD680"/>
  <c r="DF680"/>
  <c r="DM680"/>
  <c r="EB680" s="1"/>
  <c r="DN680"/>
  <c r="DO680"/>
  <c r="DP680"/>
  <c r="EE680"/>
  <c r="EO705" s="1"/>
  <c r="EF680"/>
  <c r="EP705" s="1"/>
  <c r="Y681"/>
  <c r="DE681"/>
  <c r="DE718" s="1"/>
  <c r="AA681"/>
  <c r="AB681" s="1"/>
  <c r="CP681"/>
  <c r="CQ681"/>
  <c r="CR681"/>
  <c r="CS681"/>
  <c r="CT681"/>
  <c r="CU681"/>
  <c r="CV681"/>
  <c r="CW681"/>
  <c r="CX681"/>
  <c r="CY681"/>
  <c r="CZ681"/>
  <c r="DA681"/>
  <c r="DB681"/>
  <c r="DC681"/>
  <c r="DD681"/>
  <c r="DF681"/>
  <c r="DM681"/>
  <c r="EB681" s="1"/>
  <c r="DN681"/>
  <c r="DO681"/>
  <c r="DP681"/>
  <c r="EA681"/>
  <c r="EE681"/>
  <c r="EO706" s="1"/>
  <c r="EF681"/>
  <c r="EP706" s="1"/>
  <c r="J682"/>
  <c r="K682"/>
  <c r="L682"/>
  <c r="AN682" s="1"/>
  <c r="M682"/>
  <c r="AO682" s="1"/>
  <c r="N682"/>
  <c r="AP682"/>
  <c r="AP716" s="1"/>
  <c r="O682"/>
  <c r="AQ682" s="1"/>
  <c r="AQ716" s="1"/>
  <c r="P682"/>
  <c r="AR682"/>
  <c r="Q682"/>
  <c r="R682"/>
  <c r="AT682" s="1"/>
  <c r="S682"/>
  <c r="AU682" s="1"/>
  <c r="T682"/>
  <c r="AV682"/>
  <c r="U682"/>
  <c r="AL682"/>
  <c r="CP682" s="1"/>
  <c r="AM682"/>
  <c r="AS682"/>
  <c r="AW682"/>
  <c r="DB682"/>
  <c r="DC682" s="1"/>
  <c r="DD682" s="1"/>
  <c r="DE682" s="1"/>
  <c r="DF682" s="1"/>
  <c r="DG682" s="1"/>
  <c r="DH682" s="1"/>
  <c r="DI682" s="1"/>
  <c r="DJ682" s="1"/>
  <c r="DK682" s="1"/>
  <c r="DL682" s="1"/>
  <c r="DM682" s="1"/>
  <c r="EB682" s="1"/>
  <c r="J683"/>
  <c r="K683"/>
  <c r="AM683" s="1"/>
  <c r="L683"/>
  <c r="M683"/>
  <c r="AO683"/>
  <c r="N683"/>
  <c r="AP683"/>
  <c r="O683"/>
  <c r="AQ683"/>
  <c r="P683"/>
  <c r="AR683"/>
  <c r="Q683"/>
  <c r="R683"/>
  <c r="S683"/>
  <c r="T683"/>
  <c r="U683"/>
  <c r="AW683"/>
  <c r="AW714" s="1"/>
  <c r="V683"/>
  <c r="AX683" s="1"/>
  <c r="W683"/>
  <c r="AY683"/>
  <c r="X683"/>
  <c r="AZ683"/>
  <c r="AZ714" s="1"/>
  <c r="AJ683"/>
  <c r="BL683" s="1"/>
  <c r="AL683"/>
  <c r="BN683" s="1"/>
  <c r="AN683"/>
  <c r="AS683"/>
  <c r="AT683"/>
  <c r="AU683"/>
  <c r="BW683"/>
  <c r="AV683"/>
  <c r="X684"/>
  <c r="AZ684" s="1"/>
  <c r="CB684" s="1"/>
  <c r="DD684" s="1"/>
  <c r="Y684"/>
  <c r="BA684" s="1"/>
  <c r="CC684" s="1"/>
  <c r="DE684" s="1"/>
  <c r="Z684"/>
  <c r="BB684" s="1"/>
  <c r="CD684" s="1"/>
  <c r="DF684" s="1"/>
  <c r="AA684"/>
  <c r="BC684" s="1"/>
  <c r="CE684" s="1"/>
  <c r="DG684" s="1"/>
  <c r="AB684"/>
  <c r="BD684" s="1"/>
  <c r="CF684" s="1"/>
  <c r="DH684" s="1"/>
  <c r="AC684"/>
  <c r="BE684" s="1"/>
  <c r="CG684" s="1"/>
  <c r="DI684" s="1"/>
  <c r="AD684"/>
  <c r="BF684" s="1"/>
  <c r="AE684"/>
  <c r="BG684" s="1"/>
  <c r="CI684" s="1"/>
  <c r="DK684" s="1"/>
  <c r="AF684"/>
  <c r="BH684" s="1"/>
  <c r="CJ684" s="1"/>
  <c r="DL684" s="1"/>
  <c r="AG684"/>
  <c r="BI684" s="1"/>
  <c r="CK684" s="1"/>
  <c r="DM684" s="1"/>
  <c r="AH684"/>
  <c r="BJ684" s="1"/>
  <c r="CL684" s="1"/>
  <c r="DN684" s="1"/>
  <c r="EA684"/>
  <c r="EB684"/>
  <c r="J685"/>
  <c r="K685"/>
  <c r="V685"/>
  <c r="DB685" s="1"/>
  <c r="X685"/>
  <c r="AH685"/>
  <c r="CL685" s="1"/>
  <c r="AI685"/>
  <c r="AJ685"/>
  <c r="AL685"/>
  <c r="BN685" s="1"/>
  <c r="AX685"/>
  <c r="BJ685"/>
  <c r="BK685"/>
  <c r="BL685"/>
  <c r="CP685"/>
  <c r="CP672" s="1"/>
  <c r="CP715" s="1"/>
  <c r="DN685"/>
  <c r="EG685"/>
  <c r="AL687"/>
  <c r="AM687"/>
  <c r="AN687"/>
  <c r="CR687"/>
  <c r="AO687"/>
  <c r="CS687"/>
  <c r="AP687"/>
  <c r="BS687"/>
  <c r="AQ687"/>
  <c r="CU687"/>
  <c r="AR687"/>
  <c r="CV687"/>
  <c r="AS687"/>
  <c r="AT687"/>
  <c r="CX687" s="1"/>
  <c r="AU687"/>
  <c r="AV687"/>
  <c r="CZ687"/>
  <c r="AW687"/>
  <c r="DA687"/>
  <c r="AX687"/>
  <c r="AY687"/>
  <c r="AZ687"/>
  <c r="DD687"/>
  <c r="BA687"/>
  <c r="DE687"/>
  <c r="BB687"/>
  <c r="BC687"/>
  <c r="BD687"/>
  <c r="DH687"/>
  <c r="BE687"/>
  <c r="BF687"/>
  <c r="BG687"/>
  <c r="BH687"/>
  <c r="BI687"/>
  <c r="EH687"/>
  <c r="BJ687"/>
  <c r="DN687"/>
  <c r="BK687"/>
  <c r="BL687"/>
  <c r="DP687" s="1"/>
  <c r="CP687"/>
  <c r="DB687"/>
  <c r="DG687"/>
  <c r="DI687"/>
  <c r="DO687"/>
  <c r="EK687"/>
  <c r="AL688"/>
  <c r="CP688" s="1"/>
  <c r="AM688"/>
  <c r="AN688"/>
  <c r="AO688"/>
  <c r="AP688"/>
  <c r="CT688"/>
  <c r="AQ688"/>
  <c r="CU688"/>
  <c r="AR688"/>
  <c r="AS688"/>
  <c r="BV688" s="1"/>
  <c r="BU688" s="1"/>
  <c r="AT688"/>
  <c r="CX688"/>
  <c r="AU688"/>
  <c r="AV688"/>
  <c r="CZ688" s="1"/>
  <c r="AW688"/>
  <c r="DA688"/>
  <c r="AX688"/>
  <c r="DB688"/>
  <c r="AY688"/>
  <c r="AZ688"/>
  <c r="DD688" s="1"/>
  <c r="BA688"/>
  <c r="DE688" s="1"/>
  <c r="BB688"/>
  <c r="DF688" s="1"/>
  <c r="BC688"/>
  <c r="BD688"/>
  <c r="DH688"/>
  <c r="BE688"/>
  <c r="DI688"/>
  <c r="BF688"/>
  <c r="DJ688"/>
  <c r="BG688"/>
  <c r="DK688"/>
  <c r="BH688"/>
  <c r="BI688"/>
  <c r="DM688" s="1"/>
  <c r="BJ688"/>
  <c r="BK688"/>
  <c r="DO688" s="1"/>
  <c r="BL688"/>
  <c r="CR688"/>
  <c r="CV688"/>
  <c r="DL688"/>
  <c r="DP688"/>
  <c r="EK688"/>
  <c r="AL689"/>
  <c r="CP689" s="1"/>
  <c r="AM689"/>
  <c r="CQ689" s="1"/>
  <c r="AN689"/>
  <c r="CR689" s="1"/>
  <c r="AO689"/>
  <c r="BS689" s="1"/>
  <c r="AP689"/>
  <c r="AQ689"/>
  <c r="AR689"/>
  <c r="CV689" s="1"/>
  <c r="AS689"/>
  <c r="AT689"/>
  <c r="CX689"/>
  <c r="AU689"/>
  <c r="AV689"/>
  <c r="AW689"/>
  <c r="AX689"/>
  <c r="DB689" s="1"/>
  <c r="AY689"/>
  <c r="DC689" s="1"/>
  <c r="AZ689"/>
  <c r="DD689" s="1"/>
  <c r="BA689"/>
  <c r="DE689" s="1"/>
  <c r="BB689"/>
  <c r="DF689"/>
  <c r="BC689"/>
  <c r="BD689"/>
  <c r="DH689" s="1"/>
  <c r="BE689"/>
  <c r="DI689" s="1"/>
  <c r="BF689"/>
  <c r="DJ689" s="1"/>
  <c r="BG689"/>
  <c r="DK689" s="1"/>
  <c r="BH689"/>
  <c r="EH689"/>
  <c r="BI689"/>
  <c r="DM689"/>
  <c r="BJ689"/>
  <c r="BK689"/>
  <c r="DO689" s="1"/>
  <c r="BL689"/>
  <c r="DP689"/>
  <c r="CW689"/>
  <c r="CY689"/>
  <c r="DA689"/>
  <c r="DG689"/>
  <c r="EK689"/>
  <c r="AL690"/>
  <c r="CP690" s="1"/>
  <c r="AM690"/>
  <c r="CQ690" s="1"/>
  <c r="AN690"/>
  <c r="CR690" s="1"/>
  <c r="AO690"/>
  <c r="BS690" s="1"/>
  <c r="AP690"/>
  <c r="CT690" s="1"/>
  <c r="AQ690"/>
  <c r="CU690" s="1"/>
  <c r="AR690"/>
  <c r="CV690"/>
  <c r="AS690"/>
  <c r="AT690"/>
  <c r="CX690" s="1"/>
  <c r="AU690"/>
  <c r="CY690" s="1"/>
  <c r="AV690"/>
  <c r="CZ690" s="1"/>
  <c r="AW690"/>
  <c r="DA690" s="1"/>
  <c r="AX690"/>
  <c r="DB690"/>
  <c r="AJ668" i="3" s="1"/>
  <c r="AY690" i="1"/>
  <c r="AZ690"/>
  <c r="CB690"/>
  <c r="BA690"/>
  <c r="DE690"/>
  <c r="BB690"/>
  <c r="BC690"/>
  <c r="BD690"/>
  <c r="DH690"/>
  <c r="BE690"/>
  <c r="BF690"/>
  <c r="DJ690" s="1"/>
  <c r="BG690"/>
  <c r="BH690"/>
  <c r="CK690"/>
  <c r="BI690"/>
  <c r="DM690"/>
  <c r="BJ690"/>
  <c r="DN690" s="1"/>
  <c r="BK690"/>
  <c r="BL690"/>
  <c r="DP690" s="1"/>
  <c r="CS690"/>
  <c r="CW690"/>
  <c r="DC690"/>
  <c r="AK668" i="3" s="1"/>
  <c r="DG690" i="1"/>
  <c r="DI690"/>
  <c r="DK690"/>
  <c r="DO690"/>
  <c r="EK690"/>
  <c r="AL691"/>
  <c r="AM691"/>
  <c r="AN691"/>
  <c r="AO691"/>
  <c r="BS691" s="1"/>
  <c r="AP691"/>
  <c r="AQ691"/>
  <c r="AR691"/>
  <c r="AS691"/>
  <c r="AT691"/>
  <c r="AU691"/>
  <c r="AV691"/>
  <c r="AW691"/>
  <c r="AX691"/>
  <c r="AY691"/>
  <c r="AZ691"/>
  <c r="DD691"/>
  <c r="AL669" i="3" s="1"/>
  <c r="BA691" i="1"/>
  <c r="BB691"/>
  <c r="DF691"/>
  <c r="AN669" i="3" s="1"/>
  <c r="BC691" i="1"/>
  <c r="DG691" s="1"/>
  <c r="BD691"/>
  <c r="DH691" s="1"/>
  <c r="BE691"/>
  <c r="BF691"/>
  <c r="DJ691"/>
  <c r="BG691"/>
  <c r="DK691"/>
  <c r="BH691"/>
  <c r="BI691"/>
  <c r="DM691" s="1"/>
  <c r="BJ691"/>
  <c r="DN691" s="1"/>
  <c r="BK691"/>
  <c r="DO691" s="1"/>
  <c r="BL691"/>
  <c r="CP691"/>
  <c r="CQ691"/>
  <c r="CR691"/>
  <c r="CS691"/>
  <c r="CT691"/>
  <c r="CU691"/>
  <c r="CV691"/>
  <c r="CW691"/>
  <c r="CX691"/>
  <c r="CY691"/>
  <c r="CZ691"/>
  <c r="DA691"/>
  <c r="DB691"/>
  <c r="DC691"/>
  <c r="AK669" i="3" s="1"/>
  <c r="DI691" i="1"/>
  <c r="DP691"/>
  <c r="EK691"/>
  <c r="AL692"/>
  <c r="AM692"/>
  <c r="AN692"/>
  <c r="AO692"/>
  <c r="AP692"/>
  <c r="AQ692"/>
  <c r="AR692"/>
  <c r="AS692"/>
  <c r="AT692"/>
  <c r="AU692"/>
  <c r="AV692"/>
  <c r="BY692"/>
  <c r="AW692"/>
  <c r="AX692"/>
  <c r="AY692"/>
  <c r="AZ692"/>
  <c r="BA692"/>
  <c r="BB692"/>
  <c r="BC692"/>
  <c r="BD692"/>
  <c r="BE692"/>
  <c r="CH692"/>
  <c r="BF692"/>
  <c r="BG692"/>
  <c r="BH692"/>
  <c r="BI692"/>
  <c r="BJ692"/>
  <c r="BK692"/>
  <c r="BL692"/>
  <c r="EK692"/>
  <c r="AL693"/>
  <c r="CP693"/>
  <c r="CQ693" s="1"/>
  <c r="AM693"/>
  <c r="AN693"/>
  <c r="AO693"/>
  <c r="BS693" s="1"/>
  <c r="AP693"/>
  <c r="AQ693"/>
  <c r="AR693"/>
  <c r="CV693" s="1"/>
  <c r="AS693"/>
  <c r="AT693"/>
  <c r="CX693"/>
  <c r="AU693"/>
  <c r="AV693"/>
  <c r="BY693" s="1"/>
  <c r="BX693" s="1"/>
  <c r="AW693"/>
  <c r="AX693"/>
  <c r="DB693" s="1"/>
  <c r="AY693"/>
  <c r="DC693" s="1"/>
  <c r="AZ693"/>
  <c r="DD693" s="1"/>
  <c r="BA693"/>
  <c r="DE693" s="1"/>
  <c r="BB693"/>
  <c r="DF693"/>
  <c r="BC693"/>
  <c r="DG693"/>
  <c r="BD693"/>
  <c r="BE693"/>
  <c r="BF693"/>
  <c r="BG693"/>
  <c r="BH693"/>
  <c r="DL693"/>
  <c r="BI693"/>
  <c r="DM693"/>
  <c r="BJ693"/>
  <c r="EH693" s="1"/>
  <c r="BK693"/>
  <c r="DO693" s="1"/>
  <c r="BL693"/>
  <c r="DP693" s="1"/>
  <c r="CW693"/>
  <c r="CY693"/>
  <c r="DA693"/>
  <c r="DI693"/>
  <c r="EK693"/>
  <c r="AL694"/>
  <c r="AM694"/>
  <c r="AN694"/>
  <c r="AO694"/>
  <c r="AP694"/>
  <c r="CT694" s="1"/>
  <c r="AQ694"/>
  <c r="AR694"/>
  <c r="CV694" s="1"/>
  <c r="AS694"/>
  <c r="AT694"/>
  <c r="CX694" s="1"/>
  <c r="AU694"/>
  <c r="AV694"/>
  <c r="CZ694" s="1"/>
  <c r="AW694"/>
  <c r="DA694"/>
  <c r="AX694"/>
  <c r="DB694"/>
  <c r="AY694"/>
  <c r="AZ694"/>
  <c r="CB694" s="1"/>
  <c r="BA694"/>
  <c r="BB694"/>
  <c r="BC694"/>
  <c r="BC905" s="1"/>
  <c r="BD694"/>
  <c r="DH694"/>
  <c r="BE694"/>
  <c r="DI694"/>
  <c r="BF694"/>
  <c r="BG694"/>
  <c r="BG905" s="1"/>
  <c r="BH694"/>
  <c r="BI694"/>
  <c r="BJ694"/>
  <c r="BK694"/>
  <c r="BL694"/>
  <c r="DP694" s="1"/>
  <c r="CS694"/>
  <c r="CU694"/>
  <c r="CW694"/>
  <c r="CY694"/>
  <c r="DF694"/>
  <c r="DO694"/>
  <c r="EK694"/>
  <c r="EQ694"/>
  <c r="ER694"/>
  <c r="ES694"/>
  <c r="AL695"/>
  <c r="CP695" s="1"/>
  <c r="AM695"/>
  <c r="AN695"/>
  <c r="AO695"/>
  <c r="CS695" s="1"/>
  <c r="AP695"/>
  <c r="AQ695"/>
  <c r="CU695" s="1"/>
  <c r="AR695"/>
  <c r="CV695" s="1"/>
  <c r="AS695"/>
  <c r="CW695" s="1"/>
  <c r="AT695"/>
  <c r="CX695" s="1"/>
  <c r="AU695"/>
  <c r="CY695" s="1"/>
  <c r="AV695"/>
  <c r="CZ695" s="1"/>
  <c r="AW695"/>
  <c r="AX695"/>
  <c r="DB695"/>
  <c r="AY695"/>
  <c r="DC695"/>
  <c r="AZ695"/>
  <c r="BA695"/>
  <c r="DE695" s="1"/>
  <c r="BB695"/>
  <c r="BC695"/>
  <c r="DG695"/>
  <c r="BD695"/>
  <c r="DH695"/>
  <c r="BE695"/>
  <c r="BF695"/>
  <c r="DJ695" s="1"/>
  <c r="BG695"/>
  <c r="DK695" s="1"/>
  <c r="BH695"/>
  <c r="BI695"/>
  <c r="DM695" s="1"/>
  <c r="BJ695"/>
  <c r="BK695"/>
  <c r="DO695" s="1"/>
  <c r="BL695"/>
  <c r="DP695"/>
  <c r="DA695"/>
  <c r="EK695"/>
  <c r="EQ695"/>
  <c r="ER695"/>
  <c r="ES695"/>
  <c r="AL696"/>
  <c r="AM696"/>
  <c r="AN696"/>
  <c r="AO696"/>
  <c r="AP696"/>
  <c r="AQ696"/>
  <c r="AR696"/>
  <c r="AS696"/>
  <c r="AT696"/>
  <c r="AU696"/>
  <c r="AV696"/>
  <c r="CB696"/>
  <c r="BZ696"/>
  <c r="CE696"/>
  <c r="CD696"/>
  <c r="CH696"/>
  <c r="CG696"/>
  <c r="CK696"/>
  <c r="CI696"/>
  <c r="CN696"/>
  <c r="CM696" s="1"/>
  <c r="CP696"/>
  <c r="CQ696" s="1"/>
  <c r="CR696" s="1"/>
  <c r="DB696"/>
  <c r="DC696"/>
  <c r="DD696" s="1"/>
  <c r="DE696" s="1"/>
  <c r="DF696" s="1"/>
  <c r="DG696" s="1"/>
  <c r="DH696" s="1"/>
  <c r="DI696" s="1"/>
  <c r="DJ696" s="1"/>
  <c r="DK696" s="1"/>
  <c r="DN696"/>
  <c r="DO696" s="1"/>
  <c r="EH696"/>
  <c r="EK696"/>
  <c r="AL697"/>
  <c r="AM697"/>
  <c r="AN697"/>
  <c r="AO697"/>
  <c r="AP697"/>
  <c r="AQ697"/>
  <c r="AR697"/>
  <c r="AS697"/>
  <c r="AT697"/>
  <c r="AU697"/>
  <c r="AV697"/>
  <c r="AW697"/>
  <c r="AX697"/>
  <c r="AY697"/>
  <c r="BD697"/>
  <c r="BE697"/>
  <c r="BE709"/>
  <c r="BF697"/>
  <c r="BG697"/>
  <c r="BI697"/>
  <c r="EH697"/>
  <c r="EL697" s="1"/>
  <c r="EQ697" s="1"/>
  <c r="BH697"/>
  <c r="BH709"/>
  <c r="BJ697"/>
  <c r="BK697"/>
  <c r="BL697"/>
  <c r="CP697"/>
  <c r="EK697"/>
  <c r="AL698"/>
  <c r="CP698" s="1"/>
  <c r="AM698"/>
  <c r="AN698"/>
  <c r="AO698"/>
  <c r="AP698"/>
  <c r="AQ698"/>
  <c r="AR698"/>
  <c r="AS698"/>
  <c r="AT698"/>
  <c r="AU698"/>
  <c r="AV698"/>
  <c r="AW698"/>
  <c r="AX698"/>
  <c r="DB698"/>
  <c r="AY698"/>
  <c r="AZ698"/>
  <c r="BA698"/>
  <c r="BB698"/>
  <c r="BC698"/>
  <c r="BD698"/>
  <c r="BE698"/>
  <c r="BF698"/>
  <c r="BG698"/>
  <c r="BH698"/>
  <c r="BI698"/>
  <c r="EH698"/>
  <c r="BJ698"/>
  <c r="DN698"/>
  <c r="BK698"/>
  <c r="BL698"/>
  <c r="EK698"/>
  <c r="AL699"/>
  <c r="AM699"/>
  <c r="AN699"/>
  <c r="AO699"/>
  <c r="AP699"/>
  <c r="AQ699"/>
  <c r="AR699"/>
  <c r="AS699"/>
  <c r="AT699"/>
  <c r="BV699" s="1"/>
  <c r="BU699" s="1"/>
  <c r="AU699"/>
  <c r="AV699"/>
  <c r="AW699"/>
  <c r="BY699" s="1"/>
  <c r="AX699"/>
  <c r="AY699"/>
  <c r="AZ699"/>
  <c r="CB699" s="1"/>
  <c r="BA699"/>
  <c r="BB699"/>
  <c r="BC699"/>
  <c r="BD699"/>
  <c r="BE699"/>
  <c r="BF699"/>
  <c r="BG699"/>
  <c r="BH699"/>
  <c r="BH905" s="1"/>
  <c r="BI699"/>
  <c r="BJ699"/>
  <c r="BK699"/>
  <c r="CN699" s="1"/>
  <c r="BL699"/>
  <c r="BP699"/>
  <c r="BN699" s="1"/>
  <c r="CP699"/>
  <c r="CQ699" s="1"/>
  <c r="CR699" s="1"/>
  <c r="EK699"/>
  <c r="AL700"/>
  <c r="AM700"/>
  <c r="AN700"/>
  <c r="AO700"/>
  <c r="AP700"/>
  <c r="AQ700"/>
  <c r="AR700"/>
  <c r="AS700"/>
  <c r="AT700"/>
  <c r="AU700"/>
  <c r="AV700"/>
  <c r="AW700"/>
  <c r="AX700"/>
  <c r="DB700" s="1"/>
  <c r="AY700"/>
  <c r="AZ700"/>
  <c r="BA700"/>
  <c r="BB700"/>
  <c r="BC700"/>
  <c r="BD700"/>
  <c r="BE700"/>
  <c r="BF700"/>
  <c r="BG700"/>
  <c r="BH700"/>
  <c r="BI700"/>
  <c r="BJ700"/>
  <c r="DN700" s="1"/>
  <c r="BK700"/>
  <c r="BL700"/>
  <c r="EK700"/>
  <c r="AL701"/>
  <c r="CP701"/>
  <c r="CQ701" s="1"/>
  <c r="CR701" s="1"/>
  <c r="CS701" s="1"/>
  <c r="CT701" s="1"/>
  <c r="CU701" s="1"/>
  <c r="CV701" s="1"/>
  <c r="CW701" s="1"/>
  <c r="CX701" s="1"/>
  <c r="CY701" s="1"/>
  <c r="CZ701" s="1"/>
  <c r="DA701" s="1"/>
  <c r="AM701"/>
  <c r="AN701"/>
  <c r="AO701"/>
  <c r="BS701" s="1"/>
  <c r="AP701"/>
  <c r="AQ701"/>
  <c r="AR701"/>
  <c r="AS701"/>
  <c r="AT701"/>
  <c r="AU701"/>
  <c r="AV701"/>
  <c r="AW701"/>
  <c r="AX701"/>
  <c r="DB701" s="1"/>
  <c r="AY701"/>
  <c r="AZ701"/>
  <c r="CB701"/>
  <c r="BA701"/>
  <c r="BB701"/>
  <c r="CE701" s="1"/>
  <c r="BC701"/>
  <c r="BD701"/>
  <c r="BE701"/>
  <c r="BF701"/>
  <c r="BG701"/>
  <c r="BH701"/>
  <c r="BI701"/>
  <c r="BJ701"/>
  <c r="BK701"/>
  <c r="BL701"/>
  <c r="EH701"/>
  <c r="EK701"/>
  <c r="AL702"/>
  <c r="AM702"/>
  <c r="AN702"/>
  <c r="AO702"/>
  <c r="AP702"/>
  <c r="BS702" s="1"/>
  <c r="AQ702"/>
  <c r="AR702"/>
  <c r="AS702"/>
  <c r="AT702"/>
  <c r="AU702"/>
  <c r="AV702"/>
  <c r="AW702"/>
  <c r="AX702"/>
  <c r="AY702"/>
  <c r="AZ702"/>
  <c r="BA702"/>
  <c r="CE702" s="1"/>
  <c r="BB702"/>
  <c r="BC702"/>
  <c r="BD702"/>
  <c r="BE702"/>
  <c r="BF702"/>
  <c r="BG702"/>
  <c r="BH702"/>
  <c r="BI702"/>
  <c r="BJ702"/>
  <c r="DN702" s="1"/>
  <c r="DO702" s="1"/>
  <c r="BK702"/>
  <c r="BL702"/>
  <c r="EK702"/>
  <c r="AL703"/>
  <c r="AM703"/>
  <c r="AN703"/>
  <c r="AO703"/>
  <c r="AP703"/>
  <c r="AQ703"/>
  <c r="AR703"/>
  <c r="AS703"/>
  <c r="AT703"/>
  <c r="AU703"/>
  <c r="AV703"/>
  <c r="AW703"/>
  <c r="AX703"/>
  <c r="DB703" s="1"/>
  <c r="AY703"/>
  <c r="AZ703"/>
  <c r="BA703"/>
  <c r="BB703"/>
  <c r="BC703"/>
  <c r="BD703"/>
  <c r="BE703"/>
  <c r="BF703"/>
  <c r="BG703"/>
  <c r="BH703"/>
  <c r="BI703"/>
  <c r="BJ703"/>
  <c r="EH703" s="1"/>
  <c r="BK703"/>
  <c r="BL703"/>
  <c r="CP703"/>
  <c r="CQ703" s="1"/>
  <c r="CR703" s="1"/>
  <c r="CS703" s="1"/>
  <c r="CT703" s="1"/>
  <c r="CU703" s="1"/>
  <c r="CV703" s="1"/>
  <c r="CW703" s="1"/>
  <c r="CX703" s="1"/>
  <c r="CY703" s="1"/>
  <c r="CZ703" s="1"/>
  <c r="DA703" s="1"/>
  <c r="EK703"/>
  <c r="EQ703"/>
  <c r="AL704"/>
  <c r="CP704" s="1"/>
  <c r="AM704"/>
  <c r="AN704"/>
  <c r="AO704"/>
  <c r="AP704"/>
  <c r="AQ704"/>
  <c r="AR704"/>
  <c r="AS704"/>
  <c r="AT704"/>
  <c r="AU704"/>
  <c r="AV704"/>
  <c r="AW704"/>
  <c r="AX704"/>
  <c r="DB704"/>
  <c r="AY704"/>
  <c r="AZ704"/>
  <c r="BA704"/>
  <c r="BB704"/>
  <c r="BC704"/>
  <c r="CE704"/>
  <c r="BD704"/>
  <c r="BE704"/>
  <c r="BF704"/>
  <c r="BG704"/>
  <c r="BH704"/>
  <c r="BI704"/>
  <c r="EH704" s="1"/>
  <c r="BJ704"/>
  <c r="BK704"/>
  <c r="BL704"/>
  <c r="EQ704"/>
  <c r="ER704"/>
  <c r="K705"/>
  <c r="CQ705" s="1"/>
  <c r="M705"/>
  <c r="N705" s="1"/>
  <c r="Q705"/>
  <c r="R705" s="1"/>
  <c r="CX705" s="1"/>
  <c r="AL705"/>
  <c r="AR705"/>
  <c r="AV705"/>
  <c r="AW705"/>
  <c r="AX705"/>
  <c r="AY705"/>
  <c r="AZ705"/>
  <c r="BA705"/>
  <c r="CP705"/>
  <c r="CR705"/>
  <c r="CU705"/>
  <c r="CV705"/>
  <c r="CY705"/>
  <c r="CZ705"/>
  <c r="DA705"/>
  <c r="DB705"/>
  <c r="DC705"/>
  <c r="DD705"/>
  <c r="DE705"/>
  <c r="DF705"/>
  <c r="DG705"/>
  <c r="DH705"/>
  <c r="DI705"/>
  <c r="DJ705"/>
  <c r="DK705"/>
  <c r="DL705"/>
  <c r="DM705"/>
  <c r="DN705"/>
  <c r="EJ705" s="1"/>
  <c r="DO705"/>
  <c r="DP705"/>
  <c r="EK705"/>
  <c r="K706"/>
  <c r="CQ706"/>
  <c r="CQ725" s="1"/>
  <c r="M706"/>
  <c r="N706" s="1"/>
  <c r="O706"/>
  <c r="P706"/>
  <c r="Q706"/>
  <c r="AL706"/>
  <c r="AV706"/>
  <c r="AW706"/>
  <c r="AX706"/>
  <c r="AY706"/>
  <c r="AZ706"/>
  <c r="BA706"/>
  <c r="CP706"/>
  <c r="CR706"/>
  <c r="CY706"/>
  <c r="CZ706"/>
  <c r="DA706"/>
  <c r="DB706"/>
  <c r="DC706"/>
  <c r="DD706"/>
  <c r="DE706"/>
  <c r="DF706"/>
  <c r="DG706"/>
  <c r="DH706"/>
  <c r="DI706"/>
  <c r="DJ706"/>
  <c r="DK706"/>
  <c r="DL706"/>
  <c r="DM706"/>
  <c r="DN706"/>
  <c r="EJ706" s="1"/>
  <c r="EJ725" s="1"/>
  <c r="DO706"/>
  <c r="DP706"/>
  <c r="EK706"/>
  <c r="J707"/>
  <c r="AL707" s="1"/>
  <c r="K707"/>
  <c r="AM707" s="1"/>
  <c r="AM723" s="1"/>
  <c r="L707"/>
  <c r="AN707"/>
  <c r="M707"/>
  <c r="AO707"/>
  <c r="N707"/>
  <c r="O707"/>
  <c r="AQ707" s="1"/>
  <c r="AQ723" s="1"/>
  <c r="P707"/>
  <c r="Q707"/>
  <c r="AS707" s="1"/>
  <c r="AS723" s="1"/>
  <c r="R707"/>
  <c r="S707"/>
  <c r="AU707" s="1"/>
  <c r="T707"/>
  <c r="AV707" s="1"/>
  <c r="U707"/>
  <c r="AW707" s="1"/>
  <c r="AW723" s="1"/>
  <c r="V707"/>
  <c r="AX707"/>
  <c r="W707"/>
  <c r="X707"/>
  <c r="AZ707" s="1"/>
  <c r="Y707"/>
  <c r="BA707" s="1"/>
  <c r="Z707"/>
  <c r="BB707" s="1"/>
  <c r="AA707"/>
  <c r="BC707" s="1"/>
  <c r="AB707"/>
  <c r="AC707"/>
  <c r="BE707" s="1"/>
  <c r="AD707"/>
  <c r="AE707"/>
  <c r="BG707"/>
  <c r="AF707"/>
  <c r="BH707"/>
  <c r="AG707"/>
  <c r="AH707"/>
  <c r="BJ707" s="1"/>
  <c r="AI707"/>
  <c r="BK707" s="1"/>
  <c r="AJ707"/>
  <c r="BL707"/>
  <c r="AP707"/>
  <c r="AR707"/>
  <c r="BT707"/>
  <c r="AT707"/>
  <c r="AY707"/>
  <c r="BD707"/>
  <c r="CF707" s="1"/>
  <c r="BF707"/>
  <c r="BI707"/>
  <c r="EK707"/>
  <c r="J708"/>
  <c r="K708"/>
  <c r="AM708" s="1"/>
  <c r="L708"/>
  <c r="L721"/>
  <c r="M708"/>
  <c r="N708"/>
  <c r="N721" s="1"/>
  <c r="O708"/>
  <c r="AQ708" s="1"/>
  <c r="P708"/>
  <c r="P721" s="1"/>
  <c r="Q708"/>
  <c r="AS708" s="1"/>
  <c r="R708"/>
  <c r="R721"/>
  <c r="S708"/>
  <c r="AU708"/>
  <c r="BW708" s="1"/>
  <c r="T708"/>
  <c r="AV708" s="1"/>
  <c r="U708"/>
  <c r="V708"/>
  <c r="V721"/>
  <c r="W708"/>
  <c r="X708"/>
  <c r="Y708"/>
  <c r="BA708" s="1"/>
  <c r="CC708" s="1"/>
  <c r="Z708"/>
  <c r="BB708"/>
  <c r="AA708"/>
  <c r="BC708"/>
  <c r="AB708"/>
  <c r="BD708" s="1"/>
  <c r="CF708" s="1"/>
  <c r="AC708"/>
  <c r="BE708"/>
  <c r="AD708"/>
  <c r="BF708"/>
  <c r="AE708"/>
  <c r="AF708"/>
  <c r="BH708" s="1"/>
  <c r="AG708"/>
  <c r="BI708" s="1"/>
  <c r="AH708"/>
  <c r="BJ708" s="1"/>
  <c r="AI708"/>
  <c r="BK708" s="1"/>
  <c r="AJ708"/>
  <c r="BL708" s="1"/>
  <c r="AL708"/>
  <c r="BN708" s="1"/>
  <c r="AN708"/>
  <c r="AO708"/>
  <c r="AP708"/>
  <c r="AT708"/>
  <c r="AW708"/>
  <c r="AX708"/>
  <c r="BZ708"/>
  <c r="AY708"/>
  <c r="AZ708"/>
  <c r="BG708"/>
  <c r="CI708"/>
  <c r="BQ708"/>
  <c r="CP708"/>
  <c r="CQ708" s="1"/>
  <c r="CR708" s="1"/>
  <c r="CS708" s="1"/>
  <c r="CT708" s="1"/>
  <c r="CU708" s="1"/>
  <c r="EK708"/>
  <c r="J709"/>
  <c r="CP709" s="1"/>
  <c r="CQ709" s="1"/>
  <c r="CR709" s="1"/>
  <c r="K709"/>
  <c r="L709"/>
  <c r="M709"/>
  <c r="N709"/>
  <c r="O709"/>
  <c r="P709"/>
  <c r="Q709"/>
  <c r="R709"/>
  <c r="S709"/>
  <c r="T709"/>
  <c r="U709"/>
  <c r="V709"/>
  <c r="DB709"/>
  <c r="DB697" s="1"/>
  <c r="W709"/>
  <c r="X709"/>
  <c r="Y709"/>
  <c r="Z709"/>
  <c r="AA709"/>
  <c r="AB709"/>
  <c r="AC709"/>
  <c r="AD709"/>
  <c r="AD775"/>
  <c r="AE709"/>
  <c r="AF709"/>
  <c r="AH709"/>
  <c r="DN709"/>
  <c r="AI709"/>
  <c r="AJ709"/>
  <c r="AL709"/>
  <c r="AM709"/>
  <c r="AN709"/>
  <c r="AO709"/>
  <c r="BQ709" s="1"/>
  <c r="BR709" s="1"/>
  <c r="BS709" s="1"/>
  <c r="AP709"/>
  <c r="AQ709"/>
  <c r="AR709"/>
  <c r="AS709"/>
  <c r="AT709"/>
  <c r="AU709"/>
  <c r="BW709"/>
  <c r="BX709" s="1"/>
  <c r="AV709"/>
  <c r="AW709"/>
  <c r="AX709"/>
  <c r="BZ709" s="1"/>
  <c r="AY709"/>
  <c r="AZ709"/>
  <c r="BA709"/>
  <c r="CC709" s="1"/>
  <c r="CD709" s="1"/>
  <c r="BB709"/>
  <c r="BC709"/>
  <c r="BD709"/>
  <c r="BF709"/>
  <c r="BG709"/>
  <c r="BI709"/>
  <c r="BJ709"/>
  <c r="CL709" s="1"/>
  <c r="CM709" s="1"/>
  <c r="BK709"/>
  <c r="BL709"/>
  <c r="BN709"/>
  <c r="BT709"/>
  <c r="CF709"/>
  <c r="CG709" s="1"/>
  <c r="CH709" s="1"/>
  <c r="EK709"/>
  <c r="E713"/>
  <c r="G713"/>
  <c r="J713"/>
  <c r="K713"/>
  <c r="L713"/>
  <c r="M713"/>
  <c r="N713"/>
  <c r="O713"/>
  <c r="P713"/>
  <c r="Q713"/>
  <c r="R713"/>
  <c r="S713"/>
  <c r="T713"/>
  <c r="U713"/>
  <c r="V713"/>
  <c r="W713"/>
  <c r="AH713"/>
  <c r="AI713"/>
  <c r="AJ713"/>
  <c r="AL713"/>
  <c r="AM713"/>
  <c r="AN713"/>
  <c r="AO713"/>
  <c r="AP713"/>
  <c r="AQ713"/>
  <c r="AR713"/>
  <c r="AS713"/>
  <c r="AT713"/>
  <c r="AU713"/>
  <c r="AV713"/>
  <c r="AW713"/>
  <c r="AX713"/>
  <c r="AY713"/>
  <c r="BJ713"/>
  <c r="BK713"/>
  <c r="BL713"/>
  <c r="CP713"/>
  <c r="E714"/>
  <c r="G714"/>
  <c r="J714"/>
  <c r="K714"/>
  <c r="L714"/>
  <c r="M714"/>
  <c r="N714"/>
  <c r="O714"/>
  <c r="P714"/>
  <c r="Q714"/>
  <c r="R714"/>
  <c r="S714"/>
  <c r="T714"/>
  <c r="U714"/>
  <c r="V714"/>
  <c r="W714"/>
  <c r="AL714"/>
  <c r="AS714"/>
  <c r="E715"/>
  <c r="G715"/>
  <c r="I715"/>
  <c r="J715"/>
  <c r="K715"/>
  <c r="V715"/>
  <c r="W715"/>
  <c r="X715"/>
  <c r="AH715"/>
  <c r="AI715"/>
  <c r="AJ715"/>
  <c r="AL715"/>
  <c r="AX715"/>
  <c r="BJ715"/>
  <c r="BK715"/>
  <c r="BL715"/>
  <c r="E716"/>
  <c r="G716"/>
  <c r="J716"/>
  <c r="K716"/>
  <c r="L716"/>
  <c r="M716"/>
  <c r="N716"/>
  <c r="O716"/>
  <c r="P716"/>
  <c r="Q716"/>
  <c r="R716"/>
  <c r="S716"/>
  <c r="T716"/>
  <c r="U716"/>
  <c r="V716"/>
  <c r="W716"/>
  <c r="AL716"/>
  <c r="AM716"/>
  <c r="AS716"/>
  <c r="AW716"/>
  <c r="AX716"/>
  <c r="AY716"/>
  <c r="E717"/>
  <c r="G717"/>
  <c r="J717"/>
  <c r="K717"/>
  <c r="L717"/>
  <c r="M717"/>
  <c r="N717"/>
  <c r="O717"/>
  <c r="P717"/>
  <c r="Q717"/>
  <c r="R717"/>
  <c r="S717"/>
  <c r="T717"/>
  <c r="U717"/>
  <c r="V717"/>
  <c r="AH717"/>
  <c r="AI717"/>
  <c r="AJ717"/>
  <c r="AX717"/>
  <c r="BJ717"/>
  <c r="BK717"/>
  <c r="BL717"/>
  <c r="E718"/>
  <c r="G718"/>
  <c r="J718"/>
  <c r="K718"/>
  <c r="L718"/>
  <c r="M718"/>
  <c r="N718"/>
  <c r="O718"/>
  <c r="P718"/>
  <c r="Q718"/>
  <c r="R718"/>
  <c r="S718"/>
  <c r="T718"/>
  <c r="U718"/>
  <c r="V718"/>
  <c r="W718"/>
  <c r="X718"/>
  <c r="Y718"/>
  <c r="Z718"/>
  <c r="AA718"/>
  <c r="AG718"/>
  <c r="AH718"/>
  <c r="AI718"/>
  <c r="AJ718"/>
  <c r="CP718"/>
  <c r="CQ718"/>
  <c r="CR718"/>
  <c r="CS718"/>
  <c r="CT718"/>
  <c r="CU718"/>
  <c r="CV718"/>
  <c r="CW718"/>
  <c r="CX718"/>
  <c r="CY718"/>
  <c r="CZ718"/>
  <c r="DA718"/>
  <c r="DB718"/>
  <c r="DC718"/>
  <c r="DD718"/>
  <c r="DF718"/>
  <c r="DM718"/>
  <c r="DN718"/>
  <c r="DO718"/>
  <c r="DP718"/>
  <c r="E720"/>
  <c r="G720"/>
  <c r="J720"/>
  <c r="K720"/>
  <c r="L720"/>
  <c r="M720"/>
  <c r="N720"/>
  <c r="O720"/>
  <c r="P720"/>
  <c r="Q720"/>
  <c r="R720"/>
  <c r="S720"/>
  <c r="T720"/>
  <c r="U720"/>
  <c r="V720"/>
  <c r="W720"/>
  <c r="X720"/>
  <c r="Y720"/>
  <c r="Z720"/>
  <c r="AA720"/>
  <c r="AB720"/>
  <c r="AC720"/>
  <c r="AD720"/>
  <c r="AE720"/>
  <c r="AF720"/>
  <c r="AG720"/>
  <c r="AH720"/>
  <c r="AI720"/>
  <c r="AJ720"/>
  <c r="AL720"/>
  <c r="AM720"/>
  <c r="AN720"/>
  <c r="AO720"/>
  <c r="AP720"/>
  <c r="AQ720"/>
  <c r="AR720"/>
  <c r="AS720"/>
  <c r="AT720"/>
  <c r="AU720"/>
  <c r="AV720"/>
  <c r="AW720"/>
  <c r="AX720"/>
  <c r="AY720"/>
  <c r="AZ720"/>
  <c r="BA720"/>
  <c r="BB720"/>
  <c r="BC720"/>
  <c r="BD720"/>
  <c r="BE720"/>
  <c r="BF720"/>
  <c r="BG720"/>
  <c r="BH720"/>
  <c r="BI720"/>
  <c r="BJ720"/>
  <c r="BK720"/>
  <c r="BL720"/>
  <c r="E721"/>
  <c r="G721"/>
  <c r="K721"/>
  <c r="M721"/>
  <c r="O721"/>
  <c r="Q721"/>
  <c r="S721"/>
  <c r="U721"/>
  <c r="W721"/>
  <c r="Y721"/>
  <c r="AA721"/>
  <c r="AC721"/>
  <c r="AE721"/>
  <c r="AG721"/>
  <c r="AI721"/>
  <c r="AP721"/>
  <c r="AT721"/>
  <c r="E722"/>
  <c r="G722"/>
  <c r="I722"/>
  <c r="J722"/>
  <c r="K722"/>
  <c r="L722"/>
  <c r="M722"/>
  <c r="N722"/>
  <c r="O722"/>
  <c r="P722"/>
  <c r="Q722"/>
  <c r="R722"/>
  <c r="S722"/>
  <c r="T722"/>
  <c r="U722"/>
  <c r="V722"/>
  <c r="W722"/>
  <c r="X722"/>
  <c r="Y722"/>
  <c r="Z722"/>
  <c r="AA722"/>
  <c r="AB722"/>
  <c r="AC722"/>
  <c r="AD722"/>
  <c r="AE722"/>
  <c r="AF722"/>
  <c r="AG722"/>
  <c r="AH722"/>
  <c r="AI722"/>
  <c r="AJ722"/>
  <c r="AL722"/>
  <c r="AM722"/>
  <c r="AN722"/>
  <c r="AO722"/>
  <c r="AP722"/>
  <c r="AQ722"/>
  <c r="AR722"/>
  <c r="AS722"/>
  <c r="AT722"/>
  <c r="AU722"/>
  <c r="AV722"/>
  <c r="AW722"/>
  <c r="AX722"/>
  <c r="AY722"/>
  <c r="AZ722"/>
  <c r="BA722"/>
  <c r="BB722"/>
  <c r="BC722"/>
  <c r="BD722"/>
  <c r="BE722"/>
  <c r="BF722"/>
  <c r="BG722"/>
  <c r="BH722"/>
  <c r="BI722"/>
  <c r="BJ722"/>
  <c r="BK722"/>
  <c r="BL722"/>
  <c r="E723"/>
  <c r="G723"/>
  <c r="J723"/>
  <c r="K723"/>
  <c r="L723"/>
  <c r="M723"/>
  <c r="N723"/>
  <c r="O723"/>
  <c r="P723"/>
  <c r="Q723"/>
  <c r="R723"/>
  <c r="S723"/>
  <c r="T723"/>
  <c r="U723"/>
  <c r="V723"/>
  <c r="W723"/>
  <c r="X723"/>
  <c r="Y723"/>
  <c r="Z723"/>
  <c r="AA723"/>
  <c r="AB723"/>
  <c r="AC723"/>
  <c r="AD723"/>
  <c r="AE723"/>
  <c r="AF723"/>
  <c r="AG723"/>
  <c r="AH723"/>
  <c r="AI723"/>
  <c r="AJ723"/>
  <c r="AP723"/>
  <c r="AR723"/>
  <c r="AT723"/>
  <c r="AY723"/>
  <c r="BD723"/>
  <c r="BF723"/>
  <c r="BI723"/>
  <c r="E724"/>
  <c r="G724"/>
  <c r="J724"/>
  <c r="K724"/>
  <c r="L724"/>
  <c r="M724"/>
  <c r="N724"/>
  <c r="O724"/>
  <c r="P724"/>
  <c r="Q724"/>
  <c r="R724"/>
  <c r="S724"/>
  <c r="T724"/>
  <c r="U724"/>
  <c r="V724"/>
  <c r="W724"/>
  <c r="X724"/>
  <c r="Y724"/>
  <c r="Z724"/>
  <c r="AA724"/>
  <c r="AB724"/>
  <c r="AC724"/>
  <c r="AD724"/>
  <c r="AE724"/>
  <c r="AF724"/>
  <c r="AG724"/>
  <c r="AH724"/>
  <c r="AI724"/>
  <c r="AJ724"/>
  <c r="AL724"/>
  <c r="AM724"/>
  <c r="AN724"/>
  <c r="AO724"/>
  <c r="AP724"/>
  <c r="AQ724"/>
  <c r="AR724"/>
  <c r="AS724"/>
  <c r="AT724"/>
  <c r="AU724"/>
  <c r="AV724"/>
  <c r="AW724"/>
  <c r="AX724"/>
  <c r="AY724"/>
  <c r="AZ724"/>
  <c r="BA724"/>
  <c r="BB724"/>
  <c r="BC724"/>
  <c r="BD724"/>
  <c r="BE724"/>
  <c r="BF724"/>
  <c r="BG724"/>
  <c r="BH724"/>
  <c r="BI724"/>
  <c r="BJ724"/>
  <c r="BK724"/>
  <c r="BL724"/>
  <c r="E725"/>
  <c r="G725"/>
  <c r="J725"/>
  <c r="K725"/>
  <c r="L725"/>
  <c r="M725"/>
  <c r="O725"/>
  <c r="P725"/>
  <c r="S725"/>
  <c r="T725"/>
  <c r="U725"/>
  <c r="V725"/>
  <c r="W725"/>
  <c r="X725"/>
  <c r="Y725"/>
  <c r="Z725"/>
  <c r="AA725"/>
  <c r="AB725"/>
  <c r="AC725"/>
  <c r="AD725"/>
  <c r="AE725"/>
  <c r="AF725"/>
  <c r="AG725"/>
  <c r="AH725"/>
  <c r="AI725"/>
  <c r="AJ725"/>
  <c r="CP725"/>
  <c r="CR725"/>
  <c r="CY725"/>
  <c r="CZ725"/>
  <c r="DA725"/>
  <c r="DB725"/>
  <c r="DC725"/>
  <c r="DD725"/>
  <c r="DE725"/>
  <c r="DF725"/>
  <c r="DG725"/>
  <c r="DH725"/>
  <c r="DI725"/>
  <c r="DJ725"/>
  <c r="DK725"/>
  <c r="DL725"/>
  <c r="DM725"/>
  <c r="DN725"/>
  <c r="DO725"/>
  <c r="DP725"/>
  <c r="I727"/>
  <c r="E730" i="3" s="1"/>
  <c r="EK728" i="1"/>
  <c r="T736" i="3" s="1"/>
  <c r="I730" i="1"/>
  <c r="J730"/>
  <c r="M730"/>
  <c r="N730"/>
  <c r="AO730"/>
  <c r="CS730"/>
  <c r="I731"/>
  <c r="J731"/>
  <c r="M731"/>
  <c r="AO731"/>
  <c r="CS731" s="1"/>
  <c r="N731"/>
  <c r="I732"/>
  <c r="J732"/>
  <c r="M732"/>
  <c r="N732"/>
  <c r="AO732"/>
  <c r="CS732"/>
  <c r="I733"/>
  <c r="J733"/>
  <c r="M733"/>
  <c r="AO733"/>
  <c r="CS733" s="1"/>
  <c r="N733"/>
  <c r="AP733" s="1"/>
  <c r="I734"/>
  <c r="J734"/>
  <c r="AL734"/>
  <c r="M734"/>
  <c r="AO734"/>
  <c r="CS734" s="1"/>
  <c r="N734"/>
  <c r="J735"/>
  <c r="K735"/>
  <c r="AH735"/>
  <c r="AI735"/>
  <c r="AJ735"/>
  <c r="BJ735"/>
  <c r="DN735" s="1"/>
  <c r="J736"/>
  <c r="AL736" s="1"/>
  <c r="K736"/>
  <c r="AH736"/>
  <c r="BJ736" s="1"/>
  <c r="AI736"/>
  <c r="AJ736"/>
  <c r="J737"/>
  <c r="AL737" s="1"/>
  <c r="CP737" s="1"/>
  <c r="AH737"/>
  <c r="BJ737" s="1"/>
  <c r="AI737"/>
  <c r="BK737" s="1"/>
  <c r="AJ737"/>
  <c r="BL737" s="1"/>
  <c r="BK738"/>
  <c r="BJ738"/>
  <c r="J739"/>
  <c r="AL739"/>
  <c r="K739"/>
  <c r="V739"/>
  <c r="AX739" s="1"/>
  <c r="W739"/>
  <c r="AH739"/>
  <c r="BJ739"/>
  <c r="DN739" s="1"/>
  <c r="AI739"/>
  <c r="AJ739"/>
  <c r="J740"/>
  <c r="AH740"/>
  <c r="BJ740" s="1"/>
  <c r="BK740" s="1"/>
  <c r="AL740"/>
  <c r="CP740" s="1"/>
  <c r="V741"/>
  <c r="AX741" s="1"/>
  <c r="W741"/>
  <c r="AH741"/>
  <c r="AI741"/>
  <c r="AJ741"/>
  <c r="BJ741"/>
  <c r="DN741" s="1"/>
  <c r="J742"/>
  <c r="AL742" s="1"/>
  <c r="CP742" s="1"/>
  <c r="K742"/>
  <c r="AH742"/>
  <c r="AI742"/>
  <c r="AJ742"/>
  <c r="CN742" s="1"/>
  <c r="BJ742"/>
  <c r="DN742" s="1"/>
  <c r="J743"/>
  <c r="AL743" s="1"/>
  <c r="CP743" s="1"/>
  <c r="AH743"/>
  <c r="BJ743"/>
  <c r="DN743" s="1"/>
  <c r="AI743"/>
  <c r="AJ743"/>
  <c r="CN743"/>
  <c r="L744"/>
  <c r="M744"/>
  <c r="AO744" s="1"/>
  <c r="P744"/>
  <c r="Q744"/>
  <c r="R744"/>
  <c r="T744"/>
  <c r="U744"/>
  <c r="AW744" s="1"/>
  <c r="X744"/>
  <c r="AZ744" s="1"/>
  <c r="CB744" s="1"/>
  <c r="Y744"/>
  <c r="AB744"/>
  <c r="BE744"/>
  <c r="AC744"/>
  <c r="AF744"/>
  <c r="AG744"/>
  <c r="AH744"/>
  <c r="BJ744" s="1"/>
  <c r="AI744"/>
  <c r="AJ744"/>
  <c r="BL744"/>
  <c r="AL744"/>
  <c r="AM744"/>
  <c r="AN744"/>
  <c r="AX744"/>
  <c r="DB744" s="1"/>
  <c r="AY744"/>
  <c r="CP744"/>
  <c r="O745"/>
  <c r="AQ745" s="1"/>
  <c r="P745"/>
  <c r="Q745"/>
  <c r="U745"/>
  <c r="BC745"/>
  <c r="AB745"/>
  <c r="BD745" s="1"/>
  <c r="AG745"/>
  <c r="AH745"/>
  <c r="AI745"/>
  <c r="AJ745"/>
  <c r="AL745"/>
  <c r="CP745" s="1"/>
  <c r="CQ745" s="1"/>
  <c r="CR745" s="1"/>
  <c r="CS745" s="1"/>
  <c r="CT745" s="1"/>
  <c r="AM745"/>
  <c r="AN745"/>
  <c r="AO745"/>
  <c r="AP745"/>
  <c r="AR745"/>
  <c r="AX745"/>
  <c r="DB745"/>
  <c r="AY745"/>
  <c r="AZ745"/>
  <c r="BA745"/>
  <c r="BB745"/>
  <c r="L746"/>
  <c r="M746"/>
  <c r="O746"/>
  <c r="P746"/>
  <c r="Q746"/>
  <c r="R746"/>
  <c r="V746"/>
  <c r="W746"/>
  <c r="X746"/>
  <c r="Y746"/>
  <c r="AA746"/>
  <c r="DG746" s="1"/>
  <c r="AG746"/>
  <c r="DM746" s="1"/>
  <c r="AH746"/>
  <c r="AI746"/>
  <c r="DO746"/>
  <c r="AJ746"/>
  <c r="DP746"/>
  <c r="CP746"/>
  <c r="CQ746"/>
  <c r="CR746"/>
  <c r="CS746"/>
  <c r="CU746"/>
  <c r="CV746"/>
  <c r="CW746"/>
  <c r="CX746"/>
  <c r="DB746"/>
  <c r="DC746"/>
  <c r="DD746"/>
  <c r="DE746"/>
  <c r="DF746"/>
  <c r="DN746"/>
  <c r="EE746"/>
  <c r="EO771" s="1"/>
  <c r="EF746"/>
  <c r="EP771" s="1"/>
  <c r="L747"/>
  <c r="M747"/>
  <c r="CS747" s="1"/>
  <c r="CS784" s="1"/>
  <c r="N747"/>
  <c r="CT747"/>
  <c r="O747"/>
  <c r="CU747"/>
  <c r="P747"/>
  <c r="V747"/>
  <c r="DB747" s="1"/>
  <c r="DB784" s="1"/>
  <c r="W747"/>
  <c r="DC747"/>
  <c r="DC784" s="1"/>
  <c r="X747"/>
  <c r="DD747" s="1"/>
  <c r="DD784" s="1"/>
  <c r="Y747"/>
  <c r="DE747"/>
  <c r="DE784" s="1"/>
  <c r="AA747"/>
  <c r="DG747" s="1"/>
  <c r="AG747"/>
  <c r="DM747"/>
  <c r="EB747" s="1"/>
  <c r="AH747"/>
  <c r="DN747" s="1"/>
  <c r="AI747"/>
  <c r="DO747" s="1"/>
  <c r="AJ747"/>
  <c r="CP747"/>
  <c r="CQ747"/>
  <c r="CR747"/>
  <c r="CV747"/>
  <c r="DF747"/>
  <c r="DP747"/>
  <c r="EE747"/>
  <c r="EO772" s="1"/>
  <c r="EF747"/>
  <c r="EP772" s="1"/>
  <c r="M748"/>
  <c r="AO748" s="1"/>
  <c r="V748"/>
  <c r="W748"/>
  <c r="M749"/>
  <c r="AO749" s="1"/>
  <c r="X750"/>
  <c r="AZ750" s="1"/>
  <c r="CB750" s="1"/>
  <c r="DD750" s="1"/>
  <c r="AB750"/>
  <c r="BD750" s="1"/>
  <c r="CF750" s="1"/>
  <c r="DH750" s="1"/>
  <c r="AF750"/>
  <c r="BH750" s="1"/>
  <c r="CJ750" s="1"/>
  <c r="DL750" s="1"/>
  <c r="AG750"/>
  <c r="BI750"/>
  <c r="CK750" s="1"/>
  <c r="DM750" s="1"/>
  <c r="AH750"/>
  <c r="BJ750"/>
  <c r="CL750" s="1"/>
  <c r="DN750" s="1"/>
  <c r="EA750"/>
  <c r="EB750"/>
  <c r="AH751"/>
  <c r="DN751" s="1"/>
  <c r="AI751"/>
  <c r="AJ751"/>
  <c r="CL751"/>
  <c r="EG751"/>
  <c r="I753"/>
  <c r="J753"/>
  <c r="AL753" s="1"/>
  <c r="K753"/>
  <c r="L753"/>
  <c r="M753"/>
  <c r="AO753" s="1"/>
  <c r="CS753" s="1"/>
  <c r="N753"/>
  <c r="O753"/>
  <c r="P753"/>
  <c r="AR753"/>
  <c r="Q753"/>
  <c r="R753"/>
  <c r="AT753" s="1"/>
  <c r="CX753" s="1"/>
  <c r="S753"/>
  <c r="T753"/>
  <c r="AV753" s="1"/>
  <c r="U753"/>
  <c r="V753"/>
  <c r="AX753"/>
  <c r="W753"/>
  <c r="X753"/>
  <c r="Y753"/>
  <c r="BA753"/>
  <c r="DE753" s="1"/>
  <c r="Z753"/>
  <c r="AA753"/>
  <c r="AB753"/>
  <c r="BD753" s="1"/>
  <c r="AC753"/>
  <c r="AD753"/>
  <c r="BF753"/>
  <c r="AE753"/>
  <c r="AF753"/>
  <c r="BH753" s="1"/>
  <c r="AG753"/>
  <c r="BI753" s="1"/>
  <c r="AH753"/>
  <c r="BJ753" s="1"/>
  <c r="AI753"/>
  <c r="AJ753"/>
  <c r="BL753" s="1"/>
  <c r="AS753"/>
  <c r="CW753"/>
  <c r="BK753"/>
  <c r="EK753"/>
  <c r="I754"/>
  <c r="J754"/>
  <c r="K754"/>
  <c r="L754"/>
  <c r="AN754" s="1"/>
  <c r="CR754" s="1"/>
  <c r="M754"/>
  <c r="AO754"/>
  <c r="N754"/>
  <c r="O754"/>
  <c r="AR754" s="1"/>
  <c r="CV754" s="1"/>
  <c r="P754"/>
  <c r="Q754"/>
  <c r="R754"/>
  <c r="S754"/>
  <c r="T754"/>
  <c r="AV754" s="1"/>
  <c r="CZ754" s="1"/>
  <c r="U754"/>
  <c r="AW754" s="1"/>
  <c r="V754"/>
  <c r="W754"/>
  <c r="AY754"/>
  <c r="X754"/>
  <c r="AZ754"/>
  <c r="DD754" s="1"/>
  <c r="Y754"/>
  <c r="BA754" s="1"/>
  <c r="Z754"/>
  <c r="AA754"/>
  <c r="AA822"/>
  <c r="AB754"/>
  <c r="AC754"/>
  <c r="AD754"/>
  <c r="AE754"/>
  <c r="BG754" s="1"/>
  <c r="AF754"/>
  <c r="BH754" s="1"/>
  <c r="AG754"/>
  <c r="BI754" s="1"/>
  <c r="AH754"/>
  <c r="BJ754" s="1"/>
  <c r="AI754"/>
  <c r="AJ754"/>
  <c r="BL754" s="1"/>
  <c r="AX754"/>
  <c r="EK754"/>
  <c r="I755"/>
  <c r="J755"/>
  <c r="K755"/>
  <c r="CR755"/>
  <c r="L755"/>
  <c r="M755"/>
  <c r="AO755" s="1"/>
  <c r="CS755" s="1"/>
  <c r="N755"/>
  <c r="O755"/>
  <c r="P755"/>
  <c r="AR755" s="1"/>
  <c r="Q755"/>
  <c r="R755"/>
  <c r="S755"/>
  <c r="T755"/>
  <c r="DA755" s="1"/>
  <c r="U755"/>
  <c r="AW755"/>
  <c r="V755"/>
  <c r="W755"/>
  <c r="X755"/>
  <c r="AZ755" s="1"/>
  <c r="DD755" s="1"/>
  <c r="Y755"/>
  <c r="Z755"/>
  <c r="DG755" s="1"/>
  <c r="AA755"/>
  <c r="BC755"/>
  <c r="AB755"/>
  <c r="AC755"/>
  <c r="AD755"/>
  <c r="BG755" s="1"/>
  <c r="AE755"/>
  <c r="AF755"/>
  <c r="AG755"/>
  <c r="AH755"/>
  <c r="AI755"/>
  <c r="BK755" s="1"/>
  <c r="AJ755"/>
  <c r="AN755"/>
  <c r="AP755"/>
  <c r="BA755"/>
  <c r="BL755"/>
  <c r="DE755"/>
  <c r="EK755"/>
  <c r="I756"/>
  <c r="J756"/>
  <c r="K756"/>
  <c r="AM756" s="1"/>
  <c r="CQ756" s="1"/>
  <c r="L756"/>
  <c r="M756"/>
  <c r="AO756" s="1"/>
  <c r="CS756" s="1"/>
  <c r="N756"/>
  <c r="O756"/>
  <c r="AQ756" s="1"/>
  <c r="P756"/>
  <c r="AR756" s="1"/>
  <c r="Q756"/>
  <c r="CX756" s="1"/>
  <c r="R756"/>
  <c r="AT756"/>
  <c r="S756"/>
  <c r="T756"/>
  <c r="AV756"/>
  <c r="U756"/>
  <c r="V756"/>
  <c r="W756"/>
  <c r="AY756" s="1"/>
  <c r="DC756" s="1"/>
  <c r="X756"/>
  <c r="Y756"/>
  <c r="Z756"/>
  <c r="AA756"/>
  <c r="BC756" s="1"/>
  <c r="DG756" s="1"/>
  <c r="AB756"/>
  <c r="BD756" s="1"/>
  <c r="DH756" s="1"/>
  <c r="AC756"/>
  <c r="AD756"/>
  <c r="AE756"/>
  <c r="AF756"/>
  <c r="BH756" s="1"/>
  <c r="AG756"/>
  <c r="BI756" s="1"/>
  <c r="AH756"/>
  <c r="AI756"/>
  <c r="AJ756"/>
  <c r="BL756"/>
  <c r="AW756"/>
  <c r="DA756" s="1"/>
  <c r="BA756"/>
  <c r="DE756" s="1"/>
  <c r="BG756"/>
  <c r="BK756"/>
  <c r="EK756"/>
  <c r="I757"/>
  <c r="J757"/>
  <c r="AL757"/>
  <c r="K757"/>
  <c r="L757"/>
  <c r="M757"/>
  <c r="AO757" s="1"/>
  <c r="N757"/>
  <c r="CU757" s="1"/>
  <c r="O757"/>
  <c r="AQ757"/>
  <c r="P757"/>
  <c r="AS757" s="1"/>
  <c r="CW757" s="1"/>
  <c r="Q757"/>
  <c r="R757"/>
  <c r="S757"/>
  <c r="AU757"/>
  <c r="T757"/>
  <c r="U757"/>
  <c r="AW757" s="1"/>
  <c r="DA757" s="1"/>
  <c r="V757"/>
  <c r="W757"/>
  <c r="X757"/>
  <c r="Y757"/>
  <c r="BA757" s="1"/>
  <c r="DE757" s="1"/>
  <c r="Z757"/>
  <c r="BB757"/>
  <c r="AA757"/>
  <c r="AB757"/>
  <c r="BD757" s="1"/>
  <c r="AC757"/>
  <c r="AD757"/>
  <c r="BF757" s="1"/>
  <c r="AE757"/>
  <c r="AF757"/>
  <c r="BH757"/>
  <c r="AG757"/>
  <c r="BI757"/>
  <c r="AH757"/>
  <c r="BJ757" s="1"/>
  <c r="AI757"/>
  <c r="AJ757"/>
  <c r="BL757"/>
  <c r="EK757"/>
  <c r="J758"/>
  <c r="K758"/>
  <c r="L758"/>
  <c r="M758"/>
  <c r="AO758" s="1"/>
  <c r="N758"/>
  <c r="O758"/>
  <c r="P758"/>
  <c r="AR758" s="1"/>
  <c r="Q758"/>
  <c r="R758"/>
  <c r="AT758"/>
  <c r="S758"/>
  <c r="AU758"/>
  <c r="T758"/>
  <c r="U758"/>
  <c r="AW758" s="1"/>
  <c r="V758"/>
  <c r="AX758" s="1"/>
  <c r="W758"/>
  <c r="AY758"/>
  <c r="X758"/>
  <c r="Y758"/>
  <c r="Z758"/>
  <c r="BC758"/>
  <c r="AA758"/>
  <c r="AB758"/>
  <c r="BD758" s="1"/>
  <c r="AC758"/>
  <c r="BE758" s="1"/>
  <c r="AD758"/>
  <c r="AE758"/>
  <c r="BG758"/>
  <c r="AF758"/>
  <c r="AG758"/>
  <c r="BI758" s="1"/>
  <c r="AH758"/>
  <c r="AI758"/>
  <c r="BK758" s="1"/>
  <c r="AJ758"/>
  <c r="BL758"/>
  <c r="AL758"/>
  <c r="AS758"/>
  <c r="BH758"/>
  <c r="BJ758"/>
  <c r="DN758" s="1"/>
  <c r="CP758"/>
  <c r="EK758"/>
  <c r="J759"/>
  <c r="AL759"/>
  <c r="K759"/>
  <c r="L759"/>
  <c r="M759"/>
  <c r="N759"/>
  <c r="AP759" s="1"/>
  <c r="CT759" s="1"/>
  <c r="O759"/>
  <c r="P759"/>
  <c r="Q759"/>
  <c r="R759"/>
  <c r="AT759" s="1"/>
  <c r="CX759" s="1"/>
  <c r="S759"/>
  <c r="T759"/>
  <c r="U759"/>
  <c r="AW759"/>
  <c r="V759"/>
  <c r="W759"/>
  <c r="AY759" s="1"/>
  <c r="DC759" s="1"/>
  <c r="X759"/>
  <c r="Y759"/>
  <c r="Z759"/>
  <c r="AA759"/>
  <c r="BC759" s="1"/>
  <c r="DG759" s="1"/>
  <c r="AB759"/>
  <c r="AC759"/>
  <c r="AD759"/>
  <c r="AE759"/>
  <c r="AG759"/>
  <c r="BI759"/>
  <c r="AH759"/>
  <c r="BJ759" s="1"/>
  <c r="AI759"/>
  <c r="BK759" s="1"/>
  <c r="AJ759"/>
  <c r="BL759"/>
  <c r="AX759"/>
  <c r="DB759"/>
  <c r="EK759"/>
  <c r="J760"/>
  <c r="AL760" s="1"/>
  <c r="K760"/>
  <c r="L760"/>
  <c r="AN760"/>
  <c r="M760"/>
  <c r="AO760"/>
  <c r="CS760" s="1"/>
  <c r="N760"/>
  <c r="AQ760" s="1"/>
  <c r="CU760" s="1"/>
  <c r="O760"/>
  <c r="P760"/>
  <c r="Q760"/>
  <c r="AS760"/>
  <c r="R760"/>
  <c r="AT760"/>
  <c r="S760"/>
  <c r="T760"/>
  <c r="AV760" s="1"/>
  <c r="U760"/>
  <c r="V760"/>
  <c r="W760"/>
  <c r="AY760" s="1"/>
  <c r="DC760" s="1"/>
  <c r="X760"/>
  <c r="Y760"/>
  <c r="BA760" s="1"/>
  <c r="Z760"/>
  <c r="AA760"/>
  <c r="AB760"/>
  <c r="BD760" s="1"/>
  <c r="AC760"/>
  <c r="AD760"/>
  <c r="AE760"/>
  <c r="BH760"/>
  <c r="AG760"/>
  <c r="BI760"/>
  <c r="AH760"/>
  <c r="AI760"/>
  <c r="BK760" s="1"/>
  <c r="AJ760"/>
  <c r="BL760" s="1"/>
  <c r="AM760"/>
  <c r="AU760"/>
  <c r="AX760"/>
  <c r="DB760"/>
  <c r="EK760"/>
  <c r="EQ760"/>
  <c r="ER760"/>
  <c r="ES760"/>
  <c r="J761"/>
  <c r="K761"/>
  <c r="L761"/>
  <c r="AN761"/>
  <c r="M761"/>
  <c r="N761"/>
  <c r="AP761" s="1"/>
  <c r="CT761" s="1"/>
  <c r="O761"/>
  <c r="P761"/>
  <c r="AR761" s="1"/>
  <c r="CV761" s="1"/>
  <c r="Q761"/>
  <c r="R761"/>
  <c r="AT761" s="1"/>
  <c r="CX761" s="1"/>
  <c r="S761"/>
  <c r="T761"/>
  <c r="U761"/>
  <c r="AW761"/>
  <c r="V761"/>
  <c r="W761"/>
  <c r="AY761" s="1"/>
  <c r="X761"/>
  <c r="Y761"/>
  <c r="BA761" s="1"/>
  <c r="DE761" s="1"/>
  <c r="Z761"/>
  <c r="AA761"/>
  <c r="AB761"/>
  <c r="AC761"/>
  <c r="AD761"/>
  <c r="AE761"/>
  <c r="BG761"/>
  <c r="AF761"/>
  <c r="AG761"/>
  <c r="BI761" s="1"/>
  <c r="AH761"/>
  <c r="AI761"/>
  <c r="BK761" s="1"/>
  <c r="AJ761"/>
  <c r="BL761"/>
  <c r="AL761"/>
  <c r="CP761"/>
  <c r="AX761"/>
  <c r="DB761"/>
  <c r="BH761"/>
  <c r="BJ761"/>
  <c r="DN761" s="1"/>
  <c r="EK761"/>
  <c r="EQ761"/>
  <c r="ER761"/>
  <c r="ES761"/>
  <c r="J762"/>
  <c r="AL762"/>
  <c r="K762"/>
  <c r="L762"/>
  <c r="AN762" s="1"/>
  <c r="M762"/>
  <c r="AO762" s="1"/>
  <c r="N762"/>
  <c r="AP762"/>
  <c r="O762"/>
  <c r="AQ762"/>
  <c r="P762"/>
  <c r="AR762"/>
  <c r="Q762"/>
  <c r="R762"/>
  <c r="AT762" s="1"/>
  <c r="S762"/>
  <c r="AU762" s="1"/>
  <c r="T762"/>
  <c r="AV762" s="1"/>
  <c r="U762"/>
  <c r="AW762" s="1"/>
  <c r="V762"/>
  <c r="AX762" s="1"/>
  <c r="W762"/>
  <c r="AY762" s="1"/>
  <c r="X762"/>
  <c r="AZ762" s="1"/>
  <c r="Y762"/>
  <c r="BA762" s="1"/>
  <c r="Z762"/>
  <c r="AA762"/>
  <c r="BC762" s="1"/>
  <c r="AB762"/>
  <c r="AC762"/>
  <c r="BE762"/>
  <c r="AD762"/>
  <c r="BF762"/>
  <c r="AE762"/>
  <c r="AG762"/>
  <c r="BI762" s="1"/>
  <c r="AH762"/>
  <c r="BJ762" s="1"/>
  <c r="AI762"/>
  <c r="BK762" s="1"/>
  <c r="AJ762"/>
  <c r="AJ763" s="1"/>
  <c r="AM762"/>
  <c r="AS762"/>
  <c r="BD762"/>
  <c r="BH762"/>
  <c r="EK762"/>
  <c r="EK763"/>
  <c r="J764"/>
  <c r="AL764" s="1"/>
  <c r="K764"/>
  <c r="L764"/>
  <c r="M764"/>
  <c r="N764"/>
  <c r="O764"/>
  <c r="AQ764" s="1"/>
  <c r="P764"/>
  <c r="AR764" s="1"/>
  <c r="Q764"/>
  <c r="R764"/>
  <c r="S764"/>
  <c r="AU764"/>
  <c r="T764"/>
  <c r="U764"/>
  <c r="V764"/>
  <c r="AX764"/>
  <c r="W764"/>
  <c r="X764"/>
  <c r="Y764"/>
  <c r="BA764"/>
  <c r="Z764"/>
  <c r="AA764"/>
  <c r="BC764" s="1"/>
  <c r="AB764"/>
  <c r="AC764"/>
  <c r="BE764"/>
  <c r="AD764"/>
  <c r="AE764"/>
  <c r="BH764" s="1"/>
  <c r="AG764"/>
  <c r="BI764" s="1"/>
  <c r="AH764"/>
  <c r="BJ764" s="1"/>
  <c r="AI764"/>
  <c r="AJ764"/>
  <c r="BL764" s="1"/>
  <c r="AN764"/>
  <c r="AV764"/>
  <c r="BK764"/>
  <c r="EK764"/>
  <c r="J765"/>
  <c r="K765"/>
  <c r="L765"/>
  <c r="AN765"/>
  <c r="M765"/>
  <c r="N765"/>
  <c r="O765"/>
  <c r="P765"/>
  <c r="AS765" s="1"/>
  <c r="Q765"/>
  <c r="R765"/>
  <c r="AT765" s="1"/>
  <c r="S765"/>
  <c r="T765"/>
  <c r="U765"/>
  <c r="V765"/>
  <c r="AX765"/>
  <c r="W765"/>
  <c r="X765"/>
  <c r="Y765"/>
  <c r="Z765"/>
  <c r="BB765" s="1"/>
  <c r="AA765"/>
  <c r="BD765" s="1"/>
  <c r="AB765"/>
  <c r="AC765"/>
  <c r="AD765"/>
  <c r="BG765"/>
  <c r="AE765"/>
  <c r="AF765"/>
  <c r="BH765" s="1"/>
  <c r="AG765"/>
  <c r="BI765" s="1"/>
  <c r="AH765"/>
  <c r="BJ765" s="1"/>
  <c r="AI765"/>
  <c r="BK765" s="1"/>
  <c r="AJ765"/>
  <c r="BL765" s="1"/>
  <c r="BL790" s="1"/>
  <c r="AL765"/>
  <c r="CP765" s="1"/>
  <c r="AO765"/>
  <c r="AW765"/>
  <c r="EK765"/>
  <c r="J766"/>
  <c r="K766"/>
  <c r="L766"/>
  <c r="M766"/>
  <c r="N766"/>
  <c r="O766"/>
  <c r="AQ766" s="1"/>
  <c r="P766"/>
  <c r="AS766" s="1"/>
  <c r="Q766"/>
  <c r="R766"/>
  <c r="S766"/>
  <c r="T766"/>
  <c r="U766"/>
  <c r="V766"/>
  <c r="AX766" s="1"/>
  <c r="DB766" s="1"/>
  <c r="W766"/>
  <c r="X766"/>
  <c r="AZ766" s="1"/>
  <c r="Y766"/>
  <c r="Z766"/>
  <c r="AA766"/>
  <c r="AA834" s="1"/>
  <c r="AB766"/>
  <c r="BD766" s="1"/>
  <c r="AC766"/>
  <c r="AD766"/>
  <c r="BF766" s="1"/>
  <c r="AE766"/>
  <c r="AF766"/>
  <c r="BH766" s="1"/>
  <c r="AG766"/>
  <c r="BI766" s="1"/>
  <c r="AH766"/>
  <c r="BJ766" s="1"/>
  <c r="AI766"/>
  <c r="BK766" s="1"/>
  <c r="AJ766"/>
  <c r="BL766" s="1"/>
  <c r="AL766"/>
  <c r="CP766" s="1"/>
  <c r="AO766"/>
  <c r="AW766"/>
  <c r="EK766"/>
  <c r="J767"/>
  <c r="AL767" s="1"/>
  <c r="CP767" s="1"/>
  <c r="K767"/>
  <c r="L767"/>
  <c r="M767"/>
  <c r="N767"/>
  <c r="AP767" s="1"/>
  <c r="O767"/>
  <c r="AQ767" s="1"/>
  <c r="P767"/>
  <c r="AR767"/>
  <c r="Q767"/>
  <c r="AS767"/>
  <c r="R767"/>
  <c r="S767"/>
  <c r="T767"/>
  <c r="AV767"/>
  <c r="U767"/>
  <c r="V767"/>
  <c r="AX767" s="1"/>
  <c r="DB767" s="1"/>
  <c r="W767"/>
  <c r="AY767"/>
  <c r="X767"/>
  <c r="Y767"/>
  <c r="BA767" s="1"/>
  <c r="Z767"/>
  <c r="AA767"/>
  <c r="BC767"/>
  <c r="AB767"/>
  <c r="AC767"/>
  <c r="AD767"/>
  <c r="BF767"/>
  <c r="AE767"/>
  <c r="BG767"/>
  <c r="AF767"/>
  <c r="BH767"/>
  <c r="AG767"/>
  <c r="AH767"/>
  <c r="AI767"/>
  <c r="AJ767"/>
  <c r="BL767" s="1"/>
  <c r="AM767"/>
  <c r="AU767"/>
  <c r="AW767"/>
  <c r="BD767"/>
  <c r="BI767"/>
  <c r="BJ767"/>
  <c r="DN767" s="1"/>
  <c r="BK767"/>
  <c r="EK767"/>
  <c r="J768"/>
  <c r="K768"/>
  <c r="AM768" s="1"/>
  <c r="L768"/>
  <c r="M768"/>
  <c r="AO768"/>
  <c r="N768"/>
  <c r="O768"/>
  <c r="AR768" s="1"/>
  <c r="P768"/>
  <c r="Q768"/>
  <c r="AS768" s="1"/>
  <c r="R768"/>
  <c r="S768"/>
  <c r="AU768"/>
  <c r="T768"/>
  <c r="U768"/>
  <c r="AW768" s="1"/>
  <c r="V768"/>
  <c r="AX768" s="1"/>
  <c r="DB768" s="1"/>
  <c r="W768"/>
  <c r="X768"/>
  <c r="AZ768" s="1"/>
  <c r="Y768"/>
  <c r="BA768" s="1"/>
  <c r="Z768"/>
  <c r="BB768" s="1"/>
  <c r="AA768"/>
  <c r="AB768"/>
  <c r="BD768"/>
  <c r="AC768"/>
  <c r="AD768"/>
  <c r="BF768" s="1"/>
  <c r="AE768"/>
  <c r="BG768" s="1"/>
  <c r="AF768"/>
  <c r="BH768"/>
  <c r="AG768"/>
  <c r="AH768"/>
  <c r="BJ768" s="1"/>
  <c r="AI768"/>
  <c r="BK768" s="1"/>
  <c r="AJ768"/>
  <c r="BL768" s="1"/>
  <c r="AL768"/>
  <c r="CP768" s="1"/>
  <c r="AN768"/>
  <c r="AV768"/>
  <c r="BC768"/>
  <c r="BI768"/>
  <c r="EK768"/>
  <c r="J769"/>
  <c r="AM769" s="1"/>
  <c r="L769"/>
  <c r="AN769" s="1"/>
  <c r="M769"/>
  <c r="AO769" s="1"/>
  <c r="N769"/>
  <c r="O769"/>
  <c r="P769"/>
  <c r="Q769"/>
  <c r="R769"/>
  <c r="AT769" s="1"/>
  <c r="S769"/>
  <c r="T769"/>
  <c r="U769"/>
  <c r="AW769"/>
  <c r="V769"/>
  <c r="W769"/>
  <c r="X769"/>
  <c r="Y769"/>
  <c r="Z769"/>
  <c r="AA769"/>
  <c r="AB769"/>
  <c r="AC769"/>
  <c r="AD769"/>
  <c r="AE769"/>
  <c r="BG769" s="1"/>
  <c r="AF769"/>
  <c r="BH769" s="1"/>
  <c r="AG769"/>
  <c r="BI769" s="1"/>
  <c r="AH769"/>
  <c r="BJ769" s="1"/>
  <c r="AI769"/>
  <c r="BK769"/>
  <c r="AJ769"/>
  <c r="BL769"/>
  <c r="AP769"/>
  <c r="AX769"/>
  <c r="DB769" s="1"/>
  <c r="EK769"/>
  <c r="EQ769"/>
  <c r="J770"/>
  <c r="AL770" s="1"/>
  <c r="L770"/>
  <c r="AN770" s="1"/>
  <c r="M770"/>
  <c r="N770"/>
  <c r="O770"/>
  <c r="P770"/>
  <c r="Q770"/>
  <c r="AS770" s="1"/>
  <c r="R770"/>
  <c r="S770"/>
  <c r="T770"/>
  <c r="U770"/>
  <c r="V770"/>
  <c r="W770"/>
  <c r="X770"/>
  <c r="Y770"/>
  <c r="Z770"/>
  <c r="AA770"/>
  <c r="AB770"/>
  <c r="AC770"/>
  <c r="AD770"/>
  <c r="AE770"/>
  <c r="AF770"/>
  <c r="AG770"/>
  <c r="AH770"/>
  <c r="AI770"/>
  <c r="BK770" s="1"/>
  <c r="AJ770"/>
  <c r="AO770"/>
  <c r="AW770"/>
  <c r="AX770"/>
  <c r="DB770"/>
  <c r="EK770"/>
  <c r="EQ770"/>
  <c r="ER770"/>
  <c r="J771"/>
  <c r="AL771" s="1"/>
  <c r="K771"/>
  <c r="L771"/>
  <c r="CR771"/>
  <c r="M771"/>
  <c r="O771"/>
  <c r="P771"/>
  <c r="CV771"/>
  <c r="Q771"/>
  <c r="S771"/>
  <c r="CY771" s="1"/>
  <c r="T771"/>
  <c r="U771"/>
  <c r="DA771"/>
  <c r="V771"/>
  <c r="W771"/>
  <c r="DC771" s="1"/>
  <c r="X771"/>
  <c r="Y771"/>
  <c r="DE771"/>
  <c r="Z771"/>
  <c r="DF771"/>
  <c r="AA771"/>
  <c r="AB771"/>
  <c r="DH771" s="1"/>
  <c r="AC771"/>
  <c r="AD771"/>
  <c r="DJ771"/>
  <c r="AE771"/>
  <c r="AF771"/>
  <c r="DL771" s="1"/>
  <c r="AG771"/>
  <c r="DM771" s="1"/>
  <c r="AH771"/>
  <c r="DN771" s="1"/>
  <c r="AI771"/>
  <c r="DO771" s="1"/>
  <c r="AJ771"/>
  <c r="DP771" s="1"/>
  <c r="CQ771"/>
  <c r="CS771"/>
  <c r="CU771"/>
  <c r="CW771"/>
  <c r="CZ771"/>
  <c r="DB771"/>
  <c r="DD771"/>
  <c r="DG771"/>
  <c r="DI771"/>
  <c r="DK771"/>
  <c r="EK771"/>
  <c r="J772"/>
  <c r="AL772"/>
  <c r="K772"/>
  <c r="L772"/>
  <c r="M772"/>
  <c r="O772"/>
  <c r="P772"/>
  <c r="S772"/>
  <c r="T772"/>
  <c r="U772"/>
  <c r="V772"/>
  <c r="W772"/>
  <c r="X772"/>
  <c r="Y772"/>
  <c r="Z772"/>
  <c r="DF772"/>
  <c r="DF791" s="1"/>
  <c r="AA772"/>
  <c r="DG772" s="1"/>
  <c r="DG791" s="1"/>
  <c r="AB772"/>
  <c r="AB791"/>
  <c r="AC772"/>
  <c r="DI772"/>
  <c r="AD772"/>
  <c r="AE772"/>
  <c r="DK772" s="1"/>
  <c r="AF772"/>
  <c r="DL772" s="1"/>
  <c r="AG772"/>
  <c r="DM772" s="1"/>
  <c r="AH772"/>
  <c r="AI772"/>
  <c r="DO772"/>
  <c r="AJ772"/>
  <c r="CP772"/>
  <c r="CQ772"/>
  <c r="CR772"/>
  <c r="CS772"/>
  <c r="CU772"/>
  <c r="CV772"/>
  <c r="CY772"/>
  <c r="CZ772"/>
  <c r="DA772"/>
  <c r="DB772"/>
  <c r="DC772"/>
  <c r="DD772"/>
  <c r="DE772"/>
  <c r="DJ772"/>
  <c r="DN772"/>
  <c r="DP772"/>
  <c r="EK772"/>
  <c r="J773"/>
  <c r="AL773"/>
  <c r="K773"/>
  <c r="L773"/>
  <c r="AN773" s="1"/>
  <c r="M773"/>
  <c r="N773"/>
  <c r="AP773"/>
  <c r="O773"/>
  <c r="AQ773"/>
  <c r="P773"/>
  <c r="AR773"/>
  <c r="Q773"/>
  <c r="R773"/>
  <c r="AT773" s="1"/>
  <c r="S773"/>
  <c r="AU773" s="1"/>
  <c r="T773"/>
  <c r="AV773" s="1"/>
  <c r="U773"/>
  <c r="V773"/>
  <c r="AX773"/>
  <c r="W773"/>
  <c r="AY773"/>
  <c r="X773"/>
  <c r="AZ773"/>
  <c r="Y773"/>
  <c r="Z773"/>
  <c r="BB773" s="1"/>
  <c r="AA773"/>
  <c r="AB773"/>
  <c r="AD773"/>
  <c r="AE773"/>
  <c r="BG773"/>
  <c r="AF773"/>
  <c r="BH773"/>
  <c r="AG773"/>
  <c r="AG789"/>
  <c r="AH773"/>
  <c r="BJ773" s="1"/>
  <c r="AI773"/>
  <c r="BK773" s="1"/>
  <c r="BK789" s="1"/>
  <c r="AJ773"/>
  <c r="AM773"/>
  <c r="AO773"/>
  <c r="BQ773"/>
  <c r="AS773"/>
  <c r="AW773"/>
  <c r="BA773"/>
  <c r="CC773"/>
  <c r="BL773"/>
  <c r="EK773"/>
  <c r="J774"/>
  <c r="K774"/>
  <c r="L774"/>
  <c r="M774"/>
  <c r="N774"/>
  <c r="O774"/>
  <c r="P774"/>
  <c r="Q774"/>
  <c r="R774"/>
  <c r="AT774"/>
  <c r="S774"/>
  <c r="T774"/>
  <c r="AV774" s="1"/>
  <c r="U774"/>
  <c r="V774"/>
  <c r="AX774"/>
  <c r="W774"/>
  <c r="X774"/>
  <c r="X787" s="1"/>
  <c r="Y774"/>
  <c r="BA774" s="1"/>
  <c r="Z774"/>
  <c r="BB774" s="1"/>
  <c r="AA774"/>
  <c r="AB774"/>
  <c r="AC774"/>
  <c r="BE774" s="1"/>
  <c r="AD774"/>
  <c r="AE774"/>
  <c r="BG774"/>
  <c r="CI774" s="1"/>
  <c r="AF774"/>
  <c r="AG774"/>
  <c r="BI774"/>
  <c r="AH774"/>
  <c r="BJ774" s="1"/>
  <c r="AI774"/>
  <c r="BK774" s="1"/>
  <c r="AJ774"/>
  <c r="AL774"/>
  <c r="BN774" s="1"/>
  <c r="BO774" s="1"/>
  <c r="AM774"/>
  <c r="AN774"/>
  <c r="AO774"/>
  <c r="AP774"/>
  <c r="AQ774"/>
  <c r="AR774"/>
  <c r="AS774"/>
  <c r="AU774"/>
  <c r="BW774" s="1"/>
  <c r="AW774"/>
  <c r="AY774"/>
  <c r="BC774"/>
  <c r="BD774"/>
  <c r="CF774"/>
  <c r="BF774"/>
  <c r="BH774"/>
  <c r="BL774"/>
  <c r="BQ774"/>
  <c r="BT774"/>
  <c r="BU774" s="1"/>
  <c r="EK774"/>
  <c r="J775"/>
  <c r="CP775" s="1"/>
  <c r="K775"/>
  <c r="K763" s="1"/>
  <c r="L775"/>
  <c r="M775"/>
  <c r="M763"/>
  <c r="N775"/>
  <c r="O775"/>
  <c r="O763" s="1"/>
  <c r="P775"/>
  <c r="Q775"/>
  <c r="Q763"/>
  <c r="R775"/>
  <c r="S775"/>
  <c r="S763" s="1"/>
  <c r="T775"/>
  <c r="U775"/>
  <c r="U763"/>
  <c r="V775"/>
  <c r="DB775" s="1"/>
  <c r="W775"/>
  <c r="W763" s="1"/>
  <c r="X775"/>
  <c r="Y775"/>
  <c r="Y763"/>
  <c r="BA763" s="1"/>
  <c r="AA775"/>
  <c r="AA763" s="1"/>
  <c r="AB775"/>
  <c r="AC775"/>
  <c r="AC763"/>
  <c r="AE775"/>
  <c r="AF775"/>
  <c r="AG775"/>
  <c r="AH775"/>
  <c r="AI775"/>
  <c r="AI763" s="1"/>
  <c r="AJ775"/>
  <c r="EK775"/>
  <c r="E779"/>
  <c r="G779"/>
  <c r="J779"/>
  <c r="K779"/>
  <c r="AI779"/>
  <c r="AJ779"/>
  <c r="E780"/>
  <c r="G780"/>
  <c r="M780"/>
  <c r="E781"/>
  <c r="G781"/>
  <c r="I781"/>
  <c r="AH781"/>
  <c r="AI781"/>
  <c r="AJ781"/>
  <c r="E782"/>
  <c r="G782"/>
  <c r="E783"/>
  <c r="G783"/>
  <c r="AH783"/>
  <c r="AI783"/>
  <c r="AJ783"/>
  <c r="E784"/>
  <c r="G784"/>
  <c r="J784"/>
  <c r="K784"/>
  <c r="L784"/>
  <c r="M784"/>
  <c r="O784"/>
  <c r="P784"/>
  <c r="V784"/>
  <c r="W784"/>
  <c r="X784"/>
  <c r="Y784"/>
  <c r="Z784"/>
  <c r="AA784"/>
  <c r="AG784"/>
  <c r="AH784"/>
  <c r="AI784"/>
  <c r="AJ784"/>
  <c r="CP784"/>
  <c r="CQ784"/>
  <c r="CR784"/>
  <c r="CV784"/>
  <c r="DF784"/>
  <c r="E786"/>
  <c r="G786"/>
  <c r="J786"/>
  <c r="K786"/>
  <c r="L786"/>
  <c r="M786"/>
  <c r="N786"/>
  <c r="O786"/>
  <c r="P786"/>
  <c r="Q786"/>
  <c r="R786"/>
  <c r="S786"/>
  <c r="T786"/>
  <c r="U786"/>
  <c r="V786"/>
  <c r="W786"/>
  <c r="X786"/>
  <c r="Y786"/>
  <c r="Z786"/>
  <c r="AA786"/>
  <c r="AC786"/>
  <c r="AD786"/>
  <c r="AF786"/>
  <c r="AG786"/>
  <c r="AH786"/>
  <c r="AI786"/>
  <c r="AJ786"/>
  <c r="E787"/>
  <c r="G787"/>
  <c r="J787"/>
  <c r="K787"/>
  <c r="L787"/>
  <c r="M787"/>
  <c r="N787"/>
  <c r="O787"/>
  <c r="P787"/>
  <c r="Q787"/>
  <c r="R787"/>
  <c r="S787"/>
  <c r="T787"/>
  <c r="U787"/>
  <c r="V787"/>
  <c r="W787"/>
  <c r="Y787"/>
  <c r="AE787"/>
  <c r="AJ787"/>
  <c r="AM787"/>
  <c r="AO787"/>
  <c r="AS787"/>
  <c r="AW787"/>
  <c r="BL787"/>
  <c r="E788"/>
  <c r="G788"/>
  <c r="I788"/>
  <c r="AG763"/>
  <c r="AG788" s="1"/>
  <c r="AJ788"/>
  <c r="E789"/>
  <c r="G789"/>
  <c r="J789"/>
  <c r="K789"/>
  <c r="L789"/>
  <c r="M789"/>
  <c r="N789"/>
  <c r="O789"/>
  <c r="P789"/>
  <c r="Q789"/>
  <c r="R789"/>
  <c r="S789"/>
  <c r="T789"/>
  <c r="U789"/>
  <c r="V789"/>
  <c r="W789"/>
  <c r="Y789"/>
  <c r="AE789"/>
  <c r="AI789"/>
  <c r="AJ789"/>
  <c r="E790"/>
  <c r="G790"/>
  <c r="J790"/>
  <c r="K790"/>
  <c r="L790"/>
  <c r="M790"/>
  <c r="N790"/>
  <c r="O790"/>
  <c r="P790"/>
  <c r="Q790"/>
  <c r="R790"/>
  <c r="S790"/>
  <c r="T790"/>
  <c r="U790"/>
  <c r="V790"/>
  <c r="Z790"/>
  <c r="AA790"/>
  <c r="AB790"/>
  <c r="AC790"/>
  <c r="AD790"/>
  <c r="AE790"/>
  <c r="AF790"/>
  <c r="AG790"/>
  <c r="AH790"/>
  <c r="AI790"/>
  <c r="AJ790"/>
  <c r="AL790"/>
  <c r="AO790"/>
  <c r="AW790"/>
  <c r="E791"/>
  <c r="G791"/>
  <c r="J791"/>
  <c r="K791"/>
  <c r="L791"/>
  <c r="M791"/>
  <c r="O791"/>
  <c r="P791"/>
  <c r="S791"/>
  <c r="T791"/>
  <c r="U791"/>
  <c r="V791"/>
  <c r="W791"/>
  <c r="X791"/>
  <c r="Y791"/>
  <c r="Z791"/>
  <c r="AC791"/>
  <c r="AD791"/>
  <c r="AE791"/>
  <c r="AF791"/>
  <c r="AG791"/>
  <c r="AH791"/>
  <c r="AI791"/>
  <c r="AJ791"/>
  <c r="CP791"/>
  <c r="CQ791"/>
  <c r="CS791"/>
  <c r="CU791"/>
  <c r="CZ791"/>
  <c r="DB791"/>
  <c r="DC791"/>
  <c r="DD791"/>
  <c r="DE791"/>
  <c r="P805"/>
  <c r="Q805"/>
  <c r="R805"/>
  <c r="T805"/>
  <c r="U805"/>
  <c r="V805"/>
  <c r="W805"/>
  <c r="X805"/>
  <c r="R810"/>
  <c r="O812"/>
  <c r="P812"/>
  <c r="Q812"/>
  <c r="R812"/>
  <c r="R815"/>
  <c r="T815"/>
  <c r="R816"/>
  <c r="Q817"/>
  <c r="Q818"/>
  <c r="I821"/>
  <c r="J821"/>
  <c r="K821"/>
  <c r="L821"/>
  <c r="M821"/>
  <c r="N821"/>
  <c r="O821"/>
  <c r="P821"/>
  <c r="Q821"/>
  <c r="R821"/>
  <c r="S821"/>
  <c r="T821"/>
  <c r="U821"/>
  <c r="V821"/>
  <c r="W821"/>
  <c r="X821"/>
  <c r="Y821"/>
  <c r="Z821"/>
  <c r="AA821"/>
  <c r="AB821"/>
  <c r="AC821"/>
  <c r="AD821"/>
  <c r="AE821"/>
  <c r="AF821"/>
  <c r="AG821"/>
  <c r="AH821"/>
  <c r="AI821"/>
  <c r="AJ821"/>
  <c r="I822"/>
  <c r="J822"/>
  <c r="K822"/>
  <c r="L822"/>
  <c r="M822"/>
  <c r="N822"/>
  <c r="O822"/>
  <c r="P822"/>
  <c r="Q822"/>
  <c r="R822"/>
  <c r="S822"/>
  <c r="T822"/>
  <c r="U822"/>
  <c r="V822"/>
  <c r="W822"/>
  <c r="X822"/>
  <c r="Y822"/>
  <c r="Z822"/>
  <c r="AB822"/>
  <c r="AC822"/>
  <c r="AD822"/>
  <c r="AE822"/>
  <c r="AF822"/>
  <c r="AG822"/>
  <c r="AH822"/>
  <c r="AI822"/>
  <c r="AJ822"/>
  <c r="I823"/>
  <c r="J823"/>
  <c r="K823"/>
  <c r="L823"/>
  <c r="M823"/>
  <c r="N823"/>
  <c r="O823"/>
  <c r="P823"/>
  <c r="Q823"/>
  <c r="R823"/>
  <c r="S823"/>
  <c r="T823"/>
  <c r="U823"/>
  <c r="V823"/>
  <c r="W823"/>
  <c r="X823"/>
  <c r="Y823"/>
  <c r="Z823"/>
  <c r="AA823"/>
  <c r="AB823"/>
  <c r="AD823"/>
  <c r="AE823"/>
  <c r="AF823"/>
  <c r="AG823"/>
  <c r="AH823"/>
  <c r="AI823"/>
  <c r="AJ823"/>
  <c r="I824"/>
  <c r="J824"/>
  <c r="K824"/>
  <c r="L824"/>
  <c r="M824"/>
  <c r="N824"/>
  <c r="O824"/>
  <c r="P824"/>
  <c r="Q824"/>
  <c r="R824"/>
  <c r="S824"/>
  <c r="T824"/>
  <c r="U824"/>
  <c r="V824"/>
  <c r="W824"/>
  <c r="X824"/>
  <c r="Y824"/>
  <c r="Z824"/>
  <c r="AA824"/>
  <c r="AB824"/>
  <c r="AC824"/>
  <c r="AD824"/>
  <c r="AE824"/>
  <c r="AF824"/>
  <c r="AG824"/>
  <c r="AH824"/>
  <c r="AI824"/>
  <c r="AJ824"/>
  <c r="I825"/>
  <c r="J825"/>
  <c r="K825"/>
  <c r="L825"/>
  <c r="M825"/>
  <c r="N825"/>
  <c r="O825"/>
  <c r="P825"/>
  <c r="Q825"/>
  <c r="R825"/>
  <c r="S825"/>
  <c r="T825"/>
  <c r="U825"/>
  <c r="V825"/>
  <c r="W825"/>
  <c r="X825"/>
  <c r="Y825"/>
  <c r="Z825"/>
  <c r="AA825"/>
  <c r="AB825"/>
  <c r="AC825"/>
  <c r="AD825"/>
  <c r="AE825"/>
  <c r="AF825"/>
  <c r="AG825"/>
  <c r="AH825"/>
  <c r="AI825"/>
  <c r="AJ825"/>
  <c r="I826"/>
  <c r="J826"/>
  <c r="K826"/>
  <c r="L826"/>
  <c r="M826"/>
  <c r="N826"/>
  <c r="O826"/>
  <c r="P826"/>
  <c r="Q826"/>
  <c r="R826"/>
  <c r="S826"/>
  <c r="T826"/>
  <c r="U826"/>
  <c r="V826"/>
  <c r="W826"/>
  <c r="X826"/>
  <c r="Y826"/>
  <c r="Z826"/>
  <c r="AA826"/>
  <c r="AC826"/>
  <c r="AD826"/>
  <c r="AF826"/>
  <c r="AG826"/>
  <c r="AH826"/>
  <c r="AI826"/>
  <c r="AJ826"/>
  <c r="I827"/>
  <c r="J827"/>
  <c r="K827"/>
  <c r="L827"/>
  <c r="M827"/>
  <c r="N827"/>
  <c r="O827"/>
  <c r="P827"/>
  <c r="Q827"/>
  <c r="R827"/>
  <c r="S827"/>
  <c r="T827"/>
  <c r="U827"/>
  <c r="V827"/>
  <c r="W827"/>
  <c r="X827"/>
  <c r="Y827"/>
  <c r="Z827"/>
  <c r="AA827"/>
  <c r="AB827"/>
  <c r="AC827"/>
  <c r="AD827"/>
  <c r="AE827"/>
  <c r="AF827"/>
  <c r="AG827"/>
  <c r="AH827"/>
  <c r="AI827"/>
  <c r="AJ827"/>
  <c r="I828"/>
  <c r="J828"/>
  <c r="K828"/>
  <c r="L828"/>
  <c r="M828"/>
  <c r="N828"/>
  <c r="O828"/>
  <c r="P828"/>
  <c r="Q828"/>
  <c r="R828"/>
  <c r="S828"/>
  <c r="T828"/>
  <c r="U828"/>
  <c r="V828"/>
  <c r="W828"/>
  <c r="X828"/>
  <c r="Y828"/>
  <c r="Z828"/>
  <c r="AA828"/>
  <c r="AB828"/>
  <c r="AC828"/>
  <c r="AD828"/>
  <c r="AE828"/>
  <c r="AF828"/>
  <c r="AG828"/>
  <c r="AH828"/>
  <c r="AI828"/>
  <c r="AJ828"/>
  <c r="I829"/>
  <c r="J829"/>
  <c r="K829"/>
  <c r="L829"/>
  <c r="M829"/>
  <c r="N829"/>
  <c r="O829"/>
  <c r="P829"/>
  <c r="Q829"/>
  <c r="R829"/>
  <c r="S829"/>
  <c r="T829"/>
  <c r="U829"/>
  <c r="V829"/>
  <c r="W829"/>
  <c r="X829"/>
  <c r="Y829"/>
  <c r="Z829"/>
  <c r="AA829"/>
  <c r="AB829"/>
  <c r="AC829"/>
  <c r="AD829"/>
  <c r="AE829"/>
  <c r="AF829"/>
  <c r="AG829"/>
  <c r="AH829"/>
  <c r="AI829"/>
  <c r="AJ829"/>
  <c r="I830"/>
  <c r="J830"/>
  <c r="K830"/>
  <c r="L830"/>
  <c r="M830"/>
  <c r="N830"/>
  <c r="O830"/>
  <c r="P830"/>
  <c r="Q830"/>
  <c r="R830"/>
  <c r="S830"/>
  <c r="T830"/>
  <c r="U830"/>
  <c r="V830"/>
  <c r="W830"/>
  <c r="X830"/>
  <c r="Y830"/>
  <c r="AA830"/>
  <c r="AB830"/>
  <c r="AC830"/>
  <c r="AE830"/>
  <c r="AF830"/>
  <c r="AG830"/>
  <c r="AH830"/>
  <c r="AI830"/>
  <c r="AJ830"/>
  <c r="I831"/>
  <c r="I832"/>
  <c r="J832"/>
  <c r="K832"/>
  <c r="L832"/>
  <c r="M832"/>
  <c r="N832"/>
  <c r="O832"/>
  <c r="P832"/>
  <c r="Q832"/>
  <c r="R832"/>
  <c r="S832"/>
  <c r="T832"/>
  <c r="U832"/>
  <c r="V832"/>
  <c r="W832"/>
  <c r="X832"/>
  <c r="Y832"/>
  <c r="Z832"/>
  <c r="AA832"/>
  <c r="AB832"/>
  <c r="AC832"/>
  <c r="AD832"/>
  <c r="AE832"/>
  <c r="AF832"/>
  <c r="AG832"/>
  <c r="AH832"/>
  <c r="AI832"/>
  <c r="AJ832"/>
  <c r="I833"/>
  <c r="J833"/>
  <c r="K833"/>
  <c r="L833"/>
  <c r="M833"/>
  <c r="N833"/>
  <c r="O833"/>
  <c r="P833"/>
  <c r="Q833"/>
  <c r="R833"/>
  <c r="S833"/>
  <c r="T833"/>
  <c r="U833"/>
  <c r="V833"/>
  <c r="W833"/>
  <c r="Z833"/>
  <c r="AA833"/>
  <c r="AB833"/>
  <c r="AC833"/>
  <c r="AD833"/>
  <c r="AE833"/>
  <c r="AF833"/>
  <c r="AG833"/>
  <c r="AH833"/>
  <c r="AI833"/>
  <c r="AJ833"/>
  <c r="I834"/>
  <c r="J834"/>
  <c r="K834"/>
  <c r="L834"/>
  <c r="M834"/>
  <c r="N834"/>
  <c r="O834"/>
  <c r="P834"/>
  <c r="Q834"/>
  <c r="R834"/>
  <c r="S834"/>
  <c r="T834"/>
  <c r="U834"/>
  <c r="V834"/>
  <c r="W834"/>
  <c r="Y834"/>
  <c r="Z834"/>
  <c r="AB834"/>
  <c r="AC834"/>
  <c r="AD834"/>
  <c r="AE834"/>
  <c r="AF834"/>
  <c r="AG834"/>
  <c r="AH834"/>
  <c r="AI834"/>
  <c r="AJ834"/>
  <c r="I835"/>
  <c r="J835"/>
  <c r="K835"/>
  <c r="L835"/>
  <c r="M835"/>
  <c r="N835"/>
  <c r="O835"/>
  <c r="P835"/>
  <c r="Q835"/>
  <c r="R835"/>
  <c r="S835"/>
  <c r="T835"/>
  <c r="U835"/>
  <c r="V835"/>
  <c r="W835"/>
  <c r="X835"/>
  <c r="Y835"/>
  <c r="AA835"/>
  <c r="AB835"/>
  <c r="AC835"/>
  <c r="AD835"/>
  <c r="AE835"/>
  <c r="AF835"/>
  <c r="AG835"/>
  <c r="AH835"/>
  <c r="AI835"/>
  <c r="AJ835"/>
  <c r="I836"/>
  <c r="J836"/>
  <c r="K836"/>
  <c r="L836"/>
  <c r="M836"/>
  <c r="N836"/>
  <c r="O836"/>
  <c r="P836"/>
  <c r="Q836"/>
  <c r="R836"/>
  <c r="S836"/>
  <c r="T836"/>
  <c r="U836"/>
  <c r="V836"/>
  <c r="W836"/>
  <c r="X836"/>
  <c r="Y836"/>
  <c r="Z836"/>
  <c r="AA836"/>
  <c r="AB836"/>
  <c r="AC836"/>
  <c r="AD836"/>
  <c r="AE836"/>
  <c r="AF836"/>
  <c r="AG836"/>
  <c r="AH836"/>
  <c r="AI836"/>
  <c r="AJ836"/>
  <c r="I837"/>
  <c r="J837"/>
  <c r="K837"/>
  <c r="L837"/>
  <c r="M837"/>
  <c r="N837"/>
  <c r="O837"/>
  <c r="P837"/>
  <c r="Q837"/>
  <c r="R837"/>
  <c r="S837"/>
  <c r="T837"/>
  <c r="U837"/>
  <c r="V837"/>
  <c r="W837"/>
  <c r="X837"/>
  <c r="Y837"/>
  <c r="Z837"/>
  <c r="AA837"/>
  <c r="AB837"/>
  <c r="AC837"/>
  <c r="AD837"/>
  <c r="AE837"/>
  <c r="AF837"/>
  <c r="AG837"/>
  <c r="AH837"/>
  <c r="AI837"/>
  <c r="AJ837"/>
  <c r="I838"/>
  <c r="I876" s="1"/>
  <c r="J838"/>
  <c r="K838"/>
  <c r="L838"/>
  <c r="M838"/>
  <c r="N838"/>
  <c r="O838"/>
  <c r="P838"/>
  <c r="Q838"/>
  <c r="R838"/>
  <c r="S838"/>
  <c r="T838"/>
  <c r="U838"/>
  <c r="V838"/>
  <c r="W838"/>
  <c r="X838"/>
  <c r="Y838"/>
  <c r="Z838"/>
  <c r="AA838"/>
  <c r="AC838"/>
  <c r="AD838"/>
  <c r="AE838"/>
  <c r="AF838"/>
  <c r="AG838"/>
  <c r="AH838"/>
  <c r="AI838"/>
  <c r="AJ838"/>
  <c r="I839"/>
  <c r="J839"/>
  <c r="K839"/>
  <c r="L839"/>
  <c r="M839"/>
  <c r="O839"/>
  <c r="P839"/>
  <c r="Q839"/>
  <c r="S839"/>
  <c r="T839"/>
  <c r="U839"/>
  <c r="V839"/>
  <c r="W839"/>
  <c r="X839"/>
  <c r="Y839"/>
  <c r="Z839"/>
  <c r="AA839"/>
  <c r="AB839"/>
  <c r="AC839"/>
  <c r="AD839"/>
  <c r="AE839"/>
  <c r="AF839"/>
  <c r="AG839"/>
  <c r="AH839"/>
  <c r="AI839"/>
  <c r="AJ839"/>
  <c r="I840"/>
  <c r="J840"/>
  <c r="K840"/>
  <c r="L840"/>
  <c r="M840"/>
  <c r="O840"/>
  <c r="P840"/>
  <c r="S840"/>
  <c r="T840"/>
  <c r="U840"/>
  <c r="V840"/>
  <c r="W840"/>
  <c r="X840"/>
  <c r="Y840"/>
  <c r="Z840"/>
  <c r="AA840"/>
  <c r="AB840"/>
  <c r="AC840"/>
  <c r="AD840"/>
  <c r="AE840"/>
  <c r="AF840"/>
  <c r="AG840"/>
  <c r="AH840"/>
  <c r="AI840"/>
  <c r="AJ840"/>
  <c r="BJ650"/>
  <c r="DN616"/>
  <c r="DO616" s="1"/>
  <c r="DP616" s="1"/>
  <c r="DG598"/>
  <c r="AX608"/>
  <c r="AX917" s="1"/>
  <c r="CA650"/>
  <c r="O616"/>
  <c r="P616"/>
  <c r="N650"/>
  <c r="AP616"/>
  <c r="AP650" s="1"/>
  <c r="N648"/>
  <c r="CB584"/>
  <c r="CA186"/>
  <c r="CC648"/>
  <c r="CB650"/>
  <c r="AQ616"/>
  <c r="AQ650" s="1"/>
  <c r="O648"/>
  <c r="O650"/>
  <c r="CB186"/>
  <c r="CB452"/>
  <c r="CC383"/>
  <c r="CC317"/>
  <c r="CC450"/>
  <c r="CF186"/>
  <c r="CK186"/>
  <c r="CD373"/>
  <c r="CD109"/>
  <c r="BC770"/>
  <c r="BB767"/>
  <c r="Z835"/>
  <c r="CD503"/>
  <c r="EH503"/>
  <c r="CE503"/>
  <c r="CC372"/>
  <c r="CC42"/>
  <c r="BB589"/>
  <c r="DF497"/>
  <c r="CC431"/>
  <c r="CD378"/>
  <c r="CD35"/>
  <c r="CD556"/>
  <c r="CD226"/>
  <c r="CC226"/>
  <c r="CD94"/>
  <c r="CC623"/>
  <c r="CC95"/>
  <c r="CD428"/>
  <c r="CD296"/>
  <c r="BB257"/>
  <c r="CD33"/>
  <c r="CD32"/>
  <c r="EH500"/>
  <c r="CE500"/>
  <c r="EJ566"/>
  <c r="CD300"/>
  <c r="DG295"/>
  <c r="DG229"/>
  <c r="DG162"/>
  <c r="BB657"/>
  <c r="BB655"/>
  <c r="BC589"/>
  <c r="BC591"/>
  <c r="BB525"/>
  <c r="AA525"/>
  <c r="DG496"/>
  <c r="CD443"/>
  <c r="BB457"/>
  <c r="BB459"/>
  <c r="CD430"/>
  <c r="AA324"/>
  <c r="BB258"/>
  <c r="AA258"/>
  <c r="CD113"/>
  <c r="BB127"/>
  <c r="BB129"/>
  <c r="CD40"/>
  <c r="DF687"/>
  <c r="CE687"/>
  <c r="CD555"/>
  <c r="CD435"/>
  <c r="CD225"/>
  <c r="CC225"/>
  <c r="EJ201"/>
  <c r="EK199"/>
  <c r="T202" i="3" s="1"/>
  <c r="EJ535" i="1"/>
  <c r="EJ531"/>
  <c r="EK529"/>
  <c r="T532" i="3" s="1"/>
  <c r="CE378" i="1"/>
  <c r="CD60"/>
  <c r="CE443"/>
  <c r="CF443"/>
  <c r="CG443" s="1"/>
  <c r="CE113"/>
  <c r="CD687"/>
  <c r="CC687"/>
  <c r="BB326"/>
  <c r="BB313"/>
  <c r="CC300"/>
  <c r="CE301"/>
  <c r="BB762"/>
  <c r="Z830"/>
  <c r="BB325"/>
  <c r="CC696"/>
  <c r="CC630"/>
  <c r="CC564"/>
  <c r="BB511"/>
  <c r="CC366"/>
  <c r="CC234"/>
  <c r="BB247"/>
  <c r="CE235"/>
  <c r="CC168"/>
  <c r="BB194"/>
  <c r="BB181"/>
  <c r="CE169"/>
  <c r="CE102"/>
  <c r="CE103"/>
  <c r="BC115"/>
  <c r="EH115"/>
  <c r="CD313"/>
  <c r="CC301"/>
  <c r="CE325"/>
  <c r="CD301"/>
  <c r="EH511"/>
  <c r="CC235"/>
  <c r="CD235"/>
  <c r="CD247"/>
  <c r="CC169"/>
  <c r="CD169"/>
  <c r="CD181"/>
  <c r="CE181" s="1"/>
  <c r="EH181"/>
  <c r="CC102"/>
  <c r="CD102"/>
  <c r="CE313"/>
  <c r="CD325"/>
  <c r="CE247"/>
  <c r="V782"/>
  <c r="BZ575"/>
  <c r="DB575"/>
  <c r="CA575"/>
  <c r="AF789"/>
  <c r="AD789"/>
  <c r="Z789"/>
  <c r="X789"/>
  <c r="AF787"/>
  <c r="AD787"/>
  <c r="Z787"/>
  <c r="CA584"/>
  <c r="DP407"/>
  <c r="DB186"/>
  <c r="DC575"/>
  <c r="DC591" s="1"/>
  <c r="DD575"/>
  <c r="DB591"/>
  <c r="BA421"/>
  <c r="CA408"/>
  <c r="CA451"/>
  <c r="BZ408"/>
  <c r="BZ451"/>
  <c r="DE575"/>
  <c r="EE407"/>
  <c r="BB421"/>
  <c r="BD421"/>
  <c r="BF421"/>
  <c r="BE421"/>
  <c r="BH421"/>
  <c r="BG421"/>
  <c r="EE421"/>
  <c r="EB407"/>
  <c r="EG407"/>
  <c r="BI421"/>
  <c r="EB607"/>
  <c r="EB541"/>
  <c r="EG607"/>
  <c r="EG541"/>
  <c r="EB155"/>
  <c r="EG155" s="1"/>
  <c r="CE115"/>
  <c r="CJ102"/>
  <c r="CK103"/>
  <c r="CI103"/>
  <c r="CA102"/>
  <c r="CB103"/>
  <c r="BZ103" s="1"/>
  <c r="CJ115"/>
  <c r="CK115" s="1"/>
  <c r="CA103"/>
  <c r="CJ103"/>
  <c r="AZ769"/>
  <c r="CI571"/>
  <c r="BU571"/>
  <c r="BW571"/>
  <c r="CK697"/>
  <c r="CJ697" s="1"/>
  <c r="CB697"/>
  <c r="CJ696"/>
  <c r="CA696"/>
  <c r="CK631"/>
  <c r="CJ630"/>
  <c r="CM564"/>
  <c r="CG564"/>
  <c r="CE498"/>
  <c r="BA511"/>
  <c r="CC511" s="1"/>
  <c r="CD511" s="1"/>
  <c r="CE511" s="1"/>
  <c r="CE499"/>
  <c r="CB499"/>
  <c r="AY511"/>
  <c r="CA511" s="1"/>
  <c r="CB511" s="1"/>
  <c r="BY498"/>
  <c r="BY499"/>
  <c r="CA498"/>
  <c r="CA499"/>
  <c r="AW511"/>
  <c r="CK499"/>
  <c r="CI498"/>
  <c r="CE445"/>
  <c r="CL432"/>
  <c r="CF432"/>
  <c r="CD432"/>
  <c r="BW432"/>
  <c r="CN433"/>
  <c r="CM433" s="1"/>
  <c r="CH433"/>
  <c r="CH458"/>
  <c r="CJ366"/>
  <c r="CK367"/>
  <c r="CI367" s="1"/>
  <c r="CI366"/>
  <c r="CA366"/>
  <c r="CB367"/>
  <c r="BZ366"/>
  <c r="CN367"/>
  <c r="CL367" s="1"/>
  <c r="CE367"/>
  <c r="CM366"/>
  <c r="CG366"/>
  <c r="CJ300"/>
  <c r="DP234"/>
  <c r="CJ234"/>
  <c r="CI168"/>
  <c r="BW168"/>
  <c r="DO37"/>
  <c r="CB37"/>
  <c r="CJ36"/>
  <c r="CJ37"/>
  <c r="CC36"/>
  <c r="CC37"/>
  <c r="CA36"/>
  <c r="CA697"/>
  <c r="BZ697"/>
  <c r="CJ631"/>
  <c r="CI631"/>
  <c r="CI499"/>
  <c r="CJ499"/>
  <c r="CC499"/>
  <c r="CD499"/>
  <c r="CD498"/>
  <c r="CC498"/>
  <c r="CF433"/>
  <c r="CG433"/>
  <c r="CL433"/>
  <c r="CJ367"/>
  <c r="CC367"/>
  <c r="CD367"/>
  <c r="BZ367"/>
  <c r="CA367"/>
  <c r="CA37"/>
  <c r="BZ37"/>
  <c r="DN418"/>
  <c r="DN452"/>
  <c r="CE44"/>
  <c r="CG500"/>
  <c r="CH503"/>
  <c r="CF438"/>
  <c r="DG629"/>
  <c r="CF563"/>
  <c r="CE444"/>
  <c r="BC457"/>
  <c r="BD457"/>
  <c r="DH431"/>
  <c r="EJ431"/>
  <c r="DH457"/>
  <c r="EH299"/>
  <c r="DG299"/>
  <c r="BC127"/>
  <c r="CF35"/>
  <c r="CE688"/>
  <c r="DG688"/>
  <c r="CF556"/>
  <c r="CG424"/>
  <c r="CE292"/>
  <c r="CC160"/>
  <c r="CD160"/>
  <c r="DG160"/>
  <c r="DG28"/>
  <c r="CG428"/>
  <c r="CC325"/>
  <c r="EH165"/>
  <c r="DG165"/>
  <c r="CG33"/>
  <c r="EH294"/>
  <c r="DG294"/>
  <c r="DG30"/>
  <c r="DG31"/>
  <c r="CE31"/>
  <c r="CH500"/>
  <c r="CE368"/>
  <c r="CD104"/>
  <c r="CD129"/>
  <c r="CC104"/>
  <c r="CC129"/>
  <c r="CE129"/>
  <c r="EH104"/>
  <c r="CE700"/>
  <c r="DG694"/>
  <c r="EH423"/>
  <c r="DG423"/>
  <c r="EJ423"/>
  <c r="CF435"/>
  <c r="CC457"/>
  <c r="BC324"/>
  <c r="BC326"/>
  <c r="EJ663"/>
  <c r="EK661"/>
  <c r="T664" i="3" s="1"/>
  <c r="EJ403" i="1"/>
  <c r="EJ399"/>
  <c r="EK397"/>
  <c r="T400" i="3" s="1"/>
  <c r="EJ202" i="1"/>
  <c r="EJ73"/>
  <c r="EJ69"/>
  <c r="EK67"/>
  <c r="T70" i="3" s="1"/>
  <c r="CD44" i="1"/>
  <c r="CC44"/>
  <c r="CD688"/>
  <c r="CC688"/>
  <c r="CC292"/>
  <c r="CD292"/>
  <c r="CD31"/>
  <c r="CC31"/>
  <c r="CC368"/>
  <c r="CD368"/>
  <c r="CC700"/>
  <c r="CD700"/>
  <c r="AB63"/>
  <c r="AA61"/>
  <c r="CF439"/>
  <c r="EJ439"/>
  <c r="CE572"/>
  <c r="CC572"/>
  <c r="EH572"/>
  <c r="CC565"/>
  <c r="CD565"/>
  <c r="DI432"/>
  <c r="AA791"/>
  <c r="DI300"/>
  <c r="DI234"/>
  <c r="CF109"/>
  <c r="CD572"/>
  <c r="DJ432"/>
  <c r="DJ234"/>
  <c r="AY278"/>
  <c r="AY912" s="1"/>
  <c r="W320"/>
  <c r="AX278"/>
  <c r="AX912"/>
  <c r="V320"/>
  <c r="V740"/>
  <c r="V783" s="1"/>
  <c r="BI744"/>
  <c r="CE222"/>
  <c r="EE222"/>
  <c r="EE486"/>
  <c r="EE288"/>
  <c r="CE288"/>
  <c r="AE24"/>
  <c r="DC18"/>
  <c r="Y15"/>
  <c r="AZ15"/>
  <c r="AY739"/>
  <c r="AZ13"/>
  <c r="BZ13"/>
  <c r="BZ56" s="1"/>
  <c r="CA57"/>
  <c r="CB57"/>
  <c r="DC22"/>
  <c r="DD22" s="1"/>
  <c r="DE22" s="1"/>
  <c r="DF22" s="1"/>
  <c r="DG22" s="1"/>
  <c r="DH22" s="1"/>
  <c r="DI22" s="1"/>
  <c r="DJ22" s="1"/>
  <c r="DK22" s="1"/>
  <c r="DL22" s="1"/>
  <c r="DM22" s="1"/>
  <c r="EB22" s="1"/>
  <c r="Q13" i="3" s="1"/>
  <c r="DB56" i="1"/>
  <c r="X56"/>
  <c r="AE19"/>
  <c r="BF19"/>
  <c r="S19"/>
  <c r="AT19"/>
  <c r="BV19" s="1"/>
  <c r="DE7"/>
  <c r="EF222"/>
  <c r="DG222"/>
  <c r="DG288"/>
  <c r="EF288"/>
  <c r="BG24"/>
  <c r="CI24"/>
  <c r="DK24" s="1"/>
  <c r="DD18"/>
  <c r="Z15"/>
  <c r="AA15"/>
  <c r="BA15"/>
  <c r="BA13"/>
  <c r="CA56"/>
  <c r="CB56"/>
  <c r="BZ57"/>
  <c r="AZ56"/>
  <c r="AY782"/>
  <c r="AF19"/>
  <c r="BH19" s="1"/>
  <c r="BG19"/>
  <c r="EE19"/>
  <c r="EL44" s="1"/>
  <c r="T19"/>
  <c r="AV19"/>
  <c r="AU19"/>
  <c r="DE18"/>
  <c r="BB15"/>
  <c r="BB13"/>
  <c r="BI19"/>
  <c r="AW19"/>
  <c r="EE24"/>
  <c r="EF24"/>
  <c r="CD56"/>
  <c r="CE56"/>
  <c r="CC56"/>
  <c r="EF14"/>
  <c r="CE57"/>
  <c r="CC57"/>
  <c r="CD57"/>
  <c r="CF56"/>
  <c r="CG56"/>
  <c r="CH56"/>
  <c r="CG57"/>
  <c r="CH57"/>
  <c r="CF57"/>
  <c r="CJ56"/>
  <c r="CK56"/>
  <c r="CI56"/>
  <c r="CI57"/>
  <c r="CJ57"/>
  <c r="CK57"/>
  <c r="AZ584"/>
  <c r="DD550"/>
  <c r="DC584"/>
  <c r="Y582"/>
  <c r="BA584"/>
  <c r="Y543"/>
  <c r="AZ543"/>
  <c r="DC543"/>
  <c r="DD543"/>
  <c r="Y541"/>
  <c r="X584"/>
  <c r="AB535"/>
  <c r="BC535"/>
  <c r="AB533"/>
  <c r="BC533"/>
  <c r="AA551"/>
  <c r="AB532"/>
  <c r="BC532"/>
  <c r="BA744"/>
  <c r="Y346"/>
  <c r="AZ346"/>
  <c r="CA346"/>
  <c r="DD346"/>
  <c r="AZ383"/>
  <c r="X383"/>
  <c r="DD352"/>
  <c r="Y345"/>
  <c r="AZ345"/>
  <c r="CA345"/>
  <c r="X386"/>
  <c r="AZ344"/>
  <c r="AZ913"/>
  <c r="Y343"/>
  <c r="AZ343"/>
  <c r="X385"/>
  <c r="AZ341"/>
  <c r="AB338"/>
  <c r="BC338"/>
  <c r="AB337"/>
  <c r="BC337"/>
  <c r="AB336"/>
  <c r="BC336"/>
  <c r="AB335"/>
  <c r="BC335"/>
  <c r="AA353"/>
  <c r="CD353"/>
  <c r="CD383" s="1"/>
  <c r="AB334"/>
  <c r="BC334"/>
  <c r="DD286"/>
  <c r="BA317"/>
  <c r="Y317"/>
  <c r="W782"/>
  <c r="Y279"/>
  <c r="AZ279"/>
  <c r="CA279"/>
  <c r="DD279"/>
  <c r="BZ279"/>
  <c r="Y277"/>
  <c r="AZ277"/>
  <c r="X319"/>
  <c r="AZ275"/>
  <c r="DC275"/>
  <c r="AY289"/>
  <c r="AB271"/>
  <c r="BC271"/>
  <c r="AB269"/>
  <c r="AA287"/>
  <c r="CD317"/>
  <c r="EE269"/>
  <c r="E271" i="3" s="1"/>
  <c r="DH269" i="1"/>
  <c r="DI269"/>
  <c r="AB206"/>
  <c r="AC206"/>
  <c r="BC206"/>
  <c r="BD206"/>
  <c r="AE217"/>
  <c r="BF217"/>
  <c r="Y213"/>
  <c r="AZ213"/>
  <c r="BZ213"/>
  <c r="CA213"/>
  <c r="Y211"/>
  <c r="AZ211"/>
  <c r="X253"/>
  <c r="AZ209"/>
  <c r="DD208"/>
  <c r="AZ250"/>
  <c r="DD250"/>
  <c r="AB205"/>
  <c r="BC205"/>
  <c r="AB203"/>
  <c r="BC203"/>
  <c r="AB202"/>
  <c r="BC202"/>
  <c r="DC157"/>
  <c r="AE151"/>
  <c r="BF151"/>
  <c r="Y147"/>
  <c r="AZ147"/>
  <c r="AY741"/>
  <c r="Y145"/>
  <c r="AZ145"/>
  <c r="X188"/>
  <c r="AZ143"/>
  <c r="CB143" s="1"/>
  <c r="AY157"/>
  <c r="AB139"/>
  <c r="BC139"/>
  <c r="AB137"/>
  <c r="BC137"/>
  <c r="AB136"/>
  <c r="BC136"/>
  <c r="Y81"/>
  <c r="AZ81"/>
  <c r="CA81"/>
  <c r="BZ81"/>
  <c r="Y79"/>
  <c r="AZ79"/>
  <c r="X122"/>
  <c r="DD79"/>
  <c r="CI78"/>
  <c r="CC78"/>
  <c r="AZ77"/>
  <c r="AY91"/>
  <c r="AY121"/>
  <c r="CA91"/>
  <c r="AZ91"/>
  <c r="CB91"/>
  <c r="DC186"/>
  <c r="DD154"/>
  <c r="Y146"/>
  <c r="Y910"/>
  <c r="AZ146"/>
  <c r="AZ910"/>
  <c r="X189"/>
  <c r="Y80"/>
  <c r="AZ80"/>
  <c r="AZ909"/>
  <c r="X123"/>
  <c r="AX740"/>
  <c r="CN122"/>
  <c r="DD88"/>
  <c r="DC122"/>
  <c r="AA73"/>
  <c r="CE73"/>
  <c r="AB71"/>
  <c r="BC71"/>
  <c r="AA89"/>
  <c r="CC89"/>
  <c r="BA120"/>
  <c r="EE541"/>
  <c r="EL566" s="1"/>
  <c r="EQ566" s="1"/>
  <c r="DD584"/>
  <c r="DE550"/>
  <c r="Z582"/>
  <c r="CA543"/>
  <c r="BZ543"/>
  <c r="Z543"/>
  <c r="BA543"/>
  <c r="Y584"/>
  <c r="Z541"/>
  <c r="DG535"/>
  <c r="BD535"/>
  <c r="AC535"/>
  <c r="DG533"/>
  <c r="BD533"/>
  <c r="AB551"/>
  <c r="AC533"/>
  <c r="BE533"/>
  <c r="DI533" s="1"/>
  <c r="BC551"/>
  <c r="AA582"/>
  <c r="AC532"/>
  <c r="BD532"/>
  <c r="DG532"/>
  <c r="BA346"/>
  <c r="DE346"/>
  <c r="Z346"/>
  <c r="DE352"/>
  <c r="DF352" s="1"/>
  <c r="DG352" s="1"/>
  <c r="DH352" s="1"/>
  <c r="DI352" s="1"/>
  <c r="DJ352" s="1"/>
  <c r="Y383"/>
  <c r="BA345"/>
  <c r="Z345"/>
  <c r="BZ345"/>
  <c r="DD345"/>
  <c r="AZ386"/>
  <c r="BA343"/>
  <c r="Z343"/>
  <c r="Y385"/>
  <c r="AZ385"/>
  <c r="CA342"/>
  <c r="BZ342"/>
  <c r="AC338"/>
  <c r="AD338" s="1"/>
  <c r="BD338"/>
  <c r="DG338"/>
  <c r="DG337"/>
  <c r="BD337"/>
  <c r="DH337"/>
  <c r="AC337"/>
  <c r="DG336"/>
  <c r="BD336"/>
  <c r="AC336"/>
  <c r="DG335"/>
  <c r="BD335"/>
  <c r="DH335"/>
  <c r="AP337" i="3"/>
  <c r="AB353" i="1"/>
  <c r="AC335"/>
  <c r="AD335" s="1"/>
  <c r="BC353"/>
  <c r="AC334"/>
  <c r="BE334"/>
  <c r="DI334" s="1"/>
  <c r="BD334"/>
  <c r="DG334"/>
  <c r="DJ269"/>
  <c r="DK269" s="1"/>
  <c r="DL269" s="1"/>
  <c r="DM269" s="1"/>
  <c r="DN269" s="1"/>
  <c r="DO269" s="1"/>
  <c r="DP269" s="1"/>
  <c r="EB269" s="1"/>
  <c r="EG269" s="1"/>
  <c r="Q271" i="3" s="1"/>
  <c r="DE286" i="1"/>
  <c r="DF286"/>
  <c r="BB317"/>
  <c r="Z317"/>
  <c r="BA279"/>
  <c r="Z279"/>
  <c r="DE279"/>
  <c r="Z277"/>
  <c r="BA277"/>
  <c r="BA319"/>
  <c r="Y319"/>
  <c r="AZ319"/>
  <c r="BZ276"/>
  <c r="CA276"/>
  <c r="DD275"/>
  <c r="BD271"/>
  <c r="AC271"/>
  <c r="AC269"/>
  <c r="AB287"/>
  <c r="BD287"/>
  <c r="BC287"/>
  <c r="AA317"/>
  <c r="DG206"/>
  <c r="AF217"/>
  <c r="BH217" s="1"/>
  <c r="BG217"/>
  <c r="EE217"/>
  <c r="Z213"/>
  <c r="BB213" s="1"/>
  <c r="BA213"/>
  <c r="Z211"/>
  <c r="BA211"/>
  <c r="AZ253"/>
  <c r="BZ210"/>
  <c r="CA210"/>
  <c r="AC205"/>
  <c r="BD205"/>
  <c r="DG205"/>
  <c r="AC203"/>
  <c r="BD203"/>
  <c r="DG203"/>
  <c r="AC202"/>
  <c r="BD202"/>
  <c r="DH202"/>
  <c r="DG202"/>
  <c r="AF151"/>
  <c r="BG151"/>
  <c r="EE151"/>
  <c r="EL176" s="1"/>
  <c r="BA147"/>
  <c r="Z147"/>
  <c r="Y188"/>
  <c r="Z145"/>
  <c r="AA145" s="1"/>
  <c r="BA145"/>
  <c r="AZ188"/>
  <c r="AZ157"/>
  <c r="DG139"/>
  <c r="BD139"/>
  <c r="DH139"/>
  <c r="AC139"/>
  <c r="DG137"/>
  <c r="BD137"/>
  <c r="DH137"/>
  <c r="AP139" i="3"/>
  <c r="AC137" i="1"/>
  <c r="AC136"/>
  <c r="AD136" s="1"/>
  <c r="BD136"/>
  <c r="DG136"/>
  <c r="BA81"/>
  <c r="Z81"/>
  <c r="AA81"/>
  <c r="AZ122"/>
  <c r="BA79"/>
  <c r="DE79" s="1"/>
  <c r="DE122" s="1"/>
  <c r="Z79"/>
  <c r="BB79"/>
  <c r="DE154"/>
  <c r="DD186"/>
  <c r="BA146"/>
  <c r="BA910"/>
  <c r="Y189"/>
  <c r="Z146"/>
  <c r="Z910" s="1"/>
  <c r="AZ189"/>
  <c r="Y123"/>
  <c r="Z80"/>
  <c r="BA80"/>
  <c r="BA909"/>
  <c r="AZ123"/>
  <c r="DB740"/>
  <c r="DD122"/>
  <c r="DE88"/>
  <c r="AB73"/>
  <c r="BD73"/>
  <c r="DH73"/>
  <c r="BC73"/>
  <c r="AB89"/>
  <c r="AC71"/>
  <c r="BD71"/>
  <c r="BC89"/>
  <c r="BC120"/>
  <c r="DG71"/>
  <c r="CD89"/>
  <c r="CC120"/>
  <c r="DF550"/>
  <c r="DE584"/>
  <c r="BB584"/>
  <c r="AA543"/>
  <c r="BB543"/>
  <c r="AA541"/>
  <c r="CE584"/>
  <c r="Z584"/>
  <c r="AD535"/>
  <c r="BE535"/>
  <c r="DI535"/>
  <c r="DH535"/>
  <c r="BD551"/>
  <c r="AB582"/>
  <c r="BC582"/>
  <c r="AD533"/>
  <c r="DH533"/>
  <c r="DH532"/>
  <c r="AD532"/>
  <c r="BE532"/>
  <c r="DI532"/>
  <c r="AA346"/>
  <c r="CE346"/>
  <c r="BB346"/>
  <c r="BB383"/>
  <c r="DE345"/>
  <c r="AA345"/>
  <c r="BB345"/>
  <c r="CA343"/>
  <c r="CA385" s="1"/>
  <c r="CB385"/>
  <c r="BZ343"/>
  <c r="BZ385"/>
  <c r="AA343"/>
  <c r="BB343"/>
  <c r="BB385" s="1"/>
  <c r="DH338"/>
  <c r="BE338"/>
  <c r="DI338" s="1"/>
  <c r="AD337"/>
  <c r="BE337"/>
  <c r="DI337"/>
  <c r="AD336"/>
  <c r="BE336"/>
  <c r="DI336"/>
  <c r="DH336"/>
  <c r="BD353"/>
  <c r="CE353"/>
  <c r="BE335"/>
  <c r="DI335" s="1"/>
  <c r="AC353"/>
  <c r="BE353" s="1"/>
  <c r="DH334"/>
  <c r="AD334"/>
  <c r="EE286"/>
  <c r="E277" i="3" s="1"/>
  <c r="AA279" i="1"/>
  <c r="BB279"/>
  <c r="AA277"/>
  <c r="BB277"/>
  <c r="BB319" s="1"/>
  <c r="Z319"/>
  <c r="BZ277"/>
  <c r="BZ319"/>
  <c r="CB319"/>
  <c r="CA277"/>
  <c r="CA319" s="1"/>
  <c r="AD271"/>
  <c r="BE271"/>
  <c r="DI271"/>
  <c r="BC317"/>
  <c r="CE287"/>
  <c r="CE317" s="1"/>
  <c r="AD269"/>
  <c r="AC287"/>
  <c r="AC317"/>
  <c r="AB317"/>
  <c r="AA213"/>
  <c r="CA211"/>
  <c r="CA253"/>
  <c r="CB253"/>
  <c r="BZ211"/>
  <c r="BZ253" s="1"/>
  <c r="AA211"/>
  <c r="BB211"/>
  <c r="BB253"/>
  <c r="DH205"/>
  <c r="AD205"/>
  <c r="BE205"/>
  <c r="DI205" s="1"/>
  <c r="DH203"/>
  <c r="AD203"/>
  <c r="BE203"/>
  <c r="DI203"/>
  <c r="AD202"/>
  <c r="BE202"/>
  <c r="DI202" s="1"/>
  <c r="BI151"/>
  <c r="BH151"/>
  <c r="CK151"/>
  <c r="AA147"/>
  <c r="BB147"/>
  <c r="BA188"/>
  <c r="BB145"/>
  <c r="BB188" s="1"/>
  <c r="Z188"/>
  <c r="AD139"/>
  <c r="BE139"/>
  <c r="DI139"/>
  <c r="AD137"/>
  <c r="BE137"/>
  <c r="DI137"/>
  <c r="BE136"/>
  <c r="DI136" s="1"/>
  <c r="DH136"/>
  <c r="BB81"/>
  <c r="AA79"/>
  <c r="CE79" s="1"/>
  <c r="BA122"/>
  <c r="BZ79"/>
  <c r="BZ122"/>
  <c r="CA79"/>
  <c r="CA122"/>
  <c r="DF154"/>
  <c r="DG154"/>
  <c r="AA146"/>
  <c r="BB146"/>
  <c r="BB910" s="1"/>
  <c r="Z189"/>
  <c r="BA189"/>
  <c r="BA123"/>
  <c r="BB80"/>
  <c r="BB909"/>
  <c r="Z123"/>
  <c r="DF88"/>
  <c r="DG88" s="1"/>
  <c r="DH88" s="1"/>
  <c r="DI88" s="1"/>
  <c r="DJ88" s="1"/>
  <c r="DK88" s="1"/>
  <c r="DL88" s="1"/>
  <c r="DM88" s="1"/>
  <c r="EB88" s="1"/>
  <c r="Q79" i="3" s="1"/>
  <c r="L79" s="1"/>
  <c r="BB120" i="1"/>
  <c r="DG73"/>
  <c r="AC73"/>
  <c r="AD73" s="1"/>
  <c r="DH71"/>
  <c r="AD71"/>
  <c r="CH72"/>
  <c r="BE71"/>
  <c r="DI71"/>
  <c r="AC89"/>
  <c r="BD89"/>
  <c r="CF89" s="1"/>
  <c r="CE89"/>
  <c r="CD120"/>
  <c r="DF584"/>
  <c r="DG550"/>
  <c r="BD584"/>
  <c r="BC584"/>
  <c r="AB543"/>
  <c r="AC543"/>
  <c r="AA584"/>
  <c r="AB541"/>
  <c r="AC541" s="1"/>
  <c r="BF535"/>
  <c r="CF551"/>
  <c r="CF582"/>
  <c r="BD582"/>
  <c r="BF533"/>
  <c r="AE533"/>
  <c r="BG533"/>
  <c r="AE532"/>
  <c r="BF532"/>
  <c r="BC346"/>
  <c r="AB346"/>
  <c r="AC346" s="1"/>
  <c r="DF345"/>
  <c r="BC345"/>
  <c r="AB345"/>
  <c r="AC345" s="1"/>
  <c r="BC343"/>
  <c r="BC385" s="1"/>
  <c r="AB343"/>
  <c r="AE337"/>
  <c r="BG337"/>
  <c r="BF336"/>
  <c r="AE336"/>
  <c r="BG336"/>
  <c r="CE383"/>
  <c r="CF353"/>
  <c r="AE334"/>
  <c r="BG334"/>
  <c r="DF279"/>
  <c r="AB277"/>
  <c r="AC277"/>
  <c r="AA319"/>
  <c r="BF271"/>
  <c r="AE271"/>
  <c r="AE269"/>
  <c r="AE287" s="1"/>
  <c r="AD287"/>
  <c r="BE287"/>
  <c r="AB213"/>
  <c r="AC213" s="1"/>
  <c r="BC211"/>
  <c r="BC253" s="1"/>
  <c r="AE205"/>
  <c r="BF205"/>
  <c r="DJ205"/>
  <c r="AE203"/>
  <c r="BG203"/>
  <c r="BF203"/>
  <c r="DJ203" s="1"/>
  <c r="BF202"/>
  <c r="DJ202" s="1"/>
  <c r="BC147"/>
  <c r="AB147"/>
  <c r="BF139"/>
  <c r="BF137"/>
  <c r="DJ137" s="1"/>
  <c r="AB79"/>
  <c r="BC146"/>
  <c r="BC910"/>
  <c r="AB146"/>
  <c r="AB910"/>
  <c r="EE88"/>
  <c r="E79" i="3" s="1"/>
  <c r="BE73" i="1"/>
  <c r="DI73" s="1"/>
  <c r="BD120"/>
  <c r="BE89"/>
  <c r="AD89"/>
  <c r="BF89" s="1"/>
  <c r="BF120" s="1"/>
  <c r="BF71"/>
  <c r="CH71"/>
  <c r="DH550"/>
  <c r="DI550"/>
  <c r="DG584"/>
  <c r="BE584"/>
  <c r="BD543"/>
  <c r="AB584"/>
  <c r="AF533"/>
  <c r="BH533"/>
  <c r="DL533" s="1"/>
  <c r="AE551"/>
  <c r="BG551" s="1"/>
  <c r="DJ532"/>
  <c r="AF532"/>
  <c r="BG532"/>
  <c r="BD346"/>
  <c r="BC383"/>
  <c r="BD345"/>
  <c r="AC343"/>
  <c r="BE343" s="1"/>
  <c r="BE385" s="1"/>
  <c r="BD343"/>
  <c r="AF337"/>
  <c r="BH337"/>
  <c r="DL337" s="1"/>
  <c r="DJ336"/>
  <c r="AF336"/>
  <c r="BH336"/>
  <c r="DL336" s="1"/>
  <c r="CF383"/>
  <c r="AF334"/>
  <c r="AG334"/>
  <c r="BE317"/>
  <c r="BD277"/>
  <c r="AF271"/>
  <c r="BG271"/>
  <c r="AF269"/>
  <c r="AG269"/>
  <c r="BF287"/>
  <c r="BF317"/>
  <c r="AD317"/>
  <c r="BD213"/>
  <c r="AF205"/>
  <c r="BG205"/>
  <c r="AF203"/>
  <c r="BH203"/>
  <c r="DL203" s="1"/>
  <c r="AT205" i="3" s="1"/>
  <c r="AC147" i="1"/>
  <c r="BE147"/>
  <c r="BD147"/>
  <c r="DJ139"/>
  <c r="AC79"/>
  <c r="BD146"/>
  <c r="BD910" s="1"/>
  <c r="BE120"/>
  <c r="DH584"/>
  <c r="BF584"/>
  <c r="AG533"/>
  <c r="AG532"/>
  <c r="BH532"/>
  <c r="DL532"/>
  <c r="DK532"/>
  <c r="BH334"/>
  <c r="DK271"/>
  <c r="AF287"/>
  <c r="AF317" s="1"/>
  <c r="AG205"/>
  <c r="BH205"/>
  <c r="DL205" s="1"/>
  <c r="DK205"/>
  <c r="AG203"/>
  <c r="AD147"/>
  <c r="BE79"/>
  <c r="BE122" s="1"/>
  <c r="AD79"/>
  <c r="BF79" s="1"/>
  <c r="BF122" s="1"/>
  <c r="BG584"/>
  <c r="BI533"/>
  <c r="AG551"/>
  <c r="AH532"/>
  <c r="BI532"/>
  <c r="DM532" s="1"/>
  <c r="BH287"/>
  <c r="BH317"/>
  <c r="AH205"/>
  <c r="AI205"/>
  <c r="BI205"/>
  <c r="BI584"/>
  <c r="BH584"/>
  <c r="BI551"/>
  <c r="BI582"/>
  <c r="DM205"/>
  <c r="DN286"/>
  <c r="DN319" s="1"/>
  <c r="BJ319"/>
  <c r="EB147"/>
  <c r="EG147" s="1"/>
  <c r="AE85"/>
  <c r="BG85" s="1"/>
  <c r="EE85"/>
  <c r="BF85"/>
  <c r="AE283"/>
  <c r="BF283"/>
  <c r="AD349"/>
  <c r="BE349"/>
  <c r="AD547"/>
  <c r="BE547"/>
  <c r="X714"/>
  <c r="Y676"/>
  <c r="AZ676"/>
  <c r="BZ676"/>
  <c r="CA676"/>
  <c r="Y675"/>
  <c r="BA675"/>
  <c r="AZ675"/>
  <c r="BZ675"/>
  <c r="CA675"/>
  <c r="Y673"/>
  <c r="AZ673"/>
  <c r="X716"/>
  <c r="DB671"/>
  <c r="AB668"/>
  <c r="BD668" s="1"/>
  <c r="BC668"/>
  <c r="AB666"/>
  <c r="BC666"/>
  <c r="DG666"/>
  <c r="AB664"/>
  <c r="BC664"/>
  <c r="AD679"/>
  <c r="BE679"/>
  <c r="AZ648"/>
  <c r="AZ650"/>
  <c r="AD613"/>
  <c r="BE613"/>
  <c r="Y610"/>
  <c r="AZ610"/>
  <c r="BZ610"/>
  <c r="DD610"/>
  <c r="CA610"/>
  <c r="Y609"/>
  <c r="BA609" s="1"/>
  <c r="AZ609"/>
  <c r="Y607"/>
  <c r="X650"/>
  <c r="DB605"/>
  <c r="AB602"/>
  <c r="BC602"/>
  <c r="DG602"/>
  <c r="AB601"/>
  <c r="BC601"/>
  <c r="DG601" s="1"/>
  <c r="BC600"/>
  <c r="DC484"/>
  <c r="DD484"/>
  <c r="DE484" s="1"/>
  <c r="DF484" s="1"/>
  <c r="DG484" s="1"/>
  <c r="DB748"/>
  <c r="X748"/>
  <c r="X516"/>
  <c r="Y478"/>
  <c r="AZ478"/>
  <c r="CA478"/>
  <c r="BZ478"/>
  <c r="Y477"/>
  <c r="BA477" s="1"/>
  <c r="CE477" s="1"/>
  <c r="AZ477"/>
  <c r="CA477"/>
  <c r="BZ477"/>
  <c r="AZ475"/>
  <c r="X518"/>
  <c r="AZ515"/>
  <c r="DD472"/>
  <c r="AY473"/>
  <c r="AZ473"/>
  <c r="DB473"/>
  <c r="AB468"/>
  <c r="BC468"/>
  <c r="DG468" s="1"/>
  <c r="AD481"/>
  <c r="AD745"/>
  <c r="BE481"/>
  <c r="AC745"/>
  <c r="BE745" s="1"/>
  <c r="Y412"/>
  <c r="Z412" s="1"/>
  <c r="CB412"/>
  <c r="AZ412"/>
  <c r="CE745"/>
  <c r="AE415"/>
  <c r="BG415"/>
  <c r="BF415"/>
  <c r="EE415"/>
  <c r="EL440" s="1"/>
  <c r="BE415"/>
  <c r="Y411"/>
  <c r="BA411" s="1"/>
  <c r="AZ411"/>
  <c r="CA411"/>
  <c r="X741"/>
  <c r="CB741" s="1"/>
  <c r="BZ411"/>
  <c r="Y409"/>
  <c r="X452"/>
  <c r="X739"/>
  <c r="CB739"/>
  <c r="CA449"/>
  <c r="AB404"/>
  <c r="BD404" s="1"/>
  <c r="BC404"/>
  <c r="AB403"/>
  <c r="AC403" s="1"/>
  <c r="BC403"/>
  <c r="AB401"/>
  <c r="BD401"/>
  <c r="BC401"/>
  <c r="AA419"/>
  <c r="BC419" s="1"/>
  <c r="BC450" s="1"/>
  <c r="AB400"/>
  <c r="BC400"/>
  <c r="AF85"/>
  <c r="AF283"/>
  <c r="BI283" s="1"/>
  <c r="BG283"/>
  <c r="EE283"/>
  <c r="AE349"/>
  <c r="AF349"/>
  <c r="BF349"/>
  <c r="BF547"/>
  <c r="AE547"/>
  <c r="Z676"/>
  <c r="BA676"/>
  <c r="Z675"/>
  <c r="Z673"/>
  <c r="AA673"/>
  <c r="BA673"/>
  <c r="Y716"/>
  <c r="AZ716"/>
  <c r="AC668"/>
  <c r="DG668"/>
  <c r="BD666"/>
  <c r="AC666"/>
  <c r="AD666"/>
  <c r="BD664"/>
  <c r="AC664"/>
  <c r="BE664" s="1"/>
  <c r="DI664" s="1"/>
  <c r="DG664"/>
  <c r="BF679"/>
  <c r="BA648"/>
  <c r="BA650"/>
  <c r="AE613"/>
  <c r="BG613" s="1"/>
  <c r="EE613"/>
  <c r="BF613"/>
  <c r="Z610"/>
  <c r="AA610" s="1"/>
  <c r="BA610"/>
  <c r="Z609"/>
  <c r="AA609"/>
  <c r="Z607"/>
  <c r="AA607" s="1"/>
  <c r="AC602"/>
  <c r="BE602" s="1"/>
  <c r="DI602" s="1"/>
  <c r="BD602"/>
  <c r="AC601"/>
  <c r="AD601" s="1"/>
  <c r="BD601"/>
  <c r="DG600"/>
  <c r="Y516"/>
  <c r="DC748"/>
  <c r="BA478"/>
  <c r="Z478"/>
  <c r="Z477"/>
  <c r="BB477"/>
  <c r="AZ518"/>
  <c r="DC473"/>
  <c r="AC468"/>
  <c r="BD468"/>
  <c r="AE481"/>
  <c r="BG481"/>
  <c r="BF481"/>
  <c r="EE481"/>
  <c r="EL506" s="1"/>
  <c r="BA412"/>
  <c r="CA412"/>
  <c r="BZ412"/>
  <c r="AF415"/>
  <c r="CH415"/>
  <c r="CC745"/>
  <c r="CD745"/>
  <c r="Z411"/>
  <c r="AA411" s="1"/>
  <c r="X782"/>
  <c r="AZ739"/>
  <c r="Z409"/>
  <c r="AA409" s="1"/>
  <c r="BZ449"/>
  <c r="BA451"/>
  <c r="DG404"/>
  <c r="BD403"/>
  <c r="DG403"/>
  <c r="AC401"/>
  <c r="AB419"/>
  <c r="BD419" s="1"/>
  <c r="DG401"/>
  <c r="DG400"/>
  <c r="AC400"/>
  <c r="BD400"/>
  <c r="DH400"/>
  <c r="BI85"/>
  <c r="BH85"/>
  <c r="BH283"/>
  <c r="BG349"/>
  <c r="EE349"/>
  <c r="AF547"/>
  <c r="BG547"/>
  <c r="EE547"/>
  <c r="AA676"/>
  <c r="CE676"/>
  <c r="BB676"/>
  <c r="AA675"/>
  <c r="BB675"/>
  <c r="BZ673"/>
  <c r="BZ716" s="1"/>
  <c r="CB716"/>
  <c r="CA673"/>
  <c r="CA716"/>
  <c r="BA716"/>
  <c r="AD668"/>
  <c r="BE668"/>
  <c r="DI668"/>
  <c r="DH666"/>
  <c r="AD664"/>
  <c r="DH664"/>
  <c r="BB650"/>
  <c r="AF613"/>
  <c r="BI613"/>
  <c r="DE610"/>
  <c r="DF610"/>
  <c r="BB610"/>
  <c r="BB609"/>
  <c r="DH602"/>
  <c r="AD602"/>
  <c r="DH601"/>
  <c r="BE601"/>
  <c r="DI601" s="1"/>
  <c r="DD748"/>
  <c r="BB516"/>
  <c r="Z516"/>
  <c r="AA478"/>
  <c r="CE478"/>
  <c r="BB478"/>
  <c r="AA477"/>
  <c r="AD468"/>
  <c r="BE468"/>
  <c r="DI468" s="1"/>
  <c r="DH468"/>
  <c r="CH481"/>
  <c r="CG481"/>
  <c r="AF481"/>
  <c r="BH481"/>
  <c r="CF415"/>
  <c r="CG415"/>
  <c r="BI415"/>
  <c r="BH415"/>
  <c r="AZ782"/>
  <c r="BB451"/>
  <c r="DH403"/>
  <c r="AD401"/>
  <c r="BE401"/>
  <c r="AC419"/>
  <c r="BE419" s="1"/>
  <c r="BE450" s="1"/>
  <c r="AD400"/>
  <c r="BE400"/>
  <c r="DI400" s="1"/>
  <c r="BH547"/>
  <c r="BI547"/>
  <c r="BC676"/>
  <c r="AB675"/>
  <c r="BD675"/>
  <c r="BC675"/>
  <c r="BF668"/>
  <c r="AE668"/>
  <c r="BG668"/>
  <c r="AE664"/>
  <c r="BG664" s="1"/>
  <c r="EE616"/>
  <c r="E607" i="3" s="1"/>
  <c r="BC650" i="1"/>
  <c r="BH613"/>
  <c r="AE602"/>
  <c r="AF602"/>
  <c r="AA516"/>
  <c r="DE748"/>
  <c r="DF748" s="1"/>
  <c r="DG748" s="1"/>
  <c r="DH748" s="1"/>
  <c r="DI748" s="1"/>
  <c r="DJ748" s="1"/>
  <c r="DK748" s="1"/>
  <c r="DL748" s="1"/>
  <c r="DM748" s="1"/>
  <c r="EB748" s="1"/>
  <c r="EG748" s="1"/>
  <c r="BC478"/>
  <c r="BC477"/>
  <c r="AE468"/>
  <c r="BG468"/>
  <c r="DK468" s="1"/>
  <c r="EE405"/>
  <c r="EO428" s="1"/>
  <c r="AE401"/>
  <c r="BG401"/>
  <c r="DK401" s="1"/>
  <c r="BF400"/>
  <c r="AC675"/>
  <c r="BE675" s="1"/>
  <c r="AF668"/>
  <c r="DJ668"/>
  <c r="AF664"/>
  <c r="BD650"/>
  <c r="BG602"/>
  <c r="BC516"/>
  <c r="AF468"/>
  <c r="AG468"/>
  <c r="BD451"/>
  <c r="AF401"/>
  <c r="AG401" s="1"/>
  <c r="AE419"/>
  <c r="BG419" s="1"/>
  <c r="AD675"/>
  <c r="BH668"/>
  <c r="AG668"/>
  <c r="BH664"/>
  <c r="AG664"/>
  <c r="BE650"/>
  <c r="DK602"/>
  <c r="BH468"/>
  <c r="DL468" s="1"/>
  <c r="BE451"/>
  <c r="BH401"/>
  <c r="DL401"/>
  <c r="AE675"/>
  <c r="AF675"/>
  <c r="BI668"/>
  <c r="BF650"/>
  <c r="BF451"/>
  <c r="BG675"/>
  <c r="BG650"/>
  <c r="BG451"/>
  <c r="BH650"/>
  <c r="BI650"/>
  <c r="EB413"/>
  <c r="EG413"/>
  <c r="BH451"/>
  <c r="EB412"/>
  <c r="EG412" s="1"/>
  <c r="EB409"/>
  <c r="BI451"/>
  <c r="EG409"/>
  <c r="CA536"/>
  <c r="BJ536"/>
  <c r="EE536"/>
  <c r="E537" i="3" s="1"/>
  <c r="AZ545" i="1"/>
  <c r="AZ544"/>
  <c r="X450"/>
  <c r="CB748"/>
  <c r="BZ748" s="1"/>
  <c r="CH748"/>
  <c r="CE748"/>
  <c r="CD748" s="1"/>
  <c r="CG748"/>
  <c r="CF748"/>
  <c r="AZ450"/>
  <c r="AZ452"/>
  <c r="AY450"/>
  <c r="AY452"/>
  <c r="Y450"/>
  <c r="Y452"/>
  <c r="BA452"/>
  <c r="BA450"/>
  <c r="Z450"/>
  <c r="Z452"/>
  <c r="AA450"/>
  <c r="BB450"/>
  <c r="BB452"/>
  <c r="BC452"/>
  <c r="AB450"/>
  <c r="BD452"/>
  <c r="AC450"/>
  <c r="BE452"/>
  <c r="AE450"/>
  <c r="BF452"/>
  <c r="BG452"/>
  <c r="BH452"/>
  <c r="BI452"/>
  <c r="CC251"/>
  <c r="CB251"/>
  <c r="CA251"/>
  <c r="Z220"/>
  <c r="Y253"/>
  <c r="CE873"/>
  <c r="CC873" s="1"/>
  <c r="CE872"/>
  <c r="CD872" s="1"/>
  <c r="CE871"/>
  <c r="CC871" s="1"/>
  <c r="CE869"/>
  <c r="CC869" s="1"/>
  <c r="CB884"/>
  <c r="BZ884" s="1"/>
  <c r="CB886"/>
  <c r="CB888"/>
  <c r="CA888"/>
  <c r="CB890"/>
  <c r="CB865"/>
  <c r="BZ865" s="1"/>
  <c r="EH868"/>
  <c r="F216" i="3" s="1"/>
  <c r="BY883" i="1"/>
  <c r="CY883"/>
  <c r="CE883"/>
  <c r="EH883"/>
  <c r="F217" i="3" s="1"/>
  <c r="DG883" i="1"/>
  <c r="CK883"/>
  <c r="BQ889"/>
  <c r="BR889"/>
  <c r="BW889"/>
  <c r="BX889"/>
  <c r="BS880"/>
  <c r="BQ880" s="1"/>
  <c r="BY880"/>
  <c r="CE880"/>
  <c r="CC880"/>
  <c r="CK880"/>
  <c r="CI880"/>
  <c r="CP880"/>
  <c r="CV880"/>
  <c r="BP881"/>
  <c r="BN881" s="1"/>
  <c r="BV881"/>
  <c r="CB881"/>
  <c r="BZ881" s="1"/>
  <c r="CH881"/>
  <c r="CN881"/>
  <c r="CL881" s="1"/>
  <c r="CS881"/>
  <c r="CY881"/>
  <c r="DG881"/>
  <c r="BS882"/>
  <c r="BY882"/>
  <c r="BX882"/>
  <c r="CE882"/>
  <c r="CK882"/>
  <c r="CJ882" s="1"/>
  <c r="CP882"/>
  <c r="CV882"/>
  <c r="BP883"/>
  <c r="CV883"/>
  <c r="BV883"/>
  <c r="CB883"/>
  <c r="CA883"/>
  <c r="CH883"/>
  <c r="CN883"/>
  <c r="CM883" s="1"/>
  <c r="BN886"/>
  <c r="BO886"/>
  <c r="BT886"/>
  <c r="BU886"/>
  <c r="BZ886"/>
  <c r="CA886"/>
  <c r="BZ888"/>
  <c r="BZ890"/>
  <c r="CA890"/>
  <c r="DG880"/>
  <c r="DG882"/>
  <c r="BS883"/>
  <c r="BS884"/>
  <c r="BR884"/>
  <c r="BY884"/>
  <c r="CE884"/>
  <c r="CD884" s="1"/>
  <c r="CK884"/>
  <c r="CP884"/>
  <c r="CV884"/>
  <c r="BP885"/>
  <c r="BN885"/>
  <c r="BV885"/>
  <c r="CB885"/>
  <c r="BZ885"/>
  <c r="CH885"/>
  <c r="CN885"/>
  <c r="CM885" s="1"/>
  <c r="CS885"/>
  <c r="CY885"/>
  <c r="DG885"/>
  <c r="BS886"/>
  <c r="BY886"/>
  <c r="BW886"/>
  <c r="CE886"/>
  <c r="CK886"/>
  <c r="CI886" s="1"/>
  <c r="CP886"/>
  <c r="CV886"/>
  <c r="BP887"/>
  <c r="BV887"/>
  <c r="BU887"/>
  <c r="CB887"/>
  <c r="CH887"/>
  <c r="CF887" s="1"/>
  <c r="CN887"/>
  <c r="CL887" s="1"/>
  <c r="CS887"/>
  <c r="CY887"/>
  <c r="DE887"/>
  <c r="DE891"/>
  <c r="DG887"/>
  <c r="BS888"/>
  <c r="BQ888" s="1"/>
  <c r="BY888"/>
  <c r="CE888"/>
  <c r="CC888"/>
  <c r="CK888"/>
  <c r="CJ888"/>
  <c r="CP888"/>
  <c r="CV888"/>
  <c r="BP889"/>
  <c r="BN889"/>
  <c r="BV889"/>
  <c r="CB889"/>
  <c r="BZ889" s="1"/>
  <c r="CH889"/>
  <c r="CF889" s="1"/>
  <c r="CN889"/>
  <c r="CL889" s="1"/>
  <c r="CS889"/>
  <c r="CY889"/>
  <c r="DG889"/>
  <c r="BS890"/>
  <c r="BY890"/>
  <c r="BX890"/>
  <c r="CE890"/>
  <c r="CK890"/>
  <c r="CJ890" s="1"/>
  <c r="CP890"/>
  <c r="CV890"/>
  <c r="DG884"/>
  <c r="DG886"/>
  <c r="DG888"/>
  <c r="DG890"/>
  <c r="CD873"/>
  <c r="CA865"/>
  <c r="BS865"/>
  <c r="BY865"/>
  <c r="BW865"/>
  <c r="BW908"/>
  <c r="CE865"/>
  <c r="CD865"/>
  <c r="CK865"/>
  <c r="CI865"/>
  <c r="CP865"/>
  <c r="CV865"/>
  <c r="DG865"/>
  <c r="BA253"/>
  <c r="AA220"/>
  <c r="Z253"/>
  <c r="CD871"/>
  <c r="CI890"/>
  <c r="BW890"/>
  <c r="CG889"/>
  <c r="BU889"/>
  <c r="BT889"/>
  <c r="CD888"/>
  <c r="BR888"/>
  <c r="CA887"/>
  <c r="BZ887"/>
  <c r="BO887"/>
  <c r="BN887"/>
  <c r="CJ886"/>
  <c r="BX886"/>
  <c r="CG885"/>
  <c r="CF885"/>
  <c r="BU885"/>
  <c r="BT885"/>
  <c r="CC884"/>
  <c r="BQ884"/>
  <c r="CL883"/>
  <c r="CG883"/>
  <c r="CF883"/>
  <c r="BZ883"/>
  <c r="BU883"/>
  <c r="BT883"/>
  <c r="BO883"/>
  <c r="BN883"/>
  <c r="BW882"/>
  <c r="CG881"/>
  <c r="CF881"/>
  <c r="BU881"/>
  <c r="BT881"/>
  <c r="CD880"/>
  <c r="BR880"/>
  <c r="CD890"/>
  <c r="CC890"/>
  <c r="BR890"/>
  <c r="BQ890"/>
  <c r="CA889"/>
  <c r="BO889"/>
  <c r="CI888"/>
  <c r="BX888"/>
  <c r="BW888"/>
  <c r="CG887"/>
  <c r="BT887"/>
  <c r="CD886"/>
  <c r="CC886"/>
  <c r="BR886"/>
  <c r="BQ886"/>
  <c r="CL885"/>
  <c r="BO885"/>
  <c r="CJ884"/>
  <c r="CI884"/>
  <c r="BX884"/>
  <c r="BW884"/>
  <c r="BQ883"/>
  <c r="BR883"/>
  <c r="CD882"/>
  <c r="CC882"/>
  <c r="BR882"/>
  <c r="BQ882"/>
  <c r="CM881"/>
  <c r="CA881"/>
  <c r="BO881"/>
  <c r="CJ880"/>
  <c r="BX880"/>
  <c r="BW880"/>
  <c r="CI883"/>
  <c r="CJ883"/>
  <c r="EI883"/>
  <c r="N217" i="3" s="1"/>
  <c r="CC883" i="1"/>
  <c r="CD883"/>
  <c r="BW883"/>
  <c r="BX883"/>
  <c r="CC865"/>
  <c r="BR865"/>
  <c r="BQ865"/>
  <c r="CJ865"/>
  <c r="BX865"/>
  <c r="CD251"/>
  <c r="AB220"/>
  <c r="AC220"/>
  <c r="AD220" s="1"/>
  <c r="AE220" s="1"/>
  <c r="AF220" s="1"/>
  <c r="AG220" s="1"/>
  <c r="AA253"/>
  <c r="CF251"/>
  <c r="CK251"/>
  <c r="CJ251"/>
  <c r="Y56"/>
  <c r="Z22"/>
  <c r="Z54"/>
  <c r="Y54"/>
  <c r="BA56"/>
  <c r="BA54"/>
  <c r="BB54"/>
  <c r="BB56"/>
  <c r="BC54"/>
  <c r="BD54"/>
  <c r="EH435"/>
  <c r="EH172"/>
  <c r="EH196" s="1"/>
  <c r="CE172"/>
  <c r="DG172"/>
  <c r="BC196"/>
  <c r="CE171"/>
  <c r="CE633"/>
  <c r="BC766"/>
  <c r="BC765"/>
  <c r="CE39"/>
  <c r="CC39"/>
  <c r="CC64"/>
  <c r="CC633"/>
  <c r="CD633"/>
  <c r="Y790"/>
  <c r="Y833"/>
  <c r="CE567"/>
  <c r="CE501"/>
  <c r="CC435"/>
  <c r="CC171"/>
  <c r="CC567"/>
  <c r="CD567"/>
  <c r="AZ765"/>
  <c r="X833"/>
  <c r="AZ460"/>
  <c r="CE369"/>
  <c r="BA765"/>
  <c r="BA766"/>
  <c r="X834"/>
  <c r="X790"/>
  <c r="CB568"/>
  <c r="CA568" s="1"/>
  <c r="W790"/>
  <c r="DD436"/>
  <c r="DE436"/>
  <c r="DF436" s="1"/>
  <c r="CB303"/>
  <c r="AY765"/>
  <c r="CB765"/>
  <c r="AY766"/>
  <c r="DC633"/>
  <c r="BZ568"/>
  <c r="CA501"/>
  <c r="DC435"/>
  <c r="DD435" s="1"/>
  <c r="CA435"/>
  <c r="BZ435"/>
  <c r="DC369"/>
  <c r="BZ303"/>
  <c r="CA303"/>
  <c r="AX899"/>
  <c r="DC237"/>
  <c r="DH172"/>
  <c r="DI172" s="1"/>
  <c r="DJ172" s="1"/>
  <c r="DK172" s="1"/>
  <c r="BZ171"/>
  <c r="DC171"/>
  <c r="DC196" s="1"/>
  <c r="CA171"/>
  <c r="DH106"/>
  <c r="DI106" s="1"/>
  <c r="DJ106" s="1"/>
  <c r="DC896"/>
  <c r="DD105"/>
  <c r="DD130"/>
  <c r="DC130"/>
  <c r="DB896"/>
  <c r="DH40"/>
  <c r="DI40" s="1"/>
  <c r="DJ40" s="1"/>
  <c r="DB39"/>
  <c r="DC39"/>
  <c r="CB39"/>
  <c r="DB765"/>
  <c r="DC765"/>
  <c r="CA39"/>
  <c r="CB895"/>
  <c r="DB895"/>
  <c r="CC172"/>
  <c r="CD172"/>
  <c r="CD171"/>
  <c r="CD196"/>
  <c r="CD39"/>
  <c r="CD64"/>
  <c r="CC369"/>
  <c r="CD369"/>
  <c r="BA790"/>
  <c r="DD633"/>
  <c r="DC460"/>
  <c r="DC900"/>
  <c r="DD369"/>
  <c r="DC898"/>
  <c r="DD171"/>
  <c r="DD897"/>
  <c r="DE105"/>
  <c r="DF105"/>
  <c r="DD896"/>
  <c r="BZ39"/>
  <c r="BZ895"/>
  <c r="CA895"/>
  <c r="DE633"/>
  <c r="DF633"/>
  <c r="DE369"/>
  <c r="DE900"/>
  <c r="DE171"/>
  <c r="DE897"/>
  <c r="DE896"/>
  <c r="DE130"/>
  <c r="DF369"/>
  <c r="DF171"/>
  <c r="DF897" s="1"/>
  <c r="DG369"/>
  <c r="DH369" s="1"/>
  <c r="DI369" s="1"/>
  <c r="DG900"/>
  <c r="AB838"/>
  <c r="CH374"/>
  <c r="CH43"/>
  <c r="CG43" s="1"/>
  <c r="BD317"/>
  <c r="CF287"/>
  <c r="CC103"/>
  <c r="CD103"/>
  <c r="BE206"/>
  <c r="DI206"/>
  <c r="AD206"/>
  <c r="DE543"/>
  <c r="BX908"/>
  <c r="BR908"/>
  <c r="CV908"/>
  <c r="BY908"/>
  <c r="AA910"/>
  <c r="DA652"/>
  <c r="EA614"/>
  <c r="EA652" s="1"/>
  <c r="DC568"/>
  <c r="DG891"/>
  <c r="AO139" i="3"/>
  <c r="AO140"/>
  <c r="AO207"/>
  <c r="AZ774" i="1"/>
  <c r="BQ908"/>
  <c r="CP908"/>
  <c r="BS908"/>
  <c r="R640"/>
  <c r="Q659"/>
  <c r="CW640"/>
  <c r="AZ539"/>
  <c r="DC539"/>
  <c r="DB499"/>
  <c r="DB524"/>
  <c r="DC511"/>
  <c r="BZ510"/>
  <c r="DB510"/>
  <c r="AX523"/>
  <c r="BN510"/>
  <c r="CP510"/>
  <c r="AZ494"/>
  <c r="CA494"/>
  <c r="AY524"/>
  <c r="AE679"/>
  <c r="CH349"/>
  <c r="AE79"/>
  <c r="AE147"/>
  <c r="BI203"/>
  <c r="DM203" s="1"/>
  <c r="DM533"/>
  <c r="AH533"/>
  <c r="BD189"/>
  <c r="AG271"/>
  <c r="BH271"/>
  <c r="DL271" s="1"/>
  <c r="DL334"/>
  <c r="AG336"/>
  <c r="AG337"/>
  <c r="AD343"/>
  <c r="AF551"/>
  <c r="BC189"/>
  <c r="AB189"/>
  <c r="AC146"/>
  <c r="AC189"/>
  <c r="BD79"/>
  <c r="AB319"/>
  <c r="DJ71"/>
  <c r="AE71"/>
  <c r="AA189"/>
  <c r="DF186"/>
  <c r="BC79"/>
  <c r="BC122" s="1"/>
  <c r="AE137"/>
  <c r="AE139"/>
  <c r="AE202"/>
  <c r="AB211"/>
  <c r="BC213"/>
  <c r="BC277"/>
  <c r="BC319"/>
  <c r="AB279"/>
  <c r="BC279"/>
  <c r="BF334"/>
  <c r="DJ334"/>
  <c r="BF337"/>
  <c r="AD551"/>
  <c r="AE535"/>
  <c r="BC543"/>
  <c r="BB123"/>
  <c r="AA80"/>
  <c r="DE186"/>
  <c r="BI217"/>
  <c r="DH271"/>
  <c r="AC551"/>
  <c r="DJ271"/>
  <c r="Z741"/>
  <c r="DB608"/>
  <c r="BD754"/>
  <c r="AP536" i="3"/>
  <c r="BA547" i="1"/>
  <c r="BB547"/>
  <c r="BD509"/>
  <c r="CN491"/>
  <c r="DO491"/>
  <c r="CH491"/>
  <c r="DI491"/>
  <c r="CE491"/>
  <c r="DE491"/>
  <c r="DC491"/>
  <c r="CB491"/>
  <c r="CA491"/>
  <c r="DA491"/>
  <c r="BY491"/>
  <c r="CY491"/>
  <c r="BX491"/>
  <c r="BW491"/>
  <c r="CW491"/>
  <c r="BS491"/>
  <c r="CS491"/>
  <c r="CQ491"/>
  <c r="BP491"/>
  <c r="CN489"/>
  <c r="DO489"/>
  <c r="CH489"/>
  <c r="DI489"/>
  <c r="CE489"/>
  <c r="DE489"/>
  <c r="DC489"/>
  <c r="CB489"/>
  <c r="CA489"/>
  <c r="DA489"/>
  <c r="BY489"/>
  <c r="CY489"/>
  <c r="BX489"/>
  <c r="BW489"/>
  <c r="CW489"/>
  <c r="BS489"/>
  <c r="CS489"/>
  <c r="CQ489"/>
  <c r="BP489"/>
  <c r="J876"/>
  <c r="BE770"/>
  <c r="X763"/>
  <c r="V763"/>
  <c r="T763"/>
  <c r="R763"/>
  <c r="P763"/>
  <c r="N763"/>
  <c r="L763"/>
  <c r="J763"/>
  <c r="DB762"/>
  <c r="DC762"/>
  <c r="DD762" s="1"/>
  <c r="DE762" s="1"/>
  <c r="DF762" s="1"/>
  <c r="DG762" s="1"/>
  <c r="DH762" s="1"/>
  <c r="DI762" s="1"/>
  <c r="DJ762" s="1"/>
  <c r="CP762"/>
  <c r="CQ762" s="1"/>
  <c r="CR762" s="1"/>
  <c r="CS762" s="1"/>
  <c r="CT762" s="1"/>
  <c r="CU762" s="1"/>
  <c r="CV762" s="1"/>
  <c r="CW762" s="1"/>
  <c r="CX762" s="1"/>
  <c r="CY762" s="1"/>
  <c r="CZ762" s="1"/>
  <c r="DA762" s="1"/>
  <c r="DL761"/>
  <c r="DB754"/>
  <c r="BL743"/>
  <c r="EJ729"/>
  <c r="EK727"/>
  <c r="T730" i="3" s="1"/>
  <c r="CU706" i="1"/>
  <c r="CU725"/>
  <c r="CS706"/>
  <c r="DB702"/>
  <c r="DC702" s="1"/>
  <c r="DD702" s="1"/>
  <c r="DE702" s="1"/>
  <c r="DF702" s="1"/>
  <c r="DG702" s="1"/>
  <c r="DH702" s="1"/>
  <c r="DI702" s="1"/>
  <c r="DJ702" s="1"/>
  <c r="CP702"/>
  <c r="CQ702"/>
  <c r="CR702" s="1"/>
  <c r="CS702" s="1"/>
  <c r="CT702" s="1"/>
  <c r="CU702" s="1"/>
  <c r="CV702" s="1"/>
  <c r="CW702" s="1"/>
  <c r="CX702" s="1"/>
  <c r="CY702" s="1"/>
  <c r="CZ702" s="1"/>
  <c r="DA702" s="1"/>
  <c r="DN701"/>
  <c r="DO701" s="1"/>
  <c r="DP701" s="1"/>
  <c r="BO699"/>
  <c r="CE697"/>
  <c r="CL696"/>
  <c r="DN695"/>
  <c r="EJ695" s="1"/>
  <c r="CH695"/>
  <c r="DN693"/>
  <c r="DH693"/>
  <c r="DB692"/>
  <c r="CP692"/>
  <c r="AJ669" i="3"/>
  <c r="CQ685" i="1"/>
  <c r="DG681"/>
  <c r="CP673"/>
  <c r="BC672"/>
  <c r="CY670"/>
  <c r="CS670"/>
  <c r="BO670"/>
  <c r="CZ668"/>
  <c r="CT668"/>
  <c r="DC643"/>
  <c r="AR640"/>
  <c r="DB637"/>
  <c r="DC637" s="1"/>
  <c r="DD637" s="1"/>
  <c r="DE637" s="1"/>
  <c r="DF637" s="1"/>
  <c r="DG637" s="1"/>
  <c r="DH637" s="1"/>
  <c r="DI637" s="1"/>
  <c r="DJ637" s="1"/>
  <c r="CP637"/>
  <c r="CQ637"/>
  <c r="CR637" s="1"/>
  <c r="CS637" s="1"/>
  <c r="CT637" s="1"/>
  <c r="CU637" s="1"/>
  <c r="CV637" s="1"/>
  <c r="CW637" s="1"/>
  <c r="CX637" s="1"/>
  <c r="CY637" s="1"/>
  <c r="CZ637" s="1"/>
  <c r="DA637" s="1"/>
  <c r="CB631"/>
  <c r="CL630"/>
  <c r="BZ630"/>
  <c r="DN629"/>
  <c r="EJ629" s="1"/>
  <c r="CE628"/>
  <c r="BX623"/>
  <c r="BR623"/>
  <c r="DH615"/>
  <c r="DG614"/>
  <c r="CM613"/>
  <c r="CA612"/>
  <c r="BU612"/>
  <c r="BO612"/>
  <c r="BR610"/>
  <c r="AQ917"/>
  <c r="AO917"/>
  <c r="AM917"/>
  <c r="BF606"/>
  <c r="AZ606"/>
  <c r="CV604"/>
  <c r="CP604"/>
  <c r="CP647" s="1"/>
  <c r="BR604"/>
  <c r="BR602"/>
  <c r="BO598"/>
  <c r="CR577"/>
  <c r="CH568"/>
  <c r="CA563"/>
  <c r="BO563"/>
  <c r="AO536" i="3"/>
  <c r="AP535"/>
  <c r="AO535"/>
  <c r="BW556" i="1"/>
  <c r="BQ556"/>
  <c r="BX545"/>
  <c r="BR545"/>
  <c r="BN535"/>
  <c r="BQ532"/>
  <c r="BN506"/>
  <c r="BQ505"/>
  <c r="CK501"/>
  <c r="BY501"/>
  <c r="BU500"/>
  <c r="BZ495"/>
  <c r="DC494"/>
  <c r="CB494"/>
  <c r="BZ494"/>
  <c r="BD773"/>
  <c r="CF773"/>
  <c r="BC540"/>
  <c r="CA492"/>
  <c r="DB492"/>
  <c r="AJ470" i="3"/>
  <c r="BY492" i="1"/>
  <c r="CZ492"/>
  <c r="BW492"/>
  <c r="CX492"/>
  <c r="CQ487"/>
  <c r="BR481"/>
  <c r="BQ481"/>
  <c r="CH697"/>
  <c r="AX905"/>
  <c r="CH629"/>
  <c r="AP917"/>
  <c r="AN917"/>
  <c r="AL917"/>
  <c r="CP571"/>
  <c r="CQ571"/>
  <c r="CR571" s="1"/>
  <c r="CS571" s="1"/>
  <c r="CT571" s="1"/>
  <c r="CU571" s="1"/>
  <c r="CV571" s="1"/>
  <c r="CW571" s="1"/>
  <c r="CX571" s="1"/>
  <c r="CY571" s="1"/>
  <c r="CZ571" s="1"/>
  <c r="DA571" s="1"/>
  <c r="CF571"/>
  <c r="DB569"/>
  <c r="DC569" s="1"/>
  <c r="DD569" s="1"/>
  <c r="DE569" s="1"/>
  <c r="DF569" s="1"/>
  <c r="DG569" s="1"/>
  <c r="DH569" s="1"/>
  <c r="DI569" s="1"/>
  <c r="DJ569" s="1"/>
  <c r="CP569"/>
  <c r="CQ569"/>
  <c r="CR569" s="1"/>
  <c r="CS569" s="1"/>
  <c r="CT569" s="1"/>
  <c r="CU569" s="1"/>
  <c r="CV569" s="1"/>
  <c r="CW569" s="1"/>
  <c r="CX569" s="1"/>
  <c r="CY569" s="1"/>
  <c r="CZ569" s="1"/>
  <c r="DA569" s="1"/>
  <c r="CH561"/>
  <c r="CQ553"/>
  <c r="BC509"/>
  <c r="CW508"/>
  <c r="CU508"/>
  <c r="CU527"/>
  <c r="AS508"/>
  <c r="CK492"/>
  <c r="CK491"/>
  <c r="BZ491"/>
  <c r="AB482"/>
  <c r="DG482"/>
  <c r="AB470"/>
  <c r="BC470"/>
  <c r="DG470" s="1"/>
  <c r="AF469"/>
  <c r="BJ469"/>
  <c r="DN469"/>
  <c r="AB467"/>
  <c r="BC467"/>
  <c r="DG467"/>
  <c r="DB433"/>
  <c r="DC445"/>
  <c r="CQ433"/>
  <c r="CR445"/>
  <c r="CR436"/>
  <c r="CS436" s="1"/>
  <c r="DD434"/>
  <c r="DE434"/>
  <c r="DC459"/>
  <c r="DB419"/>
  <c r="AX450"/>
  <c r="BZ419"/>
  <c r="AR450"/>
  <c r="BT419"/>
  <c r="CP419"/>
  <c r="AL450"/>
  <c r="BN419"/>
  <c r="AB454"/>
  <c r="AC416"/>
  <c r="DH416"/>
  <c r="AA414"/>
  <c r="BB414"/>
  <c r="Z420"/>
  <c r="BB420"/>
  <c r="CD420"/>
  <c r="DF420"/>
  <c r="AY421"/>
  <c r="CA421"/>
  <c r="AY451"/>
  <c r="AY449"/>
  <c r="BN405"/>
  <c r="BO405"/>
  <c r="BW370"/>
  <c r="BX370"/>
  <c r="BN365"/>
  <c r="BO365"/>
  <c r="CF354"/>
  <c r="EE354"/>
  <c r="CZ351"/>
  <c r="CZ387"/>
  <c r="T387"/>
  <c r="CT351"/>
  <c r="CT387" s="1"/>
  <c r="N387"/>
  <c r="AC350"/>
  <c r="DH350"/>
  <c r="AX355"/>
  <c r="AX384"/>
  <c r="BW339"/>
  <c r="BX339"/>
  <c r="DB301"/>
  <c r="DC313"/>
  <c r="CW310"/>
  <c r="CW328" s="1"/>
  <c r="Q328"/>
  <c r="R310"/>
  <c r="AS310"/>
  <c r="CI304"/>
  <c r="CJ304"/>
  <c r="DC302"/>
  <c r="DD302"/>
  <c r="CQ302"/>
  <c r="CR302"/>
  <c r="BZ295"/>
  <c r="CA295"/>
  <c r="BN295"/>
  <c r="BO295"/>
  <c r="CL294"/>
  <c r="CM294"/>
  <c r="AD285"/>
  <c r="DI285"/>
  <c r="M281"/>
  <c r="AN281"/>
  <c r="L280"/>
  <c r="AM280"/>
  <c r="AX289"/>
  <c r="K272"/>
  <c r="AL272"/>
  <c r="K271"/>
  <c r="AL271"/>
  <c r="K269"/>
  <c r="AL269"/>
  <c r="J287"/>
  <c r="J286"/>
  <c r="K268"/>
  <c r="AL268"/>
  <c r="CK480"/>
  <c r="CE480"/>
  <c r="BY480"/>
  <c r="BS480"/>
  <c r="EA914"/>
  <c r="Z775"/>
  <c r="Z763" s="1"/>
  <c r="BS492"/>
  <c r="CT492"/>
  <c r="EJ490"/>
  <c r="S469" i="3" s="1"/>
  <c r="CH490" i="1"/>
  <c r="EH490"/>
  <c r="F469" i="3" s="1"/>
  <c r="AV457" i="1"/>
  <c r="AV459"/>
  <c r="AT457"/>
  <c r="AT459"/>
  <c r="BT443"/>
  <c r="BU443" s="1"/>
  <c r="BV443" s="1"/>
  <c r="AR457"/>
  <c r="AR459"/>
  <c r="AP457"/>
  <c r="AP459"/>
  <c r="AN457"/>
  <c r="AN459"/>
  <c r="BN443"/>
  <c r="BO443"/>
  <c r="BP443" s="1"/>
  <c r="AL457"/>
  <c r="AL459"/>
  <c r="CP443"/>
  <c r="CQ443" s="1"/>
  <c r="CR443" s="1"/>
  <c r="CS443" s="1"/>
  <c r="CT443" s="1"/>
  <c r="CU443" s="1"/>
  <c r="CV443" s="1"/>
  <c r="CW443" s="1"/>
  <c r="CX443" s="1"/>
  <c r="CY443" s="1"/>
  <c r="CZ443" s="1"/>
  <c r="DA443" s="1"/>
  <c r="Q461"/>
  <c r="R442"/>
  <c r="AS442"/>
  <c r="CW442"/>
  <c r="AQ441"/>
  <c r="CT441"/>
  <c r="N461"/>
  <c r="BZ440"/>
  <c r="CA440"/>
  <c r="CT434"/>
  <c r="CU434"/>
  <c r="BW434"/>
  <c r="BX434"/>
  <c r="BY459"/>
  <c r="BQ434"/>
  <c r="BR434"/>
  <c r="BS459"/>
  <c r="BN431"/>
  <c r="BO431"/>
  <c r="DP457"/>
  <c r="DN457"/>
  <c r="DN459"/>
  <c r="DF457"/>
  <c r="DD457"/>
  <c r="CZ457"/>
  <c r="CX457"/>
  <c r="CT457"/>
  <c r="CT459"/>
  <c r="BQ429"/>
  <c r="BS456"/>
  <c r="BR429"/>
  <c r="BR456"/>
  <c r="BT423"/>
  <c r="BU423"/>
  <c r="BW450"/>
  <c r="BX419"/>
  <c r="AD417"/>
  <c r="DI417"/>
  <c r="AC454"/>
  <c r="BT415"/>
  <c r="BU415"/>
  <c r="DO411"/>
  <c r="DC411"/>
  <c r="BN407"/>
  <c r="BO407"/>
  <c r="AG402"/>
  <c r="BK402"/>
  <c r="DO402"/>
  <c r="DB367"/>
  <c r="DB391"/>
  <c r="DC379"/>
  <c r="Q394"/>
  <c r="R376"/>
  <c r="AS376"/>
  <c r="CW376"/>
  <c r="BZ372"/>
  <c r="CA372"/>
  <c r="CR369"/>
  <c r="BX352"/>
  <c r="BY352" s="1"/>
  <c r="BR352"/>
  <c r="BS352"/>
  <c r="BS385"/>
  <c r="Q387"/>
  <c r="CW351"/>
  <c r="CW387"/>
  <c r="CL346"/>
  <c r="CM346"/>
  <c r="DC303"/>
  <c r="DB899"/>
  <c r="CQ303"/>
  <c r="BN298"/>
  <c r="BO298"/>
  <c r="CZ285"/>
  <c r="CZ321"/>
  <c r="T321"/>
  <c r="CT285"/>
  <c r="AC284"/>
  <c r="DH284"/>
  <c r="AB321"/>
  <c r="AV282"/>
  <c r="AU282"/>
  <c r="BY282"/>
  <c r="AD280"/>
  <c r="BG280"/>
  <c r="DP279"/>
  <c r="AM278"/>
  <c r="K279"/>
  <c r="L278"/>
  <c r="AM277"/>
  <c r="L277"/>
  <c r="N276"/>
  <c r="AO276"/>
  <c r="DO316"/>
  <c r="O272"/>
  <c r="AP272"/>
  <c r="CT272"/>
  <c r="O271"/>
  <c r="AP271"/>
  <c r="CT271" s="1"/>
  <c r="P270"/>
  <c r="AQ270"/>
  <c r="CU270"/>
  <c r="L270"/>
  <c r="AM270"/>
  <c r="CQ270" s="1"/>
  <c r="O269"/>
  <c r="AP269"/>
  <c r="CT269"/>
  <c r="N287"/>
  <c r="N286"/>
  <c r="O268"/>
  <c r="AP268"/>
  <c r="CT268"/>
  <c r="CA246"/>
  <c r="BU246"/>
  <c r="CN490"/>
  <c r="CB490"/>
  <c r="BZ490"/>
  <c r="BX490"/>
  <c r="BV490"/>
  <c r="BP490"/>
  <c r="DO480"/>
  <c r="DP480" s="1"/>
  <c r="BV478"/>
  <c r="CT461"/>
  <c r="AO404" i="3"/>
  <c r="DI241" i="1"/>
  <c r="DJ241"/>
  <c r="BT230"/>
  <c r="BU230"/>
  <c r="BT225"/>
  <c r="BU225"/>
  <c r="AC219"/>
  <c r="DH219"/>
  <c r="AD218"/>
  <c r="DI218"/>
  <c r="M214"/>
  <c r="AN214"/>
  <c r="M210"/>
  <c r="AN210"/>
  <c r="L223"/>
  <c r="CR223"/>
  <c r="O206"/>
  <c r="AP206"/>
  <c r="CT206"/>
  <c r="K205"/>
  <c r="AL205"/>
  <c r="AP204"/>
  <c r="O204"/>
  <c r="K203"/>
  <c r="AL203"/>
  <c r="J221"/>
  <c r="CP193"/>
  <c r="CQ180"/>
  <c r="DI176"/>
  <c r="DJ176" s="1"/>
  <c r="CS171"/>
  <c r="BQ166"/>
  <c r="BR166"/>
  <c r="DD164"/>
  <c r="BO155"/>
  <c r="AC153"/>
  <c r="DH153"/>
  <c r="AB190"/>
  <c r="AD152"/>
  <c r="DI152"/>
  <c r="Q190"/>
  <c r="CW152"/>
  <c r="CW190"/>
  <c r="BN151"/>
  <c r="BO151"/>
  <c r="AA150"/>
  <c r="BB150"/>
  <c r="Z156"/>
  <c r="BB156"/>
  <c r="CD156"/>
  <c r="DF156" s="1"/>
  <c r="S150"/>
  <c r="AT150"/>
  <c r="BN470"/>
  <c r="BQ469"/>
  <c r="BQ466"/>
  <c r="BW439"/>
  <c r="BQ439"/>
  <c r="BW438"/>
  <c r="BQ438"/>
  <c r="BZ437"/>
  <c r="BN437"/>
  <c r="BW436"/>
  <c r="BQ436"/>
  <c r="CL435"/>
  <c r="BT435"/>
  <c r="BN435"/>
  <c r="BZ434"/>
  <c r="BT434"/>
  <c r="BN434"/>
  <c r="BW431"/>
  <c r="BQ431"/>
  <c r="BW430"/>
  <c r="BQ430"/>
  <c r="BZ429"/>
  <c r="BN429"/>
  <c r="BQ428"/>
  <c r="BW427"/>
  <c r="AP404" i="3"/>
  <c r="BZ426" i="1"/>
  <c r="BT426"/>
  <c r="BN426"/>
  <c r="CI425"/>
  <c r="BZ425"/>
  <c r="BT425"/>
  <c r="BN425"/>
  <c r="AO403" i="3"/>
  <c r="BW424" i="1"/>
  <c r="BQ424"/>
  <c r="BW423"/>
  <c r="BQ423"/>
  <c r="BW415"/>
  <c r="BQ414"/>
  <c r="BW413"/>
  <c r="BQ413"/>
  <c r="BN412"/>
  <c r="BQ409"/>
  <c r="BQ452"/>
  <c r="BQ408"/>
  <c r="BW407"/>
  <c r="BQ407"/>
  <c r="BQ406"/>
  <c r="BQ405"/>
  <c r="BT402"/>
  <c r="BN402"/>
  <c r="BN401"/>
  <c r="BN400"/>
  <c r="AJ343" i="3"/>
  <c r="BT374" i="1"/>
  <c r="BN374"/>
  <c r="BQ373"/>
  <c r="BQ372"/>
  <c r="BZ371"/>
  <c r="BT371"/>
  <c r="BT370"/>
  <c r="BN370"/>
  <c r="BQ369"/>
  <c r="BN366"/>
  <c r="BW365"/>
  <c r="AP339" i="3"/>
  <c r="AO338"/>
  <c r="AO337"/>
  <c r="BT347" i="1"/>
  <c r="BQ346"/>
  <c r="BQ344"/>
  <c r="BQ343"/>
  <c r="BQ385" s="1"/>
  <c r="BT340"/>
  <c r="BN335"/>
  <c r="CH307"/>
  <c r="CH304"/>
  <c r="BN302"/>
  <c r="BQ297"/>
  <c r="BQ296"/>
  <c r="BW295"/>
  <c r="BZ294"/>
  <c r="BT294"/>
  <c r="BN294"/>
  <c r="BQ293"/>
  <c r="BN292"/>
  <c r="BT291"/>
  <c r="BN283"/>
  <c r="CL282"/>
  <c r="BZ282"/>
  <c r="BN282"/>
  <c r="AY223"/>
  <c r="BD311"/>
  <c r="BZ242"/>
  <c r="CA242"/>
  <c r="AP206" i="3"/>
  <c r="BT226" i="1"/>
  <c r="BU226"/>
  <c r="BZ217"/>
  <c r="CA217"/>
  <c r="AS217"/>
  <c r="R217"/>
  <c r="BN216"/>
  <c r="BO216"/>
  <c r="S216"/>
  <c r="AT216"/>
  <c r="M215"/>
  <c r="AN215"/>
  <c r="AM208"/>
  <c r="L208"/>
  <c r="K206"/>
  <c r="AL206"/>
  <c r="O205"/>
  <c r="AP205"/>
  <c r="CT205"/>
  <c r="AG204"/>
  <c r="BJ204"/>
  <c r="BK204"/>
  <c r="DO204" s="1"/>
  <c r="AL204"/>
  <c r="K204"/>
  <c r="O203"/>
  <c r="AP203"/>
  <c r="N221"/>
  <c r="P202"/>
  <c r="AQ202"/>
  <c r="CU202" s="1"/>
  <c r="L202"/>
  <c r="AM202"/>
  <c r="CQ202"/>
  <c r="BX193"/>
  <c r="BX195"/>
  <c r="BY179"/>
  <c r="CR170"/>
  <c r="CS170" s="1"/>
  <c r="DE168"/>
  <c r="BQ167"/>
  <c r="BR167"/>
  <c r="BW164"/>
  <c r="BX164"/>
  <c r="BZ160"/>
  <c r="CA160"/>
  <c r="BZ159"/>
  <c r="CA159"/>
  <c r="CZ152"/>
  <c r="CZ190"/>
  <c r="T190"/>
  <c r="CT152"/>
  <c r="CT190"/>
  <c r="N190"/>
  <c r="AS151"/>
  <c r="R151"/>
  <c r="CH492"/>
  <c r="AO469" i="3"/>
  <c r="W487" i="1"/>
  <c r="CP478"/>
  <c r="CQ478" s="1"/>
  <c r="CR478" s="1"/>
  <c r="CS478" s="1"/>
  <c r="CT478" s="1"/>
  <c r="CU478" s="1"/>
  <c r="CV478" s="1"/>
  <c r="CW478" s="1"/>
  <c r="CX478" s="1"/>
  <c r="CY478" s="1"/>
  <c r="CZ478" s="1"/>
  <c r="DA478" s="1"/>
  <c r="EA478" s="1"/>
  <c r="DB476"/>
  <c r="CP476"/>
  <c r="BC474"/>
  <c r="CP473"/>
  <c r="CV472"/>
  <c r="CP472"/>
  <c r="CP515"/>
  <c r="BB470"/>
  <c r="DF470"/>
  <c r="EJ469"/>
  <c r="BK469"/>
  <c r="DO469" s="1"/>
  <c r="BB467"/>
  <c r="DF467" s="1"/>
  <c r="EJ466"/>
  <c r="EJ465"/>
  <c r="EK463"/>
  <c r="T466" i="3" s="1"/>
  <c r="BD445" i="1"/>
  <c r="AZ443"/>
  <c r="AX443"/>
  <c r="CV442"/>
  <c r="CV461" s="1"/>
  <c r="AR442"/>
  <c r="CW441"/>
  <c r="CS441"/>
  <c r="CS461" s="1"/>
  <c r="AS441"/>
  <c r="DB438"/>
  <c r="DC438"/>
  <c r="DD438" s="1"/>
  <c r="DE438" s="1"/>
  <c r="DF438" s="1"/>
  <c r="DG438" s="1"/>
  <c r="DH438" s="1"/>
  <c r="DI438" s="1"/>
  <c r="DJ438" s="1"/>
  <c r="CP438"/>
  <c r="CQ438" s="1"/>
  <c r="CR438" s="1"/>
  <c r="CS438" s="1"/>
  <c r="CT438" s="1"/>
  <c r="CU438" s="1"/>
  <c r="CV438" s="1"/>
  <c r="CW438" s="1"/>
  <c r="CX438" s="1"/>
  <c r="CY438" s="1"/>
  <c r="CZ438" s="1"/>
  <c r="DA438" s="1"/>
  <c r="CH437"/>
  <c r="EH436"/>
  <c r="CE901"/>
  <c r="BZ433"/>
  <c r="DL430"/>
  <c r="DB430"/>
  <c r="CV430"/>
  <c r="CP430"/>
  <c r="DB428"/>
  <c r="CP428"/>
  <c r="DN427"/>
  <c r="AO405" i="3"/>
  <c r="CH427" i="1"/>
  <c r="DO426"/>
  <c r="DI426"/>
  <c r="DE426"/>
  <c r="AM404" i="3"/>
  <c r="CY426" i="1"/>
  <c r="CS426"/>
  <c r="DO425"/>
  <c r="DI425"/>
  <c r="DE425"/>
  <c r="CY425"/>
  <c r="CS425"/>
  <c r="DB424"/>
  <c r="AJ403" i="3" s="1"/>
  <c r="CV424" i="1"/>
  <c r="CP424"/>
  <c r="AS421"/>
  <c r="BU421" s="1"/>
  <c r="BV421" s="1"/>
  <c r="AM421"/>
  <c r="BO421"/>
  <c r="BP421" s="1"/>
  <c r="Y420"/>
  <c r="DH417"/>
  <c r="DH454"/>
  <c r="DG416"/>
  <c r="DG454"/>
  <c r="BA414"/>
  <c r="CP411"/>
  <c r="BC408"/>
  <c r="CV406"/>
  <c r="CP406"/>
  <c r="CP405"/>
  <c r="CQ405"/>
  <c r="BL402"/>
  <c r="DP402"/>
  <c r="EB402" s="1"/>
  <c r="EG402" s="1"/>
  <c r="E397"/>
  <c r="AA390"/>
  <c r="AR379"/>
  <c r="BT379"/>
  <c r="BU379" s="1"/>
  <c r="AL379"/>
  <c r="BN379" s="1"/>
  <c r="BO379" s="1"/>
  <c r="BP379" s="1"/>
  <c r="BB377"/>
  <c r="CV376"/>
  <c r="CV394"/>
  <c r="AR376"/>
  <c r="CW375"/>
  <c r="AS375"/>
  <c r="DB373"/>
  <c r="DC373" s="1"/>
  <c r="DD373" s="1"/>
  <c r="DE373" s="1"/>
  <c r="DF373" s="1"/>
  <c r="DG373" s="1"/>
  <c r="DH373" s="1"/>
  <c r="DI373" s="1"/>
  <c r="DJ373" s="1"/>
  <c r="CP373"/>
  <c r="CQ373"/>
  <c r="CR373" s="1"/>
  <c r="CS373" s="1"/>
  <c r="CT373" s="1"/>
  <c r="CU373" s="1"/>
  <c r="CV373" s="1"/>
  <c r="CW373" s="1"/>
  <c r="CX373" s="1"/>
  <c r="CY373" s="1"/>
  <c r="CZ373" s="1"/>
  <c r="DA373" s="1"/>
  <c r="DB372"/>
  <c r="DC372"/>
  <c r="DD372" s="1"/>
  <c r="DE372" s="1"/>
  <c r="DF372" s="1"/>
  <c r="DG372" s="1"/>
  <c r="DH372" s="1"/>
  <c r="DI372" s="1"/>
  <c r="DJ372" s="1"/>
  <c r="CP372"/>
  <c r="CQ372" s="1"/>
  <c r="CR372" s="1"/>
  <c r="CS372" s="1"/>
  <c r="CT372" s="1"/>
  <c r="CU372" s="1"/>
  <c r="CV372" s="1"/>
  <c r="CW372" s="1"/>
  <c r="CX372" s="1"/>
  <c r="CY372" s="1"/>
  <c r="CZ372" s="1"/>
  <c r="DA372" s="1"/>
  <c r="EH370"/>
  <c r="CB369"/>
  <c r="DB368"/>
  <c r="CP368"/>
  <c r="DL365"/>
  <c r="EJ365"/>
  <c r="EH363"/>
  <c r="DB363"/>
  <c r="DB389"/>
  <c r="CV363"/>
  <c r="CP363"/>
  <c r="DK361"/>
  <c r="DI361"/>
  <c r="EH360"/>
  <c r="F338" i="3" s="1"/>
  <c r="DB360" i="1"/>
  <c r="CV360"/>
  <c r="CP360"/>
  <c r="DE359"/>
  <c r="CY359"/>
  <c r="CS359"/>
  <c r="DB358"/>
  <c r="AJ337" i="3" s="1"/>
  <c r="CV358" i="1"/>
  <c r="CP358"/>
  <c r="DO357"/>
  <c r="DI357"/>
  <c r="DE357"/>
  <c r="CY357"/>
  <c r="CS357"/>
  <c r="CQ355"/>
  <c r="CV351"/>
  <c r="DG350"/>
  <c r="DO344"/>
  <c r="BF342"/>
  <c r="EE342"/>
  <c r="AZ342"/>
  <c r="AB324"/>
  <c r="AR310"/>
  <c r="EH307"/>
  <c r="DB307"/>
  <c r="DC307"/>
  <c r="DD307" s="1"/>
  <c r="DE307" s="1"/>
  <c r="DF307" s="1"/>
  <c r="DG307" s="1"/>
  <c r="DH307" s="1"/>
  <c r="DI307" s="1"/>
  <c r="DJ307" s="1"/>
  <c r="CP307"/>
  <c r="CQ307" s="1"/>
  <c r="CR307" s="1"/>
  <c r="CS307" s="1"/>
  <c r="DB304"/>
  <c r="CP304"/>
  <c r="CF300"/>
  <c r="BZ300"/>
  <c r="DK299"/>
  <c r="DI299"/>
  <c r="CZ299"/>
  <c r="CT299"/>
  <c r="DL298"/>
  <c r="DL297"/>
  <c r="DB296"/>
  <c r="CP296"/>
  <c r="DE295"/>
  <c r="AM273" i="3" s="1"/>
  <c r="DC295" i="1"/>
  <c r="CW295"/>
  <c r="CQ295"/>
  <c r="AP272" i="3"/>
  <c r="DN293" i="1"/>
  <c r="EJ293" s="1"/>
  <c r="DE293"/>
  <c r="DC293"/>
  <c r="CW293"/>
  <c r="CQ293"/>
  <c r="DE291"/>
  <c r="CY291"/>
  <c r="CS291"/>
  <c r="DH285"/>
  <c r="DH321" s="1"/>
  <c r="CV285"/>
  <c r="CV321" s="1"/>
  <c r="DG284"/>
  <c r="DG321" s="1"/>
  <c r="AT282"/>
  <c r="AM281"/>
  <c r="BH280"/>
  <c r="AL280"/>
  <c r="BF276"/>
  <c r="EE276"/>
  <c r="AZ276"/>
  <c r="AN276"/>
  <c r="DN274"/>
  <c r="DN316" s="1"/>
  <c r="AM273"/>
  <c r="AO272"/>
  <c r="EJ271"/>
  <c r="AO271"/>
  <c r="AP270"/>
  <c r="AL270"/>
  <c r="AO269"/>
  <c r="EJ268"/>
  <c r="AO268"/>
  <c r="EJ267"/>
  <c r="EK265"/>
  <c r="T268" i="3" s="1"/>
  <c r="CA223" i="1"/>
  <c r="BD245"/>
  <c r="BD179"/>
  <c r="K149"/>
  <c r="AL149"/>
  <c r="M144"/>
  <c r="AN144"/>
  <c r="L142"/>
  <c r="AM142"/>
  <c r="CP140"/>
  <c r="P139"/>
  <c r="AQ139"/>
  <c r="L139"/>
  <c r="AM139"/>
  <c r="L138"/>
  <c r="AM138"/>
  <c r="L137"/>
  <c r="AM137"/>
  <c r="CD114"/>
  <c r="CC127"/>
  <c r="CF114"/>
  <c r="BD127"/>
  <c r="CJ109"/>
  <c r="CI109"/>
  <c r="DI108"/>
  <c r="DJ108" s="1"/>
  <c r="AL122"/>
  <c r="BN88"/>
  <c r="CP88"/>
  <c r="AL120"/>
  <c r="AC87"/>
  <c r="DH87"/>
  <c r="AB124"/>
  <c r="AD86"/>
  <c r="DI86"/>
  <c r="CW86"/>
  <c r="Q124"/>
  <c r="M83"/>
  <c r="AN83"/>
  <c r="L82"/>
  <c r="AM82"/>
  <c r="AX91"/>
  <c r="AX121"/>
  <c r="AF74"/>
  <c r="BI74"/>
  <c r="DM74" s="1"/>
  <c r="BJ74"/>
  <c r="DN74" s="1"/>
  <c r="P73"/>
  <c r="AQ73"/>
  <c r="CU73"/>
  <c r="L73"/>
  <c r="AM73"/>
  <c r="CQ73" s="1"/>
  <c r="P72"/>
  <c r="AQ72"/>
  <c r="L71"/>
  <c r="K89"/>
  <c r="AM71"/>
  <c r="P70"/>
  <c r="AQ70"/>
  <c r="O88"/>
  <c r="CA48"/>
  <c r="CB48" s="1"/>
  <c r="DC48"/>
  <c r="DD48" s="1"/>
  <c r="AU61"/>
  <c r="BW48"/>
  <c r="BU48"/>
  <c r="AS61"/>
  <c r="AO61"/>
  <c r="BQ48"/>
  <c r="AM61"/>
  <c r="CQ48"/>
  <c r="CR48"/>
  <c r="BZ61"/>
  <c r="BO47"/>
  <c r="BQ242"/>
  <c r="CL241"/>
  <c r="BW241"/>
  <c r="BT239"/>
  <c r="BT238"/>
  <c r="BW233"/>
  <c r="BZ231"/>
  <c r="BQ230"/>
  <c r="CI229"/>
  <c r="AO206" i="3"/>
  <c r="AO205"/>
  <c r="BQ226" i="1"/>
  <c r="BW225"/>
  <c r="BQ225"/>
  <c r="BQ217"/>
  <c r="CI216"/>
  <c r="DC911"/>
  <c r="CD179"/>
  <c r="K876"/>
  <c r="BT176"/>
  <c r="BT175"/>
  <c r="BT174"/>
  <c r="BW173"/>
  <c r="CL172"/>
  <c r="BT172"/>
  <c r="BN171"/>
  <c r="BW170"/>
  <c r="BW195"/>
  <c r="BZ167"/>
  <c r="BN167"/>
  <c r="BT166"/>
  <c r="BQ165"/>
  <c r="BZ164"/>
  <c r="BN164"/>
  <c r="BT163"/>
  <c r="BQ151"/>
  <c r="CN148"/>
  <c r="BQ130"/>
  <c r="CW124"/>
  <c r="AE149"/>
  <c r="BH149" s="1"/>
  <c r="AD148"/>
  <c r="BG148" s="1"/>
  <c r="EE148"/>
  <c r="L148"/>
  <c r="AM148"/>
  <c r="CQ148" s="1"/>
  <c r="L143"/>
  <c r="AM143"/>
  <c r="O140"/>
  <c r="AP140"/>
  <c r="CT140"/>
  <c r="AF138"/>
  <c r="BI138"/>
  <c r="DM138" s="1"/>
  <c r="BJ138"/>
  <c r="DN138" s="1"/>
  <c r="L136"/>
  <c r="AM136"/>
  <c r="CQ136"/>
  <c r="CR105"/>
  <c r="CQ130"/>
  <c r="CR104"/>
  <c r="CS104"/>
  <c r="CT104" s="1"/>
  <c r="CU104" s="1"/>
  <c r="CV104" s="1"/>
  <c r="CW104" s="1"/>
  <c r="CX104" s="1"/>
  <c r="CY104" s="1"/>
  <c r="CZ104" s="1"/>
  <c r="DA104" s="1"/>
  <c r="CM104"/>
  <c r="CL104"/>
  <c r="BX104"/>
  <c r="BW104"/>
  <c r="BW129" s="1"/>
  <c r="BU102"/>
  <c r="BT102"/>
  <c r="BO102"/>
  <c r="BN102"/>
  <c r="CF90"/>
  <c r="T124"/>
  <c r="CZ86"/>
  <c r="CZ124"/>
  <c r="N124"/>
  <c r="CT86"/>
  <c r="CT124" s="1"/>
  <c r="AE84"/>
  <c r="AD90"/>
  <c r="BF84"/>
  <c r="AU84"/>
  <c r="AV84"/>
  <c r="BY84" s="1"/>
  <c r="O84"/>
  <c r="AP84"/>
  <c r="AD82"/>
  <c r="BG82"/>
  <c r="M79"/>
  <c r="AN79"/>
  <c r="L76"/>
  <c r="AM76"/>
  <c r="K119"/>
  <c r="Q74"/>
  <c r="AR74"/>
  <c r="L74"/>
  <c r="AM74"/>
  <c r="CQ74"/>
  <c r="AN72"/>
  <c r="CR72"/>
  <c r="DZ72"/>
  <c r="BC245"/>
  <c r="DN236"/>
  <c r="CH236"/>
  <c r="CL234"/>
  <c r="EI234" s="1"/>
  <c r="BZ234"/>
  <c r="DL233"/>
  <c r="DH233"/>
  <c r="DB233"/>
  <c r="CV233"/>
  <c r="CP233"/>
  <c r="DO232"/>
  <c r="DI232"/>
  <c r="DE232"/>
  <c r="CY232"/>
  <c r="CS232"/>
  <c r="CH231"/>
  <c r="DL228"/>
  <c r="EJ228"/>
  <c r="DB228"/>
  <c r="CV228"/>
  <c r="CP228"/>
  <c r="DO227"/>
  <c r="DI227"/>
  <c r="DE227"/>
  <c r="CY227"/>
  <c r="CS227"/>
  <c r="DL226"/>
  <c r="AN205" i="3"/>
  <c r="DL225" i="1"/>
  <c r="EJ225"/>
  <c r="DG219"/>
  <c r="DG255"/>
  <c r="DH218"/>
  <c r="CV218"/>
  <c r="DB217"/>
  <c r="DC217"/>
  <c r="DD217" s="1"/>
  <c r="DE217" s="1"/>
  <c r="CP217"/>
  <c r="CQ217"/>
  <c r="CR217" s="1"/>
  <c r="CS217" s="1"/>
  <c r="CT217" s="1"/>
  <c r="CU217" s="1"/>
  <c r="CV217" s="1"/>
  <c r="CW217" s="1"/>
  <c r="BE217"/>
  <c r="CH217"/>
  <c r="EE216"/>
  <c r="EL241" s="1"/>
  <c r="AS216"/>
  <c r="AM215"/>
  <c r="AM214"/>
  <c r="DB911"/>
  <c r="AX911"/>
  <c r="BC210"/>
  <c r="AM210"/>
  <c r="CQ208"/>
  <c r="AO206"/>
  <c r="AO205"/>
  <c r="CT204"/>
  <c r="CP204"/>
  <c r="BL204"/>
  <c r="DP204"/>
  <c r="EB204"/>
  <c r="EG204"/>
  <c r="CT203"/>
  <c r="CP203"/>
  <c r="AO203"/>
  <c r="AP202"/>
  <c r="CT202" s="1"/>
  <c r="AL202"/>
  <c r="DC181"/>
  <c r="BC179"/>
  <c r="CW178"/>
  <c r="CU178"/>
  <c r="CU197"/>
  <c r="CQ178"/>
  <c r="CQ197"/>
  <c r="AS178"/>
  <c r="AQ178"/>
  <c r="R178"/>
  <c r="CX177"/>
  <c r="DB173"/>
  <c r="DC173"/>
  <c r="DD173" s="1"/>
  <c r="DE173" s="1"/>
  <c r="DF173" s="1"/>
  <c r="DG173" s="1"/>
  <c r="DH173" s="1"/>
  <c r="DI173" s="1"/>
  <c r="DJ173" s="1"/>
  <c r="CP173"/>
  <c r="CQ173" s="1"/>
  <c r="CR173" s="1"/>
  <c r="CS173" s="1"/>
  <c r="CT173" s="1"/>
  <c r="CU173" s="1"/>
  <c r="CV173" s="1"/>
  <c r="CW173" s="1"/>
  <c r="CX173" s="1"/>
  <c r="CY173" s="1"/>
  <c r="CZ173" s="1"/>
  <c r="DA173" s="1"/>
  <c r="DN170"/>
  <c r="CK169"/>
  <c r="BZ169"/>
  <c r="DO167"/>
  <c r="DI167"/>
  <c r="CZ166"/>
  <c r="CT166"/>
  <c r="DE165"/>
  <c r="DC165"/>
  <c r="DC192" s="1"/>
  <c r="CW165"/>
  <c r="CH165"/>
  <c r="DE163"/>
  <c r="AM141" i="3"/>
  <c r="CY163" i="1"/>
  <c r="CS163"/>
  <c r="DB162"/>
  <c r="CV162"/>
  <c r="CP162"/>
  <c r="DL161"/>
  <c r="EJ161"/>
  <c r="DB161"/>
  <c r="CV161"/>
  <c r="CP161"/>
  <c r="DL159"/>
  <c r="EJ159"/>
  <c r="DB159"/>
  <c r="CV159"/>
  <c r="CP159"/>
  <c r="CP155"/>
  <c r="DG153"/>
  <c r="DH152"/>
  <c r="CV152"/>
  <c r="DB151"/>
  <c r="DC151"/>
  <c r="DD151" s="1"/>
  <c r="CP151"/>
  <c r="CQ151" s="1"/>
  <c r="CR151" s="1"/>
  <c r="CS151" s="1"/>
  <c r="CT151" s="1"/>
  <c r="CU151" s="1"/>
  <c r="BE151"/>
  <c r="CH151" s="1"/>
  <c r="BA150"/>
  <c r="AS150"/>
  <c r="BW130"/>
  <c r="AX910"/>
  <c r="CB146"/>
  <c r="BC47"/>
  <c r="BC61"/>
  <c r="BA47"/>
  <c r="AY47"/>
  <c r="AQ46"/>
  <c r="CU46"/>
  <c r="CU65" s="1"/>
  <c r="DI43"/>
  <c r="DJ43" s="1"/>
  <c r="CI42"/>
  <c r="CJ42"/>
  <c r="BQ31"/>
  <c r="BR31"/>
  <c r="BQ30"/>
  <c r="BR30"/>
  <c r="S20"/>
  <c r="CX20"/>
  <c r="CL19"/>
  <c r="CM19"/>
  <c r="M17"/>
  <c r="AN17"/>
  <c r="CB147"/>
  <c r="DC146"/>
  <c r="DB910"/>
  <c r="CB145"/>
  <c r="BC144"/>
  <c r="AM144"/>
  <c r="DB143"/>
  <c r="DC143" s="1"/>
  <c r="DD143" s="1"/>
  <c r="CQ142"/>
  <c r="AM141"/>
  <c r="CQ141"/>
  <c r="CS140"/>
  <c r="BB140"/>
  <c r="DF140" s="1"/>
  <c r="AN141" i="3" s="1"/>
  <c r="CU139" i="1"/>
  <c r="CQ139"/>
  <c r="AP139"/>
  <c r="CT139"/>
  <c r="AL139"/>
  <c r="CQ138"/>
  <c r="BK138"/>
  <c r="DO138"/>
  <c r="CS137"/>
  <c r="CQ137"/>
  <c r="AP137"/>
  <c r="CT137" s="1"/>
  <c r="AL137"/>
  <c r="AP136"/>
  <c r="CT136"/>
  <c r="AL136"/>
  <c r="EK134"/>
  <c r="CF110"/>
  <c r="DB109"/>
  <c r="DC109" s="1"/>
  <c r="DD109" s="1"/>
  <c r="DE109" s="1"/>
  <c r="DF109" s="1"/>
  <c r="DG109" s="1"/>
  <c r="DH109" s="1"/>
  <c r="DI109" s="1"/>
  <c r="DJ109" s="1"/>
  <c r="CP109"/>
  <c r="CQ109"/>
  <c r="CR109" s="1"/>
  <c r="CS109" s="1"/>
  <c r="CT109" s="1"/>
  <c r="BX109"/>
  <c r="CH108"/>
  <c r="CA107"/>
  <c r="BU107"/>
  <c r="BO107"/>
  <c r="EH106"/>
  <c r="BX106"/>
  <c r="BR106"/>
  <c r="EH105"/>
  <c r="CE105"/>
  <c r="BX105"/>
  <c r="BX130" s="1"/>
  <c r="BR105"/>
  <c r="BR130" s="1"/>
  <c r="CB105"/>
  <c r="BO104"/>
  <c r="DO101"/>
  <c r="DI101"/>
  <c r="CA101"/>
  <c r="BU101"/>
  <c r="BO101"/>
  <c r="DK100"/>
  <c r="FE77"/>
  <c r="FF77" s="1"/>
  <c r="DL99"/>
  <c r="DH99"/>
  <c r="DB99"/>
  <c r="CV99"/>
  <c r="CP99"/>
  <c r="CQ99" s="1"/>
  <c r="DB98"/>
  <c r="CP98"/>
  <c r="DK97"/>
  <c r="BU97"/>
  <c r="EH96"/>
  <c r="F74" i="3" s="1"/>
  <c r="CK96" i="1"/>
  <c r="AN74" i="3"/>
  <c r="DN95" i="1"/>
  <c r="EJ95" s="1"/>
  <c r="BR95"/>
  <c r="DN94"/>
  <c r="AO73" i="3"/>
  <c r="BX94" i="1"/>
  <c r="BR94"/>
  <c r="DO93"/>
  <c r="DI93"/>
  <c r="DE93"/>
  <c r="CY93"/>
  <c r="CS93"/>
  <c r="CJ93"/>
  <c r="BU93"/>
  <c r="CQ91"/>
  <c r="DG87"/>
  <c r="DH86"/>
  <c r="CV86"/>
  <c r="CA85"/>
  <c r="BO85"/>
  <c r="CM84"/>
  <c r="BO84"/>
  <c r="BB84"/>
  <c r="AT84"/>
  <c r="AM83"/>
  <c r="BH82"/>
  <c r="AL82"/>
  <c r="CM79"/>
  <c r="CM122"/>
  <c r="BF78"/>
  <c r="EE78"/>
  <c r="DB77"/>
  <c r="DC77"/>
  <c r="DD77" s="1"/>
  <c r="CM77"/>
  <c r="BO77"/>
  <c r="CP75"/>
  <c r="BK74"/>
  <c r="DO74"/>
  <c r="AQ74"/>
  <c r="AP73"/>
  <c r="CT73" s="1"/>
  <c r="AL73"/>
  <c r="CP72"/>
  <c r="AM72"/>
  <c r="CQ72" s="1"/>
  <c r="CQ71"/>
  <c r="AQ71"/>
  <c r="CU71"/>
  <c r="BK70"/>
  <c r="DO70"/>
  <c r="AM70"/>
  <c r="CQ70"/>
  <c r="AP73" i="3"/>
  <c r="CG78" i="1"/>
  <c r="CF78"/>
  <c r="BD47"/>
  <c r="BT44"/>
  <c r="BU44"/>
  <c r="DE36"/>
  <c r="BW28"/>
  <c r="BX28"/>
  <c r="Q58"/>
  <c r="R21"/>
  <c r="CW21"/>
  <c r="O18"/>
  <c r="AP18"/>
  <c r="M16"/>
  <c r="AN16"/>
  <c r="CB144"/>
  <c r="AM74" i="3"/>
  <c r="AO74"/>
  <c r="DN909" i="1"/>
  <c r="DB909"/>
  <c r="DB47"/>
  <c r="CP47"/>
  <c r="AR46"/>
  <c r="M12"/>
  <c r="AN12"/>
  <c r="M10"/>
  <c r="AN10"/>
  <c r="AD9"/>
  <c r="AE10"/>
  <c r="BH9"/>
  <c r="AE11"/>
  <c r="L8"/>
  <c r="AM8"/>
  <c r="AN7"/>
  <c r="DZ7"/>
  <c r="BC5"/>
  <c r="AB5"/>
  <c r="AA13"/>
  <c r="CD71"/>
  <c r="CC71"/>
  <c r="CB88"/>
  <c r="CB122"/>
  <c r="Y88"/>
  <c r="CB75"/>
  <c r="Y75"/>
  <c r="CB207"/>
  <c r="Y207"/>
  <c r="Z352"/>
  <c r="CB341"/>
  <c r="Y341"/>
  <c r="CJ584"/>
  <c r="CD541"/>
  <c r="CD584"/>
  <c r="CC541"/>
  <c r="CC584" s="1"/>
  <c r="CA409"/>
  <c r="CA452" s="1"/>
  <c r="BZ409"/>
  <c r="BZ452" s="1"/>
  <c r="Y413"/>
  <c r="CB413"/>
  <c r="Y473"/>
  <c r="BA473" s="1"/>
  <c r="CB473"/>
  <c r="AB598"/>
  <c r="AB600"/>
  <c r="CB603"/>
  <c r="Y603"/>
  <c r="Y605"/>
  <c r="CB605"/>
  <c r="CB669"/>
  <c r="Y669"/>
  <c r="CB671"/>
  <c r="Y671"/>
  <c r="Y544"/>
  <c r="CB544"/>
  <c r="BW42"/>
  <c r="BQ42"/>
  <c r="BT41"/>
  <c r="BT40"/>
  <c r="BT39"/>
  <c r="BT64"/>
  <c r="BN39"/>
  <c r="BQ38"/>
  <c r="BZ34"/>
  <c r="BN34"/>
  <c r="CL33"/>
  <c r="BQ33"/>
  <c r="BW32"/>
  <c r="BZ31"/>
  <c r="BZ30"/>
  <c r="BT30"/>
  <c r="BN30"/>
  <c r="CI29"/>
  <c r="BT29"/>
  <c r="BZ28"/>
  <c r="BN28"/>
  <c r="BW27"/>
  <c r="BQ27"/>
  <c r="BZ19"/>
  <c r="DB908"/>
  <c r="AX908"/>
  <c r="BH18"/>
  <c r="BG18"/>
  <c r="P7"/>
  <c r="AQ7"/>
  <c r="P6"/>
  <c r="AQ6"/>
  <c r="L5"/>
  <c r="AM5"/>
  <c r="CQ5"/>
  <c r="BP4"/>
  <c r="CR4"/>
  <c r="CB407"/>
  <c r="Y407"/>
  <c r="CB77"/>
  <c r="Y77"/>
  <c r="CB209"/>
  <c r="Y209"/>
  <c r="EF269"/>
  <c r="CB275"/>
  <c r="Y275"/>
  <c r="Y347"/>
  <c r="CB347"/>
  <c r="CB539"/>
  <c r="Y539"/>
  <c r="Y405"/>
  <c r="CB471"/>
  <c r="Y471"/>
  <c r="Y479"/>
  <c r="CB479"/>
  <c r="CD607"/>
  <c r="CD650"/>
  <c r="CC607"/>
  <c r="CC650" s="1"/>
  <c r="Y611"/>
  <c r="CB677"/>
  <c r="Y677"/>
  <c r="CB545"/>
  <c r="Y545"/>
  <c r="CX918"/>
  <c r="AJ13" i="3"/>
  <c r="DC44" i="1"/>
  <c r="DB42"/>
  <c r="DC42"/>
  <c r="DD42" s="1"/>
  <c r="DE42" s="1"/>
  <c r="DF42" s="1"/>
  <c r="DG42" s="1"/>
  <c r="DH42" s="1"/>
  <c r="DI42" s="1"/>
  <c r="DJ42" s="1"/>
  <c r="CP42"/>
  <c r="CQ42" s="1"/>
  <c r="CR42" s="1"/>
  <c r="CS42" s="1"/>
  <c r="CT42" s="1"/>
  <c r="CU42" s="1"/>
  <c r="CV42" s="1"/>
  <c r="CW42" s="1"/>
  <c r="CX42" s="1"/>
  <c r="CY42" s="1"/>
  <c r="CZ42" s="1"/>
  <c r="DA42" s="1"/>
  <c r="CH40"/>
  <c r="CH39"/>
  <c r="DN38"/>
  <c r="CH38"/>
  <c r="CE37"/>
  <c r="CE62" s="1"/>
  <c r="CI36"/>
  <c r="CI37" s="1"/>
  <c r="CF36"/>
  <c r="CG36"/>
  <c r="DL35"/>
  <c r="DH35"/>
  <c r="DB35"/>
  <c r="CV35"/>
  <c r="CP35"/>
  <c r="CQ35"/>
  <c r="CR35" s="1"/>
  <c r="DE34"/>
  <c r="CY34"/>
  <c r="CS34"/>
  <c r="DL33"/>
  <c r="DH33"/>
  <c r="DB33"/>
  <c r="DB60"/>
  <c r="CV33"/>
  <c r="CP33"/>
  <c r="CH32"/>
  <c r="CY31"/>
  <c r="CS31"/>
  <c r="AM8" i="3"/>
  <c r="DO29" i="1"/>
  <c r="DI29"/>
  <c r="DE29"/>
  <c r="CY29"/>
  <c r="CS29"/>
  <c r="DK28"/>
  <c r="FE5" s="1"/>
  <c r="FF5" s="1"/>
  <c r="DL27"/>
  <c r="DB27"/>
  <c r="CV27"/>
  <c r="CP27"/>
  <c r="CQ25"/>
  <c r="BP22"/>
  <c r="CV21"/>
  <c r="DG20"/>
  <c r="CW20"/>
  <c r="BE19"/>
  <c r="CB18"/>
  <c r="AO18"/>
  <c r="AM17"/>
  <c r="CQ17"/>
  <c r="CR17" s="1"/>
  <c r="AM16"/>
  <c r="CQ16" s="1"/>
  <c r="CR16" s="1"/>
  <c r="DC14"/>
  <c r="AL908"/>
  <c r="AL876"/>
  <c r="AL903" s="1"/>
  <c r="AM908"/>
  <c r="AM876"/>
  <c r="AM903"/>
  <c r="AN908"/>
  <c r="AN876"/>
  <c r="AN903" s="1"/>
  <c r="AO908"/>
  <c r="AO876"/>
  <c r="AO903"/>
  <c r="AP908"/>
  <c r="AP876"/>
  <c r="AP903" s="1"/>
  <c r="AQ908"/>
  <c r="AQ876"/>
  <c r="AQ903"/>
  <c r="AR908"/>
  <c r="AR876"/>
  <c r="AR903" s="1"/>
  <c r="AS908"/>
  <c r="AS876"/>
  <c r="AS903"/>
  <c r="AT908"/>
  <c r="AT876"/>
  <c r="AT903" s="1"/>
  <c r="AU908"/>
  <c r="AU876"/>
  <c r="AU903"/>
  <c r="AV908"/>
  <c r="AV876"/>
  <c r="AV903" s="1"/>
  <c r="AW908"/>
  <c r="AW876"/>
  <c r="AW903"/>
  <c r="AW918"/>
  <c r="AW902"/>
  <c r="AU918"/>
  <c r="AU902"/>
  <c r="AS918"/>
  <c r="AS902"/>
  <c r="AQ918"/>
  <c r="AQ902"/>
  <c r="AO918"/>
  <c r="AO902"/>
  <c r="AM918"/>
  <c r="AM902"/>
  <c r="CX917"/>
  <c r="CX901"/>
  <c r="CY916"/>
  <c r="CY900"/>
  <c r="CW916"/>
  <c r="CW900"/>
  <c r="AW916"/>
  <c r="AW900"/>
  <c r="AU916"/>
  <c r="AU900"/>
  <c r="AS916"/>
  <c r="AS900"/>
  <c r="AQ916"/>
  <c r="AQ900"/>
  <c r="AO916"/>
  <c r="AO900"/>
  <c r="AM916"/>
  <c r="AM900"/>
  <c r="DA899"/>
  <c r="CY899"/>
  <c r="CW899"/>
  <c r="CU899"/>
  <c r="CS899"/>
  <c r="CQ899"/>
  <c r="AW915"/>
  <c r="AW899"/>
  <c r="AU915"/>
  <c r="AU899"/>
  <c r="AS915"/>
  <c r="AS899"/>
  <c r="AQ915"/>
  <c r="AQ899"/>
  <c r="AO915"/>
  <c r="AO899"/>
  <c r="AM915"/>
  <c r="AM899"/>
  <c r="CZ897"/>
  <c r="CV897"/>
  <c r="CR897"/>
  <c r="AM12"/>
  <c r="CM11"/>
  <c r="BU11"/>
  <c r="BO11"/>
  <c r="AP5"/>
  <c r="AL5"/>
  <c r="BL4"/>
  <c r="DP4" s="1"/>
  <c r="AH4"/>
  <c r="CJ155"/>
  <c r="CJ186"/>
  <c r="AM541" i="3"/>
  <c r="AK541"/>
  <c r="AA7" i="1"/>
  <c r="AA8"/>
  <c r="X14"/>
  <c r="Z18"/>
  <c r="X909"/>
  <c r="CB80"/>
  <c r="X910"/>
  <c r="X212"/>
  <c r="DG271"/>
  <c r="AO272" i="3"/>
  <c r="X913" i="1"/>
  <c r="CB344"/>
  <c r="W476"/>
  <c r="Z599"/>
  <c r="W608"/>
  <c r="CE418"/>
  <c r="CK418"/>
  <c r="BG876"/>
  <c r="BI876"/>
  <c r="BK876"/>
  <c r="CZ875"/>
  <c r="CV875"/>
  <c r="CT875"/>
  <c r="CP875"/>
  <c r="CK874"/>
  <c r="AV901"/>
  <c r="AT901"/>
  <c r="AR901"/>
  <c r="AP901"/>
  <c r="AN901"/>
  <c r="AL901"/>
  <c r="CN873"/>
  <c r="CK872"/>
  <c r="CU918"/>
  <c r="CQ918"/>
  <c r="AV918"/>
  <c r="AV902"/>
  <c r="AT918"/>
  <c r="AT902"/>
  <c r="AR918"/>
  <c r="AR902"/>
  <c r="AP918"/>
  <c r="AP902"/>
  <c r="AN918"/>
  <c r="AN902"/>
  <c r="AL918"/>
  <c r="AL902"/>
  <c r="DA901"/>
  <c r="CW917"/>
  <c r="CW901"/>
  <c r="CU901"/>
  <c r="CS901"/>
  <c r="CQ901"/>
  <c r="CZ916"/>
  <c r="CZ900"/>
  <c r="CX916"/>
  <c r="CX900"/>
  <c r="CT900"/>
  <c r="CR900"/>
  <c r="AV916"/>
  <c r="AV900"/>
  <c r="AT916"/>
  <c r="AT900"/>
  <c r="AR916"/>
  <c r="AR900"/>
  <c r="AP916"/>
  <c r="AP900"/>
  <c r="AN916"/>
  <c r="AN900"/>
  <c r="AL916"/>
  <c r="AL900"/>
  <c r="CZ899"/>
  <c r="CX899"/>
  <c r="AV915"/>
  <c r="AV899"/>
  <c r="AT915"/>
  <c r="AT899"/>
  <c r="AR915"/>
  <c r="AR899"/>
  <c r="AP915"/>
  <c r="AP899"/>
  <c r="AN915"/>
  <c r="AN899"/>
  <c r="AL915"/>
  <c r="AL899"/>
  <c r="CP898"/>
  <c r="AW914"/>
  <c r="AW898"/>
  <c r="AU914"/>
  <c r="AU898"/>
  <c r="AS914"/>
  <c r="AS898"/>
  <c r="AQ914"/>
  <c r="AQ898"/>
  <c r="AO914"/>
  <c r="AO898"/>
  <c r="BS871"/>
  <c r="AM914"/>
  <c r="AM898"/>
  <c r="BP871"/>
  <c r="CN870"/>
  <c r="CH870"/>
  <c r="AZ221"/>
  <c r="AY221"/>
  <c r="CI155"/>
  <c r="CI186"/>
  <c r="AL541" i="3"/>
  <c r="AJ541"/>
  <c r="Z657" i="1"/>
  <c r="W909"/>
  <c r="AA268"/>
  <c r="AA270"/>
  <c r="AA272"/>
  <c r="Y344"/>
  <c r="X410"/>
  <c r="AA466"/>
  <c r="W674"/>
  <c r="AW901"/>
  <c r="AU901"/>
  <c r="AS901"/>
  <c r="AQ901"/>
  <c r="AO901"/>
  <c r="AM901"/>
  <c r="DA870"/>
  <c r="CY870"/>
  <c r="CW870"/>
  <c r="CU870"/>
  <c r="CS870"/>
  <c r="CQ870"/>
  <c r="BY870"/>
  <c r="BV870"/>
  <c r="AV913"/>
  <c r="AT913"/>
  <c r="AR913"/>
  <c r="AP913"/>
  <c r="AN913"/>
  <c r="AL913"/>
  <c r="CZ869"/>
  <c r="CX869"/>
  <c r="CV869"/>
  <c r="CT869"/>
  <c r="CR869"/>
  <c r="CP869"/>
  <c r="BY869"/>
  <c r="BV869"/>
  <c r="CK868"/>
  <c r="BS868"/>
  <c r="BP868"/>
  <c r="CZ867"/>
  <c r="CX867"/>
  <c r="CV867"/>
  <c r="CT867"/>
  <c r="CR867"/>
  <c r="CR910"/>
  <c r="CP867"/>
  <c r="BT867"/>
  <c r="BU867"/>
  <c r="BS867"/>
  <c r="BP867"/>
  <c r="AW909"/>
  <c r="AU909"/>
  <c r="AS909"/>
  <c r="AQ909"/>
  <c r="AO909"/>
  <c r="AM909"/>
  <c r="BP880"/>
  <c r="CQ880"/>
  <c r="CR880"/>
  <c r="CR891"/>
  <c r="CS880"/>
  <c r="CT880"/>
  <c r="CT891" s="1"/>
  <c r="CU880"/>
  <c r="BV880"/>
  <c r="CW880"/>
  <c r="CW891" s="1"/>
  <c r="CX880"/>
  <c r="CX891" s="1"/>
  <c r="CY880"/>
  <c r="CY891" s="1"/>
  <c r="CZ880"/>
  <c r="CZ891" s="1"/>
  <c r="DA880"/>
  <c r="DA891" s="1"/>
  <c r="CB880"/>
  <c r="DF880"/>
  <c r="CH880"/>
  <c r="CN880"/>
  <c r="CM880" s="1"/>
  <c r="EH882"/>
  <c r="EH884"/>
  <c r="F283" i="3" s="1"/>
  <c r="EH886" i="1"/>
  <c r="CH220"/>
  <c r="CH251"/>
  <c r="CI221"/>
  <c r="CI251"/>
  <c r="AL895"/>
  <c r="AN895"/>
  <c r="AP895"/>
  <c r="AR895"/>
  <c r="AT895"/>
  <c r="AV895"/>
  <c r="AW897"/>
  <c r="AU897"/>
  <c r="AS897"/>
  <c r="AQ897"/>
  <c r="AO897"/>
  <c r="AM897"/>
  <c r="CY896"/>
  <c r="CS896"/>
  <c r="CQ896"/>
  <c r="AW896"/>
  <c r="AU896"/>
  <c r="AS896"/>
  <c r="AQ896"/>
  <c r="AO896"/>
  <c r="AM896"/>
  <c r="AV909"/>
  <c r="AT909"/>
  <c r="AR909"/>
  <c r="AP909"/>
  <c r="AN909"/>
  <c r="AL909"/>
  <c r="CE220"/>
  <c r="W221"/>
  <c r="AM895"/>
  <c r="AO895"/>
  <c r="AQ895"/>
  <c r="AS895"/>
  <c r="AU895"/>
  <c r="AW895"/>
  <c r="CQ895"/>
  <c r="CU895"/>
  <c r="CY895"/>
  <c r="AV898"/>
  <c r="AT898"/>
  <c r="AR898"/>
  <c r="AP898"/>
  <c r="AN898"/>
  <c r="AL898"/>
  <c r="AV897"/>
  <c r="AT897"/>
  <c r="AR897"/>
  <c r="AP897"/>
  <c r="AN897"/>
  <c r="AL897"/>
  <c r="AV896"/>
  <c r="AT896"/>
  <c r="AR896"/>
  <c r="AP896"/>
  <c r="AN896"/>
  <c r="AL896"/>
  <c r="CA908"/>
  <c r="CC908"/>
  <c r="CG908"/>
  <c r="CI908"/>
  <c r="CF908"/>
  <c r="CH722"/>
  <c r="CF697"/>
  <c r="CG697"/>
  <c r="CH631"/>
  <c r="CF630"/>
  <c r="EH499"/>
  <c r="EL499" s="1"/>
  <c r="EQ499" s="1"/>
  <c r="CH367"/>
  <c r="CF367"/>
  <c r="CG379"/>
  <c r="CH379"/>
  <c r="DK366"/>
  <c r="EJ366"/>
  <c r="DL366"/>
  <c r="DM366" s="1"/>
  <c r="EH379"/>
  <c r="CG313"/>
  <c r="CH313"/>
  <c r="CG247"/>
  <c r="CF234"/>
  <c r="CG181"/>
  <c r="CF168"/>
  <c r="CG115"/>
  <c r="CH115"/>
  <c r="CF102"/>
  <c r="AB763"/>
  <c r="CF37"/>
  <c r="DI505"/>
  <c r="CF307"/>
  <c r="CG307"/>
  <c r="DH262"/>
  <c r="CF43"/>
  <c r="CF437"/>
  <c r="CG437"/>
  <c r="CF372"/>
  <c r="CF173"/>
  <c r="CG108"/>
  <c r="CF108"/>
  <c r="CF42"/>
  <c r="CG42"/>
  <c r="CG695"/>
  <c r="CF695"/>
  <c r="DI695"/>
  <c r="CG629"/>
  <c r="CF629"/>
  <c r="AB788"/>
  <c r="CF312"/>
  <c r="CF246"/>
  <c r="CG114"/>
  <c r="AB127"/>
  <c r="CF48"/>
  <c r="BD61"/>
  <c r="CG35"/>
  <c r="CF490"/>
  <c r="CG490"/>
  <c r="CH94"/>
  <c r="DH754"/>
  <c r="CH293"/>
  <c r="CH95"/>
  <c r="DH95"/>
  <c r="EH95"/>
  <c r="CF561"/>
  <c r="CG561"/>
  <c r="CG511"/>
  <c r="CH511" s="1"/>
  <c r="CG510"/>
  <c r="EH296"/>
  <c r="BD325"/>
  <c r="AB786"/>
  <c r="AB826"/>
  <c r="CF231"/>
  <c r="CF165"/>
  <c r="CG165"/>
  <c r="DI165"/>
  <c r="CF32"/>
  <c r="CF60"/>
  <c r="EH558"/>
  <c r="F536" i="3" s="1"/>
  <c r="CG492" i="1"/>
  <c r="CF492"/>
  <c r="DH492"/>
  <c r="CG427"/>
  <c r="CF427"/>
  <c r="DI427"/>
  <c r="DH163"/>
  <c r="DH97"/>
  <c r="CH97"/>
  <c r="CF880"/>
  <c r="CG880"/>
  <c r="BE891"/>
  <c r="BD891"/>
  <c r="CF38"/>
  <c r="CG38"/>
  <c r="CG641"/>
  <c r="CF568"/>
  <c r="CG568"/>
  <c r="CF589"/>
  <c r="CG575"/>
  <c r="CF526"/>
  <c r="BD523"/>
  <c r="CF509"/>
  <c r="BD525"/>
  <c r="CF304"/>
  <c r="CG304"/>
  <c r="BD324"/>
  <c r="CF311"/>
  <c r="BD326"/>
  <c r="CF245"/>
  <c r="BD260"/>
  <c r="BD258"/>
  <c r="BD193"/>
  <c r="CF179"/>
  <c r="BD195"/>
  <c r="CF127"/>
  <c r="BD129"/>
  <c r="AB129"/>
  <c r="CH100"/>
  <c r="CG40"/>
  <c r="CF40"/>
  <c r="CG39"/>
  <c r="CG64"/>
  <c r="CH64"/>
  <c r="CF39"/>
  <c r="DH34"/>
  <c r="EH865"/>
  <c r="CH865"/>
  <c r="CN875"/>
  <c r="CK875"/>
  <c r="CN869"/>
  <c r="EH869"/>
  <c r="F282" i="3" s="1"/>
  <c r="CH874" i="1"/>
  <c r="CL873"/>
  <c r="CM873"/>
  <c r="CK873"/>
  <c r="CN872"/>
  <c r="CH872"/>
  <c r="EH872"/>
  <c r="CN871"/>
  <c r="CK871"/>
  <c r="CH871"/>
  <c r="EH871"/>
  <c r="F414" i="3" s="1"/>
  <c r="CL870" i="1"/>
  <c r="CK869"/>
  <c r="CN868"/>
  <c r="BJ876"/>
  <c r="CH875"/>
  <c r="CG875" s="1"/>
  <c r="CH873"/>
  <c r="CH869"/>
  <c r="CF869"/>
  <c r="CF423"/>
  <c r="CF225"/>
  <c r="E727"/>
  <c r="E463"/>
  <c r="E265"/>
  <c r="E67"/>
  <c r="T4" i="3"/>
  <c r="T3" s="1"/>
  <c r="EK880" i="1"/>
  <c r="EK884"/>
  <c r="EK885"/>
  <c r="EK886"/>
  <c r="EK887"/>
  <c r="EK889"/>
  <c r="EK875"/>
  <c r="EK873"/>
  <c r="EK871"/>
  <c r="EK869"/>
  <c r="EK867"/>
  <c r="EK865"/>
  <c r="E199"/>
  <c r="EK133"/>
  <c r="T136" i="3" s="1"/>
  <c r="E133" i="1"/>
  <c r="EK881"/>
  <c r="EK882"/>
  <c r="EK883"/>
  <c r="EK888"/>
  <c r="EK890"/>
  <c r="EK876"/>
  <c r="EK891"/>
  <c r="EK874"/>
  <c r="EK872"/>
  <c r="EK870"/>
  <c r="EK868"/>
  <c r="CG374"/>
  <c r="CF374"/>
  <c r="X221"/>
  <c r="W251"/>
  <c r="CL880"/>
  <c r="EI880" s="1"/>
  <c r="N19" i="3" s="1"/>
  <c r="BQ867" i="1"/>
  <c r="BR867"/>
  <c r="BS911"/>
  <c r="BS895"/>
  <c r="BR868"/>
  <c r="BQ868"/>
  <c r="CJ868"/>
  <c r="CI868"/>
  <c r="BW869"/>
  <c r="BY896"/>
  <c r="BX869"/>
  <c r="CR896"/>
  <c r="CV896"/>
  <c r="CZ896"/>
  <c r="BY913"/>
  <c r="BY897"/>
  <c r="BX870"/>
  <c r="BW870"/>
  <c r="CS913"/>
  <c r="CS897"/>
  <c r="CW897"/>
  <c r="DA897"/>
  <c r="W918"/>
  <c r="X674"/>
  <c r="AY674"/>
  <c r="W717"/>
  <c r="X914"/>
  <c r="CB410"/>
  <c r="Y410"/>
  <c r="X453"/>
  <c r="AZ410"/>
  <c r="BC270"/>
  <c r="DG270"/>
  <c r="AB270"/>
  <c r="AY251"/>
  <c r="DC221"/>
  <c r="CF870"/>
  <c r="CG870"/>
  <c r="CM870"/>
  <c r="BS898"/>
  <c r="BQ871"/>
  <c r="BR871"/>
  <c r="CJ872"/>
  <c r="CI872"/>
  <c r="CJ874"/>
  <c r="CI874"/>
  <c r="DF536"/>
  <c r="AN537" i="3"/>
  <c r="W917" i="1"/>
  <c r="X608"/>
  <c r="AY608"/>
  <c r="W915"/>
  <c r="X476"/>
  <c r="AY476"/>
  <c r="W519"/>
  <c r="W740"/>
  <c r="X908"/>
  <c r="Y14"/>
  <c r="AZ14"/>
  <c r="X57"/>
  <c r="BC7"/>
  <c r="AB7"/>
  <c r="AG4"/>
  <c r="BJ4"/>
  <c r="BK4"/>
  <c r="DO4"/>
  <c r="CT5"/>
  <c r="BP12"/>
  <c r="AM25"/>
  <c r="BO25" s="1"/>
  <c r="BP25" s="1"/>
  <c r="BZ18"/>
  <c r="CA18"/>
  <c r="BO22"/>
  <c r="BN22"/>
  <c r="CG32"/>
  <c r="CG62" s="1"/>
  <c r="CH60"/>
  <c r="CH62"/>
  <c r="Z545"/>
  <c r="BA545"/>
  <c r="DE545"/>
  <c r="Z677"/>
  <c r="BA677"/>
  <c r="CA611"/>
  <c r="BZ611"/>
  <c r="CA479"/>
  <c r="BZ479"/>
  <c r="Z471"/>
  <c r="BA471"/>
  <c r="Z405"/>
  <c r="Z539"/>
  <c r="Y553"/>
  <c r="BA539"/>
  <c r="CA347"/>
  <c r="BZ347"/>
  <c r="Y289"/>
  <c r="Z275"/>
  <c r="BA275"/>
  <c r="Z209"/>
  <c r="Y252"/>
  <c r="BA209"/>
  <c r="Y223"/>
  <c r="Y91"/>
  <c r="BA77"/>
  <c r="Z77"/>
  <c r="Y121"/>
  <c r="Z407"/>
  <c r="Y421"/>
  <c r="Y451"/>
  <c r="Q7"/>
  <c r="AR7"/>
  <c r="Z544"/>
  <c r="BA544"/>
  <c r="BZ671"/>
  <c r="CB715"/>
  <c r="CA671"/>
  <c r="BZ669"/>
  <c r="CA669"/>
  <c r="Z605"/>
  <c r="Y649"/>
  <c r="Y619"/>
  <c r="BZ603"/>
  <c r="CA603"/>
  <c r="Z473"/>
  <c r="Y517"/>
  <c r="Y487"/>
  <c r="CC487"/>
  <c r="Z413"/>
  <c r="BA413"/>
  <c r="BZ341"/>
  <c r="CA341"/>
  <c r="BA383"/>
  <c r="BA385"/>
  <c r="CA207"/>
  <c r="BZ207"/>
  <c r="CA75"/>
  <c r="BZ75"/>
  <c r="CQ8"/>
  <c r="AN8"/>
  <c r="CR8"/>
  <c r="DZ8"/>
  <c r="AE55"/>
  <c r="AE25"/>
  <c r="AE53"/>
  <c r="AD11"/>
  <c r="AC9"/>
  <c r="AD10"/>
  <c r="AN25"/>
  <c r="DC47"/>
  <c r="DB61"/>
  <c r="DB63"/>
  <c r="AJ15" i="3"/>
  <c r="BZ144" i="1"/>
  <c r="CA144"/>
  <c r="BD63"/>
  <c r="CP73"/>
  <c r="CU74"/>
  <c r="CJ96"/>
  <c r="CI96"/>
  <c r="CQ98"/>
  <c r="CP126"/>
  <c r="CP128"/>
  <c r="CD105"/>
  <c r="CC105"/>
  <c r="T142" i="3"/>
  <c r="EK176" i="1"/>
  <c r="CP139"/>
  <c r="N17"/>
  <c r="AO17"/>
  <c r="T20"/>
  <c r="CY20"/>
  <c r="S746"/>
  <c r="CY746" s="1"/>
  <c r="CY784" s="1"/>
  <c r="CB910"/>
  <c r="BZ146"/>
  <c r="CA146"/>
  <c r="CJ169"/>
  <c r="CI169"/>
  <c r="P902"/>
  <c r="P903"/>
  <c r="BC193"/>
  <c r="BC195"/>
  <c r="CS205"/>
  <c r="AM223"/>
  <c r="CG231"/>
  <c r="DO236"/>
  <c r="DP236" s="1"/>
  <c r="DN260"/>
  <c r="BC260"/>
  <c r="BC258"/>
  <c r="R74"/>
  <c r="AS74"/>
  <c r="CW74" s="1"/>
  <c r="CQ76"/>
  <c r="AO79"/>
  <c r="M122"/>
  <c r="N79"/>
  <c r="AQ84"/>
  <c r="AR84"/>
  <c r="BG84"/>
  <c r="EE84"/>
  <c r="BH84"/>
  <c r="AE90"/>
  <c r="DH90"/>
  <c r="AE138"/>
  <c r="BH138" s="1"/>
  <c r="DL138" s="1"/>
  <c r="AQ140"/>
  <c r="CU140"/>
  <c r="P140"/>
  <c r="O734"/>
  <c r="AN143"/>
  <c r="AN157"/>
  <c r="M143"/>
  <c r="L157"/>
  <c r="O902"/>
  <c r="O903"/>
  <c r="BP47"/>
  <c r="BV48"/>
  <c r="CU70"/>
  <c r="AR70"/>
  <c r="P88"/>
  <c r="Q70"/>
  <c r="AM89"/>
  <c r="AN71"/>
  <c r="CR71" s="1"/>
  <c r="DZ71"/>
  <c r="L89"/>
  <c r="BS72"/>
  <c r="CU72"/>
  <c r="DZ73"/>
  <c r="AN73"/>
  <c r="CR73"/>
  <c r="M82"/>
  <c r="AN82"/>
  <c r="L742"/>
  <c r="AN742" s="1"/>
  <c r="N83"/>
  <c r="AO83"/>
  <c r="AD87"/>
  <c r="DI87"/>
  <c r="DI124"/>
  <c r="AC124"/>
  <c r="CP122"/>
  <c r="CD127"/>
  <c r="CE114"/>
  <c r="CE127" s="1"/>
  <c r="Q139"/>
  <c r="AR139"/>
  <c r="CP149"/>
  <c r="CS268"/>
  <c r="CS269"/>
  <c r="CT270"/>
  <c r="AM316"/>
  <c r="AZ289"/>
  <c r="CP325"/>
  <c r="CQ296"/>
  <c r="CP323"/>
  <c r="CQ304"/>
  <c r="CR304"/>
  <c r="CP327"/>
  <c r="AZ355"/>
  <c r="CQ363"/>
  <c r="CP389"/>
  <c r="DB392"/>
  <c r="DC368"/>
  <c r="CA369"/>
  <c r="BZ369"/>
  <c r="BB392"/>
  <c r="BB390"/>
  <c r="BC421"/>
  <c r="BC451"/>
  <c r="DB458"/>
  <c r="DC428"/>
  <c r="DB456"/>
  <c r="CV457"/>
  <c r="DL457"/>
  <c r="CD901"/>
  <c r="CC901"/>
  <c r="AZ457"/>
  <c r="AZ459"/>
  <c r="DB915"/>
  <c r="DC476"/>
  <c r="DB519"/>
  <c r="DF168"/>
  <c r="BY193"/>
  <c r="BY195"/>
  <c r="Q202"/>
  <c r="AR202"/>
  <c r="AP221"/>
  <c r="N251"/>
  <c r="P205"/>
  <c r="AQ205"/>
  <c r="CU205" s="1"/>
  <c r="O733"/>
  <c r="CP206"/>
  <c r="M208"/>
  <c r="AN208"/>
  <c r="AU216"/>
  <c r="AV216"/>
  <c r="N902"/>
  <c r="N903"/>
  <c r="BQ456"/>
  <c r="BW457"/>
  <c r="BW459"/>
  <c r="AE152"/>
  <c r="DJ152"/>
  <c r="CT171"/>
  <c r="CR180"/>
  <c r="AL221"/>
  <c r="J251"/>
  <c r="J749"/>
  <c r="L205"/>
  <c r="AM205"/>
  <c r="CQ205" s="1"/>
  <c r="K733"/>
  <c r="AN223"/>
  <c r="N214"/>
  <c r="AO214"/>
  <c r="BN490"/>
  <c r="BO490"/>
  <c r="BV246"/>
  <c r="CB246"/>
  <c r="P268"/>
  <c r="AQ268"/>
  <c r="CU268"/>
  <c r="O286"/>
  <c r="AQ286"/>
  <c r="AN270"/>
  <c r="CR270"/>
  <c r="DZ270"/>
  <c r="P271"/>
  <c r="AQ271"/>
  <c r="CU271"/>
  <c r="CR913"/>
  <c r="CV913"/>
  <c r="CZ913"/>
  <c r="BP17"/>
  <c r="CW58"/>
  <c r="BP16"/>
  <c r="BP72"/>
  <c r="CP121"/>
  <c r="CN74"/>
  <c r="CP449"/>
  <c r="BS202"/>
  <c r="BQ449"/>
  <c r="BQ451"/>
  <c r="DH190"/>
  <c r="DH255"/>
  <c r="BD763"/>
  <c r="CE251"/>
  <c r="BZ880"/>
  <c r="CA880"/>
  <c r="BT880"/>
  <c r="BU880"/>
  <c r="BN880"/>
  <c r="BO880"/>
  <c r="BO867"/>
  <c r="BN867"/>
  <c r="BP911"/>
  <c r="BO868"/>
  <c r="BN868"/>
  <c r="BP895"/>
  <c r="BV896"/>
  <c r="BU869"/>
  <c r="BT869"/>
  <c r="CP896"/>
  <c r="CT896"/>
  <c r="CX896"/>
  <c r="BV913"/>
  <c r="BV897"/>
  <c r="BT870"/>
  <c r="BU870"/>
  <c r="CQ913"/>
  <c r="CQ897"/>
  <c r="CU897"/>
  <c r="CY913"/>
  <c r="CY897"/>
  <c r="AB466"/>
  <c r="BC466"/>
  <c r="DG466" s="1"/>
  <c r="Y913"/>
  <c r="Z344"/>
  <c r="BA344"/>
  <c r="Y386"/>
  <c r="BC272"/>
  <c r="DG272" s="1"/>
  <c r="AO273" i="3" s="1"/>
  <c r="AB272" i="1"/>
  <c r="BC268"/>
  <c r="DG268" s="1"/>
  <c r="AB268"/>
  <c r="BB221"/>
  <c r="AZ251"/>
  <c r="BA221"/>
  <c r="BA251"/>
  <c r="BP898"/>
  <c r="BO871"/>
  <c r="BN871"/>
  <c r="CP902"/>
  <c r="CV902"/>
  <c r="AA599"/>
  <c r="BB599"/>
  <c r="DF599"/>
  <c r="AN601" i="3"/>
  <c r="Z617" i="1"/>
  <c r="CB913"/>
  <c r="BZ344"/>
  <c r="BZ386"/>
  <c r="CB386"/>
  <c r="CA344"/>
  <c r="CA386" s="1"/>
  <c r="X911"/>
  <c r="CB212"/>
  <c r="X254"/>
  <c r="Y212"/>
  <c r="AZ212"/>
  <c r="CB909"/>
  <c r="BZ80"/>
  <c r="BZ123"/>
  <c r="CA80"/>
  <c r="CA123"/>
  <c r="CB123"/>
  <c r="BB18"/>
  <c r="AA18"/>
  <c r="Z24"/>
  <c r="AB8"/>
  <c r="BC8"/>
  <c r="CP5"/>
  <c r="DC908"/>
  <c r="DD14"/>
  <c r="CH19"/>
  <c r="CQ12"/>
  <c r="CQ33"/>
  <c r="CP60"/>
  <c r="DO38"/>
  <c r="CA545"/>
  <c r="BZ545"/>
  <c r="BZ677"/>
  <c r="CA677"/>
  <c r="Z611"/>
  <c r="BA611"/>
  <c r="BA479"/>
  <c r="DE479" s="1"/>
  <c r="Z479"/>
  <c r="BZ471"/>
  <c r="CA471"/>
  <c r="CB449"/>
  <c r="BZ539"/>
  <c r="CA539"/>
  <c r="BA347"/>
  <c r="Z347"/>
  <c r="BZ275"/>
  <c r="CA275"/>
  <c r="CB252"/>
  <c r="BZ209"/>
  <c r="BZ252"/>
  <c r="CA209"/>
  <c r="CA252"/>
  <c r="BZ77"/>
  <c r="CA77"/>
  <c r="CB78"/>
  <c r="CC407"/>
  <c r="CD407"/>
  <c r="CB451"/>
  <c r="BN4"/>
  <c r="BO4"/>
  <c r="DZ5"/>
  <c r="AN5"/>
  <c r="CR5" s="1"/>
  <c r="L23"/>
  <c r="BS6"/>
  <c r="CU6"/>
  <c r="AR6"/>
  <c r="Q6"/>
  <c r="CU7"/>
  <c r="BZ544"/>
  <c r="CA544"/>
  <c r="Z671"/>
  <c r="Y685"/>
  <c r="Y715"/>
  <c r="BA669"/>
  <c r="Z669"/>
  <c r="CA605"/>
  <c r="CB649"/>
  <c r="BZ605"/>
  <c r="Z603"/>
  <c r="BA603"/>
  <c r="AC600"/>
  <c r="BD600"/>
  <c r="BD598"/>
  <c r="AC598"/>
  <c r="BZ473"/>
  <c r="CA473"/>
  <c r="CB517"/>
  <c r="BZ413"/>
  <c r="CA413"/>
  <c r="Z341"/>
  <c r="BA341"/>
  <c r="Y355"/>
  <c r="AA352"/>
  <c r="Z383"/>
  <c r="Z385"/>
  <c r="BA207"/>
  <c r="DE207"/>
  <c r="Z207"/>
  <c r="Z75"/>
  <c r="BA75"/>
  <c r="Y120"/>
  <c r="Z88"/>
  <c r="Y122"/>
  <c r="Y909"/>
  <c r="AB13"/>
  <c r="BC13"/>
  <c r="BC56" s="1"/>
  <c r="BD5"/>
  <c r="AC5"/>
  <c r="CE5"/>
  <c r="DG5"/>
  <c r="AO7" i="3"/>
  <c r="CR7" i="1"/>
  <c r="CR10"/>
  <c r="AO10"/>
  <c r="N10"/>
  <c r="N12"/>
  <c r="AO12"/>
  <c r="M25"/>
  <c r="CQ47"/>
  <c r="CP61"/>
  <c r="CP63"/>
  <c r="N16"/>
  <c r="AO16"/>
  <c r="AQ18"/>
  <c r="BS18" s="1"/>
  <c r="AR18"/>
  <c r="S21"/>
  <c r="CX21"/>
  <c r="CX58" s="1"/>
  <c r="R58"/>
  <c r="R747"/>
  <c r="DF36"/>
  <c r="EF78"/>
  <c r="L82" i="3" s="1"/>
  <c r="M82" s="1"/>
  <c r="BP82" i="1"/>
  <c r="CP82"/>
  <c r="CQ82" s="1"/>
  <c r="CR82" s="1"/>
  <c r="CS82" s="1"/>
  <c r="CT82" s="1"/>
  <c r="CU82" s="1"/>
  <c r="CV82" s="1"/>
  <c r="CW82" s="1"/>
  <c r="CX82" s="1"/>
  <c r="CQ78"/>
  <c r="CR91"/>
  <c r="DC98"/>
  <c r="DB126"/>
  <c r="DB128"/>
  <c r="BZ105"/>
  <c r="CA105"/>
  <c r="CP136"/>
  <c r="CP137"/>
  <c r="CA145"/>
  <c r="CA188" s="1"/>
  <c r="BZ145"/>
  <c r="BZ188" s="1"/>
  <c r="CB188"/>
  <c r="DC910"/>
  <c r="DC189"/>
  <c r="DD146"/>
  <c r="CB189"/>
  <c r="CA147"/>
  <c r="BZ147"/>
  <c r="BZ189" s="1"/>
  <c r="AY61"/>
  <c r="AY63"/>
  <c r="CC47"/>
  <c r="BA61"/>
  <c r="BA63"/>
  <c r="BC63"/>
  <c r="CQ155"/>
  <c r="DO170"/>
  <c r="DP170" s="1"/>
  <c r="M902"/>
  <c r="M903"/>
  <c r="AU178"/>
  <c r="R197"/>
  <c r="AT178"/>
  <c r="CX178"/>
  <c r="CX197"/>
  <c r="DC169"/>
  <c r="DC194"/>
  <c r="DD181"/>
  <c r="CP202"/>
  <c r="CS203"/>
  <c r="CS206"/>
  <c r="CQ233"/>
  <c r="CR233" s="1"/>
  <c r="CF236"/>
  <c r="CG236"/>
  <c r="AN74"/>
  <c r="CR74" s="1"/>
  <c r="DZ74"/>
  <c r="CV74"/>
  <c r="AN76"/>
  <c r="L119"/>
  <c r="M76"/>
  <c r="L736"/>
  <c r="BP79"/>
  <c r="AC82"/>
  <c r="BF90"/>
  <c r="CR130"/>
  <c r="CS105"/>
  <c r="DZ136"/>
  <c r="AN136"/>
  <c r="CR136"/>
  <c r="L154"/>
  <c r="AM157"/>
  <c r="M148"/>
  <c r="AN148"/>
  <c r="BP148" s="1"/>
  <c r="AC148"/>
  <c r="BF148" s="1"/>
  <c r="AD149"/>
  <c r="CL148"/>
  <c r="CM148"/>
  <c r="K902"/>
  <c r="K903"/>
  <c r="Q902"/>
  <c r="Q903"/>
  <c r="CE179"/>
  <c r="BR48"/>
  <c r="BX48"/>
  <c r="AQ88"/>
  <c r="AR72"/>
  <c r="Q72"/>
  <c r="Q73"/>
  <c r="AR73"/>
  <c r="AE74"/>
  <c r="AE86"/>
  <c r="DJ86"/>
  <c r="BN120"/>
  <c r="AN137"/>
  <c r="CR137" s="1"/>
  <c r="DZ137"/>
  <c r="L155"/>
  <c r="AN138"/>
  <c r="DZ138"/>
  <c r="AN139"/>
  <c r="CR139" s="1"/>
  <c r="DZ139"/>
  <c r="AN142"/>
  <c r="M142"/>
  <c r="N144"/>
  <c r="AO144"/>
  <c r="L149"/>
  <c r="AM149"/>
  <c r="K743"/>
  <c r="AM743" s="1"/>
  <c r="CP270"/>
  <c r="BP270"/>
  <c r="CS271"/>
  <c r="BS271"/>
  <c r="CS272"/>
  <c r="CP280"/>
  <c r="CQ280"/>
  <c r="CR280" s="1"/>
  <c r="CS280" s="1"/>
  <c r="CT280" s="1"/>
  <c r="CU280" s="1"/>
  <c r="CV280" s="1"/>
  <c r="CW280" s="1"/>
  <c r="BV282"/>
  <c r="CX282"/>
  <c r="CY282" s="1"/>
  <c r="CZ282" s="1"/>
  <c r="DA282" s="1"/>
  <c r="EA282" s="1"/>
  <c r="DB325"/>
  <c r="DC296"/>
  <c r="DB323"/>
  <c r="DC304"/>
  <c r="DD304" s="1"/>
  <c r="DB327"/>
  <c r="DP344"/>
  <c r="CR355"/>
  <c r="CQ368"/>
  <c r="CP453"/>
  <c r="CQ411"/>
  <c r="BA420"/>
  <c r="CC420"/>
  <c r="DE420" s="1"/>
  <c r="Y750"/>
  <c r="BA750" s="1"/>
  <c r="CC750" s="1"/>
  <c r="DE750" s="1"/>
  <c r="CP458"/>
  <c r="CQ428"/>
  <c r="CP456"/>
  <c r="CP457"/>
  <c r="CP459"/>
  <c r="CQ430"/>
  <c r="DB457"/>
  <c r="DB459"/>
  <c r="DB901"/>
  <c r="BZ443"/>
  <c r="CA443"/>
  <c r="CB443" s="1"/>
  <c r="AX457"/>
  <c r="AX459"/>
  <c r="DB443"/>
  <c r="CF445"/>
  <c r="CP474"/>
  <c r="CP517" s="1"/>
  <c r="CQ476"/>
  <c r="S151"/>
  <c r="AT151"/>
  <c r="AN202"/>
  <c r="CR202"/>
  <c r="DZ202"/>
  <c r="P203"/>
  <c r="AQ203"/>
  <c r="CU203"/>
  <c r="O221"/>
  <c r="L204"/>
  <c r="AM204"/>
  <c r="CQ204"/>
  <c r="K732"/>
  <c r="AF204"/>
  <c r="BI204"/>
  <c r="DM204" s="1"/>
  <c r="L206"/>
  <c r="AM206"/>
  <c r="CQ206"/>
  <c r="N215"/>
  <c r="AO215"/>
  <c r="S217"/>
  <c r="AT217"/>
  <c r="BV217" s="1"/>
  <c r="BQ323"/>
  <c r="BQ457"/>
  <c r="BQ459"/>
  <c r="AU150"/>
  <c r="AV150"/>
  <c r="BC150"/>
  <c r="BD150"/>
  <c r="AA156"/>
  <c r="BC156"/>
  <c r="CE156"/>
  <c r="DG156" s="1"/>
  <c r="AD153"/>
  <c r="DI153"/>
  <c r="DI190"/>
  <c r="AC190"/>
  <c r="DE164"/>
  <c r="DD192"/>
  <c r="L203"/>
  <c r="AM203"/>
  <c r="CQ203"/>
  <c r="K221"/>
  <c r="K731"/>
  <c r="P204"/>
  <c r="AQ204"/>
  <c r="CP205"/>
  <c r="P206"/>
  <c r="AQ206"/>
  <c r="CU206"/>
  <c r="N210"/>
  <c r="AO210"/>
  <c r="M223"/>
  <c r="BQ223"/>
  <c r="AE218"/>
  <c r="DJ218"/>
  <c r="AD219"/>
  <c r="DI219"/>
  <c r="DI255" s="1"/>
  <c r="AC255"/>
  <c r="BT478"/>
  <c r="BU478"/>
  <c r="BT490"/>
  <c r="BU490"/>
  <c r="CL490"/>
  <c r="CM490"/>
  <c r="AP286"/>
  <c r="AP287"/>
  <c r="N317"/>
  <c r="P269"/>
  <c r="AQ269"/>
  <c r="CU269"/>
  <c r="O287"/>
  <c r="Q270"/>
  <c r="AR270"/>
  <c r="CZ901"/>
  <c r="BG9"/>
  <c r="CQ185"/>
  <c r="AM187"/>
  <c r="BS140"/>
  <c r="CA47"/>
  <c r="BP71"/>
  <c r="DH124"/>
  <c r="AM185"/>
  <c r="BP208"/>
  <c r="P272"/>
  <c r="AQ272"/>
  <c r="CU272"/>
  <c r="M277"/>
  <c r="AN277"/>
  <c r="M278"/>
  <c r="AN278"/>
  <c r="L279"/>
  <c r="AC280"/>
  <c r="BF280" s="1"/>
  <c r="AD284"/>
  <c r="DI284"/>
  <c r="DC899"/>
  <c r="DC327"/>
  <c r="DD303"/>
  <c r="DC367"/>
  <c r="DC391" s="1"/>
  <c r="DD379"/>
  <c r="AF402"/>
  <c r="BI402"/>
  <c r="DM402" s="1"/>
  <c r="BY419"/>
  <c r="BQ480"/>
  <c r="BR480"/>
  <c r="CC480"/>
  <c r="CD480"/>
  <c r="CP268"/>
  <c r="AL286"/>
  <c r="J319"/>
  <c r="J748"/>
  <c r="AL287"/>
  <c r="J317"/>
  <c r="L269"/>
  <c r="AM269"/>
  <c r="CQ269" s="1"/>
  <c r="K287"/>
  <c r="CP271"/>
  <c r="L272"/>
  <c r="AM272"/>
  <c r="CQ272"/>
  <c r="DD313"/>
  <c r="DC301"/>
  <c r="AD416"/>
  <c r="DI416"/>
  <c r="DI454" s="1"/>
  <c r="BO419"/>
  <c r="BN450"/>
  <c r="CQ419"/>
  <c r="CP450"/>
  <c r="CR433"/>
  <c r="CS445"/>
  <c r="DC433"/>
  <c r="DD445"/>
  <c r="AE469"/>
  <c r="BH469"/>
  <c r="DL469" s="1"/>
  <c r="AC470"/>
  <c r="BD470"/>
  <c r="CJ491"/>
  <c r="CI491"/>
  <c r="BC523"/>
  <c r="BC525"/>
  <c r="S902"/>
  <c r="S903"/>
  <c r="BZ522"/>
  <c r="BZ524"/>
  <c r="CD628"/>
  <c r="CE904"/>
  <c r="CC628"/>
  <c r="DD643"/>
  <c r="DC631"/>
  <c r="CQ692"/>
  <c r="CP722"/>
  <c r="CP720"/>
  <c r="CC697"/>
  <c r="CD697"/>
  <c r="AN763"/>
  <c r="L788"/>
  <c r="L831"/>
  <c r="AR763"/>
  <c r="P788"/>
  <c r="P831"/>
  <c r="AV763"/>
  <c r="T788"/>
  <c r="T831"/>
  <c r="AZ763"/>
  <c r="X788"/>
  <c r="X831"/>
  <c r="J902"/>
  <c r="J903"/>
  <c r="T902"/>
  <c r="T903"/>
  <c r="BO489"/>
  <c r="BN489"/>
  <c r="CC489"/>
  <c r="CD489"/>
  <c r="CF489"/>
  <c r="CG489"/>
  <c r="CL489"/>
  <c r="CM489"/>
  <c r="BQ491"/>
  <c r="BR491"/>
  <c r="BF551"/>
  <c r="BF582"/>
  <c r="BG202"/>
  <c r="AF202"/>
  <c r="AF137"/>
  <c r="BG137"/>
  <c r="BD122"/>
  <c r="BH551"/>
  <c r="BH582"/>
  <c r="BF343"/>
  <c r="AE343"/>
  <c r="AH336"/>
  <c r="BI336"/>
  <c r="DM336" s="1"/>
  <c r="AH551"/>
  <c r="AI533"/>
  <c r="BJ533"/>
  <c r="DN533" s="1"/>
  <c r="BG147"/>
  <c r="AF147"/>
  <c r="AG147" s="1"/>
  <c r="CG349"/>
  <c r="CF349"/>
  <c r="AF679"/>
  <c r="AE745"/>
  <c r="BG745"/>
  <c r="BG679"/>
  <c r="EE679"/>
  <c r="DD494"/>
  <c r="BA494"/>
  <c r="AZ524"/>
  <c r="CQ510"/>
  <c r="BZ523"/>
  <c r="CA510"/>
  <c r="DH618"/>
  <c r="BA775"/>
  <c r="CC775"/>
  <c r="CT541"/>
  <c r="DD568"/>
  <c r="DD675"/>
  <c r="CG287"/>
  <c r="CF317"/>
  <c r="BR385"/>
  <c r="DI321"/>
  <c r="AC321"/>
  <c r="DG279"/>
  <c r="DD539"/>
  <c r="DE539" s="1"/>
  <c r="DF539" s="1"/>
  <c r="DG539" s="1"/>
  <c r="DH539" s="1"/>
  <c r="DI539" s="1"/>
  <c r="O276"/>
  <c r="AP276"/>
  <c r="K320"/>
  <c r="CR303"/>
  <c r="CQ327"/>
  <c r="CS369"/>
  <c r="CX376"/>
  <c r="CX394"/>
  <c r="R394"/>
  <c r="DD411"/>
  <c r="DP411"/>
  <c r="AE417"/>
  <c r="DJ417"/>
  <c r="AD454"/>
  <c r="CX442"/>
  <c r="CX461"/>
  <c r="R461"/>
  <c r="BQ492"/>
  <c r="BR492"/>
  <c r="BW480"/>
  <c r="BX480"/>
  <c r="CI480"/>
  <c r="CJ480"/>
  <c r="L268"/>
  <c r="AM268"/>
  <c r="CQ268" s="1"/>
  <c r="K286"/>
  <c r="K730"/>
  <c r="CP269"/>
  <c r="L271"/>
  <c r="AM271"/>
  <c r="CQ271"/>
  <c r="CP272"/>
  <c r="M280"/>
  <c r="AN280"/>
  <c r="BP280"/>
  <c r="N281"/>
  <c r="AO281"/>
  <c r="AE285"/>
  <c r="DJ285"/>
  <c r="AD321"/>
  <c r="CX310"/>
  <c r="CX328" s="1"/>
  <c r="R328"/>
  <c r="AD350"/>
  <c r="DI350"/>
  <c r="DH354"/>
  <c r="EF354"/>
  <c r="BC414"/>
  <c r="CE414"/>
  <c r="BD414"/>
  <c r="AA420"/>
  <c r="BC420" s="1"/>
  <c r="CE420" s="1"/>
  <c r="DG420" s="1"/>
  <c r="BU419"/>
  <c r="BT450"/>
  <c r="CA419"/>
  <c r="BZ450"/>
  <c r="DC419"/>
  <c r="DB450"/>
  <c r="AC467"/>
  <c r="BD467"/>
  <c r="AB485"/>
  <c r="AC482"/>
  <c r="DH482"/>
  <c r="AB520"/>
  <c r="CI492"/>
  <c r="CJ492"/>
  <c r="U902"/>
  <c r="U903"/>
  <c r="CD540"/>
  <c r="CC540"/>
  <c r="CB524"/>
  <c r="CS577"/>
  <c r="CR565"/>
  <c r="BZ631"/>
  <c r="CA631"/>
  <c r="CQ673"/>
  <c r="DC692"/>
  <c r="DB722"/>
  <c r="CS709"/>
  <c r="CP763"/>
  <c r="CP788" s="1"/>
  <c r="AL763"/>
  <c r="J788"/>
  <c r="J831"/>
  <c r="AP763"/>
  <c r="N788"/>
  <c r="N831"/>
  <c r="AT763"/>
  <c r="R788"/>
  <c r="R831"/>
  <c r="AX763"/>
  <c r="AX788"/>
  <c r="V788"/>
  <c r="V831"/>
  <c r="L902"/>
  <c r="L903"/>
  <c r="BQ489"/>
  <c r="BR489"/>
  <c r="BO491"/>
  <c r="BN491"/>
  <c r="CC491"/>
  <c r="CD491"/>
  <c r="CG491"/>
  <c r="CF491"/>
  <c r="CL491"/>
  <c r="EI491" s="1"/>
  <c r="CM491"/>
  <c r="DB917"/>
  <c r="DC608"/>
  <c r="DB651"/>
  <c r="AC582"/>
  <c r="BE551"/>
  <c r="CE80"/>
  <c r="CD80"/>
  <c r="BC80"/>
  <c r="AB80"/>
  <c r="BD80" s="1"/>
  <c r="BG535"/>
  <c r="DK535"/>
  <c r="AF535"/>
  <c r="AC279"/>
  <c r="BE279"/>
  <c r="BD279"/>
  <c r="BD211"/>
  <c r="AC211"/>
  <c r="AB253"/>
  <c r="BG139"/>
  <c r="DK139"/>
  <c r="AF139"/>
  <c r="AF71"/>
  <c r="AE89"/>
  <c r="BG71"/>
  <c r="DK71"/>
  <c r="AC910"/>
  <c r="BE146"/>
  <c r="AD146"/>
  <c r="BI337"/>
  <c r="DM337"/>
  <c r="AH337"/>
  <c r="BI271"/>
  <c r="DM271" s="1"/>
  <c r="AU272" i="3" s="1"/>
  <c r="AH271" i="1"/>
  <c r="AI271" s="1"/>
  <c r="AF79"/>
  <c r="BG79"/>
  <c r="BG122"/>
  <c r="BO510"/>
  <c r="DC510"/>
  <c r="DD510"/>
  <c r="DE510" s="1"/>
  <c r="DC499"/>
  <c r="DC524" s="1"/>
  <c r="DD511"/>
  <c r="CX640"/>
  <c r="R659"/>
  <c r="DF543"/>
  <c r="AE206"/>
  <c r="BF206"/>
  <c r="CW394"/>
  <c r="BJ402"/>
  <c r="CN402" s="1"/>
  <c r="DN402"/>
  <c r="CW461"/>
  <c r="CQ277"/>
  <c r="BI469"/>
  <c r="DM469"/>
  <c r="CG631"/>
  <c r="CF631"/>
  <c r="BD775"/>
  <c r="AB831"/>
  <c r="CF775"/>
  <c r="CG246"/>
  <c r="CH246" s="1"/>
  <c r="CH258" s="1"/>
  <c r="CG94"/>
  <c r="CF94"/>
  <c r="CG293"/>
  <c r="CF293"/>
  <c r="CF95"/>
  <c r="CG95"/>
  <c r="CF62"/>
  <c r="CF97"/>
  <c r="CG97"/>
  <c r="CH575"/>
  <c r="CF525"/>
  <c r="CF523"/>
  <c r="CG509"/>
  <c r="CF324"/>
  <c r="CG245"/>
  <c r="CF260"/>
  <c r="CF258"/>
  <c r="CF193"/>
  <c r="DK106"/>
  <c r="FE83"/>
  <c r="FF83" s="1"/>
  <c r="CF100"/>
  <c r="CG100"/>
  <c r="CF64"/>
  <c r="CM875"/>
  <c r="CL875"/>
  <c r="CI875"/>
  <c r="CJ875"/>
  <c r="CG865"/>
  <c r="CM869"/>
  <c r="CF873"/>
  <c r="CG873"/>
  <c r="CI869"/>
  <c r="CJ869"/>
  <c r="CI871"/>
  <c r="CJ871"/>
  <c r="CM872"/>
  <c r="CL872"/>
  <c r="CF874"/>
  <c r="CG869"/>
  <c r="CF875"/>
  <c r="CM868"/>
  <c r="CL868"/>
  <c r="CG871"/>
  <c r="CF871"/>
  <c r="CM871"/>
  <c r="CL871"/>
  <c r="CF872"/>
  <c r="EI872"/>
  <c r="N480" i="3" s="1"/>
  <c r="CG872" i="1"/>
  <c r="CI873"/>
  <c r="EI873"/>
  <c r="N546" i="3" s="1"/>
  <c r="CJ873" i="1"/>
  <c r="BG206"/>
  <c r="AF206"/>
  <c r="DG543"/>
  <c r="AG79"/>
  <c r="BH79"/>
  <c r="BH122"/>
  <c r="BJ271"/>
  <c r="DN271"/>
  <c r="BJ337"/>
  <c r="DN337"/>
  <c r="AI337"/>
  <c r="BE910"/>
  <c r="BE189"/>
  <c r="BG89"/>
  <c r="BH139"/>
  <c r="DL139"/>
  <c r="AG139"/>
  <c r="BE211"/>
  <c r="BE253" s="1"/>
  <c r="AC253"/>
  <c r="AD211"/>
  <c r="AD279"/>
  <c r="AC80"/>
  <c r="CC80"/>
  <c r="DC917"/>
  <c r="AX775"/>
  <c r="BZ775"/>
  <c r="AT775"/>
  <c r="DD692"/>
  <c r="CR673"/>
  <c r="DH467"/>
  <c r="AP469" i="3" s="1"/>
  <c r="DZ271" i="1"/>
  <c r="AN271"/>
  <c r="CR271"/>
  <c r="AM286"/>
  <c r="AM319"/>
  <c r="K319"/>
  <c r="AF417"/>
  <c r="DK417"/>
  <c r="CT369"/>
  <c r="P276"/>
  <c r="AQ276"/>
  <c r="DH279"/>
  <c r="DI279" s="1"/>
  <c r="DJ279" s="1"/>
  <c r="DK279" s="1"/>
  <c r="DL279" s="1"/>
  <c r="DM279" s="1"/>
  <c r="EB279" s="1"/>
  <c r="EG279" s="1"/>
  <c r="CH287"/>
  <c r="CG317"/>
  <c r="DE568"/>
  <c r="CB510"/>
  <c r="BB494"/>
  <c r="CD494" s="1"/>
  <c r="CC494"/>
  <c r="BA524"/>
  <c r="DE494"/>
  <c r="BJ551"/>
  <c r="EE551" s="1"/>
  <c r="AH582"/>
  <c r="BH137"/>
  <c r="DL137"/>
  <c r="AT139" i="3" s="1"/>
  <c r="AG137" i="1"/>
  <c r="AV775"/>
  <c r="AN775"/>
  <c r="CR692"/>
  <c r="DD631"/>
  <c r="DE643"/>
  <c r="DH470"/>
  <c r="AD469"/>
  <c r="BG469" s="1"/>
  <c r="CR419"/>
  <c r="CQ450"/>
  <c r="BP419"/>
  <c r="AE416"/>
  <c r="AE454" s="1"/>
  <c r="DJ416"/>
  <c r="AL748"/>
  <c r="J782"/>
  <c r="BN286"/>
  <c r="BO286"/>
  <c r="CP286"/>
  <c r="AL319"/>
  <c r="BN208"/>
  <c r="BO208"/>
  <c r="BN71"/>
  <c r="BO71"/>
  <c r="CQ902"/>
  <c r="CS902"/>
  <c r="CU902"/>
  <c r="CX902"/>
  <c r="CV270"/>
  <c r="AE219"/>
  <c r="DJ219"/>
  <c r="DJ255" s="1"/>
  <c r="AD255"/>
  <c r="AF218"/>
  <c r="DL218"/>
  <c r="DK218"/>
  <c r="O210"/>
  <c r="AP210"/>
  <c r="N223"/>
  <c r="AM731"/>
  <c r="AN203"/>
  <c r="CR203" s="1"/>
  <c r="DZ203"/>
  <c r="L221"/>
  <c r="AE153"/>
  <c r="DJ153"/>
  <c r="DJ190"/>
  <c r="AD190"/>
  <c r="AN204"/>
  <c r="CR204" s="1"/>
  <c r="DZ204"/>
  <c r="AQ221"/>
  <c r="AQ251"/>
  <c r="O251"/>
  <c r="AU151"/>
  <c r="T151"/>
  <c r="CR476"/>
  <c r="CG445"/>
  <c r="CR368"/>
  <c r="BU282"/>
  <c r="BT282"/>
  <c r="O144"/>
  <c r="AP144"/>
  <c r="CR142"/>
  <c r="BP142"/>
  <c r="CR138"/>
  <c r="BP138"/>
  <c r="AF86"/>
  <c r="DL86"/>
  <c r="DK86"/>
  <c r="AD74"/>
  <c r="BG74" s="1"/>
  <c r="CV73"/>
  <c r="BY48"/>
  <c r="BS48"/>
  <c r="AC149"/>
  <c r="BF149" s="1"/>
  <c r="N148"/>
  <c r="AO148"/>
  <c r="CT105"/>
  <c r="CS130"/>
  <c r="AB82"/>
  <c r="BE82" s="1"/>
  <c r="CH82" s="1"/>
  <c r="AN736"/>
  <c r="CR76"/>
  <c r="CS91"/>
  <c r="CX747"/>
  <c r="CX784"/>
  <c r="R784"/>
  <c r="CR47"/>
  <c r="CQ61"/>
  <c r="BQ25"/>
  <c r="AO25"/>
  <c r="CS10"/>
  <c r="DH5"/>
  <c r="AP7" i="3"/>
  <c r="AA207" i="1"/>
  <c r="BB207"/>
  <c r="AB352"/>
  <c r="AA383"/>
  <c r="AA385"/>
  <c r="AA341"/>
  <c r="BB341"/>
  <c r="Z355"/>
  <c r="DH598"/>
  <c r="DH600"/>
  <c r="CC685"/>
  <c r="AA671"/>
  <c r="Z685"/>
  <c r="Z715"/>
  <c r="CV6"/>
  <c r="BQ6"/>
  <c r="BR6"/>
  <c r="AN23"/>
  <c r="L54"/>
  <c r="BZ78"/>
  <c r="BZ121"/>
  <c r="CA78"/>
  <c r="CA121"/>
  <c r="CB121"/>
  <c r="AA479"/>
  <c r="BB479"/>
  <c r="CF19"/>
  <c r="CG19"/>
  <c r="DD908"/>
  <c r="CE8"/>
  <c r="DG8"/>
  <c r="AO9" i="3"/>
  <c r="BB24" i="1"/>
  <c r="CD24"/>
  <c r="DF24" s="1"/>
  <c r="DF18"/>
  <c r="AZ911"/>
  <c r="DD212"/>
  <c r="AZ254"/>
  <c r="CA913"/>
  <c r="BZ913"/>
  <c r="BB617"/>
  <c r="AB599"/>
  <c r="AA617"/>
  <c r="BC599"/>
  <c r="DG599" s="1"/>
  <c r="BO898"/>
  <c r="Z913"/>
  <c r="AA344"/>
  <c r="Z386"/>
  <c r="BB344"/>
  <c r="BU913"/>
  <c r="BU897"/>
  <c r="BT896"/>
  <c r="BN911"/>
  <c r="BN895"/>
  <c r="BN16"/>
  <c r="BO16"/>
  <c r="P286"/>
  <c r="AR286"/>
  <c r="BT286" s="1"/>
  <c r="Q268"/>
  <c r="AR268"/>
  <c r="AM733"/>
  <c r="AL749"/>
  <c r="J780"/>
  <c r="BN221"/>
  <c r="CP221"/>
  <c r="AL251"/>
  <c r="CS180"/>
  <c r="CU171"/>
  <c r="AF152"/>
  <c r="DL152" s="1"/>
  <c r="DK152"/>
  <c r="CR208"/>
  <c r="AQ733"/>
  <c r="AP251"/>
  <c r="CV202"/>
  <c r="DG168"/>
  <c r="DD428"/>
  <c r="DC456"/>
  <c r="DC458"/>
  <c r="CR363"/>
  <c r="R139"/>
  <c r="AS139"/>
  <c r="CW139"/>
  <c r="N82"/>
  <c r="AO82"/>
  <c r="AN89"/>
  <c r="R70"/>
  <c r="AS70"/>
  <c r="CW70"/>
  <c r="Q88"/>
  <c r="AS88"/>
  <c r="CV70"/>
  <c r="N143"/>
  <c r="AO143"/>
  <c r="M157"/>
  <c r="BQ157" s="1"/>
  <c r="BR157" s="1"/>
  <c r="BS157" s="1"/>
  <c r="Q140"/>
  <c r="AR140"/>
  <c r="AD138"/>
  <c r="BG138" s="1"/>
  <c r="S74"/>
  <c r="AT74"/>
  <c r="O17"/>
  <c r="AP17"/>
  <c r="DD47"/>
  <c r="DC61"/>
  <c r="AK13" i="3"/>
  <c r="AD53" i="1"/>
  <c r="AB9"/>
  <c r="BE9" s="1"/>
  <c r="CH9" s="1"/>
  <c r="AC10"/>
  <c r="BF10" s="1"/>
  <c r="AC11"/>
  <c r="AA413"/>
  <c r="BB413"/>
  <c r="BA487"/>
  <c r="BA517"/>
  <c r="AA473"/>
  <c r="BB473"/>
  <c r="Z487"/>
  <c r="Z517"/>
  <c r="CC619"/>
  <c r="AA544"/>
  <c r="BB544"/>
  <c r="CV7"/>
  <c r="AA407"/>
  <c r="Z421"/>
  <c r="Z451"/>
  <c r="AA77"/>
  <c r="Z121"/>
  <c r="BB77"/>
  <c r="Z91"/>
  <c r="CC91"/>
  <c r="BA223"/>
  <c r="BA252"/>
  <c r="AA209"/>
  <c r="Z223"/>
  <c r="BB209"/>
  <c r="Z252"/>
  <c r="AA275"/>
  <c r="BB275"/>
  <c r="Z289"/>
  <c r="BB539"/>
  <c r="AA539"/>
  <c r="Z553"/>
  <c r="AA405"/>
  <c r="CG60"/>
  <c r="BK22"/>
  <c r="BK56"/>
  <c r="AI56"/>
  <c r="AF4"/>
  <c r="DG7"/>
  <c r="AO8" i="3"/>
  <c r="CE7" i="1"/>
  <c r="Y908"/>
  <c r="Y57"/>
  <c r="BA14"/>
  <c r="Z14"/>
  <c r="W783"/>
  <c r="AY740"/>
  <c r="AY915"/>
  <c r="AY519"/>
  <c r="X917"/>
  <c r="Y608"/>
  <c r="AZ608"/>
  <c r="BR898"/>
  <c r="AC270"/>
  <c r="BD270"/>
  <c r="CB914"/>
  <c r="BZ410"/>
  <c r="BZ453"/>
  <c r="CB453"/>
  <c r="CA410"/>
  <c r="CA453" s="1"/>
  <c r="X918"/>
  <c r="CB674"/>
  <c r="AZ674"/>
  <c r="Y674"/>
  <c r="X717"/>
  <c r="BW913"/>
  <c r="BW897"/>
  <c r="BQ911"/>
  <c r="BQ895"/>
  <c r="Y221"/>
  <c r="X251"/>
  <c r="BS203"/>
  <c r="BP137"/>
  <c r="BP136"/>
  <c r="BP5"/>
  <c r="BP203"/>
  <c r="BP204"/>
  <c r="BS269"/>
  <c r="BS268"/>
  <c r="BP73"/>
  <c r="BG10"/>
  <c r="BP8"/>
  <c r="CZ902"/>
  <c r="CT902"/>
  <c r="CR277"/>
  <c r="DD499"/>
  <c r="DD524"/>
  <c r="DE511"/>
  <c r="BP510"/>
  <c r="AD910"/>
  <c r="AE146"/>
  <c r="BF146"/>
  <c r="AD189"/>
  <c r="AG71"/>
  <c r="AF89"/>
  <c r="BH71"/>
  <c r="DL71"/>
  <c r="BD253"/>
  <c r="BH535"/>
  <c r="DL535" s="1"/>
  <c r="AG535"/>
  <c r="BC909"/>
  <c r="BE582"/>
  <c r="CG551"/>
  <c r="CT709"/>
  <c r="CS565"/>
  <c r="CT577"/>
  <c r="AD482"/>
  <c r="DI482"/>
  <c r="BD485"/>
  <c r="AB516"/>
  <c r="AD467"/>
  <c r="BE467"/>
  <c r="DI467" s="1"/>
  <c r="AQ469" i="3" s="1"/>
  <c r="AC485" i="1"/>
  <c r="DD419"/>
  <c r="CA450"/>
  <c r="CB419"/>
  <c r="CB450" s="1"/>
  <c r="BV419"/>
  <c r="AE350"/>
  <c r="DJ350"/>
  <c r="AF285"/>
  <c r="DK285"/>
  <c r="O281"/>
  <c r="AP281"/>
  <c r="N280"/>
  <c r="N742"/>
  <c r="AP742" s="1"/>
  <c r="AO280"/>
  <c r="AM730"/>
  <c r="DZ268"/>
  <c r="L286"/>
  <c r="AN268"/>
  <c r="CR268" s="1"/>
  <c r="CS303"/>
  <c r="DE675"/>
  <c r="CU541"/>
  <c r="CR510"/>
  <c r="BH679"/>
  <c r="BI679"/>
  <c r="BH147"/>
  <c r="AJ533"/>
  <c r="BK533"/>
  <c r="DO533"/>
  <c r="AI551"/>
  <c r="BJ336"/>
  <c r="DN336" s="1"/>
  <c r="AI336"/>
  <c r="AF343"/>
  <c r="BG343"/>
  <c r="EE343"/>
  <c r="AG202"/>
  <c r="BH202"/>
  <c r="DL202"/>
  <c r="CC904"/>
  <c r="CD904"/>
  <c r="AD470"/>
  <c r="BE470"/>
  <c r="DI470" s="1"/>
  <c r="AQ471" i="3" s="1"/>
  <c r="DD433" i="1"/>
  <c r="DE445"/>
  <c r="CS433"/>
  <c r="CT445"/>
  <c r="DD301"/>
  <c r="DE313"/>
  <c r="DZ272"/>
  <c r="AN272"/>
  <c r="K317"/>
  <c r="AM287"/>
  <c r="AM317"/>
  <c r="DZ269"/>
  <c r="AN269"/>
  <c r="L287"/>
  <c r="CP287"/>
  <c r="AL317"/>
  <c r="BN287"/>
  <c r="AE402"/>
  <c r="BH402"/>
  <c r="DL402" s="1"/>
  <c r="DD367"/>
  <c r="DE379"/>
  <c r="DD899"/>
  <c r="DE303"/>
  <c r="AE284"/>
  <c r="DJ284"/>
  <c r="DJ321" s="1"/>
  <c r="AB280"/>
  <c r="L320"/>
  <c r="AN279"/>
  <c r="AN320" s="1"/>
  <c r="AO278"/>
  <c r="M279"/>
  <c r="N278"/>
  <c r="AO277"/>
  <c r="N277"/>
  <c r="M319"/>
  <c r="Q272"/>
  <c r="AR272"/>
  <c r="CB47"/>
  <c r="CA61"/>
  <c r="BR140"/>
  <c r="BQ140"/>
  <c r="CR902"/>
  <c r="CW902"/>
  <c r="CY902"/>
  <c r="DA902"/>
  <c r="R270"/>
  <c r="AS270"/>
  <c r="CW270"/>
  <c r="O317"/>
  <c r="AQ287"/>
  <c r="Q269"/>
  <c r="AR269"/>
  <c r="P287"/>
  <c r="AP317"/>
  <c r="AO223"/>
  <c r="Q206"/>
  <c r="AR206"/>
  <c r="BS204"/>
  <c r="CU204"/>
  <c r="AR204"/>
  <c r="Q204"/>
  <c r="AM221"/>
  <c r="AM251" s="1"/>
  <c r="K251"/>
  <c r="DF164"/>
  <c r="DE192"/>
  <c r="AU217"/>
  <c r="T217"/>
  <c r="O215"/>
  <c r="AP215"/>
  <c r="DZ206"/>
  <c r="AN206"/>
  <c r="CR206" s="1"/>
  <c r="AE204"/>
  <c r="AM732"/>
  <c r="Q203"/>
  <c r="AR203"/>
  <c r="P221"/>
  <c r="DC443"/>
  <c r="AJ409" i="3"/>
  <c r="CR430" i="1"/>
  <c r="CQ457"/>
  <c r="CQ459"/>
  <c r="CR428"/>
  <c r="CQ456"/>
  <c r="CQ458"/>
  <c r="CR411"/>
  <c r="CQ453"/>
  <c r="CS355"/>
  <c r="DD296"/>
  <c r="DC323"/>
  <c r="DC325"/>
  <c r="BR271"/>
  <c r="BQ271"/>
  <c r="BO270"/>
  <c r="BN270"/>
  <c r="M149"/>
  <c r="AN149"/>
  <c r="BP149" s="1"/>
  <c r="L743"/>
  <c r="AN743" s="1"/>
  <c r="N142"/>
  <c r="AO142"/>
  <c r="AN155"/>
  <c r="CR155" s="1"/>
  <c r="CS155" s="1"/>
  <c r="L186"/>
  <c r="R73"/>
  <c r="AS73"/>
  <c r="CW73"/>
  <c r="R72"/>
  <c r="AS72"/>
  <c r="CW72" s="1"/>
  <c r="CV72"/>
  <c r="AB148"/>
  <c r="BE148"/>
  <c r="L188"/>
  <c r="AN154"/>
  <c r="BN79"/>
  <c r="BN122"/>
  <c r="BO79"/>
  <c r="N76"/>
  <c r="AO76"/>
  <c r="DE181"/>
  <c r="DD169"/>
  <c r="DD194" s="1"/>
  <c r="CD47"/>
  <c r="CC61"/>
  <c r="DD910"/>
  <c r="DE146"/>
  <c r="DD189"/>
  <c r="DC126"/>
  <c r="DD98"/>
  <c r="BN82"/>
  <c r="BO82"/>
  <c r="DG36"/>
  <c r="S58"/>
  <c r="T21"/>
  <c r="CY21"/>
  <c r="CY58" s="1"/>
  <c r="S747"/>
  <c r="O16"/>
  <c r="AP16"/>
  <c r="O12"/>
  <c r="AP12"/>
  <c r="N25"/>
  <c r="O10"/>
  <c r="AP10"/>
  <c r="CD5"/>
  <c r="CC5"/>
  <c r="BE5"/>
  <c r="DI5" s="1"/>
  <c r="AQ7" i="3" s="1"/>
  <c r="AD5" i="1"/>
  <c r="AC13"/>
  <c r="BD13"/>
  <c r="AA88"/>
  <c r="Z120"/>
  <c r="Z122"/>
  <c r="Z909"/>
  <c r="BB75"/>
  <c r="AA75"/>
  <c r="CC355"/>
  <c r="BA355"/>
  <c r="BE598"/>
  <c r="DI598"/>
  <c r="AD598"/>
  <c r="AD600"/>
  <c r="BE600"/>
  <c r="DI600"/>
  <c r="BB603"/>
  <c r="AA603"/>
  <c r="AA669"/>
  <c r="BB669"/>
  <c r="R6"/>
  <c r="AS6"/>
  <c r="CW6"/>
  <c r="AA347"/>
  <c r="BB347"/>
  <c r="AA611"/>
  <c r="BB611"/>
  <c r="CR33"/>
  <c r="AC8"/>
  <c r="BD8"/>
  <c r="BD18"/>
  <c r="EE18"/>
  <c r="EL43" s="1"/>
  <c r="BC18"/>
  <c r="CE18" s="1"/>
  <c r="AA24"/>
  <c r="CA909"/>
  <c r="BZ909"/>
  <c r="Y911"/>
  <c r="Z212"/>
  <c r="BA212"/>
  <c r="Y254"/>
  <c r="CB911"/>
  <c r="CA212"/>
  <c r="CA254" s="1"/>
  <c r="CB254"/>
  <c r="BZ212"/>
  <c r="BZ254"/>
  <c r="BN898"/>
  <c r="BC221"/>
  <c r="BC251" s="1"/>
  <c r="BB251"/>
  <c r="BD221"/>
  <c r="AC268"/>
  <c r="BD268"/>
  <c r="BD272"/>
  <c r="AC272"/>
  <c r="BA913"/>
  <c r="BA386"/>
  <c r="AC466"/>
  <c r="BD466"/>
  <c r="BT913"/>
  <c r="BT897"/>
  <c r="BU896"/>
  <c r="BO911"/>
  <c r="BO895"/>
  <c r="BQ202"/>
  <c r="BR202"/>
  <c r="CM74"/>
  <c r="CL74"/>
  <c r="BO72"/>
  <c r="BN72"/>
  <c r="BN17"/>
  <c r="BO17"/>
  <c r="Q271"/>
  <c r="AR271"/>
  <c r="O214"/>
  <c r="AP214"/>
  <c r="DZ205"/>
  <c r="AN205"/>
  <c r="AO208"/>
  <c r="N208"/>
  <c r="Q205"/>
  <c r="Q733"/>
  <c r="AR205"/>
  <c r="R202"/>
  <c r="AS202"/>
  <c r="CW202"/>
  <c r="DC915"/>
  <c r="DC519"/>
  <c r="DD368"/>
  <c r="CR296"/>
  <c r="CQ323"/>
  <c r="CV139"/>
  <c r="AE87"/>
  <c r="DJ87"/>
  <c r="DJ124" s="1"/>
  <c r="AD124"/>
  <c r="O83"/>
  <c r="AP83"/>
  <c r="BQ72"/>
  <c r="BR72"/>
  <c r="BO89"/>
  <c r="AR88"/>
  <c r="BT88" s="1"/>
  <c r="BU88" s="1"/>
  <c r="BV88" s="1"/>
  <c r="AQ734"/>
  <c r="BG90"/>
  <c r="EE90"/>
  <c r="O79"/>
  <c r="AP79"/>
  <c r="AP122" s="1"/>
  <c r="N122"/>
  <c r="AO122"/>
  <c r="CA910"/>
  <c r="BZ910"/>
  <c r="U20"/>
  <c r="CZ20"/>
  <c r="T746"/>
  <c r="CZ746" s="1"/>
  <c r="CZ784" s="1"/>
  <c r="CR98"/>
  <c r="AD25"/>
  <c r="AD55"/>
  <c r="CI25"/>
  <c r="AA605"/>
  <c r="AB605" s="1"/>
  <c r="AC605" s="1"/>
  <c r="Z649"/>
  <c r="Z619"/>
  <c r="R7"/>
  <c r="AS7"/>
  <c r="CW7"/>
  <c r="CC421"/>
  <c r="CD421"/>
  <c r="CE421" s="1"/>
  <c r="DE421"/>
  <c r="DF421" s="1"/>
  <c r="DG421" s="1"/>
  <c r="DH421" s="1"/>
  <c r="DI421" s="1"/>
  <c r="DJ421" s="1"/>
  <c r="DK421" s="1"/>
  <c r="BA121"/>
  <c r="BA91"/>
  <c r="CC223"/>
  <c r="DE223"/>
  <c r="DF223" s="1"/>
  <c r="DG223" s="1"/>
  <c r="DH223" s="1"/>
  <c r="DI223" s="1"/>
  <c r="BA289"/>
  <c r="DE275"/>
  <c r="DF275"/>
  <c r="CC289"/>
  <c r="BA553"/>
  <c r="CC553"/>
  <c r="AA471"/>
  <c r="BB471"/>
  <c r="AA677"/>
  <c r="CE677" s="1"/>
  <c r="BB677"/>
  <c r="AA545"/>
  <c r="AB545" s="1"/>
  <c r="BB545"/>
  <c r="BN12"/>
  <c r="BO12"/>
  <c r="AC7"/>
  <c r="BD7"/>
  <c r="AZ908"/>
  <c r="AZ57"/>
  <c r="X915"/>
  <c r="CB476"/>
  <c r="AZ476"/>
  <c r="AZ915"/>
  <c r="Y476"/>
  <c r="X519"/>
  <c r="AY917"/>
  <c r="AY651"/>
  <c r="BQ898"/>
  <c r="DC251"/>
  <c r="AK212" i="3"/>
  <c r="DD221" i="1"/>
  <c r="AZ914"/>
  <c r="AZ453"/>
  <c r="Y914"/>
  <c r="BA410"/>
  <c r="Z410"/>
  <c r="Y453"/>
  <c r="AY918"/>
  <c r="AY717"/>
  <c r="BX913"/>
  <c r="BX897"/>
  <c r="BX896"/>
  <c r="BW896"/>
  <c r="BR911"/>
  <c r="BR895"/>
  <c r="DJ454"/>
  <c r="BP271"/>
  <c r="BP277"/>
  <c r="BY150"/>
  <c r="BS272"/>
  <c r="BR272" s="1"/>
  <c r="BH74"/>
  <c r="DL74" s="1"/>
  <c r="BG149"/>
  <c r="BF82"/>
  <c r="BS206"/>
  <c r="BP202"/>
  <c r="M742"/>
  <c r="AO742" s="1"/>
  <c r="L731"/>
  <c r="BY216"/>
  <c r="BP206"/>
  <c r="BN206" s="1"/>
  <c r="CQ149"/>
  <c r="CR149" s="1"/>
  <c r="CS149" s="1"/>
  <c r="CT149" s="1"/>
  <c r="CU149" s="1"/>
  <c r="CV149" s="1"/>
  <c r="L733"/>
  <c r="AN733" s="1"/>
  <c r="CR733" s="1"/>
  <c r="K749"/>
  <c r="BS205"/>
  <c r="BP139"/>
  <c r="BF9"/>
  <c r="CG523"/>
  <c r="CG525"/>
  <c r="CG260"/>
  <c r="CG258"/>
  <c r="DL106"/>
  <c r="BJ22"/>
  <c r="E13" i="3" s="1"/>
  <c r="AH56" i="1"/>
  <c r="DZ733"/>
  <c r="BO206"/>
  <c r="R902"/>
  <c r="R903"/>
  <c r="BR206"/>
  <c r="BQ206"/>
  <c r="BN271"/>
  <c r="BO271"/>
  <c r="BA914"/>
  <c r="DE221"/>
  <c r="AZ519"/>
  <c r="DH7"/>
  <c r="CE545"/>
  <c r="BC545"/>
  <c r="AA649"/>
  <c r="DA20"/>
  <c r="FC20"/>
  <c r="U746"/>
  <c r="DA746" s="1"/>
  <c r="CU734"/>
  <c r="AF87"/>
  <c r="DK87"/>
  <c r="DK124" s="1"/>
  <c r="AE124"/>
  <c r="CS296"/>
  <c r="CR323"/>
  <c r="DE368"/>
  <c r="S202"/>
  <c r="AT202"/>
  <c r="CX202"/>
  <c r="CV205"/>
  <c r="CS208"/>
  <c r="CV271"/>
  <c r="DH466"/>
  <c r="BE272"/>
  <c r="DI272"/>
  <c r="AD272"/>
  <c r="DH268"/>
  <c r="AD268"/>
  <c r="BE268"/>
  <c r="DI268" s="1"/>
  <c r="Z911"/>
  <c r="AA212"/>
  <c r="BB212"/>
  <c r="Z254"/>
  <c r="BE8"/>
  <c r="DI8" s="1"/>
  <c r="AQ9" i="3" s="1"/>
  <c r="AD8" i="1"/>
  <c r="CE611"/>
  <c r="BC611"/>
  <c r="AB611"/>
  <c r="CE347"/>
  <c r="AB347"/>
  <c r="BC347"/>
  <c r="AT6"/>
  <c r="CX6"/>
  <c r="S6"/>
  <c r="AB603"/>
  <c r="BC603"/>
  <c r="AE600"/>
  <c r="BF600"/>
  <c r="BF598"/>
  <c r="DJ598" s="1"/>
  <c r="AE598"/>
  <c r="CE75"/>
  <c r="BC75"/>
  <c r="AB75"/>
  <c r="AE5"/>
  <c r="BF5"/>
  <c r="DJ5"/>
  <c r="AP25"/>
  <c r="P16"/>
  <c r="AQ16"/>
  <c r="BS16"/>
  <c r="BR16"/>
  <c r="DH36"/>
  <c r="DE98"/>
  <c r="DD126"/>
  <c r="CS76"/>
  <c r="AA148"/>
  <c r="S73"/>
  <c r="AT73"/>
  <c r="CX73" s="1"/>
  <c r="CS142"/>
  <c r="AP142"/>
  <c r="O142"/>
  <c r="DD325"/>
  <c r="DE296"/>
  <c r="DD323"/>
  <c r="CR453"/>
  <c r="CR457"/>
  <c r="CR459"/>
  <c r="AR221"/>
  <c r="P251"/>
  <c r="CV203"/>
  <c r="CQ732"/>
  <c r="P215"/>
  <c r="AQ215"/>
  <c r="DG164"/>
  <c r="DF192"/>
  <c r="CV204"/>
  <c r="BQ204"/>
  <c r="BR204"/>
  <c r="R206"/>
  <c r="AS206"/>
  <c r="CW206"/>
  <c r="CV269"/>
  <c r="S270"/>
  <c r="AT270"/>
  <c r="CX270"/>
  <c r="CV272"/>
  <c r="O277"/>
  <c r="N319"/>
  <c r="AP277"/>
  <c r="AP319" s="1"/>
  <c r="O278"/>
  <c r="AP278"/>
  <c r="N279"/>
  <c r="AA280"/>
  <c r="AF284"/>
  <c r="DL284"/>
  <c r="DK284"/>
  <c r="DE367"/>
  <c r="DF379"/>
  <c r="AN287"/>
  <c r="L317"/>
  <c r="AE470"/>
  <c r="BF470"/>
  <c r="AG343"/>
  <c r="BH343"/>
  <c r="BH385" s="1"/>
  <c r="BI147"/>
  <c r="CK147" s="1"/>
  <c r="DF675"/>
  <c r="CT303"/>
  <c r="AN286"/>
  <c r="AN319"/>
  <c r="L319"/>
  <c r="AF350"/>
  <c r="DL350" s="1"/>
  <c r="DK350"/>
  <c r="DE419"/>
  <c r="CF485"/>
  <c r="BD516"/>
  <c r="DJ482"/>
  <c r="AE482"/>
  <c r="CU577"/>
  <c r="CT565"/>
  <c r="CU709"/>
  <c r="BI535"/>
  <c r="DM535" s="1"/>
  <c r="AH535"/>
  <c r="BH89"/>
  <c r="BH120"/>
  <c r="BF910"/>
  <c r="BR269"/>
  <c r="BQ269"/>
  <c r="BO204"/>
  <c r="BN204"/>
  <c r="BN203"/>
  <c r="BO203"/>
  <c r="BN137"/>
  <c r="BO137"/>
  <c r="BR203"/>
  <c r="BQ203"/>
  <c r="Z221"/>
  <c r="Y251"/>
  <c r="AZ918"/>
  <c r="AZ717"/>
  <c r="CA914"/>
  <c r="BZ914"/>
  <c r="DH270"/>
  <c r="AZ917"/>
  <c r="AZ651"/>
  <c r="CB917"/>
  <c r="CB651"/>
  <c r="BZ609"/>
  <c r="BZ651" s="1"/>
  <c r="CA609"/>
  <c r="CA651" s="1"/>
  <c r="AY783"/>
  <c r="DC740"/>
  <c r="Z908"/>
  <c r="AA14"/>
  <c r="BB14"/>
  <c r="Z57"/>
  <c r="AE4"/>
  <c r="BH4" s="1"/>
  <c r="DL4" s="1"/>
  <c r="AB405"/>
  <c r="BC539"/>
  <c r="AA553"/>
  <c r="AB539"/>
  <c r="BB91"/>
  <c r="BB121"/>
  <c r="CE77"/>
  <c r="AA91"/>
  <c r="AB77"/>
  <c r="AA121"/>
  <c r="BC77"/>
  <c r="AB473"/>
  <c r="AA517"/>
  <c r="BC473"/>
  <c r="AA487"/>
  <c r="AC55"/>
  <c r="AC25"/>
  <c r="CX74"/>
  <c r="BV74"/>
  <c r="CV140"/>
  <c r="AO157"/>
  <c r="S139"/>
  <c r="AT139"/>
  <c r="DD458"/>
  <c r="DE428"/>
  <c r="DD456"/>
  <c r="CV171"/>
  <c r="BO221"/>
  <c r="BN251"/>
  <c r="BN749"/>
  <c r="CP749"/>
  <c r="AL780"/>
  <c r="CQ733"/>
  <c r="CV268"/>
  <c r="AC599"/>
  <c r="AB617"/>
  <c r="BD599"/>
  <c r="CD8"/>
  <c r="CC8"/>
  <c r="CE479"/>
  <c r="BC479"/>
  <c r="AB479"/>
  <c r="AN54"/>
  <c r="AB671"/>
  <c r="AA685"/>
  <c r="AA715"/>
  <c r="BC341"/>
  <c r="AB341"/>
  <c r="AA355"/>
  <c r="CS47"/>
  <c r="CT91"/>
  <c r="CR736"/>
  <c r="AA82"/>
  <c r="CT130"/>
  <c r="CU105"/>
  <c r="AB149"/>
  <c r="BO138"/>
  <c r="BN138"/>
  <c r="BO142"/>
  <c r="BN142"/>
  <c r="CS368"/>
  <c r="AW151"/>
  <c r="AV151"/>
  <c r="AF153"/>
  <c r="DK153"/>
  <c r="DK190"/>
  <c r="AE190"/>
  <c r="CQ731"/>
  <c r="AP223"/>
  <c r="AF219"/>
  <c r="DK219"/>
  <c r="DK255"/>
  <c r="AE255"/>
  <c r="BN748"/>
  <c r="CP748"/>
  <c r="CS692"/>
  <c r="DF494"/>
  <c r="BC494"/>
  <c r="BB524"/>
  <c r="DF568"/>
  <c r="CU369"/>
  <c r="DL417"/>
  <c r="CS673"/>
  <c r="BF211"/>
  <c r="BF253" s="1"/>
  <c r="AD253"/>
  <c r="AE211"/>
  <c r="BG120"/>
  <c r="CI89"/>
  <c r="CK79"/>
  <c r="BI79"/>
  <c r="BI122" s="1"/>
  <c r="AG206"/>
  <c r="BH206"/>
  <c r="DL206"/>
  <c r="DD476"/>
  <c r="BH204"/>
  <c r="DK321"/>
  <c r="AE321"/>
  <c r="BS215"/>
  <c r="L749"/>
  <c r="BV6"/>
  <c r="BV73"/>
  <c r="BV270"/>
  <c r="BN139"/>
  <c r="BO139"/>
  <c r="BR205"/>
  <c r="BQ205"/>
  <c r="AM749"/>
  <c r="BX216"/>
  <c r="BW216"/>
  <c r="AN731"/>
  <c r="CR731" s="1"/>
  <c r="DZ731"/>
  <c r="BO202"/>
  <c r="BN202"/>
  <c r="BX150"/>
  <c r="BW150"/>
  <c r="BN277"/>
  <c r="BN319"/>
  <c r="BO277"/>
  <c r="Z914"/>
  <c r="BB410"/>
  <c r="Z453"/>
  <c r="AA410"/>
  <c r="Y915"/>
  <c r="BA476"/>
  <c r="Z476"/>
  <c r="Y519"/>
  <c r="CB915"/>
  <c r="CA476"/>
  <c r="CA519"/>
  <c r="CB519"/>
  <c r="BZ476"/>
  <c r="BZ519" s="1"/>
  <c r="BE7"/>
  <c r="DI7" s="1"/>
  <c r="AQ8" i="3" s="1"/>
  <c r="AD7" i="1"/>
  <c r="BC471"/>
  <c r="AB471"/>
  <c r="S7"/>
  <c r="AT7"/>
  <c r="CX7" s="1"/>
  <c r="CS98"/>
  <c r="AQ79"/>
  <c r="O122"/>
  <c r="P79"/>
  <c r="BP89"/>
  <c r="P83"/>
  <c r="AQ83"/>
  <c r="BS83" s="1"/>
  <c r="R205"/>
  <c r="AS205"/>
  <c r="CW205" s="1"/>
  <c r="O208"/>
  <c r="AP208"/>
  <c r="CR205"/>
  <c r="BP205"/>
  <c r="P214"/>
  <c r="AQ214"/>
  <c r="BS214"/>
  <c r="R271"/>
  <c r="AS271"/>
  <c r="CW271" s="1"/>
  <c r="BE466"/>
  <c r="DI466" s="1"/>
  <c r="AD466"/>
  <c r="DH272"/>
  <c r="AP273" i="3"/>
  <c r="BE221" i="1"/>
  <c r="BE251"/>
  <c r="BD251"/>
  <c r="BF221"/>
  <c r="CA911"/>
  <c r="BZ911"/>
  <c r="BA911"/>
  <c r="BA254"/>
  <c r="BC24"/>
  <c r="CE24"/>
  <c r="DG24" s="1"/>
  <c r="DH8"/>
  <c r="AP9" i="3" s="1"/>
  <c r="AB669" i="1"/>
  <c r="BC669"/>
  <c r="CE88"/>
  <c r="AA120"/>
  <c r="AB88"/>
  <c r="AA122"/>
  <c r="AA909"/>
  <c r="BD56"/>
  <c r="AD13"/>
  <c r="BE13"/>
  <c r="BE56"/>
  <c r="CT10"/>
  <c r="AQ10"/>
  <c r="P10"/>
  <c r="P12"/>
  <c r="AQ12"/>
  <c r="O25"/>
  <c r="CY747"/>
  <c r="S784"/>
  <c r="U21"/>
  <c r="CZ21"/>
  <c r="CZ58" s="1"/>
  <c r="T58"/>
  <c r="T747"/>
  <c r="DE910"/>
  <c r="DF146"/>
  <c r="DE158"/>
  <c r="DE189"/>
  <c r="CE47"/>
  <c r="DF181"/>
  <c r="DE169"/>
  <c r="DE194" s="1"/>
  <c r="AP76"/>
  <c r="O76"/>
  <c r="AT72"/>
  <c r="S72"/>
  <c r="AN186"/>
  <c r="BP155"/>
  <c r="AO149"/>
  <c r="N149"/>
  <c r="M743"/>
  <c r="AO743" s="1"/>
  <c r="CT355"/>
  <c r="CR458"/>
  <c r="CS428"/>
  <c r="CR456"/>
  <c r="DD443"/>
  <c r="R203"/>
  <c r="AS203"/>
  <c r="CW203" s="1"/>
  <c r="Q221"/>
  <c r="AD204"/>
  <c r="DL204"/>
  <c r="BG204"/>
  <c r="CK204" s="1"/>
  <c r="AW217"/>
  <c r="AV217"/>
  <c r="R204"/>
  <c r="AS204"/>
  <c r="CW204"/>
  <c r="CV206"/>
  <c r="AR287"/>
  <c r="P317"/>
  <c r="R269"/>
  <c r="AS269"/>
  <c r="CW269"/>
  <c r="Q287"/>
  <c r="R272"/>
  <c r="AS272"/>
  <c r="CW272"/>
  <c r="AO319"/>
  <c r="AO279"/>
  <c r="M320"/>
  <c r="DF303"/>
  <c r="DE899"/>
  <c r="AD402"/>
  <c r="BG402" s="1"/>
  <c r="BO287"/>
  <c r="BN317"/>
  <c r="CP317"/>
  <c r="CQ287"/>
  <c r="CR269"/>
  <c r="BP269"/>
  <c r="CR272"/>
  <c r="BP272"/>
  <c r="DF313"/>
  <c r="DE301"/>
  <c r="CT433"/>
  <c r="CU445"/>
  <c r="DE433"/>
  <c r="DF445"/>
  <c r="AH202"/>
  <c r="BI202"/>
  <c r="DM202" s="1"/>
  <c r="AJ336"/>
  <c r="BK336"/>
  <c r="DO336"/>
  <c r="BK551"/>
  <c r="AJ551"/>
  <c r="BL533"/>
  <c r="DP533"/>
  <c r="EB533" s="1"/>
  <c r="EG533" s="1"/>
  <c r="Q535" i="3" s="1"/>
  <c r="R535" s="1"/>
  <c r="CS510" i="1"/>
  <c r="CV541"/>
  <c r="CQ730"/>
  <c r="O280"/>
  <c r="AP280"/>
  <c r="P281"/>
  <c r="AQ281"/>
  <c r="BS281"/>
  <c r="DL285"/>
  <c r="DL321"/>
  <c r="AF321"/>
  <c r="BE485"/>
  <c r="BE516" s="1"/>
  <c r="AC516"/>
  <c r="AE467"/>
  <c r="BF467"/>
  <c r="DJ467" s="1"/>
  <c r="AR469" i="3" s="1"/>
  <c r="AD485" i="1"/>
  <c r="CH551"/>
  <c r="CG582"/>
  <c r="CK71"/>
  <c r="AH71"/>
  <c r="AG89"/>
  <c r="BI71"/>
  <c r="AE910"/>
  <c r="BG146"/>
  <c r="AF146"/>
  <c r="AF910" s="1"/>
  <c r="AE189"/>
  <c r="DE499"/>
  <c r="DE524"/>
  <c r="DF511"/>
  <c r="CS277"/>
  <c r="BO8"/>
  <c r="BN8"/>
  <c r="BG53"/>
  <c r="BN73"/>
  <c r="BO73"/>
  <c r="BR268"/>
  <c r="BQ268"/>
  <c r="BO5"/>
  <c r="BN5"/>
  <c r="BN136"/>
  <c r="BO136"/>
  <c r="Y918"/>
  <c r="BA674"/>
  <c r="Z674"/>
  <c r="Y717"/>
  <c r="CB918"/>
  <c r="CA674"/>
  <c r="CA717" s="1"/>
  <c r="BZ674"/>
  <c r="BZ717" s="1"/>
  <c r="CB717"/>
  <c r="BE270"/>
  <c r="DI270"/>
  <c r="AD270"/>
  <c r="BA608"/>
  <c r="Z608"/>
  <c r="AA608" s="1"/>
  <c r="BA908"/>
  <c r="BA57"/>
  <c r="CC7"/>
  <c r="CD7"/>
  <c r="BB553"/>
  <c r="CD553" s="1"/>
  <c r="CE553" s="1"/>
  <c r="BB289"/>
  <c r="BC275"/>
  <c r="AA289"/>
  <c r="AB275"/>
  <c r="BD275"/>
  <c r="BB223"/>
  <c r="BB252"/>
  <c r="AB209"/>
  <c r="AB223"/>
  <c r="CF223" s="1"/>
  <c r="CG223" s="1"/>
  <c r="CH223" s="1"/>
  <c r="BC209"/>
  <c r="AA252"/>
  <c r="AA223"/>
  <c r="AB407"/>
  <c r="AA421"/>
  <c r="AA451"/>
  <c r="CE544"/>
  <c r="AB544"/>
  <c r="BD544" s="1"/>
  <c r="BC544"/>
  <c r="BB517"/>
  <c r="BB487"/>
  <c r="CE413"/>
  <c r="CC413"/>
  <c r="AB413"/>
  <c r="BC413"/>
  <c r="AC53"/>
  <c r="AB11"/>
  <c r="AA9"/>
  <c r="AB10"/>
  <c r="AB53"/>
  <c r="DE47"/>
  <c r="AL13" i="3"/>
  <c r="P17" i="1"/>
  <c r="AR17"/>
  <c r="AQ17"/>
  <c r="BS17"/>
  <c r="T74"/>
  <c r="AU74"/>
  <c r="AC138"/>
  <c r="BF138"/>
  <c r="AS140"/>
  <c r="CW140"/>
  <c r="R140"/>
  <c r="AP143"/>
  <c r="O143"/>
  <c r="AQ143"/>
  <c r="N157"/>
  <c r="AT70"/>
  <c r="R88"/>
  <c r="AT88"/>
  <c r="S70"/>
  <c r="O82"/>
  <c r="AP82"/>
  <c r="DH168"/>
  <c r="CU733"/>
  <c r="CT180"/>
  <c r="CQ221"/>
  <c r="CP251"/>
  <c r="R268"/>
  <c r="AS268"/>
  <c r="CW268" s="1"/>
  <c r="Q286"/>
  <c r="BB913"/>
  <c r="BB386"/>
  <c r="AA913"/>
  <c r="AB344"/>
  <c r="BC344"/>
  <c r="AA386"/>
  <c r="BC617"/>
  <c r="BC648"/>
  <c r="CD617"/>
  <c r="BB648"/>
  <c r="DE212"/>
  <c r="BB355"/>
  <c r="CD355"/>
  <c r="AC352"/>
  <c r="AB383"/>
  <c r="AB385"/>
  <c r="BC207"/>
  <c r="AB207"/>
  <c r="BD207" s="1"/>
  <c r="O148"/>
  <c r="AP148"/>
  <c r="AC74"/>
  <c r="BF74"/>
  <c r="P144"/>
  <c r="AQ144"/>
  <c r="CS476"/>
  <c r="AN221"/>
  <c r="AN251" s="1"/>
  <c r="L251"/>
  <c r="P210"/>
  <c r="AQ210"/>
  <c r="O223"/>
  <c r="CP319"/>
  <c r="CQ286"/>
  <c r="AF416"/>
  <c r="DL416" s="1"/>
  <c r="DL454" s="1"/>
  <c r="DK416"/>
  <c r="DK454"/>
  <c r="CS419"/>
  <c r="CS450"/>
  <c r="CR450"/>
  <c r="AC469"/>
  <c r="BF469" s="1"/>
  <c r="DJ469" s="1"/>
  <c r="AR470" i="3" s="1"/>
  <c r="DF643" i="1"/>
  <c r="DF631" s="1"/>
  <c r="DF656" s="1"/>
  <c r="DE631"/>
  <c r="BI137"/>
  <c r="DM137"/>
  <c r="AH137"/>
  <c r="DN551"/>
  <c r="CL551"/>
  <c r="CC524"/>
  <c r="DH484"/>
  <c r="DI484"/>
  <c r="DJ484" s="1"/>
  <c r="DK484" s="1"/>
  <c r="DL484" s="1"/>
  <c r="DM484" s="1"/>
  <c r="EB484" s="1"/>
  <c r="Q276"/>
  <c r="AR276"/>
  <c r="DE692"/>
  <c r="DD720"/>
  <c r="BE80"/>
  <c r="BE909" s="1"/>
  <c r="AD80"/>
  <c r="BF279"/>
  <c r="AE279"/>
  <c r="AH139"/>
  <c r="AI139"/>
  <c r="BI139"/>
  <c r="DM139"/>
  <c r="AJ337"/>
  <c r="BK337"/>
  <c r="DO337" s="1"/>
  <c r="DH543"/>
  <c r="CD289"/>
  <c r="CD223"/>
  <c r="N736"/>
  <c r="BE280"/>
  <c r="BP268"/>
  <c r="BN268"/>
  <c r="BI4"/>
  <c r="DM4"/>
  <c r="CD91"/>
  <c r="BV7"/>
  <c r="BT7"/>
  <c r="DK10"/>
  <c r="BV202"/>
  <c r="BT202" s="1"/>
  <c r="DG18"/>
  <c r="DH18" s="1"/>
  <c r="DI18" s="1"/>
  <c r="DJ18" s="1"/>
  <c r="DK18" s="1"/>
  <c r="DE14"/>
  <c r="DE908"/>
  <c r="CH5"/>
  <c r="BR25"/>
  <c r="BY151"/>
  <c r="BX151"/>
  <c r="DD608"/>
  <c r="DE608"/>
  <c r="DM106"/>
  <c r="BW151"/>
  <c r="CG5"/>
  <c r="CF5"/>
  <c r="DF14"/>
  <c r="BU7"/>
  <c r="BJ139"/>
  <c r="AI137"/>
  <c r="BJ137"/>
  <c r="DN137"/>
  <c r="DG643"/>
  <c r="CT419"/>
  <c r="AQ223"/>
  <c r="CT476"/>
  <c r="AB74"/>
  <c r="DJ74"/>
  <c r="BE74"/>
  <c r="AC207"/>
  <c r="BD383"/>
  <c r="BD385"/>
  <c r="DF212"/>
  <c r="BC913"/>
  <c r="BC386"/>
  <c r="AS286"/>
  <c r="CR221"/>
  <c r="CQ251"/>
  <c r="CU180"/>
  <c r="P143"/>
  <c r="O157"/>
  <c r="CY74"/>
  <c r="Q17"/>
  <c r="DF47"/>
  <c r="AM13" i="3"/>
  <c r="Z9" i="1"/>
  <c r="BC9"/>
  <c r="AA10"/>
  <c r="AA11"/>
  <c r="CD413"/>
  <c r="AC544"/>
  <c r="AC209"/>
  <c r="AB252"/>
  <c r="AC275"/>
  <c r="AB289"/>
  <c r="CF289" s="1"/>
  <c r="CG289" s="1"/>
  <c r="CH289" s="1"/>
  <c r="BB608"/>
  <c r="BA918"/>
  <c r="BA717"/>
  <c r="DF499"/>
  <c r="DG511"/>
  <c r="AG146"/>
  <c r="AG910" s="1"/>
  <c r="AF189"/>
  <c r="AH89"/>
  <c r="BJ71"/>
  <c r="DN71"/>
  <c r="AI71"/>
  <c r="Q281"/>
  <c r="AR281"/>
  <c r="P280"/>
  <c r="AQ280"/>
  <c r="BS280"/>
  <c r="BJ202"/>
  <c r="DN202"/>
  <c r="AI202"/>
  <c r="DF433"/>
  <c r="DG445"/>
  <c r="CU433"/>
  <c r="CV445"/>
  <c r="BN272"/>
  <c r="BO272"/>
  <c r="BN269"/>
  <c r="BO269"/>
  <c r="CR287"/>
  <c r="CQ317"/>
  <c r="AC402"/>
  <c r="S272"/>
  <c r="AT272"/>
  <c r="CX272"/>
  <c r="Q317"/>
  <c r="AS287"/>
  <c r="AS317" s="1"/>
  <c r="S269"/>
  <c r="AT269"/>
  <c r="CX269"/>
  <c r="R287"/>
  <c r="AR317"/>
  <c r="BT287"/>
  <c r="AC204"/>
  <c r="BF204" s="1"/>
  <c r="DJ204" s="1"/>
  <c r="DK204"/>
  <c r="S203"/>
  <c r="AT203"/>
  <c r="CX203"/>
  <c r="R221"/>
  <c r="O149"/>
  <c r="AP149"/>
  <c r="N743"/>
  <c r="AP743" s="1"/>
  <c r="T72"/>
  <c r="AU72"/>
  <c r="CX72"/>
  <c r="BV72"/>
  <c r="P76"/>
  <c r="AQ76"/>
  <c r="DF910"/>
  <c r="DF158"/>
  <c r="DG146"/>
  <c r="DF189"/>
  <c r="CZ747"/>
  <c r="T784"/>
  <c r="AQ25"/>
  <c r="BS25" s="1"/>
  <c r="CU10"/>
  <c r="AE13"/>
  <c r="BF13"/>
  <c r="AC88"/>
  <c r="AB122"/>
  <c r="AB120"/>
  <c r="AB909"/>
  <c r="CE122"/>
  <c r="CE120"/>
  <c r="CE909"/>
  <c r="AC669"/>
  <c r="BD669"/>
  <c r="S271"/>
  <c r="AT271"/>
  <c r="CX271"/>
  <c r="Q214"/>
  <c r="AR214"/>
  <c r="AQ208"/>
  <c r="P208"/>
  <c r="Q79"/>
  <c r="AR79"/>
  <c r="P122"/>
  <c r="AQ122"/>
  <c r="BS79"/>
  <c r="CT98"/>
  <c r="T7"/>
  <c r="AU7"/>
  <c r="CA915"/>
  <c r="BZ915"/>
  <c r="Z915"/>
  <c r="BB476"/>
  <c r="Z519"/>
  <c r="AA476"/>
  <c r="BU270"/>
  <c r="BT270"/>
  <c r="AN749"/>
  <c r="DG568"/>
  <c r="CT692"/>
  <c r="DL153"/>
  <c r="DL190" s="1"/>
  <c r="AF190"/>
  <c r="CT368"/>
  <c r="AA149"/>
  <c r="BD149" s="1"/>
  <c r="Z82"/>
  <c r="CU91"/>
  <c r="CT47"/>
  <c r="AC341"/>
  <c r="BD341"/>
  <c r="AB355"/>
  <c r="CF355"/>
  <c r="AC671"/>
  <c r="AB685"/>
  <c r="CF685"/>
  <c r="AB715"/>
  <c r="AC479"/>
  <c r="BD479"/>
  <c r="CD479"/>
  <c r="CC479"/>
  <c r="DH599"/>
  <c r="BD617"/>
  <c r="BO749"/>
  <c r="BN780"/>
  <c r="CW171"/>
  <c r="CX139"/>
  <c r="BV139"/>
  <c r="BC487"/>
  <c r="BC517"/>
  <c r="AC473"/>
  <c r="AB487"/>
  <c r="CF487" s="1"/>
  <c r="BD473"/>
  <c r="AB517"/>
  <c r="BC14"/>
  <c r="AB14"/>
  <c r="AA57"/>
  <c r="CA917"/>
  <c r="BZ917"/>
  <c r="CV709"/>
  <c r="CU565"/>
  <c r="CV577"/>
  <c r="CG485"/>
  <c r="CF516"/>
  <c r="DF419"/>
  <c r="CK584"/>
  <c r="Z280"/>
  <c r="BC280" s="1"/>
  <c r="AQ277"/>
  <c r="P277"/>
  <c r="O319"/>
  <c r="S206"/>
  <c r="AT206"/>
  <c r="CT142"/>
  <c r="Z148"/>
  <c r="BC148" s="1"/>
  <c r="DE126"/>
  <c r="DF98"/>
  <c r="DI36"/>
  <c r="BG5"/>
  <c r="AF5"/>
  <c r="AC75"/>
  <c r="BD75"/>
  <c r="AF600"/>
  <c r="BG600"/>
  <c r="DK600"/>
  <c r="AC347"/>
  <c r="BD347"/>
  <c r="BD611"/>
  <c r="AC611"/>
  <c r="CD611"/>
  <c r="CC611"/>
  <c r="BF8"/>
  <c r="AE8"/>
  <c r="BB911"/>
  <c r="BB254"/>
  <c r="BF272"/>
  <c r="AE272"/>
  <c r="CD545"/>
  <c r="CC545"/>
  <c r="BJ56"/>
  <c r="DN22"/>
  <c r="O736"/>
  <c r="EE537"/>
  <c r="AF454"/>
  <c r="AN317"/>
  <c r="BV272"/>
  <c r="BV271"/>
  <c r="BS10"/>
  <c r="BO268"/>
  <c r="BL337"/>
  <c r="DP337" s="1"/>
  <c r="EB337" s="1"/>
  <c r="EG337" s="1"/>
  <c r="Q338" i="3" s="1"/>
  <c r="BG279" i="1"/>
  <c r="EE279"/>
  <c r="AF279"/>
  <c r="CH80"/>
  <c r="AE80"/>
  <c r="BF80"/>
  <c r="DE720"/>
  <c r="DF692"/>
  <c r="R276"/>
  <c r="AS276"/>
  <c r="CM551"/>
  <c r="DO551"/>
  <c r="AB469"/>
  <c r="BE469"/>
  <c r="DI469" s="1"/>
  <c r="AQ470" i="3" s="1"/>
  <c r="CR286" i="1"/>
  <c r="CQ319"/>
  <c r="Q210"/>
  <c r="AR210"/>
  <c r="P223"/>
  <c r="BT223" s="1"/>
  <c r="Q144"/>
  <c r="AR144"/>
  <c r="P148"/>
  <c r="AQ148"/>
  <c r="AD352"/>
  <c r="AC383"/>
  <c r="AC385"/>
  <c r="CD648"/>
  <c r="CE617"/>
  <c r="CE648"/>
  <c r="AB913"/>
  <c r="AC344"/>
  <c r="BD344"/>
  <c r="AB386"/>
  <c r="R286"/>
  <c r="AT286"/>
  <c r="S268"/>
  <c r="AT268"/>
  <c r="CX268" s="1"/>
  <c r="DI168"/>
  <c r="P82"/>
  <c r="AQ82"/>
  <c r="T70"/>
  <c r="AU70"/>
  <c r="S88"/>
  <c r="AU88"/>
  <c r="BV70"/>
  <c r="CX70"/>
  <c r="AP157"/>
  <c r="S140"/>
  <c r="AT140"/>
  <c r="CX140"/>
  <c r="AB138"/>
  <c r="DJ138"/>
  <c r="BE138"/>
  <c r="U74"/>
  <c r="AV74"/>
  <c r="CZ74" s="1"/>
  <c r="BR17"/>
  <c r="BQ17"/>
  <c r="AB25"/>
  <c r="AB55"/>
  <c r="BD413"/>
  <c r="AC413"/>
  <c r="CC544"/>
  <c r="CD544"/>
  <c r="AC407"/>
  <c r="AB421"/>
  <c r="CF421"/>
  <c r="CG421" s="1"/>
  <c r="CH421" s="1"/>
  <c r="AB451"/>
  <c r="BC223"/>
  <c r="BC252"/>
  <c r="BA917"/>
  <c r="BA651"/>
  <c r="AE270"/>
  <c r="BF270"/>
  <c r="CA918"/>
  <c r="BZ918"/>
  <c r="Z918"/>
  <c r="AA674"/>
  <c r="BB674"/>
  <c r="Z717"/>
  <c r="CT277"/>
  <c r="BG910"/>
  <c r="BG189"/>
  <c r="CK72"/>
  <c r="DM71"/>
  <c r="AU73" i="3" s="1"/>
  <c r="BI89" i="1"/>
  <c r="BI120"/>
  <c r="CI71"/>
  <c r="CJ71"/>
  <c r="BF485"/>
  <c r="AD516"/>
  <c r="AF467"/>
  <c r="BG467"/>
  <c r="DK467"/>
  <c r="AE485"/>
  <c r="CW541"/>
  <c r="CT510"/>
  <c r="BL551"/>
  <c r="BL336"/>
  <c r="DP336"/>
  <c r="EB336" s="1"/>
  <c r="EG336" s="1"/>
  <c r="DF301"/>
  <c r="DG313"/>
  <c r="BP287"/>
  <c r="DF899"/>
  <c r="DG303"/>
  <c r="AO320"/>
  <c r="AT204"/>
  <c r="CX204"/>
  <c r="S204"/>
  <c r="AS221"/>
  <c r="AS251" s="1"/>
  <c r="Q251"/>
  <c r="DE443"/>
  <c r="CT428"/>
  <c r="CS456"/>
  <c r="CS458"/>
  <c r="CU355"/>
  <c r="CT76"/>
  <c r="DG181"/>
  <c r="DF169"/>
  <c r="DF194"/>
  <c r="CF47"/>
  <c r="CF61"/>
  <c r="U58"/>
  <c r="DA21"/>
  <c r="FC21" s="1"/>
  <c r="U747"/>
  <c r="Q12"/>
  <c r="AR12"/>
  <c r="P25"/>
  <c r="Q10"/>
  <c r="AR10"/>
  <c r="BH221"/>
  <c r="BG221"/>
  <c r="BF251"/>
  <c r="BF466"/>
  <c r="AE466"/>
  <c r="BN205"/>
  <c r="BO205"/>
  <c r="CT208"/>
  <c r="S205"/>
  <c r="S733" s="1"/>
  <c r="AU733" s="1"/>
  <c r="CY733" s="1"/>
  <c r="AT205"/>
  <c r="CX205" s="1"/>
  <c r="Q83"/>
  <c r="AR83"/>
  <c r="AC471"/>
  <c r="BD471"/>
  <c r="AE7"/>
  <c r="BF7"/>
  <c r="BA915"/>
  <c r="BA519"/>
  <c r="AA914"/>
  <c r="BC410"/>
  <c r="BC914"/>
  <c r="AB410"/>
  <c r="AA453"/>
  <c r="BB914"/>
  <c r="BT73"/>
  <c r="BU73"/>
  <c r="BU6"/>
  <c r="BT6"/>
  <c r="BR215"/>
  <c r="BQ215"/>
  <c r="DD915"/>
  <c r="DE476"/>
  <c r="DE915"/>
  <c r="DD519"/>
  <c r="BI206"/>
  <c r="DM206" s="1"/>
  <c r="AH206"/>
  <c r="CI79"/>
  <c r="CI122"/>
  <c r="CJ79"/>
  <c r="CJ122"/>
  <c r="CI120"/>
  <c r="CJ89"/>
  <c r="CK89" s="1"/>
  <c r="BG211"/>
  <c r="BG253" s="1"/>
  <c r="AE253"/>
  <c r="AF211"/>
  <c r="CT673"/>
  <c r="CV369"/>
  <c r="BD494"/>
  <c r="BE494" s="1"/>
  <c r="BC524"/>
  <c r="DG494"/>
  <c r="CE494"/>
  <c r="DF524"/>
  <c r="DL219"/>
  <c r="DL255" s="1"/>
  <c r="AF255"/>
  <c r="CV105"/>
  <c r="CU130"/>
  <c r="AD599"/>
  <c r="BE599"/>
  <c r="DI599"/>
  <c r="AC617"/>
  <c r="CQ749"/>
  <c r="CP780"/>
  <c r="DF428"/>
  <c r="DG428" s="1"/>
  <c r="DE456"/>
  <c r="DE458"/>
  <c r="T139"/>
  <c r="AU139"/>
  <c r="BU74"/>
  <c r="BT74"/>
  <c r="BC121"/>
  <c r="BC91"/>
  <c r="CE91"/>
  <c r="AC77"/>
  <c r="AB91"/>
  <c r="CF91" s="1"/>
  <c r="CG91" s="1"/>
  <c r="AB121"/>
  <c r="BD77"/>
  <c r="CC77"/>
  <c r="CE121"/>
  <c r="CD77"/>
  <c r="AC539"/>
  <c r="BD539"/>
  <c r="AB553"/>
  <c r="CF553"/>
  <c r="BC553"/>
  <c r="AC405"/>
  <c r="AD4"/>
  <c r="BG4"/>
  <c r="BB908"/>
  <c r="BB57"/>
  <c r="AA221"/>
  <c r="AA251" s="1"/>
  <c r="Z251"/>
  <c r="AI535"/>
  <c r="BJ535"/>
  <c r="DN535" s="1"/>
  <c r="AF482"/>
  <c r="DL482" s="1"/>
  <c r="DK482"/>
  <c r="CU303"/>
  <c r="CV303" s="1"/>
  <c r="CW303" s="1"/>
  <c r="CX303" s="1"/>
  <c r="CY303" s="1"/>
  <c r="CZ303" s="1"/>
  <c r="DA303" s="1"/>
  <c r="DK352"/>
  <c r="DG675"/>
  <c r="BI343"/>
  <c r="BI385"/>
  <c r="AF470"/>
  <c r="BG470"/>
  <c r="DF367"/>
  <c r="DG379"/>
  <c r="N320"/>
  <c r="AP279"/>
  <c r="AP320" s="1"/>
  <c r="AQ278"/>
  <c r="BS278" s="1"/>
  <c r="O279"/>
  <c r="P278"/>
  <c r="AR278"/>
  <c r="T270"/>
  <c r="AU270"/>
  <c r="CY270"/>
  <c r="DG192"/>
  <c r="DH164"/>
  <c r="DI164" s="1"/>
  <c r="Q215"/>
  <c r="AR215"/>
  <c r="BT221"/>
  <c r="AR251"/>
  <c r="DF296"/>
  <c r="DE323"/>
  <c r="DE325"/>
  <c r="P142"/>
  <c r="AR142"/>
  <c r="AQ142"/>
  <c r="T73"/>
  <c r="U73" s="1"/>
  <c r="AU73"/>
  <c r="Q16"/>
  <c r="AS16"/>
  <c r="AR16"/>
  <c r="CC75"/>
  <c r="CD75"/>
  <c r="BG598"/>
  <c r="DK598" s="1"/>
  <c r="AF598"/>
  <c r="BH598" s="1"/>
  <c r="DL598" s="1"/>
  <c r="BD603"/>
  <c r="AC603"/>
  <c r="AD603" s="1"/>
  <c r="T6"/>
  <c r="AU6"/>
  <c r="CD347"/>
  <c r="CC347"/>
  <c r="AA911"/>
  <c r="AB212"/>
  <c r="BC212"/>
  <c r="BC254" s="1"/>
  <c r="AA254"/>
  <c r="BF268"/>
  <c r="AE268"/>
  <c r="T202"/>
  <c r="U202"/>
  <c r="AU202"/>
  <c r="CY202"/>
  <c r="DF368"/>
  <c r="CT296"/>
  <c r="CU296" s="1"/>
  <c r="CS323"/>
  <c r="DL87"/>
  <c r="AF124"/>
  <c r="DF221"/>
  <c r="DG221"/>
  <c r="DH221" s="1"/>
  <c r="DI221" s="1"/>
  <c r="DJ221" s="1"/>
  <c r="DK221" s="1"/>
  <c r="DL221" s="1"/>
  <c r="DM221" s="1"/>
  <c r="EB221" s="1"/>
  <c r="EG221" s="1"/>
  <c r="CE223"/>
  <c r="BD9"/>
  <c r="BE10"/>
  <c r="BE53" s="1"/>
  <c r="R733"/>
  <c r="BE149"/>
  <c r="BD82"/>
  <c r="BV268"/>
  <c r="BT268"/>
  <c r="BD280"/>
  <c r="CH280" s="1"/>
  <c r="BV269"/>
  <c r="BU269" s="1"/>
  <c r="BV203"/>
  <c r="BU203" s="1"/>
  <c r="BS142"/>
  <c r="BQ142" s="1"/>
  <c r="BD148"/>
  <c r="O742"/>
  <c r="CH7"/>
  <c r="CG7" s="1"/>
  <c r="BR142"/>
  <c r="EE280"/>
  <c r="DG368"/>
  <c r="BU268"/>
  <c r="EE9"/>
  <c r="AB911"/>
  <c r="AC212"/>
  <c r="BD212"/>
  <c r="AB254"/>
  <c r="CY6"/>
  <c r="AV6"/>
  <c r="CZ6" s="1"/>
  <c r="U6"/>
  <c r="R16"/>
  <c r="CY73"/>
  <c r="DG296"/>
  <c r="DF323"/>
  <c r="BU221"/>
  <c r="BT251"/>
  <c r="R215"/>
  <c r="AS215"/>
  <c r="DH192"/>
  <c r="Q278"/>
  <c r="P279"/>
  <c r="DG367"/>
  <c r="DH379"/>
  <c r="DH675"/>
  <c r="AJ535"/>
  <c r="BK535"/>
  <c r="DO535"/>
  <c r="AB221"/>
  <c r="BD553"/>
  <c r="AC91"/>
  <c r="AD77"/>
  <c r="CH77"/>
  <c r="AC121"/>
  <c r="BE77"/>
  <c r="BE121" s="1"/>
  <c r="CY139"/>
  <c r="DF456"/>
  <c r="BE617"/>
  <c r="BE648" s="1"/>
  <c r="BF599"/>
  <c r="AD617"/>
  <c r="AE599"/>
  <c r="AE617" s="1"/>
  <c r="CE524"/>
  <c r="DH494"/>
  <c r="CF494"/>
  <c r="BD524"/>
  <c r="CW369"/>
  <c r="CU673"/>
  <c r="CJ120"/>
  <c r="BG7"/>
  <c r="AF7"/>
  <c r="BI221"/>
  <c r="BI251"/>
  <c r="BH251"/>
  <c r="AR25"/>
  <c r="DA747"/>
  <c r="EA747"/>
  <c r="U784"/>
  <c r="CV355"/>
  <c r="CT458"/>
  <c r="CU428"/>
  <c r="CV428" s="1"/>
  <c r="CT456"/>
  <c r="DH313"/>
  <c r="DI313"/>
  <c r="DG301"/>
  <c r="CX541"/>
  <c r="BG485"/>
  <c r="AE516"/>
  <c r="AG467"/>
  <c r="BH467"/>
  <c r="DL467"/>
  <c r="AF485"/>
  <c r="AF516"/>
  <c r="BB918"/>
  <c r="BB717"/>
  <c r="AD407"/>
  <c r="AC421"/>
  <c r="AC451"/>
  <c r="EE138"/>
  <c r="AA138"/>
  <c r="BD138"/>
  <c r="CH138" s="1"/>
  <c r="CF138" s="1"/>
  <c r="DI138"/>
  <c r="AU140"/>
  <c r="T140"/>
  <c r="BU70"/>
  <c r="BT70"/>
  <c r="CY70"/>
  <c r="AV70"/>
  <c r="CZ70" s="1"/>
  <c r="T88"/>
  <c r="AV88" s="1"/>
  <c r="BX88" s="1"/>
  <c r="U70"/>
  <c r="Q82"/>
  <c r="AS82"/>
  <c r="AR82"/>
  <c r="AC913"/>
  <c r="AD344"/>
  <c r="BE344"/>
  <c r="BE913" s="1"/>
  <c r="AC386"/>
  <c r="AE352"/>
  <c r="AF352"/>
  <c r="AD385"/>
  <c r="AR223"/>
  <c r="DG692"/>
  <c r="DF720"/>
  <c r="CG80"/>
  <c r="CF80"/>
  <c r="AG279"/>
  <c r="BH279"/>
  <c r="BR10"/>
  <c r="BQ10"/>
  <c r="AF8"/>
  <c r="AG8"/>
  <c r="BG8"/>
  <c r="DJ8"/>
  <c r="CH8"/>
  <c r="AD347"/>
  <c r="BF347"/>
  <c r="BE347"/>
  <c r="AD75"/>
  <c r="CH75" s="1"/>
  <c r="BE75"/>
  <c r="BH5"/>
  <c r="DL5"/>
  <c r="AG5"/>
  <c r="DG98"/>
  <c r="DG126" s="1"/>
  <c r="Y148"/>
  <c r="BB148" s="1"/>
  <c r="CX206"/>
  <c r="BV206"/>
  <c r="BU206"/>
  <c r="Q277"/>
  <c r="P319"/>
  <c r="AR277"/>
  <c r="CW577"/>
  <c r="CX577" s="1"/>
  <c r="CV565"/>
  <c r="CW709"/>
  <c r="CX709"/>
  <c r="CY709" s="1"/>
  <c r="CZ709" s="1"/>
  <c r="DA709" s="1"/>
  <c r="BC908"/>
  <c r="BP749"/>
  <c r="AD479"/>
  <c r="BE479"/>
  <c r="BD355"/>
  <c r="CU47"/>
  <c r="Y82"/>
  <c r="BB82"/>
  <c r="EE149"/>
  <c r="EO174" s="1"/>
  <c r="CU368"/>
  <c r="DH568"/>
  <c r="AA915"/>
  <c r="BC476"/>
  <c r="AB476"/>
  <c r="BD476" s="1"/>
  <c r="AA519"/>
  <c r="BB915"/>
  <c r="BB519"/>
  <c r="CY7"/>
  <c r="CU98"/>
  <c r="CU126"/>
  <c r="CT126"/>
  <c r="AR122"/>
  <c r="Q208"/>
  <c r="AR208"/>
  <c r="BE669"/>
  <c r="AD669"/>
  <c r="CD909"/>
  <c r="CC909"/>
  <c r="AF13"/>
  <c r="AG13"/>
  <c r="BI13" s="1"/>
  <c r="BI56" s="1"/>
  <c r="BG13"/>
  <c r="EE13"/>
  <c r="EE56" s="1"/>
  <c r="DG910"/>
  <c r="DG158"/>
  <c r="DH146"/>
  <c r="DI146"/>
  <c r="DG189"/>
  <c r="CU76"/>
  <c r="BU72"/>
  <c r="BT72"/>
  <c r="AV72"/>
  <c r="CZ72" s="1"/>
  <c r="U72"/>
  <c r="AW72" s="1"/>
  <c r="AT221"/>
  <c r="AT251" s="1"/>
  <c r="R251"/>
  <c r="BU287"/>
  <c r="AT287"/>
  <c r="R317"/>
  <c r="T269"/>
  <c r="U269"/>
  <c r="AU269"/>
  <c r="S287"/>
  <c r="S317" s="1"/>
  <c r="AB402"/>
  <c r="BE402" s="1"/>
  <c r="DI402" s="1"/>
  <c r="CR317"/>
  <c r="AJ202"/>
  <c r="BK202"/>
  <c r="DO202" s="1"/>
  <c r="BI146"/>
  <c r="AG189"/>
  <c r="DH511"/>
  <c r="DG499"/>
  <c r="DG524"/>
  <c r="AC289"/>
  <c r="AD275"/>
  <c r="AD209"/>
  <c r="AC252"/>
  <c r="AC223"/>
  <c r="AD544"/>
  <c r="BE544"/>
  <c r="AA55"/>
  <c r="AA25"/>
  <c r="EE10"/>
  <c r="R17"/>
  <c r="AS17"/>
  <c r="AA74"/>
  <c r="BD74" s="1"/>
  <c r="DI74"/>
  <c r="CU476"/>
  <c r="CV476"/>
  <c r="CW476" s="1"/>
  <c r="CX476" s="1"/>
  <c r="CY476" s="1"/>
  <c r="CZ476" s="1"/>
  <c r="DA476" s="1"/>
  <c r="EA476" s="1"/>
  <c r="DH643"/>
  <c r="DI643"/>
  <c r="DG631"/>
  <c r="CD121"/>
  <c r="CC121"/>
  <c r="BV205"/>
  <c r="BV204"/>
  <c r="BT204" s="1"/>
  <c r="BS82"/>
  <c r="EE82"/>
  <c r="CT323"/>
  <c r="AV202"/>
  <c r="CZ202"/>
  <c r="BG268"/>
  <c r="DK268"/>
  <c r="AF268"/>
  <c r="BH268"/>
  <c r="DL268" s="1"/>
  <c r="BC911"/>
  <c r="BE603"/>
  <c r="AG598"/>
  <c r="AH598" s="1"/>
  <c r="AV73"/>
  <c r="CZ73" s="1"/>
  <c r="CU142"/>
  <c r="Q142"/>
  <c r="R142"/>
  <c r="U270"/>
  <c r="AW270"/>
  <c r="AV270"/>
  <c r="CZ270"/>
  <c r="AQ279"/>
  <c r="AQ320"/>
  <c r="O320"/>
  <c r="AG470"/>
  <c r="AH470" s="1"/>
  <c r="BH470"/>
  <c r="DL470" s="1"/>
  <c r="DL352"/>
  <c r="DM352" s="1"/>
  <c r="EB352" s="1"/>
  <c r="Q343" i="3" s="1"/>
  <c r="AC4" i="1"/>
  <c r="BF4"/>
  <c r="AD405"/>
  <c r="AC553"/>
  <c r="AD539"/>
  <c r="BE539"/>
  <c r="BE553"/>
  <c r="BD121"/>
  <c r="BD91"/>
  <c r="U139"/>
  <c r="AW139"/>
  <c r="AV139"/>
  <c r="CZ139"/>
  <c r="CR749"/>
  <c r="CV130"/>
  <c r="CW105"/>
  <c r="CX105"/>
  <c r="AG211"/>
  <c r="BH211"/>
  <c r="BH253" s="1"/>
  <c r="AF253"/>
  <c r="AI206"/>
  <c r="BK206"/>
  <c r="DO206" s="1"/>
  <c r="BJ206"/>
  <c r="DN206" s="1"/>
  <c r="AB914"/>
  <c r="BD410"/>
  <c r="AC410"/>
  <c r="AC914"/>
  <c r="BE471"/>
  <c r="AD471"/>
  <c r="R83"/>
  <c r="AT83"/>
  <c r="AS83"/>
  <c r="BV83" s="1"/>
  <c r="T205"/>
  <c r="U205"/>
  <c r="AU205"/>
  <c r="AF466"/>
  <c r="AG466" s="1"/>
  <c r="BG466"/>
  <c r="DK466"/>
  <c r="CV10"/>
  <c r="AS10"/>
  <c r="CW10" s="1"/>
  <c r="R10"/>
  <c r="AT10" s="1"/>
  <c r="BT25"/>
  <c r="R12"/>
  <c r="AT12"/>
  <c r="AS12"/>
  <c r="Q25"/>
  <c r="EA21"/>
  <c r="DA58"/>
  <c r="DH181"/>
  <c r="DH169"/>
  <c r="DH194" s="1"/>
  <c r="DG169"/>
  <c r="DG194" s="1"/>
  <c r="DF443"/>
  <c r="DG443" s="1"/>
  <c r="DH443" s="1"/>
  <c r="DI443" s="1"/>
  <c r="DJ443" s="1"/>
  <c r="DK443" s="1"/>
  <c r="T204"/>
  <c r="AU204"/>
  <c r="DH303"/>
  <c r="DG899"/>
  <c r="CU510"/>
  <c r="CV510" s="1"/>
  <c r="CW510" s="1"/>
  <c r="CX510" s="1"/>
  <c r="CY510" s="1"/>
  <c r="CZ510" s="1"/>
  <c r="DA510" s="1"/>
  <c r="CJ72"/>
  <c r="CI72"/>
  <c r="CU277"/>
  <c r="AA918"/>
  <c r="AA717"/>
  <c r="BC674"/>
  <c r="AB674"/>
  <c r="AB918" s="1"/>
  <c r="BG270"/>
  <c r="DK270"/>
  <c r="AF270"/>
  <c r="AD413"/>
  <c r="AE413" s="1"/>
  <c r="BE413"/>
  <c r="CF25"/>
  <c r="V74"/>
  <c r="AW74"/>
  <c r="DA74"/>
  <c r="DJ168"/>
  <c r="DK168"/>
  <c r="T268"/>
  <c r="AV268"/>
  <c r="AU268"/>
  <c r="S286"/>
  <c r="AU286" s="1"/>
  <c r="BD913"/>
  <c r="BD386"/>
  <c r="Q148"/>
  <c r="AS148" s="1"/>
  <c r="AR148"/>
  <c r="R144"/>
  <c r="AT144"/>
  <c r="AS144"/>
  <c r="R210"/>
  <c r="S210" s="1"/>
  <c r="AS210"/>
  <c r="Q223"/>
  <c r="CS286"/>
  <c r="CS319" s="1"/>
  <c r="CR319"/>
  <c r="AA469"/>
  <c r="BD469"/>
  <c r="DH469" s="1"/>
  <c r="AP470" i="3" s="1"/>
  <c r="EE469" i="1"/>
  <c r="DP551"/>
  <c r="CN551"/>
  <c r="S276"/>
  <c r="AU276"/>
  <c r="AT276"/>
  <c r="AF80"/>
  <c r="BH80" s="1"/>
  <c r="BG80"/>
  <c r="EE80"/>
  <c r="EO105" s="1"/>
  <c r="BT271"/>
  <c r="BU271"/>
  <c r="BT272"/>
  <c r="BU272"/>
  <c r="AQ736"/>
  <c r="DO22"/>
  <c r="DO908" s="1"/>
  <c r="DN56"/>
  <c r="DN908"/>
  <c r="BG272"/>
  <c r="DK272"/>
  <c r="AF272"/>
  <c r="AD611"/>
  <c r="CH611"/>
  <c r="BE611"/>
  <c r="AG600"/>
  <c r="BH600"/>
  <c r="DL600"/>
  <c r="DK5"/>
  <c r="DJ36"/>
  <c r="DK36" s="1"/>
  <c r="T206"/>
  <c r="AV206" s="1"/>
  <c r="AU206"/>
  <c r="BS277"/>
  <c r="BQ277"/>
  <c r="Y280"/>
  <c r="BB280"/>
  <c r="DG419"/>
  <c r="CH485"/>
  <c r="CG516"/>
  <c r="BD14"/>
  <c r="AC14"/>
  <c r="BE14"/>
  <c r="BD487"/>
  <c r="BD517"/>
  <c r="AD473"/>
  <c r="AC487"/>
  <c r="AC517"/>
  <c r="BE473"/>
  <c r="BT139"/>
  <c r="BU139"/>
  <c r="CX171"/>
  <c r="CY171"/>
  <c r="CZ171" s="1"/>
  <c r="DA171" s="1"/>
  <c r="CF617"/>
  <c r="CF648"/>
  <c r="BD648"/>
  <c r="AD671"/>
  <c r="AC715"/>
  <c r="AC685"/>
  <c r="AC355"/>
  <c r="AD341"/>
  <c r="BE341"/>
  <c r="BE355"/>
  <c r="CV91"/>
  <c r="CW91"/>
  <c r="CX91" s="1"/>
  <c r="CY91" s="1"/>
  <c r="CZ91" s="1"/>
  <c r="DA91" s="1"/>
  <c r="Z149"/>
  <c r="BC149"/>
  <c r="CU692"/>
  <c r="EF143"/>
  <c r="U7"/>
  <c r="V7" s="1"/>
  <c r="AV7"/>
  <c r="CZ7" s="1"/>
  <c r="BR79"/>
  <c r="BQ79"/>
  <c r="BQ122"/>
  <c r="AS79"/>
  <c r="AS122"/>
  <c r="Q122"/>
  <c r="R79"/>
  <c r="AT79" s="1"/>
  <c r="CU208"/>
  <c r="R214"/>
  <c r="AT214"/>
  <c r="AS214"/>
  <c r="BV214" s="1"/>
  <c r="T271"/>
  <c r="AV271"/>
  <c r="CZ271" s="1"/>
  <c r="AU271"/>
  <c r="CY271" s="1"/>
  <c r="AC120"/>
  <c r="AD88"/>
  <c r="CH88"/>
  <c r="AC122"/>
  <c r="AC909"/>
  <c r="AR76"/>
  <c r="Q76"/>
  <c r="R76" s="1"/>
  <c r="CY72"/>
  <c r="P149"/>
  <c r="Q149"/>
  <c r="AQ149"/>
  <c r="BS149"/>
  <c r="O743"/>
  <c r="AQ743"/>
  <c r="T203"/>
  <c r="AV203"/>
  <c r="AU203"/>
  <c r="S221"/>
  <c r="S251" s="1"/>
  <c r="AB204"/>
  <c r="BE204" s="1"/>
  <c r="DI204" s="1"/>
  <c r="T272"/>
  <c r="AU272"/>
  <c r="CY272"/>
  <c r="CV433"/>
  <c r="CW445"/>
  <c r="CW433" s="1"/>
  <c r="DH445"/>
  <c r="DI445" s="1"/>
  <c r="DG433"/>
  <c r="BJ220"/>
  <c r="EE220" s="1"/>
  <c r="E211" i="3" s="1"/>
  <c r="AH253" i="1"/>
  <c r="Q280"/>
  <c r="AR280"/>
  <c r="R281"/>
  <c r="AS281"/>
  <c r="BK71"/>
  <c r="DO71"/>
  <c r="AI89"/>
  <c r="AJ71"/>
  <c r="BL71" s="1"/>
  <c r="BJ89"/>
  <c r="EE89" s="1"/>
  <c r="BB917"/>
  <c r="BB651"/>
  <c r="AA53"/>
  <c r="Z11"/>
  <c r="Y9"/>
  <c r="BB9"/>
  <c r="Z10"/>
  <c r="Z53"/>
  <c r="DG47"/>
  <c r="AN13" i="3"/>
  <c r="AR143" i="1"/>
  <c r="Q143"/>
  <c r="R143" s="1"/>
  <c r="P157"/>
  <c r="BT157" s="1"/>
  <c r="CV180"/>
  <c r="CW180" s="1"/>
  <c r="CX180" s="1"/>
  <c r="CY180" s="1"/>
  <c r="CZ180" s="1"/>
  <c r="DA180" s="1"/>
  <c r="CS221"/>
  <c r="CT221" s="1"/>
  <c r="CR251"/>
  <c r="DG212"/>
  <c r="DH212"/>
  <c r="DI212" s="1"/>
  <c r="DJ212" s="1"/>
  <c r="BE207"/>
  <c r="AD207"/>
  <c r="AE207" s="1"/>
  <c r="CU419"/>
  <c r="CV419" s="1"/>
  <c r="CT450"/>
  <c r="BK137"/>
  <c r="DO137"/>
  <c r="AJ137"/>
  <c r="DF908"/>
  <c r="DG14"/>
  <c r="DG908"/>
  <c r="P736"/>
  <c r="AR736"/>
  <c r="BV140"/>
  <c r="BT140"/>
  <c r="BC82"/>
  <c r="BF402"/>
  <c r="DJ402" s="1"/>
  <c r="DI10"/>
  <c r="BS76"/>
  <c r="BQ76"/>
  <c r="BS208"/>
  <c r="EE74"/>
  <c r="E75" i="3" s="1"/>
  <c r="CU450" i="1"/>
  <c r="AR157"/>
  <c r="Y11"/>
  <c r="Y25" s="1"/>
  <c r="DH433"/>
  <c r="AA204"/>
  <c r="BD204"/>
  <c r="DH204" s="1"/>
  <c r="AS76"/>
  <c r="CW76" s="1"/>
  <c r="R122"/>
  <c r="CV692"/>
  <c r="CV720"/>
  <c r="CG617"/>
  <c r="AE473"/>
  <c r="AE517" s="1"/>
  <c r="AD487"/>
  <c r="BF473"/>
  <c r="DH419"/>
  <c r="U206"/>
  <c r="V206" s="1"/>
  <c r="CU736"/>
  <c r="Z469"/>
  <c r="CT286"/>
  <c r="AT210"/>
  <c r="AT223" s="1"/>
  <c r="U268"/>
  <c r="V268" s="1"/>
  <c r="W74"/>
  <c r="AX74"/>
  <c r="DB74"/>
  <c r="AJ75" i="3" s="1"/>
  <c r="BF413" i="1"/>
  <c r="BH270"/>
  <c r="DL270"/>
  <c r="AG270"/>
  <c r="BC918"/>
  <c r="BC717"/>
  <c r="DI181"/>
  <c r="DI169" s="1"/>
  <c r="S12"/>
  <c r="T12"/>
  <c r="S10"/>
  <c r="BH466"/>
  <c r="DL466" s="1"/>
  <c r="AV205"/>
  <c r="CZ205" s="1"/>
  <c r="BD914"/>
  <c r="CW130"/>
  <c r="V139"/>
  <c r="AE405"/>
  <c r="AF405"/>
  <c r="AG405" s="1"/>
  <c r="BI470"/>
  <c r="DM470" s="1"/>
  <c r="AS142"/>
  <c r="CW142" s="1"/>
  <c r="BI598"/>
  <c r="DM598" s="1"/>
  <c r="DH631"/>
  <c r="AE275"/>
  <c r="AD289"/>
  <c r="BK220"/>
  <c r="BK253" s="1"/>
  <c r="BL202"/>
  <c r="DP202"/>
  <c r="EB202" s="1"/>
  <c r="EG202" s="1"/>
  <c r="CY269"/>
  <c r="V72"/>
  <c r="AX72"/>
  <c r="DB72" s="1"/>
  <c r="BH13"/>
  <c r="BH56" s="1"/>
  <c r="BF669"/>
  <c r="CV208"/>
  <c r="AB915"/>
  <c r="AC476"/>
  <c r="AD476"/>
  <c r="CV368"/>
  <c r="X82"/>
  <c r="BA82" s="1"/>
  <c r="CW565"/>
  <c r="BT206"/>
  <c r="X148"/>
  <c r="DH98"/>
  <c r="DI98"/>
  <c r="BI5"/>
  <c r="AH5"/>
  <c r="AI5" s="1"/>
  <c r="AE75"/>
  <c r="AF75" s="1"/>
  <c r="CF8"/>
  <c r="CG8"/>
  <c r="DK8"/>
  <c r="BI279"/>
  <c r="DG720"/>
  <c r="DH692"/>
  <c r="AE385"/>
  <c r="R82"/>
  <c r="S82"/>
  <c r="V70"/>
  <c r="AX70"/>
  <c r="DB70" s="1"/>
  <c r="AW70"/>
  <c r="DA70" s="1"/>
  <c r="U88"/>
  <c r="AW88" s="1"/>
  <c r="U140"/>
  <c r="AV140"/>
  <c r="CZ140"/>
  <c r="CY140"/>
  <c r="Z138"/>
  <c r="BC138" s="1"/>
  <c r="DG138" s="1"/>
  <c r="AE407"/>
  <c r="AE421"/>
  <c r="CI421" s="1"/>
  <c r="EF407"/>
  <c r="AD421"/>
  <c r="AD451"/>
  <c r="DH301"/>
  <c r="CU456"/>
  <c r="CW355"/>
  <c r="CX355"/>
  <c r="CY355" s="1"/>
  <c r="CZ355" s="1"/>
  <c r="DA355" s="1"/>
  <c r="AG7"/>
  <c r="BH7"/>
  <c r="DL7"/>
  <c r="CV673"/>
  <c r="CX369"/>
  <c r="AF599"/>
  <c r="BH599" s="1"/>
  <c r="DL599" s="1"/>
  <c r="AT601" i="3" s="1"/>
  <c r="BG599" i="1"/>
  <c r="BE91"/>
  <c r="CH79"/>
  <c r="CG79" s="1"/>
  <c r="CG122" s="1"/>
  <c r="AE77"/>
  <c r="AE91"/>
  <c r="CI91" s="1"/>
  <c r="AD91"/>
  <c r="BL535"/>
  <c r="DP535"/>
  <c r="EB535" s="1"/>
  <c r="EG535" s="1"/>
  <c r="Q536" i="3" s="1"/>
  <c r="DI675" i="1"/>
  <c r="DG323"/>
  <c r="DG325"/>
  <c r="DH296"/>
  <c r="DH325" s="1"/>
  <c r="V6"/>
  <c r="AW6"/>
  <c r="DA6"/>
  <c r="AC911"/>
  <c r="BE212"/>
  <c r="AD212"/>
  <c r="AC254"/>
  <c r="DH368"/>
  <c r="DI368"/>
  <c r="DJ368" s="1"/>
  <c r="DK368" s="1"/>
  <c r="BR208"/>
  <c r="BQ208"/>
  <c r="BL137"/>
  <c r="DP137" s="1"/>
  <c r="EB137" s="1"/>
  <c r="EG137" s="1"/>
  <c r="Q139" i="3" s="1"/>
  <c r="CS251" i="1"/>
  <c r="AS143"/>
  <c r="AS157"/>
  <c r="Q157"/>
  <c r="Z25"/>
  <c r="DN89"/>
  <c r="DO89" s="1"/>
  <c r="DP89" s="1"/>
  <c r="DP120" s="1"/>
  <c r="CL89"/>
  <c r="BJ120"/>
  <c r="AJ89"/>
  <c r="AJ120" s="1"/>
  <c r="BK89"/>
  <c r="BK120" s="1"/>
  <c r="S281"/>
  <c r="AT281"/>
  <c r="R280"/>
  <c r="AT280" s="1"/>
  <c r="AS280"/>
  <c r="DN220"/>
  <c r="BJ253"/>
  <c r="EF220"/>
  <c r="CX445"/>
  <c r="CY445"/>
  <c r="U272"/>
  <c r="AV272"/>
  <c r="CZ272" s="1"/>
  <c r="AU221"/>
  <c r="CY203"/>
  <c r="AR149"/>
  <c r="CV76"/>
  <c r="AE88"/>
  <c r="AF88"/>
  <c r="AD909"/>
  <c r="U271"/>
  <c r="AW271" s="1"/>
  <c r="DA271" s="1"/>
  <c r="S214"/>
  <c r="AU214"/>
  <c r="AW7"/>
  <c r="DA7"/>
  <c r="Y149"/>
  <c r="AD355"/>
  <c r="AE341"/>
  <c r="AF341"/>
  <c r="AE671"/>
  <c r="AF671"/>
  <c r="AD715"/>
  <c r="BE487"/>
  <c r="BE517"/>
  <c r="BD908"/>
  <c r="CY206"/>
  <c r="AH600"/>
  <c r="BJ600" s="1"/>
  <c r="BH272"/>
  <c r="DL272"/>
  <c r="AG272"/>
  <c r="T276"/>
  <c r="AV276" s="1"/>
  <c r="AS223"/>
  <c r="S144"/>
  <c r="T144"/>
  <c r="R148"/>
  <c r="S148"/>
  <c r="CY268"/>
  <c r="AC674"/>
  <c r="AD674" s="1"/>
  <c r="CV277"/>
  <c r="DH899"/>
  <c r="DI303"/>
  <c r="DJ303" s="1"/>
  <c r="CY204"/>
  <c r="AV204"/>
  <c r="CZ204"/>
  <c r="U204"/>
  <c r="AW204"/>
  <c r="AS25"/>
  <c r="BU25"/>
  <c r="CY205"/>
  <c r="BF471"/>
  <c r="BF517" s="1"/>
  <c r="AE471"/>
  <c r="BG471"/>
  <c r="BE410"/>
  <c r="BE914"/>
  <c r="AJ206"/>
  <c r="BL206"/>
  <c r="DP206" s="1"/>
  <c r="EB206" s="1"/>
  <c r="EG206" s="1"/>
  <c r="Q207" i="3" s="1"/>
  <c r="L207" s="1"/>
  <c r="BI211" i="1"/>
  <c r="BI253" s="1"/>
  <c r="AG253"/>
  <c r="CS749"/>
  <c r="AE539"/>
  <c r="AF539"/>
  <c r="AD553"/>
  <c r="V270"/>
  <c r="W270" s="1"/>
  <c r="AG268"/>
  <c r="BR82"/>
  <c r="BQ82"/>
  <c r="BU204"/>
  <c r="BT205"/>
  <c r="BU205"/>
  <c r="Z74"/>
  <c r="BB74" s="1"/>
  <c r="DF74" s="1"/>
  <c r="AN75" i="3" s="1"/>
  <c r="S17" i="1"/>
  <c r="AU17"/>
  <c r="AT17"/>
  <c r="AE544"/>
  <c r="BG544"/>
  <c r="EE544"/>
  <c r="CH544"/>
  <c r="BF544"/>
  <c r="DH499"/>
  <c r="DH524" s="1"/>
  <c r="DI511"/>
  <c r="DI499" s="1"/>
  <c r="BI910"/>
  <c r="BI189"/>
  <c r="AA402"/>
  <c r="AU287"/>
  <c r="AV269"/>
  <c r="CZ269" s="1"/>
  <c r="T287"/>
  <c r="AV287" s="1"/>
  <c r="BV287"/>
  <c r="DH158"/>
  <c r="DH189"/>
  <c r="AS208"/>
  <c r="CW208" s="1"/>
  <c r="R208"/>
  <c r="BC915"/>
  <c r="BC519"/>
  <c r="DI568"/>
  <c r="CV47"/>
  <c r="CH479"/>
  <c r="CF479"/>
  <c r="AE479"/>
  <c r="AF479"/>
  <c r="BF479"/>
  <c r="AR319"/>
  <c r="AS277"/>
  <c r="AS319"/>
  <c r="R277"/>
  <c r="R319"/>
  <c r="Q319"/>
  <c r="AE347"/>
  <c r="BG347" s="1"/>
  <c r="EE347"/>
  <c r="EL372" s="1"/>
  <c r="EQ372" s="1"/>
  <c r="CH347"/>
  <c r="CG347"/>
  <c r="BH8"/>
  <c r="DL8"/>
  <c r="AD913"/>
  <c r="AE344"/>
  <c r="AF344"/>
  <c r="BF344"/>
  <c r="BH485"/>
  <c r="BH516"/>
  <c r="AH467"/>
  <c r="AI467"/>
  <c r="BI467"/>
  <c r="DM467"/>
  <c r="AG485"/>
  <c r="BI485"/>
  <c r="BI516" s="1"/>
  <c r="CI485"/>
  <c r="BG516"/>
  <c r="CY541"/>
  <c r="CZ541"/>
  <c r="DA541" s="1"/>
  <c r="EA541" s="1"/>
  <c r="DK7"/>
  <c r="BF617"/>
  <c r="AC221"/>
  <c r="AD221"/>
  <c r="AB251"/>
  <c r="DI379"/>
  <c r="DI367" s="1"/>
  <c r="DH367"/>
  <c r="P320"/>
  <c r="AR279"/>
  <c r="AR320" s="1"/>
  <c r="AS278"/>
  <c r="Q279"/>
  <c r="R278"/>
  <c r="AT278"/>
  <c r="BV278" s="1"/>
  <c r="S215"/>
  <c r="T215" s="1"/>
  <c r="AT215"/>
  <c r="BV215" s="1"/>
  <c r="BV221"/>
  <c r="BV251" s="1"/>
  <c r="BU251"/>
  <c r="S16"/>
  <c r="T16"/>
  <c r="AT16"/>
  <c r="R742"/>
  <c r="BD911"/>
  <c r="BD254"/>
  <c r="S278"/>
  <c r="S279"/>
  <c r="S320" s="1"/>
  <c r="BJ467"/>
  <c r="DN467" s="1"/>
  <c r="CG479"/>
  <c r="Z402"/>
  <c r="BC402"/>
  <c r="DG402" s="1"/>
  <c r="AF544"/>
  <c r="AG544" s="1"/>
  <c r="T17"/>
  <c r="U17"/>
  <c r="AW17" s="1"/>
  <c r="AX270"/>
  <c r="AE553"/>
  <c r="CI553" s="1"/>
  <c r="AC717"/>
  <c r="AU144"/>
  <c r="X149"/>
  <c r="V271"/>
  <c r="AX271"/>
  <c r="DB271" s="1"/>
  <c r="AJ272" i="3" s="1"/>
  <c r="AE909" i="1"/>
  <c r="S280"/>
  <c r="AU280" s="1"/>
  <c r="T281"/>
  <c r="AV281" s="1"/>
  <c r="AU281"/>
  <c r="DN120"/>
  <c r="BE911"/>
  <c r="AF77"/>
  <c r="AG77"/>
  <c r="CF79"/>
  <c r="CY369"/>
  <c r="CW673"/>
  <c r="CX673" s="1"/>
  <c r="CY673" s="1"/>
  <c r="CZ673" s="1"/>
  <c r="DA673" s="1"/>
  <c r="EA673" s="1"/>
  <c r="AH7"/>
  <c r="AI7" s="1"/>
  <c r="BI7"/>
  <c r="DM7" s="1"/>
  <c r="Y138"/>
  <c r="BB138" s="1"/>
  <c r="DF138" s="1"/>
  <c r="DI692"/>
  <c r="DH720"/>
  <c r="AH23"/>
  <c r="AH54"/>
  <c r="DM5"/>
  <c r="CK5"/>
  <c r="CI5" s="1"/>
  <c r="W148"/>
  <c r="BE476"/>
  <c r="BE915"/>
  <c r="W72"/>
  <c r="AF275"/>
  <c r="AG275" s="1"/>
  <c r="AE318"/>
  <c r="AE289"/>
  <c r="CI289"/>
  <c r="W139"/>
  <c r="AX139"/>
  <c r="DB139" s="1"/>
  <c r="AJ140" i="3" s="1"/>
  <c r="AU10" i="1"/>
  <c r="CY10"/>
  <c r="T10"/>
  <c r="U10"/>
  <c r="AW10" s="1"/>
  <c r="AU12"/>
  <c r="DJ181"/>
  <c r="DJ169" s="1"/>
  <c r="AZ74"/>
  <c r="DD74" s="1"/>
  <c r="AY74"/>
  <c r="DC74" s="1"/>
  <c r="AK75" i="3" s="1"/>
  <c r="AW268" i="1"/>
  <c r="CT319"/>
  <c r="AW206"/>
  <c r="DA206"/>
  <c r="DI419"/>
  <c r="CH617"/>
  <c r="CG648"/>
  <c r="CW692"/>
  <c r="CX692" s="1"/>
  <c r="Y55"/>
  <c r="BY7"/>
  <c r="BX7"/>
  <c r="AS279"/>
  <c r="Q320"/>
  <c r="CJ485"/>
  <c r="CK485"/>
  <c r="CK516" s="1"/>
  <c r="EE339"/>
  <c r="AE913"/>
  <c r="BG344"/>
  <c r="AF347"/>
  <c r="AG347"/>
  <c r="S277"/>
  <c r="AU277"/>
  <c r="AT277"/>
  <c r="BG479"/>
  <c r="EE479"/>
  <c r="EL504" s="1"/>
  <c r="EQ504" s="1"/>
  <c r="CW47"/>
  <c r="CX47" s="1"/>
  <c r="DJ568"/>
  <c r="DK568" s="1"/>
  <c r="S208"/>
  <c r="AT208"/>
  <c r="BV208"/>
  <c r="BW287"/>
  <c r="BX287" s="1"/>
  <c r="DJ511"/>
  <c r="CF544"/>
  <c r="CG544"/>
  <c r="Y74"/>
  <c r="Y734"/>
  <c r="Z734"/>
  <c r="BI268"/>
  <c r="AH268"/>
  <c r="BJ268"/>
  <c r="DN268" s="1"/>
  <c r="AF471"/>
  <c r="BH471"/>
  <c r="V204"/>
  <c r="AX204"/>
  <c r="DB204" s="1"/>
  <c r="DI899"/>
  <c r="CW277"/>
  <c r="CX277"/>
  <c r="U276"/>
  <c r="AW276"/>
  <c r="BI272"/>
  <c r="DM272"/>
  <c r="AH272"/>
  <c r="AI600"/>
  <c r="AJ600" s="1"/>
  <c r="AE355"/>
  <c r="CI355" s="1"/>
  <c r="BW221"/>
  <c r="AU251"/>
  <c r="V272"/>
  <c r="AX272" s="1"/>
  <c r="DB272" s="1"/>
  <c r="AJ273" i="3" s="1"/>
  <c r="AW272" i="1"/>
  <c r="DA272" s="1"/>
  <c r="CX433"/>
  <c r="BL89"/>
  <c r="BL120"/>
  <c r="CM89"/>
  <c r="CN89"/>
  <c r="CN120" s="1"/>
  <c r="CL120"/>
  <c r="AD911"/>
  <c r="AE212"/>
  <c r="BG212" s="1"/>
  <c r="BF212"/>
  <c r="AX6"/>
  <c r="W6"/>
  <c r="X6" s="1"/>
  <c r="AZ6" s="1"/>
  <c r="AG599"/>
  <c r="AF617"/>
  <c r="AW140"/>
  <c r="DA140"/>
  <c r="V140"/>
  <c r="AX140"/>
  <c r="W70"/>
  <c r="AY70"/>
  <c r="DC70" s="1"/>
  <c r="AT82"/>
  <c r="W82"/>
  <c r="AZ82" s="1"/>
  <c r="CW368"/>
  <c r="BL220"/>
  <c r="BL253"/>
  <c r="BI270"/>
  <c r="DM270" s="1"/>
  <c r="AH270"/>
  <c r="AI270" s="1"/>
  <c r="CB74"/>
  <c r="CA74" s="1"/>
  <c r="Y469"/>
  <c r="BB469" s="1"/>
  <c r="DF469" s="1"/>
  <c r="AN470" i="3" s="1"/>
  <c r="BF487" i="1"/>
  <c r="AF473"/>
  <c r="AG473" s="1"/>
  <c r="BG473"/>
  <c r="EE473"/>
  <c r="BD402"/>
  <c r="EE402"/>
  <c r="BB149"/>
  <c r="BY140"/>
  <c r="BX140" s="1"/>
  <c r="X70"/>
  <c r="AZ70"/>
  <c r="AF212"/>
  <c r="AF911" s="1"/>
  <c r="CM120"/>
  <c r="BJ272"/>
  <c r="AI272"/>
  <c r="BK272" s="1"/>
  <c r="DO272" s="1"/>
  <c r="DJ499"/>
  <c r="DK511"/>
  <c r="AU25"/>
  <c r="X139"/>
  <c r="AZ139" s="1"/>
  <c r="AY139"/>
  <c r="DC139" s="1"/>
  <c r="AK140" i="3" s="1"/>
  <c r="DI720" i="1"/>
  <c r="DJ692"/>
  <c r="BJ7"/>
  <c r="EE7" s="1"/>
  <c r="E8" i="3" s="1"/>
  <c r="CZ369" i="1"/>
  <c r="U281"/>
  <c r="AW281" s="1"/>
  <c r="DB270"/>
  <c r="AV17"/>
  <c r="AU278"/>
  <c r="T278"/>
  <c r="U278"/>
  <c r="DH402"/>
  <c r="AF487"/>
  <c r="V82"/>
  <c r="AX82" s="1"/>
  <c r="BH617"/>
  <c r="BH648" s="1"/>
  <c r="AH599"/>
  <c r="AH617" s="1"/>
  <c r="BI599"/>
  <c r="DB6"/>
  <c r="BF911"/>
  <c r="W272"/>
  <c r="X272"/>
  <c r="AZ272" s="1"/>
  <c r="DD272" s="1"/>
  <c r="BW251"/>
  <c r="W204"/>
  <c r="X204"/>
  <c r="AZ204" s="1"/>
  <c r="DD204" s="1"/>
  <c r="EA204" s="1"/>
  <c r="AG471"/>
  <c r="BI471" s="1"/>
  <c r="AI268"/>
  <c r="AJ268" s="1"/>
  <c r="BA74"/>
  <c r="DE74" s="1"/>
  <c r="AM75" i="3" s="1"/>
  <c r="CX208" i="1"/>
  <c r="AU208"/>
  <c r="T208"/>
  <c r="U208"/>
  <c r="AW208" s="1"/>
  <c r="DA208" s="1"/>
  <c r="EA208" s="1"/>
  <c r="CW720"/>
  <c r="DA268"/>
  <c r="DK181"/>
  <c r="DL181" s="1"/>
  <c r="DM181" s="1"/>
  <c r="AV10"/>
  <c r="BY10" s="1"/>
  <c r="X72"/>
  <c r="AZ72" s="1"/>
  <c r="AY72"/>
  <c r="V148"/>
  <c r="AY148" s="1"/>
  <c r="AX148"/>
  <c r="CJ5"/>
  <c r="BJ23"/>
  <c r="DN23" s="1"/>
  <c r="DN54" s="1"/>
  <c r="CK7"/>
  <c r="CJ7" s="1"/>
  <c r="EF79"/>
  <c r="EF122" s="1"/>
  <c r="CF122"/>
  <c r="AF91"/>
  <c r="W271"/>
  <c r="X271"/>
  <c r="AZ271" s="1"/>
  <c r="W149"/>
  <c r="AZ149" s="1"/>
  <c r="Y402"/>
  <c r="BB402"/>
  <c r="DF402" s="1"/>
  <c r="V149"/>
  <c r="AY271"/>
  <c r="DC271" s="1"/>
  <c r="AK272" i="3" s="1"/>
  <c r="BJ54" i="1"/>
  <c r="DA369"/>
  <c r="DN7"/>
  <c r="AJ272"/>
  <c r="BL272" s="1"/>
  <c r="DP272" s="1"/>
  <c r="EB272" s="1"/>
  <c r="EG272" s="1"/>
  <c r="Q273" i="3" s="1"/>
  <c r="R273" s="1"/>
  <c r="AG212" i="1"/>
  <c r="AG911" s="1"/>
  <c r="CI7"/>
  <c r="CY208"/>
  <c r="AV278"/>
  <c r="DK692"/>
  <c r="DL511"/>
  <c r="DM511" s="1"/>
  <c r="DI33"/>
  <c r="BF891"/>
  <c r="EH302"/>
  <c r="EH170"/>
  <c r="BE759"/>
  <c r="BE786"/>
  <c r="DI294"/>
  <c r="AQ272" i="3"/>
  <c r="EJ294" i="1"/>
  <c r="S272" i="3" s="1"/>
  <c r="DI97" i="1"/>
  <c r="AQ75" i="3" s="1"/>
  <c r="CG493" i="1"/>
  <c r="CF493"/>
  <c r="CH361"/>
  <c r="CG361" s="1"/>
  <c r="CH228"/>
  <c r="CF228" s="1"/>
  <c r="EH700"/>
  <c r="CH641"/>
  <c r="BF657"/>
  <c r="CH628"/>
  <c r="BE326"/>
  <c r="CG311"/>
  <c r="CH237"/>
  <c r="CG237"/>
  <c r="BF260"/>
  <c r="BF258"/>
  <c r="CH245"/>
  <c r="BE760"/>
  <c r="CG172"/>
  <c r="CF172"/>
  <c r="BE196"/>
  <c r="CF787"/>
  <c r="AB789"/>
  <c r="AB787"/>
  <c r="DI760"/>
  <c r="EH34"/>
  <c r="EO34" s="1"/>
  <c r="DI34"/>
  <c r="DH760"/>
  <c r="BE47"/>
  <c r="CG47"/>
  <c r="AC63"/>
  <c r="AC773"/>
  <c r="BE773" s="1"/>
  <c r="F481" i="3"/>
  <c r="DH47" i="1"/>
  <c r="F272" i="3"/>
  <c r="BC773" i="1"/>
  <c r="BC787"/>
  <c r="AA787"/>
  <c r="AA789"/>
  <c r="AO13" i="3"/>
  <c r="CF63" i="1"/>
  <c r="BD787"/>
  <c r="BE195"/>
  <c r="CG179"/>
  <c r="AC193"/>
  <c r="BE63"/>
  <c r="CH34"/>
  <c r="CH895"/>
  <c r="DJ357"/>
  <c r="CH27"/>
  <c r="CG27" s="1"/>
  <c r="EJ733"/>
  <c r="DI759"/>
  <c r="CF361"/>
  <c r="CG228"/>
  <c r="CG628"/>
  <c r="CF237"/>
  <c r="CH260"/>
  <c r="AP13" i="3"/>
  <c r="BC789" i="1"/>
  <c r="CH179"/>
  <c r="CG34"/>
  <c r="EJ571"/>
  <c r="DJ505"/>
  <c r="EH308"/>
  <c r="EO308" s="1"/>
  <c r="CE110"/>
  <c r="CD110"/>
  <c r="DE110"/>
  <c r="DF110"/>
  <c r="DG110" s="1"/>
  <c r="DH110" s="1"/>
  <c r="DI110" s="1"/>
  <c r="DJ110" s="1"/>
  <c r="DK110" s="1"/>
  <c r="BA770"/>
  <c r="AY770"/>
  <c r="BZ44"/>
  <c r="CA44"/>
  <c r="AZ770"/>
  <c r="BD770"/>
  <c r="CG770"/>
  <c r="CF44"/>
  <c r="CG44"/>
  <c r="DI791"/>
  <c r="DH772"/>
  <c r="DH791" s="1"/>
  <c r="CF636"/>
  <c r="CG636"/>
  <c r="EH636"/>
  <c r="DI636"/>
  <c r="EH305"/>
  <c r="CG174"/>
  <c r="CF174"/>
  <c r="CH510"/>
  <c r="EH497"/>
  <c r="EO497" s="1"/>
  <c r="DI497"/>
  <c r="CG444"/>
  <c r="BE378"/>
  <c r="BE390"/>
  <c r="BE324"/>
  <c r="CG312"/>
  <c r="CH312" s="1"/>
  <c r="CH233"/>
  <c r="CG233" s="1"/>
  <c r="CG180"/>
  <c r="CG193"/>
  <c r="BE193"/>
  <c r="DJ101"/>
  <c r="CG774"/>
  <c r="CH774"/>
  <c r="BE61"/>
  <c r="CG48"/>
  <c r="CH48" s="1"/>
  <c r="EH557"/>
  <c r="DI557"/>
  <c r="EH292"/>
  <c r="F271" i="3" s="1"/>
  <c r="C271" s="1"/>
  <c r="CH226" i="1"/>
  <c r="CF226"/>
  <c r="BE754"/>
  <c r="DJ425"/>
  <c r="CH227"/>
  <c r="CG227"/>
  <c r="AC823"/>
  <c r="DJ29"/>
  <c r="DJ693"/>
  <c r="DJ720"/>
  <c r="CF560"/>
  <c r="CG560"/>
  <c r="CG588" s="1"/>
  <c r="CH588"/>
  <c r="BE590"/>
  <c r="BE588"/>
  <c r="BE323"/>
  <c r="EH297"/>
  <c r="EH323" s="1"/>
  <c r="F278" i="3" s="1"/>
  <c r="BE257" i="1"/>
  <c r="CH230"/>
  <c r="CG230" s="1"/>
  <c r="DJ636"/>
  <c r="DK636" s="1"/>
  <c r="EH378"/>
  <c r="CF233"/>
  <c r="CH180"/>
  <c r="CH193"/>
  <c r="DI754"/>
  <c r="CF588"/>
  <c r="CF230"/>
  <c r="CF257" s="1"/>
  <c r="DL696"/>
  <c r="DM696" s="1"/>
  <c r="EJ696"/>
  <c r="CF696"/>
  <c r="EI630"/>
  <c r="DK564"/>
  <c r="DJ300"/>
  <c r="CH301"/>
  <c r="CG301"/>
  <c r="AC788"/>
  <c r="BE763"/>
  <c r="BE775" s="1"/>
  <c r="CG775" s="1"/>
  <c r="AC831"/>
  <c r="BE194"/>
  <c r="CH169"/>
  <c r="CG169"/>
  <c r="CH181"/>
  <c r="EH103"/>
  <c r="EL103" s="1"/>
  <c r="EQ103" s="1"/>
  <c r="EI115"/>
  <c r="DK762"/>
  <c r="CE887"/>
  <c r="CD887"/>
  <c r="CE875"/>
  <c r="CC875"/>
  <c r="CD889"/>
  <c r="CC889"/>
  <c r="CC887"/>
  <c r="DF891"/>
  <c r="CB868"/>
  <c r="BZ868"/>
  <c r="AZ891"/>
  <c r="CB874"/>
  <c r="CA874" s="1"/>
  <c r="CB870"/>
  <c r="BZ870" s="1"/>
  <c r="DD880"/>
  <c r="DD891" s="1"/>
  <c r="CB866"/>
  <c r="BZ866" s="1"/>
  <c r="CB872"/>
  <c r="BZ872" s="1"/>
  <c r="AY876"/>
  <c r="CB873"/>
  <c r="BZ873"/>
  <c r="CB869"/>
  <c r="BZ869"/>
  <c r="AY891"/>
  <c r="DC891"/>
  <c r="BO882"/>
  <c r="BN882"/>
  <c r="BU882"/>
  <c r="BT882"/>
  <c r="CA882"/>
  <c r="CB891"/>
  <c r="BZ882"/>
  <c r="BZ891"/>
  <c r="BQ887"/>
  <c r="BR887"/>
  <c r="BW887"/>
  <c r="BX887"/>
  <c r="CQ891"/>
  <c r="CU891"/>
  <c r="CS891"/>
  <c r="BO865"/>
  <c r="BP908"/>
  <c r="BN865"/>
  <c r="BN908" s="1"/>
  <c r="CR908"/>
  <c r="CR909"/>
  <c r="CT908"/>
  <c r="BU865"/>
  <c r="BV908"/>
  <c r="BT865"/>
  <c r="BT908"/>
  <c r="CX908"/>
  <c r="CZ908"/>
  <c r="CV901"/>
  <c r="CV918"/>
  <c r="CR917"/>
  <c r="CR901"/>
  <c r="DA900"/>
  <c r="DA917"/>
  <c r="DA916"/>
  <c r="CU900"/>
  <c r="CU917"/>
  <c r="CU916"/>
  <c r="CS900"/>
  <c r="CS917"/>
  <c r="CS916"/>
  <c r="CQ900"/>
  <c r="CQ917"/>
  <c r="CQ916"/>
  <c r="DA898"/>
  <c r="DA915"/>
  <c r="DA914"/>
  <c r="CY914"/>
  <c r="CY898"/>
  <c r="CY915"/>
  <c r="CW898"/>
  <c r="CW914"/>
  <c r="CW915"/>
  <c r="CU898"/>
  <c r="CU915"/>
  <c r="CU914"/>
  <c r="CS898"/>
  <c r="CS915"/>
  <c r="CS914"/>
  <c r="CQ914"/>
  <c r="CQ898"/>
  <c r="CQ915"/>
  <c r="CX913"/>
  <c r="CX897"/>
  <c r="CP914"/>
  <c r="CP913"/>
  <c r="CP897"/>
  <c r="CQ908"/>
  <c r="CQ909"/>
  <c r="CQ876"/>
  <c r="CQ903" s="1"/>
  <c r="CS909"/>
  <c r="CS908"/>
  <c r="CU908"/>
  <c r="CU909"/>
  <c r="CW909"/>
  <c r="CW908"/>
  <c r="CY908"/>
  <c r="CY909"/>
  <c r="DA909"/>
  <c r="DA908"/>
  <c r="CZ918"/>
  <c r="CZ917"/>
  <c r="CR916"/>
  <c r="CR899"/>
  <c r="CT897"/>
  <c r="CT913"/>
  <c r="BP875"/>
  <c r="BP902" s="1"/>
  <c r="CT874"/>
  <c r="CT917"/>
  <c r="CP874"/>
  <c r="CP918"/>
  <c r="CV872"/>
  <c r="CV899"/>
  <c r="CT872"/>
  <c r="CT899"/>
  <c r="CP872"/>
  <c r="CP899"/>
  <c r="CZ871"/>
  <c r="CZ915"/>
  <c r="CV871"/>
  <c r="CV898"/>
  <c r="CR871"/>
  <c r="CR914"/>
  <c r="BS870"/>
  <c r="BS914"/>
  <c r="DA868"/>
  <c r="DA911"/>
  <c r="CX868"/>
  <c r="CX912"/>
  <c r="CW868"/>
  <c r="CT868"/>
  <c r="CT911" s="1"/>
  <c r="CS868"/>
  <c r="CS911" s="1"/>
  <c r="CP868"/>
  <c r="CP912" s="1"/>
  <c r="BY868"/>
  <c r="BW868" s="1"/>
  <c r="BV868"/>
  <c r="BV911" s="1"/>
  <c r="CZ866"/>
  <c r="CZ909" s="1"/>
  <c r="CV866"/>
  <c r="CV909" s="1"/>
  <c r="CT866"/>
  <c r="CT909" s="1"/>
  <c r="CA873"/>
  <c r="F273" i="3"/>
  <c r="CT910" i="1"/>
  <c r="CW911"/>
  <c r="CW895"/>
  <c r="CR898"/>
  <c r="CZ914"/>
  <c r="CT916"/>
  <c r="CP901"/>
  <c r="BN875"/>
  <c r="BO875"/>
  <c r="BO902" s="1"/>
  <c r="CP895"/>
  <c r="CX895"/>
  <c r="BR870"/>
  <c r="BR914"/>
  <c r="BQ870"/>
  <c r="BQ897"/>
  <c r="CV914"/>
  <c r="CP915"/>
  <c r="BU908"/>
  <c r="BO908"/>
  <c r="CR915"/>
  <c r="BR897"/>
  <c r="BN902"/>
  <c r="DJ429"/>
  <c r="CF458"/>
  <c r="CJ164"/>
  <c r="CK194"/>
  <c r="CI164"/>
  <c r="BG459"/>
  <c r="CI302"/>
  <c r="CJ302"/>
  <c r="BF129"/>
  <c r="DJ163"/>
  <c r="CH163"/>
  <c r="CF163" s="1"/>
  <c r="DK756"/>
  <c r="EH31"/>
  <c r="F9" i="3" s="1"/>
  <c r="BF756" i="1"/>
  <c r="DJ756" s="1"/>
  <c r="CK694"/>
  <c r="CJ694" s="1"/>
  <c r="DK628"/>
  <c r="CJ575"/>
  <c r="CJ501"/>
  <c r="CJ526" s="1"/>
  <c r="CH443"/>
  <c r="CI443" s="1"/>
  <c r="BF459"/>
  <c r="DJ430"/>
  <c r="CK364"/>
  <c r="CJ364" s="1"/>
  <c r="BF261"/>
  <c r="CK232"/>
  <c r="CI232"/>
  <c r="DK232"/>
  <c r="DL172"/>
  <c r="DM172" s="1"/>
  <c r="EJ172"/>
  <c r="DJ166"/>
  <c r="CH166"/>
  <c r="CF166" s="1"/>
  <c r="BF61"/>
  <c r="BF63"/>
  <c r="CK34"/>
  <c r="DJ34"/>
  <c r="AD906"/>
  <c r="BF760"/>
  <c r="DJ760"/>
  <c r="DJ753"/>
  <c r="CF27"/>
  <c r="EH27"/>
  <c r="CI694"/>
  <c r="DJ457"/>
  <c r="CI364"/>
  <c r="CJ232"/>
  <c r="CH760"/>
  <c r="CG760" s="1"/>
  <c r="AD830"/>
  <c r="EH565"/>
  <c r="CF498"/>
  <c r="CG498"/>
  <c r="CH499"/>
  <c r="EI498"/>
  <c r="EH445"/>
  <c r="CH445"/>
  <c r="CK445"/>
  <c r="EI445" s="1"/>
  <c r="EH433"/>
  <c r="EL433" s="1"/>
  <c r="EQ433" s="1"/>
  <c r="CG458"/>
  <c r="BF458"/>
  <c r="CG367"/>
  <c r="BF247"/>
  <c r="CH247" s="1"/>
  <c r="EI235"/>
  <c r="EM235" s="1"/>
  <c r="ER235" s="1"/>
  <c r="CH235"/>
  <c r="CG235" s="1"/>
  <c r="DK234"/>
  <c r="EH194"/>
  <c r="DL762"/>
  <c r="DM762" s="1"/>
  <c r="CH762"/>
  <c r="CG762" s="1"/>
  <c r="AD763"/>
  <c r="BF763" s="1"/>
  <c r="DK505"/>
  <c r="DL505"/>
  <c r="DM505" s="1"/>
  <c r="CI505"/>
  <c r="DK176"/>
  <c r="DJ791"/>
  <c r="BG770"/>
  <c r="EH306"/>
  <c r="BF721"/>
  <c r="BF655"/>
  <c r="BF457"/>
  <c r="CH444"/>
  <c r="DJ233"/>
  <c r="CI180"/>
  <c r="CJ180" s="1"/>
  <c r="BG193"/>
  <c r="BF127"/>
  <c r="CH114"/>
  <c r="DJ28"/>
  <c r="AR7" i="3" s="1"/>
  <c r="CH28" i="1"/>
  <c r="CG28" s="1"/>
  <c r="EH491"/>
  <c r="EH227"/>
  <c r="DK755"/>
  <c r="CH29"/>
  <c r="CF29" s="1"/>
  <c r="EH873"/>
  <c r="F546" i="3" s="1"/>
  <c r="DH876" i="1"/>
  <c r="CE867"/>
  <c r="CD867"/>
  <c r="CE866"/>
  <c r="CD866"/>
  <c r="CC867"/>
  <c r="BZ874"/>
  <c r="CB867"/>
  <c r="BZ867" s="1"/>
  <c r="DI876"/>
  <c r="DJ876"/>
  <c r="EI875"/>
  <c r="N678" i="3" s="1"/>
  <c r="CG874" i="1"/>
  <c r="CF865"/>
  <c r="CD869"/>
  <c r="CE874"/>
  <c r="CC874"/>
  <c r="CH868"/>
  <c r="CF868"/>
  <c r="CE868"/>
  <c r="DG876"/>
  <c r="CE850"/>
  <c r="CE851"/>
  <c r="CD851" s="1"/>
  <c r="CE852"/>
  <c r="CC852" s="1"/>
  <c r="CE853"/>
  <c r="CC853" s="1"/>
  <c r="CE854"/>
  <c r="CD854" s="1"/>
  <c r="CE855"/>
  <c r="CC855" s="1"/>
  <c r="CE856"/>
  <c r="CD856"/>
  <c r="CE857"/>
  <c r="CC857"/>
  <c r="CE858"/>
  <c r="CD858"/>
  <c r="CE859"/>
  <c r="CD859"/>
  <c r="CA850"/>
  <c r="BZ850"/>
  <c r="BN851"/>
  <c r="BO851"/>
  <c r="BT851"/>
  <c r="BU851"/>
  <c r="BZ851"/>
  <c r="CA851"/>
  <c r="BQ850"/>
  <c r="BR850"/>
  <c r="BW850"/>
  <c r="BX850"/>
  <c r="CC850"/>
  <c r="CD850"/>
  <c r="CA855"/>
  <c r="BZ855"/>
  <c r="CM855"/>
  <c r="CA857"/>
  <c r="BZ857"/>
  <c r="CA859"/>
  <c r="BZ859"/>
  <c r="EL859"/>
  <c r="EQ859" s="1"/>
  <c r="BS849"/>
  <c r="BR849" s="1"/>
  <c r="BY849"/>
  <c r="BW849"/>
  <c r="CE849"/>
  <c r="CK849"/>
  <c r="CJ849" s="1"/>
  <c r="CP849"/>
  <c r="CR849"/>
  <c r="CR860" s="1"/>
  <c r="CT849"/>
  <c r="CT860" s="1"/>
  <c r="CV849"/>
  <c r="CV860" s="1"/>
  <c r="CX849"/>
  <c r="CX860" s="1"/>
  <c r="CZ849"/>
  <c r="CZ860" s="1"/>
  <c r="DG849"/>
  <c r="DG860" s="1"/>
  <c r="DI849"/>
  <c r="DI860" s="1"/>
  <c r="DK849"/>
  <c r="BP850"/>
  <c r="BO850" s="1"/>
  <c r="BV850"/>
  <c r="BU850"/>
  <c r="CH850"/>
  <c r="CS850"/>
  <c r="CY850"/>
  <c r="DJ850"/>
  <c r="BS851"/>
  <c r="BQ851"/>
  <c r="BY851"/>
  <c r="CK851"/>
  <c r="CI851" s="1"/>
  <c r="CP851"/>
  <c r="CP860" s="1"/>
  <c r="CV851"/>
  <c r="BP852"/>
  <c r="BN852" s="1"/>
  <c r="BV852"/>
  <c r="BT852"/>
  <c r="CH852"/>
  <c r="EH852"/>
  <c r="F215" i="3" s="1"/>
  <c r="DJ852" i="1"/>
  <c r="CC854"/>
  <c r="CD855"/>
  <c r="CD857"/>
  <c r="BQ859"/>
  <c r="BR859"/>
  <c r="BW859"/>
  <c r="BX859"/>
  <c r="CC859"/>
  <c r="BP849"/>
  <c r="BV849"/>
  <c r="BU849" s="1"/>
  <c r="CB849"/>
  <c r="CA849" s="1"/>
  <c r="CA860" s="1"/>
  <c r="CH849"/>
  <c r="CF849"/>
  <c r="CN849"/>
  <c r="CQ849"/>
  <c r="CQ860" s="1"/>
  <c r="CS849"/>
  <c r="CS860" s="1"/>
  <c r="CU849"/>
  <c r="CU860"/>
  <c r="CW849"/>
  <c r="CW860"/>
  <c r="CY849"/>
  <c r="DA849"/>
  <c r="DA860" s="1"/>
  <c r="DH849"/>
  <c r="DH860" s="1"/>
  <c r="DJ849"/>
  <c r="DJ860" s="1"/>
  <c r="DL849"/>
  <c r="EH849"/>
  <c r="F17" i="3" s="1"/>
  <c r="CK850" i="1"/>
  <c r="CH851"/>
  <c r="CF851" s="1"/>
  <c r="DJ851"/>
  <c r="BS852"/>
  <c r="BY852"/>
  <c r="BX852" s="1"/>
  <c r="CK852"/>
  <c r="CI852" s="1"/>
  <c r="BP853"/>
  <c r="BN853"/>
  <c r="BV853"/>
  <c r="CH853"/>
  <c r="CF853" s="1"/>
  <c r="CS853"/>
  <c r="CY853"/>
  <c r="DJ853"/>
  <c r="BS854"/>
  <c r="BY854"/>
  <c r="BX854" s="1"/>
  <c r="CK854"/>
  <c r="CJ854" s="1"/>
  <c r="CP854"/>
  <c r="CV854"/>
  <c r="BP855"/>
  <c r="BO855"/>
  <c r="BV855"/>
  <c r="CH855"/>
  <c r="CG855" s="1"/>
  <c r="CS855"/>
  <c r="CY855"/>
  <c r="DJ855"/>
  <c r="EJ855"/>
  <c r="S413" i="3" s="1"/>
  <c r="BS856" i="1"/>
  <c r="BQ856" s="1"/>
  <c r="BQ860" s="1"/>
  <c r="BY856"/>
  <c r="BW856"/>
  <c r="CK856"/>
  <c r="CP856"/>
  <c r="CV856"/>
  <c r="BP857"/>
  <c r="BN857" s="1"/>
  <c r="BV857"/>
  <c r="BT857" s="1"/>
  <c r="CH857"/>
  <c r="CF857"/>
  <c r="CS857"/>
  <c r="CY857"/>
  <c r="CY860" s="1"/>
  <c r="DJ857"/>
  <c r="BS858"/>
  <c r="BR858" s="1"/>
  <c r="BY858"/>
  <c r="BX858"/>
  <c r="CK858"/>
  <c r="CP858"/>
  <c r="CV858"/>
  <c r="BP859"/>
  <c r="BO859" s="1"/>
  <c r="BV859"/>
  <c r="BU859" s="1"/>
  <c r="CH859"/>
  <c r="CG859"/>
  <c r="CS859"/>
  <c r="CY859"/>
  <c r="DJ859"/>
  <c r="CK853"/>
  <c r="CI853" s="1"/>
  <c r="CH854"/>
  <c r="CG854" s="1"/>
  <c r="DJ854"/>
  <c r="EJ854"/>
  <c r="S347" i="3" s="1"/>
  <c r="CK855" i="1"/>
  <c r="CI855" s="1"/>
  <c r="CH856"/>
  <c r="CG856"/>
  <c r="DJ856"/>
  <c r="EJ856"/>
  <c r="S479" i="3" s="1"/>
  <c r="CK857" i="1"/>
  <c r="CJ857"/>
  <c r="EI857"/>
  <c r="EM857" s="1"/>
  <c r="ER857" s="1"/>
  <c r="CH858"/>
  <c r="CG858" s="1"/>
  <c r="DJ858"/>
  <c r="CK859"/>
  <c r="EI499"/>
  <c r="EP499" s="1"/>
  <c r="CF499"/>
  <c r="CF524"/>
  <c r="CG499"/>
  <c r="CF235"/>
  <c r="EH247"/>
  <c r="DL234"/>
  <c r="DM234" s="1"/>
  <c r="EJ234"/>
  <c r="AD788"/>
  <c r="CC866"/>
  <c r="CD868"/>
  <c r="CC868"/>
  <c r="EI868"/>
  <c r="N216" i="3" s="1"/>
  <c r="CI857" i="1"/>
  <c r="CF856"/>
  <c r="CJ853"/>
  <c r="CF859"/>
  <c r="BN859"/>
  <c r="BW858"/>
  <c r="BU857"/>
  <c r="CJ856"/>
  <c r="CI856"/>
  <c r="BR856"/>
  <c r="CF855"/>
  <c r="BN855"/>
  <c r="BW854"/>
  <c r="BU853"/>
  <c r="BT853"/>
  <c r="CJ852"/>
  <c r="BQ852"/>
  <c r="BR852"/>
  <c r="EJ849"/>
  <c r="EN849" s="1"/>
  <c r="ES849" s="1"/>
  <c r="CM849"/>
  <c r="BZ849"/>
  <c r="BN849"/>
  <c r="BO849"/>
  <c r="CG852"/>
  <c r="CF852"/>
  <c r="BO852"/>
  <c r="BX851"/>
  <c r="BW851"/>
  <c r="BT850"/>
  <c r="BX849"/>
  <c r="CI859"/>
  <c r="CJ859"/>
  <c r="CF858"/>
  <c r="CF854"/>
  <c r="BT859"/>
  <c r="CJ858"/>
  <c r="CI858"/>
  <c r="BQ858"/>
  <c r="CG857"/>
  <c r="BO857"/>
  <c r="BX856"/>
  <c r="BU855"/>
  <c r="BT855"/>
  <c r="CI854"/>
  <c r="BR854"/>
  <c r="BQ854"/>
  <c r="BO853"/>
  <c r="CI850"/>
  <c r="CJ850"/>
  <c r="CH860"/>
  <c r="BU852"/>
  <c r="BR851"/>
  <c r="CG850"/>
  <c r="CF850"/>
  <c r="BN850"/>
  <c r="CD849"/>
  <c r="CC849"/>
  <c r="BQ849"/>
  <c r="DK40"/>
  <c r="R279"/>
  <c r="AZ487"/>
  <c r="AZ517"/>
  <c r="AW763"/>
  <c r="U831"/>
  <c r="U788"/>
  <c r="AO763"/>
  <c r="M788"/>
  <c r="M831"/>
  <c r="CT705"/>
  <c r="CQ698"/>
  <c r="CR698"/>
  <c r="CS698" s="1"/>
  <c r="CT698" s="1"/>
  <c r="CU698" s="1"/>
  <c r="CV698" s="1"/>
  <c r="CW698" s="1"/>
  <c r="CX698" s="1"/>
  <c r="CY698" s="1"/>
  <c r="CZ698" s="1"/>
  <c r="DA698" s="1"/>
  <c r="CG692"/>
  <c r="CG722" s="1"/>
  <c r="CF692"/>
  <c r="BT575"/>
  <c r="AR591"/>
  <c r="CQ567"/>
  <c r="CR567"/>
  <c r="CS567" s="1"/>
  <c r="CP592"/>
  <c r="CD557"/>
  <c r="CC557"/>
  <c r="M539"/>
  <c r="L553"/>
  <c r="CR553" s="1"/>
  <c r="L583"/>
  <c r="CF7"/>
  <c r="DF325"/>
  <c r="DJ270"/>
  <c r="P742"/>
  <c r="AR742" s="1"/>
  <c r="CK679"/>
  <c r="CI679" s="1"/>
  <c r="DF545"/>
  <c r="CC704"/>
  <c r="CD704"/>
  <c r="CH684"/>
  <c r="EE684"/>
  <c r="CM616"/>
  <c r="EF616" s="1"/>
  <c r="CH582"/>
  <c r="CK149"/>
  <c r="CE547"/>
  <c r="CD547" s="1"/>
  <c r="BG390"/>
  <c r="CI378"/>
  <c r="CC377"/>
  <c r="BA390"/>
  <c r="BA392"/>
  <c r="AY390"/>
  <c r="AY392"/>
  <c r="AW390"/>
  <c r="AW392"/>
  <c r="AU390"/>
  <c r="BW377"/>
  <c r="BX377" s="1"/>
  <c r="AU392"/>
  <c r="AS390"/>
  <c r="AS392"/>
  <c r="AQ390"/>
  <c r="AQ392"/>
  <c r="BQ377"/>
  <c r="BR377"/>
  <c r="BS377" s="1"/>
  <c r="BS390" s="1"/>
  <c r="AO390"/>
  <c r="AO392"/>
  <c r="AM390"/>
  <c r="AM392"/>
  <c r="AQ310"/>
  <c r="CT310"/>
  <c r="AV258"/>
  <c r="AV260"/>
  <c r="AT258"/>
  <c r="AT260"/>
  <c r="AN258"/>
  <c r="AN260"/>
  <c r="CP245"/>
  <c r="AL258"/>
  <c r="BN245"/>
  <c r="BO245" s="1"/>
  <c r="AL260"/>
  <c r="CQ179"/>
  <c r="CP195"/>
  <c r="CG109"/>
  <c r="BC790"/>
  <c r="CE196"/>
  <c r="DF676"/>
  <c r="DG676"/>
  <c r="BY19"/>
  <c r="CQ775"/>
  <c r="DO791"/>
  <c r="DP791"/>
  <c r="BL770"/>
  <c r="BB770"/>
  <c r="CD770" s="1"/>
  <c r="AT770"/>
  <c r="BE769"/>
  <c r="BC769"/>
  <c r="BA769"/>
  <c r="AY769"/>
  <c r="DC769"/>
  <c r="DD769" s="1"/>
  <c r="DE769" s="1"/>
  <c r="DF769" s="1"/>
  <c r="DG769" s="1"/>
  <c r="AV769"/>
  <c r="AV766"/>
  <c r="AN766"/>
  <c r="AN790"/>
  <c r="AM766"/>
  <c r="CQ766"/>
  <c r="AI788"/>
  <c r="BB759"/>
  <c r="DF759" s="1"/>
  <c r="AZ759"/>
  <c r="AR759"/>
  <c r="AN759"/>
  <c r="AX757"/>
  <c r="DB757"/>
  <c r="BD755"/>
  <c r="DH755"/>
  <c r="BB755"/>
  <c r="AL755"/>
  <c r="CP755" s="1"/>
  <c r="AQ754"/>
  <c r="AM754"/>
  <c r="CQ754"/>
  <c r="AL754"/>
  <c r="BP754"/>
  <c r="CQ744"/>
  <c r="CR744"/>
  <c r="CS744" s="1"/>
  <c r="CQ697"/>
  <c r="CQ722" s="1"/>
  <c r="CV706"/>
  <c r="CV725" s="1"/>
  <c r="AR706"/>
  <c r="CW705"/>
  <c r="AS705"/>
  <c r="CB704"/>
  <c r="CN703"/>
  <c r="CK703"/>
  <c r="CH703"/>
  <c r="CF703" s="1"/>
  <c r="DC703"/>
  <c r="DD703" s="1"/>
  <c r="DE703" s="1"/>
  <c r="DF703" s="1"/>
  <c r="DG703" s="1"/>
  <c r="DH703" s="1"/>
  <c r="DI703" s="1"/>
  <c r="DJ703" s="1"/>
  <c r="DK703" s="1"/>
  <c r="DL703" s="1"/>
  <c r="DM703" s="1"/>
  <c r="BY703"/>
  <c r="BP701"/>
  <c r="DC700"/>
  <c r="DD700" s="1"/>
  <c r="DE700" s="1"/>
  <c r="DF700" s="1"/>
  <c r="DG700" s="1"/>
  <c r="DH700" s="1"/>
  <c r="DI700" s="1"/>
  <c r="DJ700" s="1"/>
  <c r="DK700" s="1"/>
  <c r="BV698"/>
  <c r="BP698"/>
  <c r="BY696"/>
  <c r="BW696" s="1"/>
  <c r="DK694"/>
  <c r="CE693"/>
  <c r="CK692"/>
  <c r="CE692"/>
  <c r="CE722"/>
  <c r="CB692"/>
  <c r="BS692"/>
  <c r="BR692" s="1"/>
  <c r="BP692"/>
  <c r="DE691"/>
  <c r="AM669" i="3"/>
  <c r="BP690" i="1"/>
  <c r="BO690"/>
  <c r="CZ689"/>
  <c r="CT689"/>
  <c r="CB689"/>
  <c r="CA689"/>
  <c r="CB688"/>
  <c r="CA688"/>
  <c r="BP688"/>
  <c r="DJ687"/>
  <c r="CK687"/>
  <c r="CH687"/>
  <c r="CF687" s="1"/>
  <c r="CB687"/>
  <c r="EB718"/>
  <c r="DO678"/>
  <c r="DP678" s="1"/>
  <c r="BV676"/>
  <c r="AU675"/>
  <c r="AU717"/>
  <c r="BY670"/>
  <c r="BP669"/>
  <c r="BY666"/>
  <c r="CB666"/>
  <c r="BV666"/>
  <c r="BP666"/>
  <c r="DD638"/>
  <c r="DE638"/>
  <c r="DF638" s="1"/>
  <c r="DG638" s="1"/>
  <c r="DH638" s="1"/>
  <c r="DI638" s="1"/>
  <c r="DJ638" s="1"/>
  <c r="DK638" s="1"/>
  <c r="CE637"/>
  <c r="CD637" s="1"/>
  <c r="BV636"/>
  <c r="CR636"/>
  <c r="CS636"/>
  <c r="CT636" s="1"/>
  <c r="CU636" s="1"/>
  <c r="CV636" s="1"/>
  <c r="CW636" s="1"/>
  <c r="CX636" s="1"/>
  <c r="CY636" s="1"/>
  <c r="CZ636" s="1"/>
  <c r="DA636" s="1"/>
  <c r="BV634"/>
  <c r="BU634"/>
  <c r="BP634"/>
  <c r="BV633"/>
  <c r="BV632"/>
  <c r="CB629"/>
  <c r="BS629"/>
  <c r="CQ629"/>
  <c r="CK627"/>
  <c r="BV627"/>
  <c r="BU627" s="1"/>
  <c r="BU654" s="1"/>
  <c r="CH623"/>
  <c r="CU652"/>
  <c r="BS613"/>
  <c r="AV609"/>
  <c r="AT609"/>
  <c r="AT651" s="1"/>
  <c r="AR609"/>
  <c r="BY603"/>
  <c r="BV603"/>
  <c r="BS603"/>
  <c r="BV600"/>
  <c r="AV589"/>
  <c r="BV560"/>
  <c r="BT560" s="1"/>
  <c r="BS558"/>
  <c r="CN557"/>
  <c r="BP557"/>
  <c r="BO557" s="1"/>
  <c r="BV556"/>
  <c r="BU556" s="1"/>
  <c r="BP556"/>
  <c r="BO556" s="1"/>
  <c r="CB547"/>
  <c r="DC546"/>
  <c r="DD546"/>
  <c r="DE546" s="1"/>
  <c r="DF546" s="1"/>
  <c r="BY546"/>
  <c r="BS546"/>
  <c r="Z546"/>
  <c r="BV544"/>
  <c r="BP544"/>
  <c r="AV543"/>
  <c r="AT543"/>
  <c r="AT585" s="1"/>
  <c r="AR543"/>
  <c r="AR585" s="1"/>
  <c r="AP543"/>
  <c r="AP585" s="1"/>
  <c r="AN543"/>
  <c r="AN585" s="1"/>
  <c r="CR542"/>
  <c r="CS542" s="1"/>
  <c r="AM539"/>
  <c r="BS534"/>
  <c r="DB509"/>
  <c r="DC509"/>
  <c r="BV509"/>
  <c r="BV525"/>
  <c r="CQ362"/>
  <c r="CP391"/>
  <c r="BQ353"/>
  <c r="BQ383"/>
  <c r="AO383"/>
  <c r="L273"/>
  <c r="K316"/>
  <c r="BN246"/>
  <c r="BO246" s="1"/>
  <c r="BP246" s="1"/>
  <c r="CP246"/>
  <c r="CQ246"/>
  <c r="CR246" s="1"/>
  <c r="DO237"/>
  <c r="DN261"/>
  <c r="BW114"/>
  <c r="AU127"/>
  <c r="BQ114"/>
  <c r="AO127"/>
  <c r="DM668"/>
  <c r="CK547"/>
  <c r="DD473"/>
  <c r="DE473"/>
  <c r="DF473" s="1"/>
  <c r="DG473" s="1"/>
  <c r="DH473" s="1"/>
  <c r="DI473" s="1"/>
  <c r="DJ473" s="1"/>
  <c r="DK473" s="1"/>
  <c r="CK283"/>
  <c r="CJ283" s="1"/>
  <c r="DJ535"/>
  <c r="AY320"/>
  <c r="AX651"/>
  <c r="AN758"/>
  <c r="AN788"/>
  <c r="DP784"/>
  <c r="BP745"/>
  <c r="AS744"/>
  <c r="AM742"/>
  <c r="AL735"/>
  <c r="CP735"/>
  <c r="CP734"/>
  <c r="AP731"/>
  <c r="AL731"/>
  <c r="EJ730"/>
  <c r="AP730"/>
  <c r="CT730"/>
  <c r="AL730"/>
  <c r="CP730"/>
  <c r="CN702"/>
  <c r="CR693"/>
  <c r="CR720" s="1"/>
  <c r="BY691"/>
  <c r="DD679"/>
  <c r="DE679"/>
  <c r="BV679"/>
  <c r="E661"/>
  <c r="CA641"/>
  <c r="CB641" s="1"/>
  <c r="BX641"/>
  <c r="DO637"/>
  <c r="DP637" s="1"/>
  <c r="CK635"/>
  <c r="CB635"/>
  <c r="BY635"/>
  <c r="BV635"/>
  <c r="CB634"/>
  <c r="CB632"/>
  <c r="CE626"/>
  <c r="CB625"/>
  <c r="BV625"/>
  <c r="BS625"/>
  <c r="BP625"/>
  <c r="CN624"/>
  <c r="CH624"/>
  <c r="CF624" s="1"/>
  <c r="CB624"/>
  <c r="BY624"/>
  <c r="BX624"/>
  <c r="BS624"/>
  <c r="BR624"/>
  <c r="DL623"/>
  <c r="EJ623"/>
  <c r="DH623"/>
  <c r="BX617"/>
  <c r="BR617"/>
  <c r="CQ613"/>
  <c r="CR613" s="1"/>
  <c r="CS613" s="1"/>
  <c r="CT613" s="1"/>
  <c r="CU613" s="1"/>
  <c r="CV613" s="1"/>
  <c r="CW613" s="1"/>
  <c r="CX613" s="1"/>
  <c r="CY613" s="1"/>
  <c r="CZ613" s="1"/>
  <c r="DA613" s="1"/>
  <c r="EA613" s="1"/>
  <c r="BQ612"/>
  <c r="BY602"/>
  <c r="AN602" i="3"/>
  <c r="AJ602"/>
  <c r="CN572" i="1"/>
  <c r="CN569"/>
  <c r="BY569"/>
  <c r="BV569"/>
  <c r="DO568"/>
  <c r="DP568" s="1"/>
  <c r="CE568"/>
  <c r="BY564"/>
  <c r="BX564" s="1"/>
  <c r="BP564"/>
  <c r="DO563"/>
  <c r="CE563"/>
  <c r="BY563"/>
  <c r="BX563"/>
  <c r="CN562"/>
  <c r="BP562"/>
  <c r="CN561"/>
  <c r="CB561"/>
  <c r="BP561"/>
  <c r="BV559"/>
  <c r="BU559" s="1"/>
  <c r="CW558"/>
  <c r="CS558"/>
  <c r="DN557"/>
  <c r="EJ557" s="1"/>
  <c r="AK535" i="3"/>
  <c r="CN555" i="1"/>
  <c r="CM555" s="1"/>
  <c r="CH555"/>
  <c r="CF555"/>
  <c r="CB555"/>
  <c r="BV555"/>
  <c r="BP555"/>
  <c r="BP545"/>
  <c r="BO545" s="1"/>
  <c r="CQ543"/>
  <c r="BV542"/>
  <c r="BP542"/>
  <c r="BY541"/>
  <c r="BW541"/>
  <c r="BW584" s="1"/>
  <c r="BS541"/>
  <c r="BR541" s="1"/>
  <c r="BV538"/>
  <c r="BT538" s="1"/>
  <c r="BT581" s="1"/>
  <c r="BV536"/>
  <c r="EK530"/>
  <c r="AZ523"/>
  <c r="DN99"/>
  <c r="CN99"/>
  <c r="DF99"/>
  <c r="DF126"/>
  <c r="CE99"/>
  <c r="BS96"/>
  <c r="CT96"/>
  <c r="BY95"/>
  <c r="CZ95"/>
  <c r="BV95"/>
  <c r="CX95"/>
  <c r="CC32"/>
  <c r="CC60" s="1"/>
  <c r="CE60"/>
  <c r="CQ32"/>
  <c r="CQ60"/>
  <c r="CP62"/>
  <c r="DO15"/>
  <c r="DN57"/>
  <c r="CE505"/>
  <c r="CA505"/>
  <c r="BY505"/>
  <c r="BW505"/>
  <c r="CD504"/>
  <c r="CI503"/>
  <c r="CK502"/>
  <c r="CH502"/>
  <c r="EI502"/>
  <c r="CA502"/>
  <c r="CA526"/>
  <c r="BY502"/>
  <c r="BY526"/>
  <c r="BV502"/>
  <c r="BU502"/>
  <c r="BS502"/>
  <c r="BP502"/>
  <c r="BO502"/>
  <c r="DB501"/>
  <c r="CH501"/>
  <c r="BZ501"/>
  <c r="BZ526"/>
  <c r="CG501"/>
  <c r="CG526"/>
  <c r="CD501"/>
  <c r="CD526"/>
  <c r="BX501"/>
  <c r="BX526"/>
  <c r="BW501"/>
  <c r="CP500"/>
  <c r="CQ500" s="1"/>
  <c r="CK500"/>
  <c r="BX497"/>
  <c r="BS497"/>
  <c r="BP497"/>
  <c r="DL496"/>
  <c r="CK496"/>
  <c r="CE496"/>
  <c r="CE902" s="1"/>
  <c r="BV491"/>
  <c r="EA520"/>
  <c r="CR479"/>
  <c r="CS479" s="1"/>
  <c r="CT479" s="1"/>
  <c r="CU479" s="1"/>
  <c r="CV479" s="1"/>
  <c r="CW479" s="1"/>
  <c r="CX479" s="1"/>
  <c r="CY479" s="1"/>
  <c r="CZ479" s="1"/>
  <c r="DA479" s="1"/>
  <c r="EA479" s="1"/>
  <c r="DC471"/>
  <c r="DD471"/>
  <c r="BS471"/>
  <c r="AS457"/>
  <c r="DC440"/>
  <c r="DD440"/>
  <c r="DE440" s="1"/>
  <c r="DF440" s="1"/>
  <c r="DG440" s="1"/>
  <c r="DH440" s="1"/>
  <c r="DI440" s="1"/>
  <c r="DJ440" s="1"/>
  <c r="DK440" s="1"/>
  <c r="DL440" s="1"/>
  <c r="BY440"/>
  <c r="BS440"/>
  <c r="BP440"/>
  <c r="CN439"/>
  <c r="DO439"/>
  <c r="CE439"/>
  <c r="BV439"/>
  <c r="DO436"/>
  <c r="DP436" s="1"/>
  <c r="CN434"/>
  <c r="CK434"/>
  <c r="CK431"/>
  <c r="BV430"/>
  <c r="BP430"/>
  <c r="CN429"/>
  <c r="CE427"/>
  <c r="BU418"/>
  <c r="BU450" s="1"/>
  <c r="CQ415"/>
  <c r="CR415" s="1"/>
  <c r="CS415" s="1"/>
  <c r="CT415" s="1"/>
  <c r="CU415" s="1"/>
  <c r="CV415" s="1"/>
  <c r="CW415" s="1"/>
  <c r="CX415" s="1"/>
  <c r="CY415" s="1"/>
  <c r="CZ415" s="1"/>
  <c r="DA415" s="1"/>
  <c r="EA415" s="1"/>
  <c r="CN415"/>
  <c r="DC415"/>
  <c r="DD415"/>
  <c r="DC414"/>
  <c r="DD414" s="1"/>
  <c r="DE414" s="1"/>
  <c r="DF414" s="1"/>
  <c r="DG414" s="1"/>
  <c r="DH414" s="1"/>
  <c r="BY414"/>
  <c r="CN412"/>
  <c r="BV412"/>
  <c r="AV411"/>
  <c r="DB410"/>
  <c r="DB914" s="1"/>
  <c r="DB919" s="1"/>
  <c r="BY410"/>
  <c r="BV410"/>
  <c r="CQ409"/>
  <c r="BV406"/>
  <c r="BP406"/>
  <c r="CP404"/>
  <c r="BY404"/>
  <c r="BV404"/>
  <c r="AT390"/>
  <c r="AP390"/>
  <c r="CN374"/>
  <c r="CN373"/>
  <c r="CK373"/>
  <c r="CB373"/>
  <c r="CP371"/>
  <c r="CQ371" s="1"/>
  <c r="CR371" s="1"/>
  <c r="CS371" s="1"/>
  <c r="CT371" s="1"/>
  <c r="CU371" s="1"/>
  <c r="CV371" s="1"/>
  <c r="CW371" s="1"/>
  <c r="CX371" s="1"/>
  <c r="CY371" s="1"/>
  <c r="CZ371" s="1"/>
  <c r="DA371" s="1"/>
  <c r="DB370"/>
  <c r="CW365"/>
  <c r="CS365"/>
  <c r="DL364"/>
  <c r="DJ364"/>
  <c r="CE361"/>
  <c r="CK360"/>
  <c r="BV359"/>
  <c r="BP357"/>
  <c r="CN357"/>
  <c r="CH357"/>
  <c r="BV357"/>
  <c r="DN355"/>
  <c r="AV383"/>
  <c r="AT383"/>
  <c r="AP383"/>
  <c r="AN383"/>
  <c r="EB387"/>
  <c r="CY350"/>
  <c r="CY387" s="1"/>
  <c r="DC349"/>
  <c r="DD349" s="1"/>
  <c r="DE349" s="1"/>
  <c r="DF349" s="1"/>
  <c r="DG349" s="1"/>
  <c r="DH349" s="1"/>
  <c r="DI349" s="1"/>
  <c r="DJ349" s="1"/>
  <c r="DK349" s="1"/>
  <c r="DL349" s="1"/>
  <c r="DM349" s="1"/>
  <c r="BY349"/>
  <c r="BP348"/>
  <c r="CQ347"/>
  <c r="AP345"/>
  <c r="AP386" s="1"/>
  <c r="CQ344"/>
  <c r="CR344" s="1"/>
  <c r="BC342"/>
  <c r="DB341"/>
  <c r="DC341"/>
  <c r="DD341" s="1"/>
  <c r="DE341" s="1"/>
  <c r="DF341" s="1"/>
  <c r="DG341" s="1"/>
  <c r="DH341" s="1"/>
  <c r="DI341" s="1"/>
  <c r="BV341"/>
  <c r="BP341"/>
  <c r="BV337"/>
  <c r="BS337"/>
  <c r="BY335"/>
  <c r="BV335"/>
  <c r="BX313"/>
  <c r="CQ313"/>
  <c r="BN312"/>
  <c r="BO312"/>
  <c r="BP312" s="1"/>
  <c r="W324"/>
  <c r="S324"/>
  <c r="O324"/>
  <c r="BR312"/>
  <c r="K324"/>
  <c r="CK307"/>
  <c r="BS295"/>
  <c r="BY294"/>
  <c r="CN283"/>
  <c r="AR283"/>
  <c r="CV283"/>
  <c r="CK282"/>
  <c r="AL281"/>
  <c r="AL278"/>
  <c r="BY274"/>
  <c r="AL273"/>
  <c r="DC247"/>
  <c r="CQ247"/>
  <c r="CR247"/>
  <c r="DC242"/>
  <c r="DD242"/>
  <c r="DE242" s="1"/>
  <c r="DF242" s="1"/>
  <c r="DG242" s="1"/>
  <c r="DH242" s="1"/>
  <c r="DI242" s="1"/>
  <c r="DJ242" s="1"/>
  <c r="DK242" s="1"/>
  <c r="DL242" s="1"/>
  <c r="DM242" s="1"/>
  <c r="DN242" s="1"/>
  <c r="DO242" s="1"/>
  <c r="DP242" s="1"/>
  <c r="CQ241"/>
  <c r="CR241"/>
  <c r="CE240"/>
  <c r="BS240"/>
  <c r="DB239"/>
  <c r="DC239"/>
  <c r="DD239" s="1"/>
  <c r="DE239" s="1"/>
  <c r="DF239" s="1"/>
  <c r="DG239" s="1"/>
  <c r="DH239" s="1"/>
  <c r="DI239" s="1"/>
  <c r="DJ239" s="1"/>
  <c r="DK239" s="1"/>
  <c r="CE239"/>
  <c r="CB237"/>
  <c r="BS234"/>
  <c r="BS235" s="1"/>
  <c r="BP234"/>
  <c r="BN234"/>
  <c r="CS233"/>
  <c r="CE233"/>
  <c r="DB232"/>
  <c r="DB898"/>
  <c r="CK231"/>
  <c r="BY231"/>
  <c r="BV231"/>
  <c r="BS231"/>
  <c r="CE228"/>
  <c r="CK227"/>
  <c r="CB176"/>
  <c r="BP176"/>
  <c r="CH175"/>
  <c r="CB175"/>
  <c r="BP175"/>
  <c r="CB172"/>
  <c r="BZ172" s="1"/>
  <c r="BZ196" s="1"/>
  <c r="BP172"/>
  <c r="BN172"/>
  <c r="BN196" s="1"/>
  <c r="CE170"/>
  <c r="BS170"/>
  <c r="BV167"/>
  <c r="CB166"/>
  <c r="CB897"/>
  <c r="CK162"/>
  <c r="BV162"/>
  <c r="DO147"/>
  <c r="DP147"/>
  <c r="AW145"/>
  <c r="BY115"/>
  <c r="CA114"/>
  <c r="CB114"/>
  <c r="BO114"/>
  <c r="BP114"/>
  <c r="BY110"/>
  <c r="BS102"/>
  <c r="BR102" s="1"/>
  <c r="BS99"/>
  <c r="AZ61"/>
  <c r="AZ63"/>
  <c r="AV61"/>
  <c r="AV63"/>
  <c r="BT47"/>
  <c r="BT61"/>
  <c r="AR63"/>
  <c r="AR61"/>
  <c r="AN61"/>
  <c r="AN63"/>
  <c r="BU39"/>
  <c r="BV64"/>
  <c r="L13"/>
  <c r="K56"/>
  <c r="M9"/>
  <c r="AN9"/>
  <c r="BY504"/>
  <c r="BW504"/>
  <c r="BS504"/>
  <c r="BR504"/>
  <c r="BS503"/>
  <c r="BP503"/>
  <c r="BO503" s="1"/>
  <c r="CB500"/>
  <c r="BX500"/>
  <c r="BP498"/>
  <c r="CH496"/>
  <c r="CH902"/>
  <c r="BP496"/>
  <c r="CE493"/>
  <c r="CB493"/>
  <c r="BX493"/>
  <c r="BV493"/>
  <c r="BP493"/>
  <c r="EH492"/>
  <c r="F470" i="3" s="1"/>
  <c r="CN492" i="1"/>
  <c r="BV492"/>
  <c r="BT492"/>
  <c r="CE492"/>
  <c r="CB492"/>
  <c r="BX492"/>
  <c r="AQ516"/>
  <c r="CB480"/>
  <c r="BP480"/>
  <c r="BY478"/>
  <c r="AO477"/>
  <c r="BY476"/>
  <c r="BV476"/>
  <c r="CB470"/>
  <c r="CH434"/>
  <c r="CK433"/>
  <c r="BY428"/>
  <c r="AN405" i="3"/>
  <c r="AL405"/>
  <c r="AJ405"/>
  <c r="BS427" i="1"/>
  <c r="CK426"/>
  <c r="CN426"/>
  <c r="DN424"/>
  <c r="CE424"/>
  <c r="BS415"/>
  <c r="BY409"/>
  <c r="CR407"/>
  <c r="BY403"/>
  <c r="DC377"/>
  <c r="CA377"/>
  <c r="CB377" s="1"/>
  <c r="DP346"/>
  <c r="CR346"/>
  <c r="CS346"/>
  <c r="CT346" s="1"/>
  <c r="CU346" s="1"/>
  <c r="CV346" s="1"/>
  <c r="CW346" s="1"/>
  <c r="CX346" s="1"/>
  <c r="CY346" s="1"/>
  <c r="CZ346" s="1"/>
  <c r="DA346" s="1"/>
  <c r="EA346" s="1"/>
  <c r="BY344"/>
  <c r="BP338"/>
  <c r="BL324"/>
  <c r="CQ312"/>
  <c r="CK306"/>
  <c r="BP306"/>
  <c r="BY305"/>
  <c r="BS305"/>
  <c r="CQ305"/>
  <c r="BS303"/>
  <c r="DO302"/>
  <c r="DP302" s="1"/>
  <c r="EI300"/>
  <c r="BP300"/>
  <c r="BY298"/>
  <c r="BV298"/>
  <c r="BY297"/>
  <c r="BY323"/>
  <c r="CN296"/>
  <c r="CH296"/>
  <c r="BY296"/>
  <c r="BW296"/>
  <c r="BS292"/>
  <c r="CN238"/>
  <c r="BP227"/>
  <c r="CE216"/>
  <c r="CB216"/>
  <c r="CN175"/>
  <c r="CE173"/>
  <c r="CB173"/>
  <c r="BS173"/>
  <c r="BP173"/>
  <c r="CN171"/>
  <c r="CL171" s="1"/>
  <c r="CL196" s="1"/>
  <c r="BV171"/>
  <c r="BT171" s="1"/>
  <c r="BT196" s="1"/>
  <c r="BS168"/>
  <c r="BQ168"/>
  <c r="BV165"/>
  <c r="BP163"/>
  <c r="CE162"/>
  <c r="CK159"/>
  <c r="DG152"/>
  <c r="DG190"/>
  <c r="DO149"/>
  <c r="DO145"/>
  <c r="DP145" s="1"/>
  <c r="AM145"/>
  <c r="CQ145" s="1"/>
  <c r="AL143"/>
  <c r="CA115"/>
  <c r="CB115"/>
  <c r="BX113"/>
  <c r="BX129"/>
  <c r="CQ110"/>
  <c r="CR110"/>
  <c r="CS110" s="1"/>
  <c r="CT110" s="1"/>
  <c r="CU110" s="1"/>
  <c r="CV110" s="1"/>
  <c r="CW110" s="1"/>
  <c r="CX110" s="1"/>
  <c r="CY110" s="1"/>
  <c r="CZ110" s="1"/>
  <c r="DA110" s="1"/>
  <c r="CH106"/>
  <c r="CH105"/>
  <c r="CK104"/>
  <c r="BV104"/>
  <c r="CN102"/>
  <c r="CN103" s="1"/>
  <c r="CQ100"/>
  <c r="CR100"/>
  <c r="CS99"/>
  <c r="CS126"/>
  <c r="BY99"/>
  <c r="BY98"/>
  <c r="CB97"/>
  <c r="BP97"/>
  <c r="BP96"/>
  <c r="CT95"/>
  <c r="EH93"/>
  <c r="DJ93"/>
  <c r="DB93"/>
  <c r="BP93"/>
  <c r="BY93"/>
  <c r="DO91"/>
  <c r="DP91" s="1"/>
  <c r="W91"/>
  <c r="AC90"/>
  <c r="DG86"/>
  <c r="DG124" s="1"/>
  <c r="DC85"/>
  <c r="DD85" s="1"/>
  <c r="DE85" s="1"/>
  <c r="DF85" s="1"/>
  <c r="DC84"/>
  <c r="DD84" s="1"/>
  <c r="DE84" s="1"/>
  <c r="DF84" s="1"/>
  <c r="DG84" s="1"/>
  <c r="DH84" s="1"/>
  <c r="DI84" s="1"/>
  <c r="DJ84" s="1"/>
  <c r="DK84" s="1"/>
  <c r="DL84" s="1"/>
  <c r="DM84" s="1"/>
  <c r="BE84"/>
  <c r="AO84"/>
  <c r="BS84"/>
  <c r="AL83"/>
  <c r="CP83"/>
  <c r="CQ83" s="1"/>
  <c r="CR83" s="1"/>
  <c r="CS83" s="1"/>
  <c r="CT83" s="1"/>
  <c r="CU83" s="1"/>
  <c r="CV83" s="1"/>
  <c r="CW83" s="1"/>
  <c r="CX83" s="1"/>
  <c r="AY76"/>
  <c r="AM75"/>
  <c r="AN73" i="3"/>
  <c r="AF61" i="1"/>
  <c r="AD61"/>
  <c r="Y61"/>
  <c r="K61"/>
  <c r="BR49"/>
  <c r="BS49" s="1"/>
  <c r="CD49"/>
  <c r="CE49" s="1"/>
  <c r="BX49"/>
  <c r="DC49"/>
  <c r="DC37"/>
  <c r="DC62" s="1"/>
  <c r="CQ49"/>
  <c r="AW63"/>
  <c r="AQ63"/>
  <c r="CP43"/>
  <c r="CQ43" s="1"/>
  <c r="CR43" s="1"/>
  <c r="CS43" s="1"/>
  <c r="CT43" s="1"/>
  <c r="CU43" s="1"/>
  <c r="CV43" s="1"/>
  <c r="CW43" s="1"/>
  <c r="CX43" s="1"/>
  <c r="CY43" s="1"/>
  <c r="CZ43" s="1"/>
  <c r="DA43" s="1"/>
  <c r="CN43"/>
  <c r="AP43"/>
  <c r="DB41"/>
  <c r="DC41" s="1"/>
  <c r="DD41" s="1"/>
  <c r="DE41" s="1"/>
  <c r="DF41" s="1"/>
  <c r="DG41" s="1"/>
  <c r="DH41" s="1"/>
  <c r="DI41" s="1"/>
  <c r="DJ41" s="1"/>
  <c r="DK41" s="1"/>
  <c r="FE18" s="1"/>
  <c r="FF18" s="1"/>
  <c r="CP40"/>
  <c r="AX895"/>
  <c r="DC38"/>
  <c r="DN37"/>
  <c r="DE35"/>
  <c r="CS35"/>
  <c r="BP35"/>
  <c r="DM34"/>
  <c r="DK34"/>
  <c r="FE11"/>
  <c r="FF11" s="1"/>
  <c r="CV34"/>
  <c r="CB32"/>
  <c r="BP32"/>
  <c r="BV31"/>
  <c r="DJ30"/>
  <c r="EJ30"/>
  <c r="S8" i="3" s="1"/>
  <c r="DB29" i="1"/>
  <c r="CP29"/>
  <c r="BS29"/>
  <c r="DA28"/>
  <c r="CW28"/>
  <c r="DO27"/>
  <c r="CY27"/>
  <c r="CP12"/>
  <c r="CP55" s="1"/>
  <c r="DC13"/>
  <c r="DC56" s="1"/>
  <c r="CN13"/>
  <c r="DO13"/>
  <c r="CM10"/>
  <c r="AF10"/>
  <c r="BI10"/>
  <c r="CD155"/>
  <c r="CD186"/>
  <c r="CH155"/>
  <c r="CB852"/>
  <c r="CN852"/>
  <c r="BS853"/>
  <c r="BY853"/>
  <c r="BS855"/>
  <c r="BY855"/>
  <c r="DC91"/>
  <c r="CM91"/>
  <c r="CN91" s="1"/>
  <c r="BY91"/>
  <c r="AP120"/>
  <c r="BU64"/>
  <c r="CK39"/>
  <c r="BY38"/>
  <c r="DF19"/>
  <c r="DG19"/>
  <c r="DH19" s="1"/>
  <c r="DI19" s="1"/>
  <c r="DJ19" s="1"/>
  <c r="DK19" s="1"/>
  <c r="DL19" s="1"/>
  <c r="DM19" s="1"/>
  <c r="CE19"/>
  <c r="L53"/>
  <c r="CN865"/>
  <c r="BL876"/>
  <c r="BL903" s="1"/>
  <c r="CB875"/>
  <c r="BV873"/>
  <c r="CB871"/>
  <c r="CE870"/>
  <c r="AW912"/>
  <c r="AU912"/>
  <c r="AS912"/>
  <c r="AQ912"/>
  <c r="CZ868"/>
  <c r="CV868"/>
  <c r="CY910"/>
  <c r="CU910"/>
  <c r="AM910"/>
  <c r="BP866"/>
  <c r="AQ157"/>
  <c r="BS143"/>
  <c r="BS144" s="1"/>
  <c r="BE275"/>
  <c r="BG275" s="1"/>
  <c r="BD289"/>
  <c r="BF275"/>
  <c r="BX84"/>
  <c r="BW84"/>
  <c r="CS48"/>
  <c r="CR61"/>
  <c r="DK108"/>
  <c r="FE85"/>
  <c r="FF85" s="1"/>
  <c r="DL108"/>
  <c r="CR405"/>
  <c r="CQ449"/>
  <c r="CC547"/>
  <c r="CI34"/>
  <c r="CG166"/>
  <c r="CG163"/>
  <c r="BS897"/>
  <c r="CX911"/>
  <c r="CP911"/>
  <c r="CD875"/>
  <c r="CH325"/>
  <c r="CU286"/>
  <c r="AQ319"/>
  <c r="CR99"/>
  <c r="CQ126"/>
  <c r="DF904"/>
  <c r="DG633"/>
  <c r="DD901"/>
  <c r="DD460"/>
  <c r="DE435"/>
  <c r="AG675"/>
  <c r="BH675"/>
  <c r="BI401"/>
  <c r="DM401" s="1"/>
  <c r="AH401"/>
  <c r="AG419"/>
  <c r="BI468"/>
  <c r="DM468" s="1"/>
  <c r="AH468"/>
  <c r="AG602"/>
  <c r="BH602"/>
  <c r="DL602" s="1"/>
  <c r="AB411"/>
  <c r="BC411"/>
  <c r="BC453"/>
  <c r="AB15"/>
  <c r="BC15"/>
  <c r="BC57" s="1"/>
  <c r="AS763"/>
  <c r="Q788"/>
  <c r="Q831"/>
  <c r="BB723"/>
  <c r="BB721"/>
  <c r="CG703"/>
  <c r="CE720"/>
  <c r="BQ692"/>
  <c r="BS720"/>
  <c r="CC637"/>
  <c r="BV658"/>
  <c r="AH485"/>
  <c r="BJ485" s="1"/>
  <c r="AU16"/>
  <c r="BY70"/>
  <c r="AD252"/>
  <c r="AD517"/>
  <c r="T221"/>
  <c r="BF207"/>
  <c r="DF476"/>
  <c r="DF458"/>
  <c r="DL124"/>
  <c r="DJ7"/>
  <c r="BP221"/>
  <c r="BH146"/>
  <c r="BD209"/>
  <c r="BD10"/>
  <c r="DG545"/>
  <c r="AQ317"/>
  <c r="CL869"/>
  <c r="DJ337"/>
  <c r="CQ742"/>
  <c r="DG105"/>
  <c r="DF896"/>
  <c r="DF130"/>
  <c r="CF419"/>
  <c r="BD450"/>
  <c r="AB409"/>
  <c r="AA452"/>
  <c r="AE601"/>
  <c r="BF601"/>
  <c r="AB607"/>
  <c r="AC607" s="1"/>
  <c r="AB609"/>
  <c r="BC609"/>
  <c r="CE610"/>
  <c r="CC610"/>
  <c r="BC610"/>
  <c r="AB610"/>
  <c r="AE666"/>
  <c r="BF666"/>
  <c r="DJ666" s="1"/>
  <c r="AB673"/>
  <c r="AA716"/>
  <c r="BC673"/>
  <c r="BC716"/>
  <c r="BH349"/>
  <c r="CK349"/>
  <c r="BI349"/>
  <c r="CI283"/>
  <c r="AD403"/>
  <c r="BE403"/>
  <c r="DI403" s="1"/>
  <c r="AQ404" i="3" s="1"/>
  <c r="CM742" i="1"/>
  <c r="CL742"/>
  <c r="DB741"/>
  <c r="AX783"/>
  <c r="CF642"/>
  <c r="BD655"/>
  <c r="BV17"/>
  <c r="BT17" s="1"/>
  <c r="DJ600"/>
  <c r="CR148"/>
  <c r="CS148" s="1"/>
  <c r="CT148" s="1"/>
  <c r="CU148" s="1"/>
  <c r="CV148" s="1"/>
  <c r="CW148" s="1"/>
  <c r="DG610"/>
  <c r="CK613"/>
  <c r="CJ613" s="1"/>
  <c r="CN634"/>
  <c r="DN634"/>
  <c r="DO634"/>
  <c r="DP634" s="1"/>
  <c r="BO613"/>
  <c r="BN613"/>
  <c r="CQ560"/>
  <c r="CP588"/>
  <c r="CP590"/>
  <c r="BY543"/>
  <c r="AV585"/>
  <c r="BV543"/>
  <c r="BP543"/>
  <c r="BN503"/>
  <c r="CQ494"/>
  <c r="CP522"/>
  <c r="CP524"/>
  <c r="CA485"/>
  <c r="BZ516"/>
  <c r="DF196"/>
  <c r="DE196"/>
  <c r="DD196"/>
  <c r="DB64"/>
  <c r="DD237"/>
  <c r="DC901"/>
  <c r="CE64"/>
  <c r="CC196"/>
  <c r="AY790"/>
  <c r="Z56"/>
  <c r="CA885"/>
  <c r="CC872"/>
  <c r="CA884"/>
  <c r="CA891" s="1"/>
  <c r="CC748"/>
  <c r="AH664"/>
  <c r="AH668"/>
  <c r="BF675"/>
  <c r="AF419"/>
  <c r="DL664"/>
  <c r="DL668"/>
  <c r="AE400"/>
  <c r="AD419"/>
  <c r="BF401"/>
  <c r="BI481"/>
  <c r="CK481"/>
  <c r="BF468"/>
  <c r="AB477"/>
  <c r="AB478"/>
  <c r="BF602"/>
  <c r="BF664"/>
  <c r="AB676"/>
  <c r="DI401"/>
  <c r="BB411"/>
  <c r="CH679"/>
  <c r="BE666"/>
  <c r="DI666" s="1"/>
  <c r="Z716"/>
  <c r="BB673"/>
  <c r="AC404"/>
  <c r="Y741"/>
  <c r="AZ449"/>
  <c r="CK415"/>
  <c r="CK217"/>
  <c r="CI217" s="1"/>
  <c r="DB278"/>
  <c r="DK432"/>
  <c r="EJ432"/>
  <c r="EN432" s="1"/>
  <c r="ES432" s="1"/>
  <c r="DL432"/>
  <c r="DM432" s="1"/>
  <c r="CA524"/>
  <c r="BP774"/>
  <c r="CJ774"/>
  <c r="AQ787"/>
  <c r="BJ770"/>
  <c r="CN770" s="1"/>
  <c r="BF770"/>
  <c r="AU770"/>
  <c r="AR770"/>
  <c r="BV770" s="1"/>
  <c r="AP770"/>
  <c r="BF769"/>
  <c r="AS769"/>
  <c r="AQ769"/>
  <c r="AT766"/>
  <c r="BL789"/>
  <c r="BF764"/>
  <c r="AO764"/>
  <c r="AO789" s="1"/>
  <c r="AM758"/>
  <c r="DP756"/>
  <c r="AX755"/>
  <c r="AU755"/>
  <c r="CY755"/>
  <c r="AS755"/>
  <c r="CW755"/>
  <c r="AQ755"/>
  <c r="CU755"/>
  <c r="BB754"/>
  <c r="DF754"/>
  <c r="AS754"/>
  <c r="AP754"/>
  <c r="CT754" s="1"/>
  <c r="DO784"/>
  <c r="CB745"/>
  <c r="DC745"/>
  <c r="DD745" s="1"/>
  <c r="DE745" s="1"/>
  <c r="DF745" s="1"/>
  <c r="DG745" s="1"/>
  <c r="DH745" s="1"/>
  <c r="DI745" s="1"/>
  <c r="DJ745" s="1"/>
  <c r="DK745" s="1"/>
  <c r="AS745"/>
  <c r="BL742"/>
  <c r="BL740"/>
  <c r="DO739"/>
  <c r="DP739" s="1"/>
  <c r="AM739"/>
  <c r="AM736"/>
  <c r="BP736"/>
  <c r="BL735"/>
  <c r="AP732"/>
  <c r="CT732" s="1"/>
  <c r="AL732"/>
  <c r="CP732" s="1"/>
  <c r="BU709"/>
  <c r="BV709" s="1"/>
  <c r="CH702"/>
  <c r="CH701"/>
  <c r="DC701"/>
  <c r="DD701" s="1"/>
  <c r="DE701" s="1"/>
  <c r="DF701" s="1"/>
  <c r="DG701" s="1"/>
  <c r="DH701" s="1"/>
  <c r="DI701" s="1"/>
  <c r="DJ701" s="1"/>
  <c r="DK701" s="1"/>
  <c r="DL701" s="1"/>
  <c r="DM701" s="1"/>
  <c r="BY701"/>
  <c r="CB700"/>
  <c r="BV700"/>
  <c r="BV724" s="1"/>
  <c r="BS700"/>
  <c r="CK698"/>
  <c r="CE698"/>
  <c r="BY698"/>
  <c r="CE694"/>
  <c r="CH693"/>
  <c r="BY688"/>
  <c r="BS688"/>
  <c r="BY687"/>
  <c r="BV687"/>
  <c r="BU687"/>
  <c r="BP687"/>
  <c r="BO687"/>
  <c r="AP714"/>
  <c r="CN679"/>
  <c r="CB679"/>
  <c r="CE678"/>
  <c r="CB678"/>
  <c r="BS678"/>
  <c r="CQ678"/>
  <c r="CR678"/>
  <c r="CS678" s="1"/>
  <c r="CT678" s="1"/>
  <c r="CU678" s="1"/>
  <c r="CV678" s="1"/>
  <c r="CW678" s="1"/>
  <c r="CX678" s="1"/>
  <c r="CY678" s="1"/>
  <c r="CZ678" s="1"/>
  <c r="DA678" s="1"/>
  <c r="EA678" s="1"/>
  <c r="DO677"/>
  <c r="DP677"/>
  <c r="AV675"/>
  <c r="AV717"/>
  <c r="AS675"/>
  <c r="AQ675"/>
  <c r="AQ717" s="1"/>
  <c r="AO675"/>
  <c r="AM675"/>
  <c r="BV665"/>
  <c r="EA599"/>
  <c r="AL601" i="3"/>
  <c r="CG555" i="1"/>
  <c r="DP543"/>
  <c r="BR542"/>
  <c r="BQ542"/>
  <c r="BX541"/>
  <c r="BY584"/>
  <c r="BE523"/>
  <c r="BE525"/>
  <c r="CC509"/>
  <c r="CD509"/>
  <c r="BA525"/>
  <c r="BA523"/>
  <c r="AY523"/>
  <c r="AY525"/>
  <c r="AW525"/>
  <c r="AW523"/>
  <c r="BW509"/>
  <c r="AU525"/>
  <c r="AU523"/>
  <c r="AS523"/>
  <c r="AS525"/>
  <c r="AQ525"/>
  <c r="AQ523"/>
  <c r="BQ509"/>
  <c r="BR509" s="1"/>
  <c r="AO523"/>
  <c r="AO525"/>
  <c r="AM525"/>
  <c r="AM523"/>
  <c r="BT502"/>
  <c r="BR502"/>
  <c r="BQ502"/>
  <c r="BN502"/>
  <c r="BF147"/>
  <c r="AH203"/>
  <c r="BJ203"/>
  <c r="DN203" s="1"/>
  <c r="BB189"/>
  <c r="CX19"/>
  <c r="CY19"/>
  <c r="CZ19" s="1"/>
  <c r="DA19" s="1"/>
  <c r="DA791"/>
  <c r="CY791"/>
  <c r="CV791"/>
  <c r="CR791"/>
  <c r="BY767"/>
  <c r="CE767"/>
  <c r="BP766"/>
  <c r="BF765"/>
  <c r="AQ765"/>
  <c r="AM765"/>
  <c r="BA789"/>
  <c r="AM761"/>
  <c r="AY786"/>
  <c r="DO753"/>
  <c r="CU745"/>
  <c r="CV745"/>
  <c r="CW745" s="1"/>
  <c r="DO743"/>
  <c r="DP743" s="1"/>
  <c r="DO742"/>
  <c r="DP742" s="1"/>
  <c r="CE709"/>
  <c r="BY709"/>
  <c r="CD708"/>
  <c r="CE708" s="1"/>
  <c r="AY721"/>
  <c r="AW721"/>
  <c r="AS721"/>
  <c r="AQ721"/>
  <c r="AM721"/>
  <c r="AD721"/>
  <c r="AB721"/>
  <c r="BS704"/>
  <c r="BP704"/>
  <c r="BP703"/>
  <c r="CK701"/>
  <c r="CE699"/>
  <c r="CE695"/>
  <c r="CB695"/>
  <c r="BS695"/>
  <c r="BP695"/>
  <c r="CQ695"/>
  <c r="CR695" s="1"/>
  <c r="DM694"/>
  <c r="CH694"/>
  <c r="BY694"/>
  <c r="BV694"/>
  <c r="BS694"/>
  <c r="BP694"/>
  <c r="CZ693"/>
  <c r="CT693"/>
  <c r="CT720"/>
  <c r="CK693"/>
  <c r="CN692"/>
  <c r="CK691"/>
  <c r="EH690"/>
  <c r="F668" i="3" s="1"/>
  <c r="CN690" i="1"/>
  <c r="CN689"/>
  <c r="CE689"/>
  <c r="CD689"/>
  <c r="BP689"/>
  <c r="BO689"/>
  <c r="DC688"/>
  <c r="AK667" i="3"/>
  <c r="CN688" i="1"/>
  <c r="BP679"/>
  <c r="DD677"/>
  <c r="DE677"/>
  <c r="DF677" s="1"/>
  <c r="DG677" s="1"/>
  <c r="BS673"/>
  <c r="BF672"/>
  <c r="BY669"/>
  <c r="BP668"/>
  <c r="BY668"/>
  <c r="AQ640"/>
  <c r="CH638"/>
  <c r="BY638"/>
  <c r="CH637"/>
  <c r="CF637" s="1"/>
  <c r="BY637"/>
  <c r="BV637"/>
  <c r="DO636"/>
  <c r="DP636" s="1"/>
  <c r="CQ635"/>
  <c r="CR635"/>
  <c r="CS635" s="1"/>
  <c r="CT635" s="1"/>
  <c r="CU635" s="1"/>
  <c r="CV635" s="1"/>
  <c r="CW635" s="1"/>
  <c r="CX635" s="1"/>
  <c r="CY635" s="1"/>
  <c r="CZ635" s="1"/>
  <c r="DA635" s="1"/>
  <c r="BS543"/>
  <c r="AY457"/>
  <c r="AY459"/>
  <c r="BW443"/>
  <c r="AU459"/>
  <c r="AE414"/>
  <c r="AD420"/>
  <c r="BF420" s="1"/>
  <c r="CH420" s="1"/>
  <c r="DJ420" s="1"/>
  <c r="BX407"/>
  <c r="BY408"/>
  <c r="BR405"/>
  <c r="BS449"/>
  <c r="BS451"/>
  <c r="DO345"/>
  <c r="DN386"/>
  <c r="CQ343"/>
  <c r="EA338"/>
  <c r="AL339" i="3"/>
  <c r="DB312" i="1"/>
  <c r="BZ312"/>
  <c r="BX296"/>
  <c r="DC230"/>
  <c r="DB257"/>
  <c r="BR230"/>
  <c r="DP213"/>
  <c r="CP213"/>
  <c r="BU171"/>
  <c r="BU196" s="1"/>
  <c r="BV196"/>
  <c r="BR168"/>
  <c r="CN632"/>
  <c r="CK632"/>
  <c r="CE632"/>
  <c r="CT629"/>
  <c r="DL628"/>
  <c r="CN628"/>
  <c r="CB628"/>
  <c r="BV628"/>
  <c r="BS628"/>
  <c r="BR628"/>
  <c r="BP628"/>
  <c r="BY627"/>
  <c r="DC626"/>
  <c r="DC656"/>
  <c r="CK626"/>
  <c r="CH626"/>
  <c r="CB626"/>
  <c r="BY626"/>
  <c r="BX626" s="1"/>
  <c r="BP626"/>
  <c r="BO626" s="1"/>
  <c r="DO624"/>
  <c r="DI624"/>
  <c r="DC624"/>
  <c r="AK602" i="3" s="1"/>
  <c r="CY652" i="1"/>
  <c r="AP609"/>
  <c r="AN609"/>
  <c r="BV604"/>
  <c r="BP604"/>
  <c r="CY602"/>
  <c r="CQ602"/>
  <c r="DD601"/>
  <c r="CZ601"/>
  <c r="CT601"/>
  <c r="CR601"/>
  <c r="EJ598"/>
  <c r="DC598"/>
  <c r="CU598"/>
  <c r="CQ598"/>
  <c r="CK572"/>
  <c r="BP570"/>
  <c r="BS568"/>
  <c r="BQ568" s="1"/>
  <c r="CN567"/>
  <c r="CK566"/>
  <c r="BY566"/>
  <c r="BS566"/>
  <c r="BZ564"/>
  <c r="CH562"/>
  <c r="CE562"/>
  <c r="CB562"/>
  <c r="BY562"/>
  <c r="BV562"/>
  <c r="CQ561"/>
  <c r="CR561" s="1"/>
  <c r="CR588" s="1"/>
  <c r="CN559"/>
  <c r="BY558"/>
  <c r="CH557"/>
  <c r="CB557"/>
  <c r="CA557"/>
  <c r="BV557"/>
  <c r="BS557"/>
  <c r="DL556"/>
  <c r="AT535" i="3"/>
  <c r="BZ556" i="1"/>
  <c r="DN555"/>
  <c r="DL555"/>
  <c r="EJ555"/>
  <c r="EA586"/>
  <c r="DB547"/>
  <c r="DC547"/>
  <c r="DD547" s="1"/>
  <c r="DE547" s="1"/>
  <c r="DF547" s="1"/>
  <c r="DG547" s="1"/>
  <c r="DH547" s="1"/>
  <c r="DI547" s="1"/>
  <c r="DJ547" s="1"/>
  <c r="DK547" s="1"/>
  <c r="DL547" s="1"/>
  <c r="DM547" s="1"/>
  <c r="DO546"/>
  <c r="DP546"/>
  <c r="BE546"/>
  <c r="BT545"/>
  <c r="CP544"/>
  <c r="CQ544"/>
  <c r="CR544" s="1"/>
  <c r="CS544" s="1"/>
  <c r="CT544" s="1"/>
  <c r="CU544" s="1"/>
  <c r="CV544" s="1"/>
  <c r="CW544" s="1"/>
  <c r="CX544" s="1"/>
  <c r="CY544" s="1"/>
  <c r="CZ544" s="1"/>
  <c r="DA544" s="1"/>
  <c r="EA544" s="1"/>
  <c r="DB542"/>
  <c r="AJ543" i="3" s="1"/>
  <c r="DO541" i="1"/>
  <c r="DP541" s="1"/>
  <c r="BI537"/>
  <c r="BY537"/>
  <c r="CW536"/>
  <c r="BS536"/>
  <c r="BP536"/>
  <c r="DC535"/>
  <c r="DA535"/>
  <c r="CW535"/>
  <c r="CT534"/>
  <c r="CB534"/>
  <c r="CA534"/>
  <c r="BY534"/>
  <c r="BY533"/>
  <c r="BS533"/>
  <c r="CJ511"/>
  <c r="CK511" s="1"/>
  <c r="EI511"/>
  <c r="BU511"/>
  <c r="BO511"/>
  <c r="BP511" s="1"/>
  <c r="AP523"/>
  <c r="AN523"/>
  <c r="CP509"/>
  <c r="CW507"/>
  <c r="CW527"/>
  <c r="AS507"/>
  <c r="DC506"/>
  <c r="DD506" s="1"/>
  <c r="DE506" s="1"/>
  <c r="DF506" s="1"/>
  <c r="DG506" s="1"/>
  <c r="DH506" s="1"/>
  <c r="DI506" s="1"/>
  <c r="DJ506" s="1"/>
  <c r="DK506" s="1"/>
  <c r="EI505"/>
  <c r="BN505"/>
  <c r="DC504"/>
  <c r="DD504" s="1"/>
  <c r="DE504" s="1"/>
  <c r="DF504" s="1"/>
  <c r="DG504" s="1"/>
  <c r="DH504" s="1"/>
  <c r="DI504" s="1"/>
  <c r="DJ504" s="1"/>
  <c r="DK504" s="1"/>
  <c r="CK504"/>
  <c r="CH504"/>
  <c r="EI504"/>
  <c r="CQ503"/>
  <c r="CR503"/>
  <c r="CS503" s="1"/>
  <c r="CT503" s="1"/>
  <c r="CU503" s="1"/>
  <c r="CV503" s="1"/>
  <c r="CW503" s="1"/>
  <c r="CX503" s="1"/>
  <c r="CY503" s="1"/>
  <c r="CZ503" s="1"/>
  <c r="DA503" s="1"/>
  <c r="EH502"/>
  <c r="CE502"/>
  <c r="CE526" s="1"/>
  <c r="BW502"/>
  <c r="BW526" s="1"/>
  <c r="CQ501"/>
  <c r="CB501"/>
  <c r="DB500"/>
  <c r="CA500"/>
  <c r="BS498"/>
  <c r="DL497"/>
  <c r="EJ497"/>
  <c r="DB497"/>
  <c r="CJ497"/>
  <c r="BY497"/>
  <c r="CG497"/>
  <c r="CE497"/>
  <c r="CB497"/>
  <c r="DB496"/>
  <c r="DB902" s="1"/>
  <c r="CX496"/>
  <c r="CT496"/>
  <c r="CP496"/>
  <c r="CQ496" s="1"/>
  <c r="CR496" s="1"/>
  <c r="CD496"/>
  <c r="CB496"/>
  <c r="BX496"/>
  <c r="BW495"/>
  <c r="BW522" s="1"/>
  <c r="BS495"/>
  <c r="BR495" s="1"/>
  <c r="DJ493"/>
  <c r="DF493"/>
  <c r="AN471" i="3"/>
  <c r="DB493" i="1"/>
  <c r="AJ471" i="3"/>
  <c r="CX493" i="1"/>
  <c r="CV493"/>
  <c r="CP493"/>
  <c r="CA493"/>
  <c r="BW493"/>
  <c r="DE492"/>
  <c r="DC492"/>
  <c r="AK470" i="3"/>
  <c r="CY492" i="1"/>
  <c r="BP492"/>
  <c r="CV491"/>
  <c r="CK489"/>
  <c r="CL487"/>
  <c r="CM487" s="1"/>
  <c r="CN487" s="1"/>
  <c r="CQ481"/>
  <c r="CR481"/>
  <c r="CS481" s="1"/>
  <c r="CT481" s="1"/>
  <c r="CU481" s="1"/>
  <c r="CV481" s="1"/>
  <c r="CW481" s="1"/>
  <c r="CX481" s="1"/>
  <c r="CY481" s="1"/>
  <c r="CZ481" s="1"/>
  <c r="DA481" s="1"/>
  <c r="EA481" s="1"/>
  <c r="DO479"/>
  <c r="BV479"/>
  <c r="BP479"/>
  <c r="DC478"/>
  <c r="DD478" s="1"/>
  <c r="DE478" s="1"/>
  <c r="DF478" s="1"/>
  <c r="DG478" s="1"/>
  <c r="DH478" s="1"/>
  <c r="AL477"/>
  <c r="AV477"/>
  <c r="AV519" s="1"/>
  <c r="AT477"/>
  <c r="AT519" s="1"/>
  <c r="AW385"/>
  <c r="AW383"/>
  <c r="BQ286"/>
  <c r="CQ238"/>
  <c r="CP261"/>
  <c r="BO234"/>
  <c r="CQ231"/>
  <c r="CR231" s="1"/>
  <c r="CP257"/>
  <c r="DC213"/>
  <c r="DB254"/>
  <c r="DC211"/>
  <c r="DD211"/>
  <c r="DE211" s="1"/>
  <c r="DB253"/>
  <c r="DB208"/>
  <c r="DB250" s="1"/>
  <c r="AX250"/>
  <c r="L207"/>
  <c r="AM207"/>
  <c r="CQ207" s="1"/>
  <c r="K250"/>
  <c r="K252"/>
  <c r="BO172"/>
  <c r="BO196" s="1"/>
  <c r="BP196"/>
  <c r="CA169"/>
  <c r="CA194"/>
  <c r="CB194"/>
  <c r="CN633"/>
  <c r="CM633" s="1"/>
  <c r="BP633"/>
  <c r="CH632"/>
  <c r="BP632"/>
  <c r="BY629"/>
  <c r="CR629"/>
  <c r="CK624"/>
  <c r="BP623"/>
  <c r="BO623"/>
  <c r="AJ601" i="3"/>
  <c r="CH569" i="1"/>
  <c r="CN568"/>
  <c r="CH567"/>
  <c r="CB567"/>
  <c r="BP567"/>
  <c r="BY561"/>
  <c r="AM536" i="3"/>
  <c r="AK536"/>
  <c r="CN547" i="1"/>
  <c r="BV547"/>
  <c r="BP547"/>
  <c r="BY532"/>
  <c r="DD515"/>
  <c r="N150"/>
  <c r="N744" s="1"/>
  <c r="AO150"/>
  <c r="DN146"/>
  <c r="BF144"/>
  <c r="BW47"/>
  <c r="AU63"/>
  <c r="BV470"/>
  <c r="CB468"/>
  <c r="BS468"/>
  <c r="BP468"/>
  <c r="CB467"/>
  <c r="BY467"/>
  <c r="BP467"/>
  <c r="BL457"/>
  <c r="CN440"/>
  <c r="BP439"/>
  <c r="CH436"/>
  <c r="CB436"/>
  <c r="BP436"/>
  <c r="CB431"/>
  <c r="BV431"/>
  <c r="CB430"/>
  <c r="DO429"/>
  <c r="CK429"/>
  <c r="CH429"/>
  <c r="BV429"/>
  <c r="CK428"/>
  <c r="CB428"/>
  <c r="BP428"/>
  <c r="CZ427"/>
  <c r="CK427"/>
  <c r="CD419"/>
  <c r="BR418"/>
  <c r="CB415"/>
  <c r="BE414"/>
  <c r="DO413"/>
  <c r="DP413"/>
  <c r="BP413"/>
  <c r="AR411"/>
  <c r="AR453" s="1"/>
  <c r="DO409"/>
  <c r="BV407"/>
  <c r="BY406"/>
  <c r="CW402"/>
  <c r="CM379"/>
  <c r="BP373"/>
  <c r="CN372"/>
  <c r="CK372"/>
  <c r="CN371"/>
  <c r="CN369"/>
  <c r="CK369"/>
  <c r="CH369"/>
  <c r="CH368"/>
  <c r="CB368"/>
  <c r="BY368"/>
  <c r="BP368"/>
  <c r="CE364"/>
  <c r="CB362"/>
  <c r="BY362"/>
  <c r="BP362"/>
  <c r="DL360"/>
  <c r="AT338" i="3" s="1"/>
  <c r="EJ360" i="1"/>
  <c r="S338" i="3" s="1"/>
  <c r="CV359" i="1"/>
  <c r="CH359"/>
  <c r="CE359"/>
  <c r="CK358"/>
  <c r="CH358"/>
  <c r="CF358" s="1"/>
  <c r="BV358"/>
  <c r="CV357"/>
  <c r="CK357"/>
  <c r="DO355"/>
  <c r="DP355" s="1"/>
  <c r="BX355"/>
  <c r="BP349"/>
  <c r="DO348"/>
  <c r="DP348" s="1"/>
  <c r="CK348"/>
  <c r="DC348"/>
  <c r="DD348"/>
  <c r="DE348" s="1"/>
  <c r="DF348" s="1"/>
  <c r="DG348" s="1"/>
  <c r="DH348" s="1"/>
  <c r="DI348" s="1"/>
  <c r="DJ348" s="1"/>
  <c r="DK348" s="1"/>
  <c r="DL348" s="1"/>
  <c r="DM348" s="1"/>
  <c r="EB348" s="1"/>
  <c r="EG348" s="1"/>
  <c r="BY347"/>
  <c r="BS347"/>
  <c r="BP347"/>
  <c r="AW345"/>
  <c r="AW386"/>
  <c r="AU345"/>
  <c r="AU386"/>
  <c r="AS345"/>
  <c r="AS386"/>
  <c r="AQ345"/>
  <c r="AQ386"/>
  <c r="AO345"/>
  <c r="CP338"/>
  <c r="BY338"/>
  <c r="BV338"/>
  <c r="CW335"/>
  <c r="CB335"/>
  <c r="BV334"/>
  <c r="BS334"/>
  <c r="E334" i="3"/>
  <c r="BU313" i="1"/>
  <c r="AU312"/>
  <c r="BW312"/>
  <c r="BK311"/>
  <c r="BK326" s="1"/>
  <c r="BI311"/>
  <c r="CH306"/>
  <c r="CB306"/>
  <c r="CB301"/>
  <c r="BY300"/>
  <c r="BV300"/>
  <c r="BV301"/>
  <c r="BS300"/>
  <c r="CN299"/>
  <c r="BS299"/>
  <c r="CK297"/>
  <c r="CE297"/>
  <c r="BV297"/>
  <c r="BP297"/>
  <c r="CK296"/>
  <c r="DI295"/>
  <c r="CH294"/>
  <c r="EB321"/>
  <c r="BV274"/>
  <c r="DB259"/>
  <c r="BX247"/>
  <c r="BY247" s="1"/>
  <c r="DN246"/>
  <c r="CH241"/>
  <c r="CB241"/>
  <c r="BS257"/>
  <c r="CN215"/>
  <c r="CN214"/>
  <c r="AL212"/>
  <c r="CP212"/>
  <c r="BF210"/>
  <c r="AZ210"/>
  <c r="DB209"/>
  <c r="DC209"/>
  <c r="CB208"/>
  <c r="AY208"/>
  <c r="EJ205"/>
  <c r="EK200"/>
  <c r="BU181"/>
  <c r="BV181"/>
  <c r="BU180"/>
  <c r="BV180"/>
  <c r="BN180"/>
  <c r="DB179"/>
  <c r="BR179"/>
  <c r="Q197"/>
  <c r="CW177"/>
  <c r="CW197"/>
  <c r="AS177"/>
  <c r="CP176"/>
  <c r="CQ176" s="1"/>
  <c r="CR176" s="1"/>
  <c r="CS176" s="1"/>
  <c r="CT176" s="1"/>
  <c r="CU176" s="1"/>
  <c r="CV176" s="1"/>
  <c r="CW176" s="1"/>
  <c r="CX176" s="1"/>
  <c r="CY176" s="1"/>
  <c r="CZ176" s="1"/>
  <c r="DA176" s="1"/>
  <c r="BS176"/>
  <c r="DB175"/>
  <c r="DC175"/>
  <c r="DD175" s="1"/>
  <c r="DE175" s="1"/>
  <c r="DF175" s="1"/>
  <c r="DG175" s="1"/>
  <c r="DH175" s="1"/>
  <c r="DI175" s="1"/>
  <c r="DJ175" s="1"/>
  <c r="DK175" s="1"/>
  <c r="DL175" s="1"/>
  <c r="DM175" s="1"/>
  <c r="CK175"/>
  <c r="BY175"/>
  <c r="DC174"/>
  <c r="DD174" s="1"/>
  <c r="DE174" s="1"/>
  <c r="DF174" s="1"/>
  <c r="DG174" s="1"/>
  <c r="DH174" s="1"/>
  <c r="DI174" s="1"/>
  <c r="DJ174" s="1"/>
  <c r="DK174" s="1"/>
  <c r="DL174" s="1"/>
  <c r="DM174" s="1"/>
  <c r="CN174"/>
  <c r="CP172"/>
  <c r="CH171"/>
  <c r="BY171"/>
  <c r="DC170"/>
  <c r="DD170" s="1"/>
  <c r="CB170"/>
  <c r="BP170"/>
  <c r="BY169"/>
  <c r="BV168"/>
  <c r="BP168"/>
  <c r="CZ167"/>
  <c r="CV167"/>
  <c r="CT167"/>
  <c r="CE167"/>
  <c r="DL166"/>
  <c r="DC166"/>
  <c r="DC897" s="1"/>
  <c r="BP166"/>
  <c r="CN166"/>
  <c r="CE166"/>
  <c r="DB897"/>
  <c r="BY166"/>
  <c r="BY165"/>
  <c r="CK165"/>
  <c r="CK192"/>
  <c r="CE165"/>
  <c r="CB165"/>
  <c r="CQ164"/>
  <c r="CB163"/>
  <c r="DJ162"/>
  <c r="EH161"/>
  <c r="EL161" s="1"/>
  <c r="EQ161" s="1"/>
  <c r="DE161"/>
  <c r="BS161"/>
  <c r="DI160"/>
  <c r="CN159"/>
  <c r="BP159"/>
  <c r="DO157"/>
  <c r="DP157" s="1"/>
  <c r="BZ157"/>
  <c r="CA157"/>
  <c r="CB157" s="1"/>
  <c r="CY153"/>
  <c r="CY190" s="1"/>
  <c r="CV153"/>
  <c r="CV190" s="1"/>
  <c r="CS153"/>
  <c r="CS190" s="1"/>
  <c r="DO150"/>
  <c r="DP150" s="1"/>
  <c r="K146"/>
  <c r="K740" s="1"/>
  <c r="AM740" s="1"/>
  <c r="CQ740" s="1"/>
  <c r="AL146"/>
  <c r="CP146"/>
  <c r="J147"/>
  <c r="AT145"/>
  <c r="AU145"/>
  <c r="AE141"/>
  <c r="AF142"/>
  <c r="AV127"/>
  <c r="AV129"/>
  <c r="AT127"/>
  <c r="AT129"/>
  <c r="BT113"/>
  <c r="AR127"/>
  <c r="AR129"/>
  <c r="AP127"/>
  <c r="AP129"/>
  <c r="AN127"/>
  <c r="AN129"/>
  <c r="CP113"/>
  <c r="BN113"/>
  <c r="BN127"/>
  <c r="AL127"/>
  <c r="AL129"/>
  <c r="BQ102"/>
  <c r="BS103"/>
  <c r="DC81"/>
  <c r="DB123"/>
  <c r="DO32"/>
  <c r="DO62" s="1"/>
  <c r="DN62"/>
  <c r="CP22"/>
  <c r="AL54"/>
  <c r="AL56"/>
  <c r="BY471"/>
  <c r="BY466"/>
  <c r="BU445"/>
  <c r="BV445" s="1"/>
  <c r="DC444"/>
  <c r="CR444"/>
  <c r="CS444"/>
  <c r="CU461"/>
  <c r="CE434"/>
  <c r="CE433"/>
  <c r="BZ432"/>
  <c r="CH431"/>
  <c r="CH426"/>
  <c r="CK424"/>
  <c r="CP408"/>
  <c r="CP451"/>
  <c r="BV418"/>
  <c r="BV450"/>
  <c r="BY400"/>
  <c r="CU376"/>
  <c r="CU394"/>
  <c r="CB374"/>
  <c r="CH371"/>
  <c r="AM338" i="3"/>
  <c r="CN347" i="1"/>
  <c r="DP343"/>
  <c r="BU312"/>
  <c r="BV312"/>
  <c r="AS309"/>
  <c r="CH308"/>
  <c r="BV308"/>
  <c r="BS308"/>
  <c r="BP307"/>
  <c r="DB306"/>
  <c r="DC306"/>
  <c r="DD306" s="1"/>
  <c r="DE306" s="1"/>
  <c r="DF306" s="1"/>
  <c r="DG306" s="1"/>
  <c r="DH306" s="1"/>
  <c r="DI306" s="1"/>
  <c r="DJ306" s="1"/>
  <c r="DK306" s="1"/>
  <c r="DL306" s="1"/>
  <c r="DM306" s="1"/>
  <c r="CN306"/>
  <c r="CH305"/>
  <c r="CE303"/>
  <c r="BY302"/>
  <c r="BV302"/>
  <c r="BS302"/>
  <c r="BS294"/>
  <c r="CB293"/>
  <c r="CN292"/>
  <c r="CN280"/>
  <c r="DO277"/>
  <c r="CK242"/>
  <c r="CH242"/>
  <c r="CN239"/>
  <c r="CH239"/>
  <c r="BS239"/>
  <c r="CN237"/>
  <c r="BV237"/>
  <c r="BP237"/>
  <c r="BY234"/>
  <c r="BY235"/>
  <c r="CN232"/>
  <c r="DL231"/>
  <c r="EJ231"/>
  <c r="CZ231"/>
  <c r="CV231"/>
  <c r="CT231"/>
  <c r="CE231"/>
  <c r="CK230"/>
  <c r="DL229"/>
  <c r="AT207" i="3" s="1"/>
  <c r="CN228" i="1"/>
  <c r="CB227"/>
  <c r="CE227"/>
  <c r="DD209"/>
  <c r="DE209"/>
  <c r="DF209" s="1"/>
  <c r="DG209" s="1"/>
  <c r="DH209" s="1"/>
  <c r="DI209" s="1"/>
  <c r="DJ209" s="1"/>
  <c r="BY181"/>
  <c r="CH167"/>
  <c r="EB190"/>
  <c r="CN151"/>
  <c r="DP149"/>
  <c r="AM139" i="3"/>
  <c r="DC150" i="1"/>
  <c r="DD150"/>
  <c r="DE150" s="1"/>
  <c r="DF150" s="1"/>
  <c r="DG150" s="1"/>
  <c r="DH150" s="1"/>
  <c r="DI150" s="1"/>
  <c r="DJ150" s="1"/>
  <c r="DK150" s="1"/>
  <c r="DL150" s="1"/>
  <c r="DM150" s="1"/>
  <c r="EB150" s="1"/>
  <c r="EG150" s="1"/>
  <c r="BP150"/>
  <c r="DO148"/>
  <c r="DP148" s="1"/>
  <c r="CN147"/>
  <c r="CN145"/>
  <c r="AR145"/>
  <c r="BV145" s="1"/>
  <c r="AP145"/>
  <c r="BS145" s="1"/>
  <c r="AN139" i="3"/>
  <c r="DC115" i="1"/>
  <c r="DD115"/>
  <c r="DE115" s="1"/>
  <c r="BO115"/>
  <c r="BP115"/>
  <c r="CP114"/>
  <c r="BL127"/>
  <c r="AR111"/>
  <c r="CE107"/>
  <c r="BS107"/>
  <c r="BV106"/>
  <c r="DD104"/>
  <c r="DE104"/>
  <c r="DF104" s="1"/>
  <c r="DG104" s="1"/>
  <c r="DH104" s="1"/>
  <c r="DI104" s="1"/>
  <c r="DJ104" s="1"/>
  <c r="DK104" s="1"/>
  <c r="CK101"/>
  <c r="CN101"/>
  <c r="CH101"/>
  <c r="BY101"/>
  <c r="BS101"/>
  <c r="CK99"/>
  <c r="DJ99"/>
  <c r="CK98"/>
  <c r="CB98"/>
  <c r="BP98"/>
  <c r="CN97"/>
  <c r="CE97"/>
  <c r="BS97"/>
  <c r="CQ96"/>
  <c r="CB96"/>
  <c r="BY96"/>
  <c r="BV96"/>
  <c r="CK95"/>
  <c r="CK94"/>
  <c r="BY49"/>
  <c r="DD49"/>
  <c r="CN44"/>
  <c r="CK44"/>
  <c r="CN35"/>
  <c r="CN34"/>
  <c r="BY34"/>
  <c r="CB33"/>
  <c r="CN31"/>
  <c r="CE30"/>
  <c r="CN29"/>
  <c r="BE876"/>
  <c r="BF876"/>
  <c r="CS918"/>
  <c r="BS874"/>
  <c r="CV873"/>
  <c r="BY873"/>
  <c r="BY872"/>
  <c r="CX871"/>
  <c r="BV871"/>
  <c r="BP870"/>
  <c r="CY912"/>
  <c r="CR868"/>
  <c r="CW910"/>
  <c r="CS910"/>
  <c r="AW910"/>
  <c r="AU910"/>
  <c r="AS910"/>
  <c r="AQ910"/>
  <c r="AO910"/>
  <c r="CP866"/>
  <c r="BY866"/>
  <c r="BV866"/>
  <c r="BS866"/>
  <c r="DH891"/>
  <c r="BS881"/>
  <c r="BY881"/>
  <c r="CE881"/>
  <c r="CE885"/>
  <c r="BP890"/>
  <c r="BV890"/>
  <c r="BS115"/>
  <c r="BR113"/>
  <c r="CS131"/>
  <c r="BS110"/>
  <c r="CB104"/>
  <c r="CE101"/>
  <c r="CE93"/>
  <c r="CB84"/>
  <c r="CN82"/>
  <c r="BV77"/>
  <c r="AL76"/>
  <c r="AP71"/>
  <c r="BL70"/>
  <c r="DP70"/>
  <c r="AL70"/>
  <c r="CP70"/>
  <c r="EK68"/>
  <c r="CE41"/>
  <c r="CN40"/>
  <c r="BY40"/>
  <c r="BY39"/>
  <c r="CK27"/>
  <c r="CE23"/>
  <c r="BP19"/>
  <c r="DC15"/>
  <c r="X278"/>
  <c r="CR918"/>
  <c r="CN851"/>
  <c r="CB853"/>
  <c r="CN853"/>
  <c r="CM853" s="1"/>
  <c r="BP856"/>
  <c r="BV856"/>
  <c r="CB856"/>
  <c r="CN856"/>
  <c r="BS857"/>
  <c r="BY857"/>
  <c r="BQ16"/>
  <c r="AT733"/>
  <c r="CX733" s="1"/>
  <c r="BU17"/>
  <c r="EE204"/>
  <c r="BQ214"/>
  <c r="BR214"/>
  <c r="CJ679"/>
  <c r="CD874"/>
  <c r="DK241"/>
  <c r="DL241" s="1"/>
  <c r="DM241" s="1"/>
  <c r="CV434"/>
  <c r="CU459"/>
  <c r="CS302"/>
  <c r="DF434"/>
  <c r="CD610"/>
  <c r="BG582"/>
  <c r="CI551"/>
  <c r="EF551"/>
  <c r="DH154"/>
  <c r="DG186"/>
  <c r="CJ217"/>
  <c r="BF338"/>
  <c r="AE338"/>
  <c r="BU19"/>
  <c r="BT19"/>
  <c r="CF169"/>
  <c r="CC770"/>
  <c r="BY217"/>
  <c r="BC677"/>
  <c r="DK43"/>
  <c r="FE20"/>
  <c r="FF20" s="1"/>
  <c r="CS223"/>
  <c r="CA765"/>
  <c r="BZ765"/>
  <c r="CD478"/>
  <c r="CC478"/>
  <c r="CF72"/>
  <c r="CG72"/>
  <c r="BC81"/>
  <c r="BC123" s="1"/>
  <c r="AA741"/>
  <c r="AA123"/>
  <c r="CE81"/>
  <c r="AB81"/>
  <c r="BW499"/>
  <c r="BX499"/>
  <c r="CH648"/>
  <c r="DG275"/>
  <c r="DH275" s="1"/>
  <c r="DI275" s="1"/>
  <c r="DJ275" s="1"/>
  <c r="DK275" s="1"/>
  <c r="AU763"/>
  <c r="S788"/>
  <c r="S831"/>
  <c r="AM763"/>
  <c r="K788"/>
  <c r="K831"/>
  <c r="AP787"/>
  <c r="CQ765"/>
  <c r="CR765"/>
  <c r="CP790"/>
  <c r="BP765"/>
  <c r="AM790"/>
  <c r="CP760"/>
  <c r="BP760"/>
  <c r="CP736"/>
  <c r="CP779" s="1"/>
  <c r="AL779"/>
  <c r="BT699"/>
  <c r="CD695"/>
  <c r="CC695"/>
  <c r="CC689"/>
  <c r="DC669"/>
  <c r="DD669" s="1"/>
  <c r="DE669" s="1"/>
  <c r="DF669" s="1"/>
  <c r="DG669" s="1"/>
  <c r="DH669" s="1"/>
  <c r="DB713"/>
  <c r="BX642"/>
  <c r="BY642"/>
  <c r="BW655"/>
  <c r="CG637"/>
  <c r="CL633"/>
  <c r="CN658"/>
  <c r="BN633"/>
  <c r="CM624"/>
  <c r="CL624"/>
  <c r="CG624"/>
  <c r="AN605"/>
  <c r="M605"/>
  <c r="L619"/>
  <c r="L649"/>
  <c r="BW564"/>
  <c r="DB551"/>
  <c r="BZ551"/>
  <c r="AX582"/>
  <c r="BT551"/>
  <c r="AR582"/>
  <c r="CH317"/>
  <c r="BR223"/>
  <c r="BS223" s="1"/>
  <c r="CH90"/>
  <c r="CS16"/>
  <c r="CT16" s="1"/>
  <c r="CU16" s="1"/>
  <c r="CV16" s="1"/>
  <c r="CW16" s="1"/>
  <c r="CX16" s="1"/>
  <c r="CY16" s="1"/>
  <c r="CZ16" s="1"/>
  <c r="DA16" s="1"/>
  <c r="CX217"/>
  <c r="CY217"/>
  <c r="CZ217" s="1"/>
  <c r="DA217" s="1"/>
  <c r="EA217" s="1"/>
  <c r="CB61"/>
  <c r="BF745"/>
  <c r="AX320"/>
  <c r="CE575"/>
  <c r="AQ790"/>
  <c r="BP761"/>
  <c r="AN786"/>
  <c r="Y788"/>
  <c r="Y831"/>
  <c r="AQ763"/>
  <c r="O788"/>
  <c r="O831"/>
  <c r="BA787"/>
  <c r="CC774"/>
  <c r="BR773"/>
  <c r="BS773"/>
  <c r="BQ787"/>
  <c r="AU787"/>
  <c r="BW773"/>
  <c r="AU789"/>
  <c r="CP759"/>
  <c r="CP786"/>
  <c r="AL786"/>
  <c r="CY757"/>
  <c r="DB755"/>
  <c r="EB746"/>
  <c r="DM784"/>
  <c r="DC698"/>
  <c r="DD698" s="1"/>
  <c r="DE698" s="1"/>
  <c r="DF698" s="1"/>
  <c r="DG698" s="1"/>
  <c r="DH698" s="1"/>
  <c r="DI698" s="1"/>
  <c r="DJ698" s="1"/>
  <c r="DK698" s="1"/>
  <c r="DL698" s="1"/>
  <c r="DM698" s="1"/>
  <c r="BW693"/>
  <c r="BY720"/>
  <c r="BO688"/>
  <c r="BN688"/>
  <c r="CG687"/>
  <c r="CA687"/>
  <c r="BZ687"/>
  <c r="BT687"/>
  <c r="BQ628"/>
  <c r="BP617"/>
  <c r="CR616"/>
  <c r="CS616" s="1"/>
  <c r="CT616" s="1"/>
  <c r="CU616" s="1"/>
  <c r="BR568"/>
  <c r="BX562"/>
  <c r="BW562"/>
  <c r="BU557"/>
  <c r="BT557"/>
  <c r="BX551"/>
  <c r="BW582"/>
  <c r="P733"/>
  <c r="CK84"/>
  <c r="CS17"/>
  <c r="CT17" s="1"/>
  <c r="CU17" s="1"/>
  <c r="CV17" s="1"/>
  <c r="CW17" s="1"/>
  <c r="CX17" s="1"/>
  <c r="CY17" s="1"/>
  <c r="CZ17" s="1"/>
  <c r="DA17" s="1"/>
  <c r="DE77"/>
  <c r="DF77"/>
  <c r="DG77" s="1"/>
  <c r="DH77" s="1"/>
  <c r="DI77" s="1"/>
  <c r="CR126"/>
  <c r="CV891"/>
  <c r="CA748"/>
  <c r="CI613"/>
  <c r="DJ400"/>
  <c r="DJ601"/>
  <c r="CF481"/>
  <c r="CH613"/>
  <c r="AZ741"/>
  <c r="CH283"/>
  <c r="AH221"/>
  <c r="DG345"/>
  <c r="DH345"/>
  <c r="DF346"/>
  <c r="DG346"/>
  <c r="DH346" s="1"/>
  <c r="DI346" s="1"/>
  <c r="DJ346" s="1"/>
  <c r="DK346" s="1"/>
  <c r="AX790"/>
  <c r="AT790"/>
  <c r="CF378"/>
  <c r="BD390"/>
  <c r="DB353"/>
  <c r="BZ353"/>
  <c r="AX383"/>
  <c r="BT353"/>
  <c r="AR383"/>
  <c r="BN353"/>
  <c r="CP353"/>
  <c r="AL383"/>
  <c r="DC343"/>
  <c r="DB385"/>
  <c r="BU340"/>
  <c r="AZ324"/>
  <c r="AZ326"/>
  <c r="R283"/>
  <c r="AS283"/>
  <c r="P648"/>
  <c r="DC775"/>
  <c r="CP774"/>
  <c r="CQ774"/>
  <c r="CR774" s="1"/>
  <c r="CS774" s="1"/>
  <c r="CT774" s="1"/>
  <c r="CU774" s="1"/>
  <c r="CV774" s="1"/>
  <c r="CW774" s="1"/>
  <c r="CX774" s="1"/>
  <c r="CY774" s="1"/>
  <c r="CZ774" s="1"/>
  <c r="DA774" s="1"/>
  <c r="BR774"/>
  <c r="CD774"/>
  <c r="CE774" s="1"/>
  <c r="CE787" s="1"/>
  <c r="BV774"/>
  <c r="CP771"/>
  <c r="AQ770"/>
  <c r="BI770"/>
  <c r="CM770" s="1"/>
  <c r="AV770"/>
  <c r="BY770" s="1"/>
  <c r="AR769"/>
  <c r="BV769" s="1"/>
  <c r="BD769"/>
  <c r="CH769" s="1"/>
  <c r="BB769"/>
  <c r="AU769"/>
  <c r="BY769"/>
  <c r="CQ768"/>
  <c r="CR768" s="1"/>
  <c r="CS768" s="1"/>
  <c r="CT768" s="1"/>
  <c r="AT768"/>
  <c r="AP768"/>
  <c r="BP768"/>
  <c r="BE768"/>
  <c r="CN767"/>
  <c r="AZ767"/>
  <c r="CB767" s="1"/>
  <c r="AT767"/>
  <c r="BV767" s="1"/>
  <c r="AN767"/>
  <c r="BP767" s="1"/>
  <c r="AU766"/>
  <c r="BY766" s="1"/>
  <c r="BB766"/>
  <c r="AR766"/>
  <c r="BV766"/>
  <c r="AP766"/>
  <c r="BS766"/>
  <c r="AU765"/>
  <c r="BE765"/>
  <c r="AR765"/>
  <c r="AP765"/>
  <c r="AT764"/>
  <c r="AP764"/>
  <c r="AP789" s="1"/>
  <c r="BD764"/>
  <c r="BB764"/>
  <c r="CE764"/>
  <c r="AY764"/>
  <c r="AW764"/>
  <c r="AM764"/>
  <c r="AM789"/>
  <c r="BL762"/>
  <c r="BS762"/>
  <c r="DP761"/>
  <c r="BD761"/>
  <c r="DB787"/>
  <c r="AS761"/>
  <c r="CW761"/>
  <c r="AO761"/>
  <c r="BF761"/>
  <c r="BB761"/>
  <c r="AZ761"/>
  <c r="DD761" s="1"/>
  <c r="AV761"/>
  <c r="CZ761" s="1"/>
  <c r="CZ787" s="1"/>
  <c r="BC760"/>
  <c r="CY760"/>
  <c r="CW760"/>
  <c r="AP760"/>
  <c r="BG759"/>
  <c r="AV759"/>
  <c r="CZ759"/>
  <c r="BA759"/>
  <c r="AQ759"/>
  <c r="AO759"/>
  <c r="AM759"/>
  <c r="BP759"/>
  <c r="BF758"/>
  <c r="AQ758"/>
  <c r="BB758"/>
  <c r="AZ758"/>
  <c r="AZ788" s="1"/>
  <c r="AV758"/>
  <c r="AM757"/>
  <c r="CQ757"/>
  <c r="BE757"/>
  <c r="BC757"/>
  <c r="DG757" s="1"/>
  <c r="AY757"/>
  <c r="AV757"/>
  <c r="CZ757"/>
  <c r="AT757"/>
  <c r="CX757"/>
  <c r="AR757"/>
  <c r="CV757"/>
  <c r="AP757"/>
  <c r="CT757" s="1"/>
  <c r="CU756"/>
  <c r="DM756"/>
  <c r="BB756"/>
  <c r="AZ756"/>
  <c r="DD756"/>
  <c r="AX756"/>
  <c r="AN756"/>
  <c r="CR756"/>
  <c r="CV755"/>
  <c r="BH755"/>
  <c r="DL755" s="1"/>
  <c r="BE755"/>
  <c r="DI755" s="1"/>
  <c r="AT755"/>
  <c r="CX755" s="1"/>
  <c r="AY755"/>
  <c r="DC755" s="1"/>
  <c r="AM755"/>
  <c r="CQ755" s="1"/>
  <c r="BC754"/>
  <c r="DG754" s="1"/>
  <c r="DP754"/>
  <c r="AU754"/>
  <c r="BC753"/>
  <c r="DG753" s="1"/>
  <c r="AY753"/>
  <c r="DC753" s="1"/>
  <c r="AU753"/>
  <c r="CY753" s="1"/>
  <c r="AQ753"/>
  <c r="CU753" s="1"/>
  <c r="AM753"/>
  <c r="CQ753" s="1"/>
  <c r="BE753"/>
  <c r="BS745"/>
  <c r="BL741"/>
  <c r="BL783"/>
  <c r="BL736"/>
  <c r="AP734"/>
  <c r="BS734"/>
  <c r="BG721"/>
  <c r="BD721"/>
  <c r="BA721"/>
  <c r="AU721"/>
  <c r="AO721"/>
  <c r="AJ721"/>
  <c r="AH721"/>
  <c r="AF721"/>
  <c r="Z721"/>
  <c r="DC709"/>
  <c r="CA709"/>
  <c r="CB709"/>
  <c r="BO709"/>
  <c r="BP709"/>
  <c r="BX708"/>
  <c r="BY708"/>
  <c r="AQ705"/>
  <c r="CK704"/>
  <c r="BY704"/>
  <c r="BV703"/>
  <c r="CK702"/>
  <c r="CN701"/>
  <c r="BV701"/>
  <c r="CK700"/>
  <c r="CH700"/>
  <c r="BY700"/>
  <c r="DO698"/>
  <c r="DP698" s="1"/>
  <c r="CB698"/>
  <c r="BS696"/>
  <c r="BP696"/>
  <c r="BO696" s="1"/>
  <c r="BO722" s="1"/>
  <c r="EH695"/>
  <c r="DF695"/>
  <c r="DD695"/>
  <c r="CT695"/>
  <c r="DL694"/>
  <c r="DJ694"/>
  <c r="DE694"/>
  <c r="DC694"/>
  <c r="CP694"/>
  <c r="CQ694" s="1"/>
  <c r="CR694" s="1"/>
  <c r="CN694"/>
  <c r="DK693"/>
  <c r="EJ693"/>
  <c r="BV693"/>
  <c r="DL691"/>
  <c r="AT669" i="3"/>
  <c r="BV691" i="1"/>
  <c r="DL690"/>
  <c r="EJ690"/>
  <c r="S668" i="3" s="1"/>
  <c r="DF690" i="1"/>
  <c r="DD690"/>
  <c r="AL668" i="3"/>
  <c r="BN690" i="1"/>
  <c r="BY690"/>
  <c r="DN689"/>
  <c r="CK689"/>
  <c r="CY688"/>
  <c r="CS688"/>
  <c r="CQ688"/>
  <c r="BZ688"/>
  <c r="CK688"/>
  <c r="DL687"/>
  <c r="DC687"/>
  <c r="CY687"/>
  <c r="CW687"/>
  <c r="CQ687"/>
  <c r="DO685"/>
  <c r="DP685" s="1"/>
  <c r="W685"/>
  <c r="DB683"/>
  <c r="BX683"/>
  <c r="AQ714"/>
  <c r="CQ682"/>
  <c r="BP678"/>
  <c r="CQ677"/>
  <c r="CR677" s="1"/>
  <c r="CS677" s="1"/>
  <c r="CT677" s="1"/>
  <c r="CU677" s="1"/>
  <c r="CV677" s="1"/>
  <c r="CW677" s="1"/>
  <c r="CX677" s="1"/>
  <c r="CY677" s="1"/>
  <c r="CZ677" s="1"/>
  <c r="DA677" s="1"/>
  <c r="EA677" s="1"/>
  <c r="AR675"/>
  <c r="AR717" s="1"/>
  <c r="AN675"/>
  <c r="BP675" s="1"/>
  <c r="AW675"/>
  <c r="DB674"/>
  <c r="BY674"/>
  <c r="BS674"/>
  <c r="BV673"/>
  <c r="BP673"/>
  <c r="AZ672"/>
  <c r="BV670"/>
  <c r="BS670"/>
  <c r="BV669"/>
  <c r="BS669"/>
  <c r="BS668"/>
  <c r="CB667"/>
  <c r="BY667"/>
  <c r="BV667"/>
  <c r="BP667"/>
  <c r="BV664"/>
  <c r="CD642"/>
  <c r="CE642" s="1"/>
  <c r="CE655" s="1"/>
  <c r="CB637"/>
  <c r="BP637"/>
  <c r="CK636"/>
  <c r="CE635"/>
  <c r="BS635"/>
  <c r="CK634"/>
  <c r="BY628"/>
  <c r="CN627"/>
  <c r="CN626"/>
  <c r="CM626" s="1"/>
  <c r="BV626"/>
  <c r="CN625"/>
  <c r="CE625"/>
  <c r="BY625"/>
  <c r="CN623"/>
  <c r="BT622"/>
  <c r="CC612"/>
  <c r="BT611"/>
  <c r="BV610"/>
  <c r="BP607"/>
  <c r="BP603"/>
  <c r="CB602"/>
  <c r="BV602"/>
  <c r="CB599"/>
  <c r="BY599"/>
  <c r="BV599"/>
  <c r="BP599"/>
  <c r="BY598"/>
  <c r="E598" i="3"/>
  <c r="CN570" i="1"/>
  <c r="CE570"/>
  <c r="CB569"/>
  <c r="BP569"/>
  <c r="BY567"/>
  <c r="BP565"/>
  <c r="CK561"/>
  <c r="CE561"/>
  <c r="CD561" s="1"/>
  <c r="BS561"/>
  <c r="BR561" s="1"/>
  <c r="BR588" s="1"/>
  <c r="CK560"/>
  <c r="CB560"/>
  <c r="BZ560" s="1"/>
  <c r="BZ588" s="1"/>
  <c r="BP560"/>
  <c r="BN560" s="1"/>
  <c r="BY557"/>
  <c r="BQ544"/>
  <c r="BZ534"/>
  <c r="BQ495"/>
  <c r="BO485"/>
  <c r="BW485"/>
  <c r="AU516"/>
  <c r="BX432"/>
  <c r="BY433"/>
  <c r="AR385"/>
  <c r="BT352"/>
  <c r="BU352"/>
  <c r="BV352" s="1"/>
  <c r="BS770"/>
  <c r="CB769"/>
  <c r="BS769"/>
  <c r="BV768"/>
  <c r="CE768"/>
  <c r="BS765"/>
  <c r="BV762"/>
  <c r="BP762"/>
  <c r="CQ761"/>
  <c r="CR761"/>
  <c r="BV761"/>
  <c r="DE760"/>
  <c r="CQ758"/>
  <c r="CR758" s="1"/>
  <c r="BS757"/>
  <c r="BV755"/>
  <c r="DA754"/>
  <c r="CU754"/>
  <c r="CP754"/>
  <c r="CE703"/>
  <c r="CB702"/>
  <c r="BP702"/>
  <c r="CK699"/>
  <c r="CH698"/>
  <c r="CN697"/>
  <c r="BV696"/>
  <c r="BV697"/>
  <c r="BV695"/>
  <c r="CB693"/>
  <c r="BP693"/>
  <c r="BV692"/>
  <c r="CB691"/>
  <c r="BP691"/>
  <c r="CH690"/>
  <c r="BV690"/>
  <c r="DC685"/>
  <c r="DD685"/>
  <c r="DE685" s="1"/>
  <c r="DF685" s="1"/>
  <c r="DG685" s="1"/>
  <c r="DH685" s="1"/>
  <c r="DI685" s="1"/>
  <c r="EA718"/>
  <c r="CN678"/>
  <c r="CH678"/>
  <c r="BV678"/>
  <c r="BS676"/>
  <c r="BS667"/>
  <c r="BL665"/>
  <c r="DP665" s="1"/>
  <c r="EB665" s="1"/>
  <c r="EG665" s="1"/>
  <c r="Q667" i="3" s="1"/>
  <c r="CB665" i="1"/>
  <c r="BY665"/>
  <c r="BP665"/>
  <c r="BY664"/>
  <c r="CA643"/>
  <c r="CB643" s="1"/>
  <c r="CW639"/>
  <c r="CW659" s="1"/>
  <c r="CN638"/>
  <c r="CK638"/>
  <c r="CB638"/>
  <c r="BV638"/>
  <c r="BP638"/>
  <c r="CK637"/>
  <c r="CN636"/>
  <c r="BY636"/>
  <c r="BS636"/>
  <c r="DC635"/>
  <c r="DD635"/>
  <c r="DE635" s="1"/>
  <c r="DF635" s="1"/>
  <c r="DG635" s="1"/>
  <c r="DH635" s="1"/>
  <c r="DI635" s="1"/>
  <c r="DJ635" s="1"/>
  <c r="DK635" s="1"/>
  <c r="CE634"/>
  <c r="BS634"/>
  <c r="DN633"/>
  <c r="CB633"/>
  <c r="BY633"/>
  <c r="CP632"/>
  <c r="CN631"/>
  <c r="BP630"/>
  <c r="DC629"/>
  <c r="CY629"/>
  <c r="CN629"/>
  <c r="CK629"/>
  <c r="BP629"/>
  <c r="DO628"/>
  <c r="DE628"/>
  <c r="DE904"/>
  <c r="DC628"/>
  <c r="DC904"/>
  <c r="CY628"/>
  <c r="CW628"/>
  <c r="CS628"/>
  <c r="DN627"/>
  <c r="DL627"/>
  <c r="CW627"/>
  <c r="CE627"/>
  <c r="CB627"/>
  <c r="BS627"/>
  <c r="BR627"/>
  <c r="BP627"/>
  <c r="DN625"/>
  <c r="DL625"/>
  <c r="DE625"/>
  <c r="AM603" i="3" s="1"/>
  <c r="DC625" i="1"/>
  <c r="AK603" i="3" s="1"/>
  <c r="BQ624" i="1"/>
  <c r="BT623"/>
  <c r="CW652"/>
  <c r="CS652"/>
  <c r="BV601"/>
  <c r="BS600"/>
  <c r="CG577"/>
  <c r="CH577" s="1"/>
  <c r="DO577"/>
  <c r="BY572"/>
  <c r="BS572"/>
  <c r="BP571"/>
  <c r="DN570"/>
  <c r="DO570" s="1"/>
  <c r="DP570" s="1"/>
  <c r="CH570"/>
  <c r="BV570"/>
  <c r="BS570"/>
  <c r="CQ570"/>
  <c r="CR570" s="1"/>
  <c r="CS570" s="1"/>
  <c r="CT570" s="1"/>
  <c r="CU570" s="1"/>
  <c r="CV570" s="1"/>
  <c r="CW570" s="1"/>
  <c r="CX570" s="1"/>
  <c r="CY570" s="1"/>
  <c r="CZ570" s="1"/>
  <c r="DA570" s="1"/>
  <c r="CK569"/>
  <c r="CQ568"/>
  <c r="BY568"/>
  <c r="BV568"/>
  <c r="BP568"/>
  <c r="CK567"/>
  <c r="BS564"/>
  <c r="BR564"/>
  <c r="CK563"/>
  <c r="BV563"/>
  <c r="BS563"/>
  <c r="CK562"/>
  <c r="DO561"/>
  <c r="DK561"/>
  <c r="CN560"/>
  <c r="CK559"/>
  <c r="CH559"/>
  <c r="CF559"/>
  <c r="CE559"/>
  <c r="CB559"/>
  <c r="BS559"/>
  <c r="BP559"/>
  <c r="CN558"/>
  <c r="CK558"/>
  <c r="CH558"/>
  <c r="CE558"/>
  <c r="CB558"/>
  <c r="CK557"/>
  <c r="BN556"/>
  <c r="CN556"/>
  <c r="BQ555"/>
  <c r="BX550"/>
  <c r="BR550"/>
  <c r="BS550"/>
  <c r="BS584" s="1"/>
  <c r="EB586"/>
  <c r="DG548"/>
  <c r="BT546"/>
  <c r="CQ539"/>
  <c r="AN539"/>
  <c r="BR353"/>
  <c r="L212"/>
  <c r="AM212"/>
  <c r="K213"/>
  <c r="BU179"/>
  <c r="BT193"/>
  <c r="AX127"/>
  <c r="AX129"/>
  <c r="BZ113"/>
  <c r="DB113"/>
  <c r="CG110"/>
  <c r="CT536"/>
  <c r="CP536"/>
  <c r="BY536"/>
  <c r="CZ533"/>
  <c r="CT533"/>
  <c r="CB533"/>
  <c r="BP533"/>
  <c r="CY532"/>
  <c r="CB532"/>
  <c r="BV532"/>
  <c r="BP532"/>
  <c r="BR511"/>
  <c r="BS511"/>
  <c r="BX510"/>
  <c r="BY510"/>
  <c r="CH506"/>
  <c r="CF506"/>
  <c r="BQ504"/>
  <c r="CE504"/>
  <c r="BS501"/>
  <c r="CJ500"/>
  <c r="EI500"/>
  <c r="BY500"/>
  <c r="BS500"/>
  <c r="BV498"/>
  <c r="BX494"/>
  <c r="BP494"/>
  <c r="BY493"/>
  <c r="BU492"/>
  <c r="CN480"/>
  <c r="CH480"/>
  <c r="BV480"/>
  <c r="DO478"/>
  <c r="DP478" s="1"/>
  <c r="BP478"/>
  <c r="DO477"/>
  <c r="AU477"/>
  <c r="AR477"/>
  <c r="BV468"/>
  <c r="BS467"/>
  <c r="DD444"/>
  <c r="DE444" s="1"/>
  <c r="DF444" s="1"/>
  <c r="DG444" s="1"/>
  <c r="DH444" s="1"/>
  <c r="DI444" s="1"/>
  <c r="DJ444" s="1"/>
  <c r="DK444" s="1"/>
  <c r="CT444"/>
  <c r="CU444" s="1"/>
  <c r="CV444" s="1"/>
  <c r="CW444" s="1"/>
  <c r="CX444" s="1"/>
  <c r="CY444" s="1"/>
  <c r="CZ444" s="1"/>
  <c r="DA444" s="1"/>
  <c r="BX443"/>
  <c r="BY443" s="1"/>
  <c r="CE440"/>
  <c r="DP439"/>
  <c r="CB439"/>
  <c r="CB438"/>
  <c r="BP438"/>
  <c r="BY437"/>
  <c r="CE436"/>
  <c r="BV436"/>
  <c r="BV432"/>
  <c r="BP432"/>
  <c r="CW429"/>
  <c r="BY429"/>
  <c r="CN428"/>
  <c r="CL428" s="1"/>
  <c r="CN427"/>
  <c r="CE426"/>
  <c r="CN425"/>
  <c r="CH425"/>
  <c r="BV424"/>
  <c r="BX421"/>
  <c r="BX418"/>
  <c r="BP415"/>
  <c r="DO414"/>
  <c r="DP414" s="1"/>
  <c r="CQ414"/>
  <c r="CR414" s="1"/>
  <c r="CS414" s="1"/>
  <c r="CT414" s="1"/>
  <c r="CU414" s="1"/>
  <c r="CV414" s="1"/>
  <c r="CW414" s="1"/>
  <c r="CX414" s="1"/>
  <c r="CY414" s="1"/>
  <c r="CZ414" s="1"/>
  <c r="DA414" s="1"/>
  <c r="EA414" s="1"/>
  <c r="BF414"/>
  <c r="CB414"/>
  <c r="BV414"/>
  <c r="BP414"/>
  <c r="BV413"/>
  <c r="BS412"/>
  <c r="AT411"/>
  <c r="AT453" s="1"/>
  <c r="AP411"/>
  <c r="BV409"/>
  <c r="BP409"/>
  <c r="AW421"/>
  <c r="AO421"/>
  <c r="CB403"/>
  <c r="BV403"/>
  <c r="BP403"/>
  <c r="CB402"/>
  <c r="BY401"/>
  <c r="BS401"/>
  <c r="CD379"/>
  <c r="CE379" s="1"/>
  <c r="BY379"/>
  <c r="CQ379"/>
  <c r="CK374"/>
  <c r="CE374"/>
  <c r="BY374"/>
  <c r="CE371"/>
  <c r="BY371"/>
  <c r="BS371"/>
  <c r="CN370"/>
  <c r="CE370"/>
  <c r="BS370"/>
  <c r="BV369"/>
  <c r="BP369"/>
  <c r="CK368"/>
  <c r="CK365"/>
  <c r="CE365"/>
  <c r="CB365"/>
  <c r="BY364"/>
  <c r="BV364"/>
  <c r="BS364"/>
  <c r="DG361"/>
  <c r="AO339" i="3"/>
  <c r="BY361" i="1"/>
  <c r="BV361"/>
  <c r="BS361"/>
  <c r="CN359"/>
  <c r="CK359"/>
  <c r="BS359"/>
  <c r="CE358"/>
  <c r="CB358"/>
  <c r="BY358"/>
  <c r="BP358"/>
  <c r="BY357"/>
  <c r="CS351"/>
  <c r="CV350"/>
  <c r="CV387"/>
  <c r="CN349"/>
  <c r="BV349"/>
  <c r="BS349"/>
  <c r="CQ349"/>
  <c r="CR349" s="1"/>
  <c r="CS349" s="1"/>
  <c r="CT349" s="1"/>
  <c r="CU349" s="1"/>
  <c r="CV349" s="1"/>
  <c r="CW349" s="1"/>
  <c r="CX349" s="1"/>
  <c r="CY349" s="1"/>
  <c r="CZ349" s="1"/>
  <c r="DA349" s="1"/>
  <c r="EA349" s="1"/>
  <c r="CN348"/>
  <c r="CH348"/>
  <c r="CG348"/>
  <c r="CE348"/>
  <c r="CB348"/>
  <c r="BY348"/>
  <c r="BS348"/>
  <c r="CR347"/>
  <c r="CS347"/>
  <c r="CT347" s="1"/>
  <c r="CU347" s="1"/>
  <c r="CV347" s="1"/>
  <c r="CW347" s="1"/>
  <c r="CX347" s="1"/>
  <c r="CY347" s="1"/>
  <c r="CZ347" s="1"/>
  <c r="DA347" s="1"/>
  <c r="EA347" s="1"/>
  <c r="BV346"/>
  <c r="BV343"/>
  <c r="BY340"/>
  <c r="BS338"/>
  <c r="BY337"/>
  <c r="BY336"/>
  <c r="BS335"/>
  <c r="BY334"/>
  <c r="BV313"/>
  <c r="CR312"/>
  <c r="AX324"/>
  <c r="AP324"/>
  <c r="CK308"/>
  <c r="CE308"/>
  <c r="CB308"/>
  <c r="BP308"/>
  <c r="CE307"/>
  <c r="CB307"/>
  <c r="BV307"/>
  <c r="CE306"/>
  <c r="BY306"/>
  <c r="BS306"/>
  <c r="CK305"/>
  <c r="DC305"/>
  <c r="DD305"/>
  <c r="DE305" s="1"/>
  <c r="DF305" s="1"/>
  <c r="DG305" s="1"/>
  <c r="DH305" s="1"/>
  <c r="DI305" s="1"/>
  <c r="DJ305" s="1"/>
  <c r="DK305" s="1"/>
  <c r="BV305"/>
  <c r="CN304"/>
  <c r="CE304"/>
  <c r="CB304"/>
  <c r="BV304"/>
  <c r="BP304"/>
  <c r="BP303"/>
  <c r="CN303"/>
  <c r="CL303" s="1"/>
  <c r="CK303"/>
  <c r="BY303"/>
  <c r="CB298"/>
  <c r="CN295"/>
  <c r="CK294"/>
  <c r="CH292"/>
  <c r="CN291"/>
  <c r="CE291"/>
  <c r="BY291"/>
  <c r="BS291"/>
  <c r="CE282"/>
  <c r="CN281"/>
  <c r="BI280"/>
  <c r="CK280" s="1"/>
  <c r="BQ154"/>
  <c r="AO186"/>
  <c r="AO188"/>
  <c r="AE150"/>
  <c r="BF150"/>
  <c r="AD156"/>
  <c r="BS535"/>
  <c r="BV533"/>
  <c r="BV511"/>
  <c r="AR508"/>
  <c r="BW506"/>
  <c r="CE506"/>
  <c r="BW500"/>
  <c r="BP499"/>
  <c r="BW498"/>
  <c r="CD497"/>
  <c r="BV497"/>
  <c r="BY496"/>
  <c r="BX495"/>
  <c r="BP495"/>
  <c r="CK493"/>
  <c r="BS493"/>
  <c r="CP485"/>
  <c r="BP481"/>
  <c r="DP479"/>
  <c r="BY479"/>
  <c r="BP476"/>
  <c r="BV475"/>
  <c r="BP475"/>
  <c r="BY472"/>
  <c r="BW472"/>
  <c r="BP472"/>
  <c r="AY472"/>
  <c r="CQ471"/>
  <c r="CR471"/>
  <c r="BY470"/>
  <c r="BS470"/>
  <c r="BY469"/>
  <c r="CB469"/>
  <c r="BV469"/>
  <c r="BP469"/>
  <c r="BY468"/>
  <c r="DC467"/>
  <c r="AK469" i="3" s="1"/>
  <c r="DA467" i="1"/>
  <c r="BV467"/>
  <c r="CB466"/>
  <c r="BV466"/>
  <c r="BP466"/>
  <c r="CL444"/>
  <c r="BV444"/>
  <c r="AQ442"/>
  <c r="CH440"/>
  <c r="BV440"/>
  <c r="BV438"/>
  <c r="CK437"/>
  <c r="CE437"/>
  <c r="BS437"/>
  <c r="CK435"/>
  <c r="BY435"/>
  <c r="BS435"/>
  <c r="CE429"/>
  <c r="BV428"/>
  <c r="CB427"/>
  <c r="BP427"/>
  <c r="BS426"/>
  <c r="CE425"/>
  <c r="BS425"/>
  <c r="CB424"/>
  <c r="BP424"/>
  <c r="CE423"/>
  <c r="CB423"/>
  <c r="EB454"/>
  <c r="BY412"/>
  <c r="BS410"/>
  <c r="BV408"/>
  <c r="BP408"/>
  <c r="BV405"/>
  <c r="BS404"/>
  <c r="BY402"/>
  <c r="BS400"/>
  <c r="BU378"/>
  <c r="DD374"/>
  <c r="DE374" s="1"/>
  <c r="DF374" s="1"/>
  <c r="DG374" s="1"/>
  <c r="DH374" s="1"/>
  <c r="DI374" s="1"/>
  <c r="DJ374" s="1"/>
  <c r="DK374" s="1"/>
  <c r="BV373"/>
  <c r="BV372"/>
  <c r="CH370"/>
  <c r="BV368"/>
  <c r="CA379"/>
  <c r="CB379" s="1"/>
  <c r="BP367"/>
  <c r="BP363"/>
  <c r="CE362"/>
  <c r="BS362"/>
  <c r="CK361"/>
  <c r="AK338" i="3"/>
  <c r="CN360" i="1"/>
  <c r="BY359"/>
  <c r="CE357"/>
  <c r="BS357"/>
  <c r="BR355"/>
  <c r="BV348"/>
  <c r="DC347"/>
  <c r="DD347"/>
  <c r="DE347" s="1"/>
  <c r="DF347" s="1"/>
  <c r="DG347" s="1"/>
  <c r="DH347" s="1"/>
  <c r="DI347" s="1"/>
  <c r="BY346"/>
  <c r="AV345"/>
  <c r="AT345"/>
  <c r="AT386" s="1"/>
  <c r="AR345"/>
  <c r="AR386" s="1"/>
  <c r="AM345"/>
  <c r="AX913"/>
  <c r="BV344"/>
  <c r="BP344"/>
  <c r="BY343"/>
  <c r="BY385" s="1"/>
  <c r="CQ341"/>
  <c r="BY341"/>
  <c r="BS341"/>
  <c r="BS342"/>
  <c r="CY340"/>
  <c r="CW340"/>
  <c r="CU340"/>
  <c r="AX340"/>
  <c r="BP340"/>
  <c r="DO339"/>
  <c r="CQ339"/>
  <c r="CY337"/>
  <c r="CW337"/>
  <c r="CU337"/>
  <c r="CB337"/>
  <c r="BP337"/>
  <c r="CB336"/>
  <c r="BV336"/>
  <c r="BS336"/>
  <c r="BP336"/>
  <c r="CY334"/>
  <c r="CW334"/>
  <c r="CU334"/>
  <c r="CB334"/>
  <c r="BP334"/>
  <c r="CA313"/>
  <c r="CB313"/>
  <c r="BR313"/>
  <c r="BX312"/>
  <c r="BY312" s="1"/>
  <c r="AY312"/>
  <c r="CA312" s="1"/>
  <c r="AQ312"/>
  <c r="BS312" s="1"/>
  <c r="DB311"/>
  <c r="BZ311"/>
  <c r="CN308"/>
  <c r="BY308"/>
  <c r="CN307"/>
  <c r="BY307"/>
  <c r="CN305"/>
  <c r="CE305"/>
  <c r="CR305"/>
  <c r="CS305" s="1"/>
  <c r="CT305" s="1"/>
  <c r="CU305" s="1"/>
  <c r="CV305" s="1"/>
  <c r="CW305" s="1"/>
  <c r="CX305" s="1"/>
  <c r="CY305" s="1"/>
  <c r="CZ305" s="1"/>
  <c r="DA305" s="1"/>
  <c r="CH303"/>
  <c r="CN301"/>
  <c r="BP301"/>
  <c r="CH299"/>
  <c r="BY299"/>
  <c r="CQ299"/>
  <c r="CR299" s="1"/>
  <c r="CB297"/>
  <c r="CB296"/>
  <c r="BV296"/>
  <c r="BP296"/>
  <c r="CE295"/>
  <c r="BV295"/>
  <c r="CE294"/>
  <c r="CK293"/>
  <c r="CE293"/>
  <c r="BV293"/>
  <c r="CH291"/>
  <c r="BS282"/>
  <c r="BP274"/>
  <c r="DA274"/>
  <c r="CW274"/>
  <c r="CS274"/>
  <c r="BR246"/>
  <c r="CQ37"/>
  <c r="CR49"/>
  <c r="CQ22"/>
  <c r="CR22" s="1"/>
  <c r="L25"/>
  <c r="CR25" s="1"/>
  <c r="L55"/>
  <c r="BV242"/>
  <c r="CE241"/>
  <c r="CH240"/>
  <c r="CK239"/>
  <c r="BY239"/>
  <c r="CN236"/>
  <c r="CB236"/>
  <c r="BV233"/>
  <c r="CH232"/>
  <c r="BY232"/>
  <c r="CN230"/>
  <c r="BS229"/>
  <c r="CB228"/>
  <c r="BV228"/>
  <c r="BP228"/>
  <c r="BY227"/>
  <c r="BP226"/>
  <c r="BP225"/>
  <c r="DO215"/>
  <c r="DP215" s="1"/>
  <c r="DO214"/>
  <c r="DP214" s="1"/>
  <c r="CK176"/>
  <c r="BY176"/>
  <c r="CE174"/>
  <c r="BY174"/>
  <c r="BS174"/>
  <c r="CK173"/>
  <c r="CK172"/>
  <c r="BY172"/>
  <c r="BS172"/>
  <c r="CK171"/>
  <c r="CK170"/>
  <c r="BV170"/>
  <c r="CK167"/>
  <c r="BP165"/>
  <c r="AN140" i="3"/>
  <c r="BV161" i="1"/>
  <c r="BY160"/>
  <c r="EJ135"/>
  <c r="AZ127"/>
  <c r="BO113"/>
  <c r="CB110"/>
  <c r="BV110"/>
  <c r="BP110"/>
  <c r="CN109"/>
  <c r="CB109"/>
  <c r="BV109"/>
  <c r="BP109"/>
  <c r="CB108"/>
  <c r="BV108"/>
  <c r="BP108"/>
  <c r="CN107"/>
  <c r="BY107"/>
  <c r="CN106"/>
  <c r="CE106"/>
  <c r="CB106"/>
  <c r="BP106"/>
  <c r="CN105"/>
  <c r="BV105"/>
  <c r="BP105"/>
  <c r="BS104"/>
  <c r="BY102"/>
  <c r="BX102"/>
  <c r="DM100"/>
  <c r="BY100"/>
  <c r="BS100"/>
  <c r="BV99"/>
  <c r="CK97"/>
  <c r="BY97"/>
  <c r="CH96"/>
  <c r="CE96"/>
  <c r="DF95"/>
  <c r="CN95"/>
  <c r="BV94"/>
  <c r="CN93"/>
  <c r="BS93"/>
  <c r="R85"/>
  <c r="AS85"/>
  <c r="CW85" s="1"/>
  <c r="BN77"/>
  <c r="BP78"/>
  <c r="P71"/>
  <c r="O89"/>
  <c r="AZ75"/>
  <c r="AZ121"/>
  <c r="CN242"/>
  <c r="CE242"/>
  <c r="BV241"/>
  <c r="BP241"/>
  <c r="CN240"/>
  <c r="BY240"/>
  <c r="CK238"/>
  <c r="CE238"/>
  <c r="BY238"/>
  <c r="BV236"/>
  <c r="BP236"/>
  <c r="CB235"/>
  <c r="BP233"/>
  <c r="CE232"/>
  <c r="BS232"/>
  <c r="CB230"/>
  <c r="BP230"/>
  <c r="BS227"/>
  <c r="EB255"/>
  <c r="BP217"/>
  <c r="CH216"/>
  <c r="CQ212"/>
  <c r="DN211"/>
  <c r="BV209"/>
  <c r="CJ181"/>
  <c r="CK181" s="1"/>
  <c r="EI181"/>
  <c r="CA181"/>
  <c r="CB181"/>
  <c r="BO181"/>
  <c r="BP181"/>
  <c r="AU177"/>
  <c r="CH176"/>
  <c r="CE176"/>
  <c r="CE175"/>
  <c r="CK174"/>
  <c r="BV173"/>
  <c r="BS171"/>
  <c r="CN170"/>
  <c r="CR166"/>
  <c r="CN165"/>
  <c r="CE164"/>
  <c r="BS164"/>
  <c r="CK163"/>
  <c r="CE163"/>
  <c r="BS163"/>
  <c r="AM140" i="3"/>
  <c r="CN162" i="1"/>
  <c r="CH162"/>
  <c r="CF162" s="1"/>
  <c r="CB162"/>
  <c r="BY162"/>
  <c r="BP162"/>
  <c r="CB161"/>
  <c r="BP161"/>
  <c r="CN160"/>
  <c r="BP160"/>
  <c r="CE159"/>
  <c r="BV159"/>
  <c r="BS159"/>
  <c r="EA190"/>
  <c r="CB151"/>
  <c r="CN150"/>
  <c r="BE150"/>
  <c r="CH150"/>
  <c r="CB150"/>
  <c r="CN149"/>
  <c r="AV145"/>
  <c r="BY145"/>
  <c r="AN145"/>
  <c r="CP185"/>
  <c r="BU115"/>
  <c r="BV115" s="1"/>
  <c r="CQ114"/>
  <c r="CR114" s="1"/>
  <c r="BU114"/>
  <c r="BV114" s="1"/>
  <c r="BV127" s="1"/>
  <c r="CT131"/>
  <c r="CN110"/>
  <c r="CN108"/>
  <c r="CH107"/>
  <c r="CK106"/>
  <c r="CK105"/>
  <c r="CH103"/>
  <c r="BV103"/>
  <c r="BP103"/>
  <c r="BP99"/>
  <c r="CH98"/>
  <c r="BV98"/>
  <c r="CB95"/>
  <c r="BP95"/>
  <c r="CB94"/>
  <c r="BP94"/>
  <c r="BR88"/>
  <c r="CL122"/>
  <c r="CR77"/>
  <c r="CM75"/>
  <c r="CD48"/>
  <c r="BX47"/>
  <c r="BY43"/>
  <c r="CN42"/>
  <c r="CB42"/>
  <c r="BV42"/>
  <c r="BP42"/>
  <c r="CN41"/>
  <c r="CK41"/>
  <c r="BY41"/>
  <c r="BS41"/>
  <c r="CK38"/>
  <c r="CB38"/>
  <c r="BV38"/>
  <c r="BP38"/>
  <c r="CL36"/>
  <c r="BP36"/>
  <c r="CB35"/>
  <c r="BS34"/>
  <c r="BV33"/>
  <c r="CN32"/>
  <c r="BV32"/>
  <c r="CH31"/>
  <c r="CN30"/>
  <c r="CK30"/>
  <c r="CE29"/>
  <c r="BY29"/>
  <c r="BV27"/>
  <c r="BP18"/>
  <c r="CN16"/>
  <c r="AN8" i="3"/>
  <c r="CC155" i="1"/>
  <c r="CC186"/>
  <c r="CE155"/>
  <c r="CE186"/>
  <c r="CG155"/>
  <c r="CG186"/>
  <c r="BH876"/>
  <c r="BY875"/>
  <c r="CW918"/>
  <c r="EH874"/>
  <c r="F612" i="3" s="1"/>
  <c r="BY874" i="1"/>
  <c r="BV874"/>
  <c r="BP874"/>
  <c r="BP873"/>
  <c r="DA869"/>
  <c r="DA910"/>
  <c r="BP854"/>
  <c r="BV854"/>
  <c r="CB854"/>
  <c r="CN854"/>
  <c r="BP858"/>
  <c r="BV858"/>
  <c r="CB858"/>
  <c r="CN858"/>
  <c r="CP89"/>
  <c r="CY87"/>
  <c r="CV87"/>
  <c r="CV124"/>
  <c r="CY86"/>
  <c r="CN85"/>
  <c r="BA85"/>
  <c r="BS85"/>
  <c r="DO84"/>
  <c r="DP84" s="1"/>
  <c r="CQ84"/>
  <c r="CR84" s="1"/>
  <c r="CS84" s="1"/>
  <c r="CT84" s="1"/>
  <c r="CU84" s="1"/>
  <c r="CV84" s="1"/>
  <c r="CW84" s="1"/>
  <c r="CX84" s="1"/>
  <c r="CY84" s="1"/>
  <c r="CZ84" s="1"/>
  <c r="DA84" s="1"/>
  <c r="AS84"/>
  <c r="BV84"/>
  <c r="CN83"/>
  <c r="BI82"/>
  <c r="CN81"/>
  <c r="AM81"/>
  <c r="BY77"/>
  <c r="DC75"/>
  <c r="AP74"/>
  <c r="AL74"/>
  <c r="EJ70"/>
  <c r="AP70"/>
  <c r="CM49"/>
  <c r="CN49" s="1"/>
  <c r="CG49"/>
  <c r="CH49"/>
  <c r="CA49"/>
  <c r="CB49"/>
  <c r="BU49"/>
  <c r="BV49"/>
  <c r="BO49"/>
  <c r="BP49"/>
  <c r="BU47"/>
  <c r="DG44"/>
  <c r="DH44" s="1"/>
  <c r="DI44" s="1"/>
  <c r="DJ44" s="1"/>
  <c r="DK44" s="1"/>
  <c r="BP44"/>
  <c r="BS44"/>
  <c r="CE43"/>
  <c r="CH41"/>
  <c r="BS40"/>
  <c r="BS39"/>
  <c r="CN38"/>
  <c r="CD37"/>
  <c r="CD62" s="1"/>
  <c r="BP33"/>
  <c r="CK31"/>
  <c r="AM9" i="3"/>
  <c r="BY31" i="1"/>
  <c r="CH30"/>
  <c r="CK28"/>
  <c r="CE28"/>
  <c r="BS28"/>
  <c r="AO23"/>
  <c r="AO54" s="1"/>
  <c r="DG21"/>
  <c r="DG58" s="1"/>
  <c r="CN18"/>
  <c r="CN17"/>
  <c r="CN15"/>
  <c r="L56"/>
  <c r="AP8"/>
  <c r="CT8" s="1"/>
  <c r="AM7" i="3"/>
  <c r="BV875" i="1"/>
  <c r="BV872"/>
  <c r="EH867"/>
  <c r="F150" i="3" s="1"/>
  <c r="CH867" i="1"/>
  <c r="CH866"/>
  <c r="CK866"/>
  <c r="BG891"/>
  <c r="BH891"/>
  <c r="BI891"/>
  <c r="BP884"/>
  <c r="BV884"/>
  <c r="CN884"/>
  <c r="BS885"/>
  <c r="BY885"/>
  <c r="CK885"/>
  <c r="BP888"/>
  <c r="BV888"/>
  <c r="CK889"/>
  <c r="CG221"/>
  <c r="CG251"/>
  <c r="BT208"/>
  <c r="BU208"/>
  <c r="AE221"/>
  <c r="AD251"/>
  <c r="BQ149"/>
  <c r="BR149"/>
  <c r="EE4"/>
  <c r="DJ4"/>
  <c r="BW88"/>
  <c r="CF895"/>
  <c r="CG895"/>
  <c r="AV16"/>
  <c r="U16"/>
  <c r="BK467"/>
  <c r="DO467"/>
  <c r="AI485"/>
  <c r="AJ467"/>
  <c r="BD53"/>
  <c r="DH10"/>
  <c r="CC414"/>
  <c r="CD414"/>
  <c r="BN280"/>
  <c r="BO280"/>
  <c r="CS304"/>
  <c r="CR327"/>
  <c r="CN4"/>
  <c r="DN4"/>
  <c r="DK42"/>
  <c r="FE19" s="1"/>
  <c r="FF19" s="1"/>
  <c r="CG151"/>
  <c r="CF151"/>
  <c r="DK173"/>
  <c r="DL173" s="1"/>
  <c r="DM173" s="1"/>
  <c r="DK307"/>
  <c r="DL307"/>
  <c r="DM307" s="1"/>
  <c r="Z831"/>
  <c r="Z788"/>
  <c r="BB763"/>
  <c r="CT302"/>
  <c r="DK637"/>
  <c r="DL637" s="1"/>
  <c r="DM637" s="1"/>
  <c r="DK702"/>
  <c r="DL702" s="1"/>
  <c r="DM702" s="1"/>
  <c r="DA895"/>
  <c r="CS895"/>
  <c r="BY895"/>
  <c r="DC770"/>
  <c r="DD770"/>
  <c r="DE770" s="1"/>
  <c r="DF770" s="1"/>
  <c r="DG770" s="1"/>
  <c r="DH770" s="1"/>
  <c r="DI770" s="1"/>
  <c r="DJ770" s="1"/>
  <c r="DK770" s="1"/>
  <c r="CB770"/>
  <c r="BA469"/>
  <c r="DE469"/>
  <c r="AM470" i="3"/>
  <c r="BF913" i="1"/>
  <c r="AC251"/>
  <c r="BF648"/>
  <c r="CH516"/>
  <c r="DJ599"/>
  <c r="DJ268"/>
  <c r="BF516"/>
  <c r="BS148"/>
  <c r="BF56"/>
  <c r="CJ149"/>
  <c r="CI149"/>
  <c r="AR733"/>
  <c r="AS733"/>
  <c r="CW733"/>
  <c r="CI84"/>
  <c r="CJ84"/>
  <c r="DK109"/>
  <c r="FE86"/>
  <c r="FF86" s="1"/>
  <c r="CF217"/>
  <c r="CG217"/>
  <c r="DE48"/>
  <c r="DD61"/>
  <c r="DK372"/>
  <c r="DL372"/>
  <c r="DM372" s="1"/>
  <c r="DK373"/>
  <c r="DL373" s="1"/>
  <c r="DM373" s="1"/>
  <c r="DK438"/>
  <c r="CT170"/>
  <c r="DE302"/>
  <c r="CT436"/>
  <c r="EJ437"/>
  <c r="DK569"/>
  <c r="DJ466"/>
  <c r="BF909"/>
  <c r="DJ272"/>
  <c r="DG436"/>
  <c r="CA741"/>
  <c r="BZ741"/>
  <c r="BB412"/>
  <c r="AA412"/>
  <c r="EE550"/>
  <c r="E541" i="3" s="1"/>
  <c r="AH584" i="1"/>
  <c r="BI334"/>
  <c r="DM334" s="1"/>
  <c r="AH334"/>
  <c r="DJ550"/>
  <c r="DI584"/>
  <c r="AE317"/>
  <c r="BG287"/>
  <c r="BE346"/>
  <c r="AD346"/>
  <c r="BE543"/>
  <c r="AD543"/>
  <c r="CH73"/>
  <c r="BF73"/>
  <c r="AE73"/>
  <c r="CI151"/>
  <c r="CJ151"/>
  <c r="BB122"/>
  <c r="DF79"/>
  <c r="BF136"/>
  <c r="AE136"/>
  <c r="CD73"/>
  <c r="CC73"/>
  <c r="W788"/>
  <c r="W831"/>
  <c r="AY763"/>
  <c r="AW775"/>
  <c r="AW788"/>
  <c r="AS775"/>
  <c r="AS788"/>
  <c r="AO775"/>
  <c r="BQ775" s="1"/>
  <c r="AO788"/>
  <c r="DB774"/>
  <c r="DC774"/>
  <c r="DD774" s="1"/>
  <c r="DE774" s="1"/>
  <c r="DF774" s="1"/>
  <c r="DG774" s="1"/>
  <c r="DH774" s="1"/>
  <c r="DI774" s="1"/>
  <c r="DJ774" s="1"/>
  <c r="DK774" s="1"/>
  <c r="BZ774"/>
  <c r="CA774"/>
  <c r="CB774" s="1"/>
  <c r="CC787"/>
  <c r="CD773"/>
  <c r="BB787"/>
  <c r="BB789"/>
  <c r="AX789"/>
  <c r="DB773"/>
  <c r="BZ773"/>
  <c r="AX787"/>
  <c r="AN789"/>
  <c r="AN787"/>
  <c r="AL789"/>
  <c r="BN773"/>
  <c r="CP773"/>
  <c r="CQ773" s="1"/>
  <c r="CR773" s="1"/>
  <c r="CS773" s="1"/>
  <c r="CT773" s="1"/>
  <c r="CU773" s="1"/>
  <c r="CV773" s="1"/>
  <c r="CW773" s="1"/>
  <c r="CX773" s="1"/>
  <c r="CY773" s="1"/>
  <c r="CZ773" s="1"/>
  <c r="DA773" s="1"/>
  <c r="AL787"/>
  <c r="BQ770"/>
  <c r="BR770"/>
  <c r="BZ769"/>
  <c r="CA769"/>
  <c r="BU768"/>
  <c r="BT768"/>
  <c r="CD768"/>
  <c r="CC768"/>
  <c r="BW767"/>
  <c r="BX767"/>
  <c r="CS765"/>
  <c r="BQ765"/>
  <c r="BR765"/>
  <c r="AQ789"/>
  <c r="BS764"/>
  <c r="BS789"/>
  <c r="AJ831"/>
  <c r="BL763"/>
  <c r="BL775" s="1"/>
  <c r="DC761"/>
  <c r="DC787" s="1"/>
  <c r="CB761"/>
  <c r="DE787"/>
  <c r="CZ760"/>
  <c r="CX760"/>
  <c r="DA759"/>
  <c r="AW786"/>
  <c r="BY758"/>
  <c r="AU788"/>
  <c r="AR786"/>
  <c r="BV758"/>
  <c r="BR757"/>
  <c r="BQ757"/>
  <c r="DF757"/>
  <c r="CE757"/>
  <c r="CV756"/>
  <c r="BT755"/>
  <c r="BU755"/>
  <c r="DF755"/>
  <c r="CE755"/>
  <c r="DB753"/>
  <c r="CZ753"/>
  <c r="CV753"/>
  <c r="BV753"/>
  <c r="CP753"/>
  <c r="BQ749"/>
  <c r="CA745"/>
  <c r="BZ745"/>
  <c r="CN744"/>
  <c r="DN744"/>
  <c r="DO744" s="1"/>
  <c r="DP744" s="1"/>
  <c r="CA708"/>
  <c r="CB708"/>
  <c r="BO708"/>
  <c r="BP708"/>
  <c r="CG707"/>
  <c r="BL723"/>
  <c r="BL721"/>
  <c r="CL707"/>
  <c r="BJ723"/>
  <c r="DN707"/>
  <c r="CI703"/>
  <c r="CJ703"/>
  <c r="CC703"/>
  <c r="CD703"/>
  <c r="BZ702"/>
  <c r="CA702"/>
  <c r="BN702"/>
  <c r="BO702"/>
  <c r="BZ701"/>
  <c r="CA701"/>
  <c r="CA700"/>
  <c r="BZ700"/>
  <c r="CB724"/>
  <c r="BR700"/>
  <c r="BQ700"/>
  <c r="CJ699"/>
  <c r="CK724"/>
  <c r="CI699"/>
  <c r="BX699"/>
  <c r="BW699"/>
  <c r="BY724"/>
  <c r="CG698"/>
  <c r="CF698"/>
  <c r="CF723" s="1"/>
  <c r="BO698"/>
  <c r="BN698"/>
  <c r="CM697"/>
  <c r="EI697"/>
  <c r="EM697" s="1"/>
  <c r="ER697" s="1"/>
  <c r="BT697"/>
  <c r="BU697"/>
  <c r="BY697"/>
  <c r="BX696"/>
  <c r="BZ695"/>
  <c r="CA695"/>
  <c r="BT695"/>
  <c r="BU695"/>
  <c r="BN695"/>
  <c r="BO695"/>
  <c r="BQ694"/>
  <c r="BR694"/>
  <c r="CA693"/>
  <c r="BZ693"/>
  <c r="BO693"/>
  <c r="BN693"/>
  <c r="CJ692"/>
  <c r="CJ722" s="1"/>
  <c r="CI692"/>
  <c r="CI722" s="1"/>
  <c r="CK722"/>
  <c r="CK720"/>
  <c r="CA692"/>
  <c r="BZ692"/>
  <c r="CB722"/>
  <c r="CB720"/>
  <c r="BV720"/>
  <c r="BT692"/>
  <c r="BU692"/>
  <c r="BV722"/>
  <c r="BP720"/>
  <c r="BN692"/>
  <c r="BO692"/>
  <c r="CA691"/>
  <c r="BZ691"/>
  <c r="BO691"/>
  <c r="BN691"/>
  <c r="CF690"/>
  <c r="CG690"/>
  <c r="BZ690"/>
  <c r="CA690"/>
  <c r="BT690"/>
  <c r="BU690"/>
  <c r="CJ687"/>
  <c r="CI687"/>
  <c r="EF684"/>
  <c r="DJ684"/>
  <c r="DH681"/>
  <c r="AC681"/>
  <c r="AB718"/>
  <c r="BR679"/>
  <c r="BQ679"/>
  <c r="CM678"/>
  <c r="CL678"/>
  <c r="CG678"/>
  <c r="CF678"/>
  <c r="BZ678"/>
  <c r="CA678"/>
  <c r="BT678"/>
  <c r="BU678"/>
  <c r="BX677"/>
  <c r="BW677"/>
  <c r="BW676"/>
  <c r="BX676"/>
  <c r="BQ676"/>
  <c r="BR676"/>
  <c r="AS717"/>
  <c r="BV675"/>
  <c r="AO717"/>
  <c r="BS675"/>
  <c r="DO673"/>
  <c r="BX670"/>
  <c r="BW670"/>
  <c r="BY713"/>
  <c r="AG667"/>
  <c r="BX665"/>
  <c r="BW665"/>
  <c r="CL638"/>
  <c r="CM638"/>
  <c r="BZ638"/>
  <c r="CA638"/>
  <c r="BT638"/>
  <c r="BU638"/>
  <c r="BN638"/>
  <c r="BO638"/>
  <c r="CJ637"/>
  <c r="CI637"/>
  <c r="BX636"/>
  <c r="BW636"/>
  <c r="BR636"/>
  <c r="BQ636"/>
  <c r="CD634"/>
  <c r="CD658"/>
  <c r="CE658"/>
  <c r="CC634"/>
  <c r="CC658" s="1"/>
  <c r="BQ634"/>
  <c r="BR634"/>
  <c r="BX633"/>
  <c r="BY658"/>
  <c r="BW633"/>
  <c r="DK630"/>
  <c r="CM629"/>
  <c r="CL629"/>
  <c r="BN629"/>
  <c r="BO629"/>
  <c r="CD627"/>
  <c r="CE654"/>
  <c r="CC627"/>
  <c r="CA627"/>
  <c r="BZ627"/>
  <c r="CB654"/>
  <c r="BQ627"/>
  <c r="BO627"/>
  <c r="BN627"/>
  <c r="BP654"/>
  <c r="BS617"/>
  <c r="BS648"/>
  <c r="BR648"/>
  <c r="DI615"/>
  <c r="AD615"/>
  <c r="AV651"/>
  <c r="BV609"/>
  <c r="AR651"/>
  <c r="AP651"/>
  <c r="CA606"/>
  <c r="CA649"/>
  <c r="BZ606"/>
  <c r="BZ649"/>
  <c r="BO602"/>
  <c r="BN602"/>
  <c r="BU601"/>
  <c r="BT601"/>
  <c r="BR600"/>
  <c r="BQ600"/>
  <c r="DJ470"/>
  <c r="EE211"/>
  <c r="EL236" s="1"/>
  <c r="EQ236" s="1"/>
  <c r="EE467"/>
  <c r="E469" i="3" s="1"/>
  <c r="DJ206" i="1"/>
  <c r="BF385"/>
  <c r="DJ90"/>
  <c r="BY768"/>
  <c r="DE613"/>
  <c r="DD765"/>
  <c r="DC895"/>
  <c r="DC64"/>
  <c r="DD39"/>
  <c r="CD477"/>
  <c r="CC477"/>
  <c r="CC676"/>
  <c r="CD676"/>
  <c r="CI415"/>
  <c r="CJ415"/>
  <c r="CF71"/>
  <c r="CG71"/>
  <c r="AD213"/>
  <c r="BE213"/>
  <c r="CG89"/>
  <c r="CF120"/>
  <c r="CD346"/>
  <c r="CC346"/>
  <c r="DG286"/>
  <c r="AD353"/>
  <c r="BF335"/>
  <c r="AE335"/>
  <c r="BW19"/>
  <c r="BX19"/>
  <c r="DK503"/>
  <c r="DL503" s="1"/>
  <c r="DM503" s="1"/>
  <c r="EJ503"/>
  <c r="AQ775"/>
  <c r="AQ788"/>
  <c r="AM775"/>
  <c r="AM788"/>
  <c r="BR787"/>
  <c r="BS774"/>
  <c r="BS787" s="1"/>
  <c r="AY789"/>
  <c r="AY787"/>
  <c r="AT789"/>
  <c r="AT787"/>
  <c r="AR789"/>
  <c r="BT773"/>
  <c r="AR787"/>
  <c r="BO768"/>
  <c r="BN768"/>
  <c r="CL767"/>
  <c r="CM767"/>
  <c r="CR766"/>
  <c r="CS766"/>
  <c r="CQ790"/>
  <c r="BN766"/>
  <c r="BO766"/>
  <c r="BB790"/>
  <c r="CE766"/>
  <c r="BP790"/>
  <c r="BO765"/>
  <c r="BO790"/>
  <c r="BN765"/>
  <c r="BN790"/>
  <c r="BV765"/>
  <c r="AR790"/>
  <c r="CC764"/>
  <c r="CC789"/>
  <c r="CD764"/>
  <c r="BY764"/>
  <c r="AW789"/>
  <c r="AU775"/>
  <c r="BW775" s="1"/>
  <c r="BX775" s="1"/>
  <c r="BY775" s="1"/>
  <c r="BY762"/>
  <c r="DF761"/>
  <c r="CQ760"/>
  <c r="CP787"/>
  <c r="BS760"/>
  <c r="CT760"/>
  <c r="BO759"/>
  <c r="BN759"/>
  <c r="DE759"/>
  <c r="CE759"/>
  <c r="CU759"/>
  <c r="AQ786"/>
  <c r="CS759"/>
  <c r="BS759"/>
  <c r="AO786"/>
  <c r="CQ759"/>
  <c r="AM786"/>
  <c r="BL786"/>
  <c r="BL788"/>
  <c r="AZ786"/>
  <c r="CB758"/>
  <c r="DC757"/>
  <c r="DF756"/>
  <c r="CE756"/>
  <c r="DB756"/>
  <c r="CB756"/>
  <c r="CE754"/>
  <c r="DE754"/>
  <c r="BY754"/>
  <c r="CY754"/>
  <c r="BS754"/>
  <c r="CS754"/>
  <c r="BR745"/>
  <c r="BQ745"/>
  <c r="CL743"/>
  <c r="CM743"/>
  <c r="DO741"/>
  <c r="BK783"/>
  <c r="Q772"/>
  <c r="R706"/>
  <c r="Q725"/>
  <c r="CI704"/>
  <c r="CJ704"/>
  <c r="BW704"/>
  <c r="BX704"/>
  <c r="BT703"/>
  <c r="BU703"/>
  <c r="CI702"/>
  <c r="CJ702"/>
  <c r="EJ701"/>
  <c r="CL701"/>
  <c r="CM701"/>
  <c r="BT701"/>
  <c r="BU701"/>
  <c r="BX700"/>
  <c r="BW700"/>
  <c r="CS699"/>
  <c r="CA698"/>
  <c r="BZ698"/>
  <c r="BR696"/>
  <c r="BQ696"/>
  <c r="BP697"/>
  <c r="BN696"/>
  <c r="CL694"/>
  <c r="CM694"/>
  <c r="BU693"/>
  <c r="BT693"/>
  <c r="BU691"/>
  <c r="BT691"/>
  <c r="CJ688"/>
  <c r="CI688"/>
  <c r="BY683"/>
  <c r="AY714"/>
  <c r="AO714"/>
  <c r="BQ683"/>
  <c r="AM714"/>
  <c r="BO683"/>
  <c r="BN678"/>
  <c r="BO678"/>
  <c r="AW717"/>
  <c r="BY675"/>
  <c r="BW674"/>
  <c r="BX674"/>
  <c r="BQ674"/>
  <c r="BR674"/>
  <c r="BU673"/>
  <c r="BT673"/>
  <c r="BO673"/>
  <c r="BN673"/>
  <c r="CD672"/>
  <c r="CC672"/>
  <c r="BR670"/>
  <c r="BQ670"/>
  <c r="BS713"/>
  <c r="BU669"/>
  <c r="BV713"/>
  <c r="BT669"/>
  <c r="BR668"/>
  <c r="BQ668"/>
  <c r="CA667"/>
  <c r="BZ667"/>
  <c r="BU667"/>
  <c r="BT667"/>
  <c r="BO667"/>
  <c r="BN667"/>
  <c r="BZ664"/>
  <c r="CA664"/>
  <c r="BT664"/>
  <c r="BU664"/>
  <c r="AX655"/>
  <c r="BZ642"/>
  <c r="DB642"/>
  <c r="AR655"/>
  <c r="BT642"/>
  <c r="AL655"/>
  <c r="BN642"/>
  <c r="CP642"/>
  <c r="BY641"/>
  <c r="BX655"/>
  <c r="CC655"/>
  <c r="CD641"/>
  <c r="BC655"/>
  <c r="BC657"/>
  <c r="R771"/>
  <c r="R817"/>
  <c r="CX639"/>
  <c r="CX659"/>
  <c r="CA637"/>
  <c r="BZ637"/>
  <c r="BU637"/>
  <c r="BT637"/>
  <c r="BO637"/>
  <c r="BN637"/>
  <c r="CC636"/>
  <c r="CD636"/>
  <c r="CD635"/>
  <c r="CC635"/>
  <c r="BW635"/>
  <c r="BX635"/>
  <c r="BQ635"/>
  <c r="BR635"/>
  <c r="CJ634"/>
  <c r="CI634"/>
  <c r="DB658"/>
  <c r="DC634"/>
  <c r="CJ633"/>
  <c r="CJ658"/>
  <c r="CI633"/>
  <c r="CI658"/>
  <c r="CK658"/>
  <c r="BQ633"/>
  <c r="BQ658" s="1"/>
  <c r="BR633"/>
  <c r="BR658" s="1"/>
  <c r="BS658"/>
  <c r="BR632"/>
  <c r="BQ632"/>
  <c r="BX630"/>
  <c r="BY631"/>
  <c r="BW630"/>
  <c r="CD629"/>
  <c r="CC629"/>
  <c r="BZ629"/>
  <c r="CA629"/>
  <c r="BW628"/>
  <c r="BX628"/>
  <c r="CM627"/>
  <c r="CL627"/>
  <c r="DD626"/>
  <c r="DC654"/>
  <c r="CL626"/>
  <c r="CN654"/>
  <c r="CN656"/>
  <c r="CJ626"/>
  <c r="CI626"/>
  <c r="CK654"/>
  <c r="CK656"/>
  <c r="BW626"/>
  <c r="BY654"/>
  <c r="BU626"/>
  <c r="BT626"/>
  <c r="BV654"/>
  <c r="CD625"/>
  <c r="CC625"/>
  <c r="BY617"/>
  <c r="AC614"/>
  <c r="AB652"/>
  <c r="DH614"/>
  <c r="DH652"/>
  <c r="BU610"/>
  <c r="BT610"/>
  <c r="BU607"/>
  <c r="BT607"/>
  <c r="BO607"/>
  <c r="BN607"/>
  <c r="BN650" s="1"/>
  <c r="BV647"/>
  <c r="BU604"/>
  <c r="BT604"/>
  <c r="BP647"/>
  <c r="BO604"/>
  <c r="BN604"/>
  <c r="BO603"/>
  <c r="BN603"/>
  <c r="CA602"/>
  <c r="BZ602"/>
  <c r="BU602"/>
  <c r="BT602"/>
  <c r="CA599"/>
  <c r="BZ599"/>
  <c r="BU599"/>
  <c r="BT599"/>
  <c r="BO599"/>
  <c r="BN599"/>
  <c r="BX598"/>
  <c r="BW598"/>
  <c r="BR598"/>
  <c r="BQ598"/>
  <c r="AP790"/>
  <c r="CB762"/>
  <c r="DP759"/>
  <c r="BB786"/>
  <c r="BV757"/>
  <c r="BZ576"/>
  <c r="DB576"/>
  <c r="AX589"/>
  <c r="BT576"/>
  <c r="BU576"/>
  <c r="BV576" s="1"/>
  <c r="AR589"/>
  <c r="BN576"/>
  <c r="CP576"/>
  <c r="AL589"/>
  <c r="BU575"/>
  <c r="BT589"/>
  <c r="BQ564"/>
  <c r="BS565"/>
  <c r="BO564"/>
  <c r="BN564"/>
  <c r="BR563"/>
  <c r="BQ563"/>
  <c r="CM560"/>
  <c r="CL560"/>
  <c r="CN588"/>
  <c r="CG559"/>
  <c r="CA559"/>
  <c r="BZ559"/>
  <c r="BO559"/>
  <c r="BN559"/>
  <c r="CA558"/>
  <c r="BZ558"/>
  <c r="CG506"/>
  <c r="AY516"/>
  <c r="BU485"/>
  <c r="AS516"/>
  <c r="AV516"/>
  <c r="AV518"/>
  <c r="AR516"/>
  <c r="AR518"/>
  <c r="BT484"/>
  <c r="AP516"/>
  <c r="AP518"/>
  <c r="BT481"/>
  <c r="BU481"/>
  <c r="BO478"/>
  <c r="BN478"/>
  <c r="AU519"/>
  <c r="CR475"/>
  <c r="CM428"/>
  <c r="CN456"/>
  <c r="CN458"/>
  <c r="BW390"/>
  <c r="BX378"/>
  <c r="DJ602"/>
  <c r="CH547"/>
  <c r="EE71"/>
  <c r="E73" i="3" s="1"/>
  <c r="C73" s="1"/>
  <c r="DC278" i="1"/>
  <c r="DK498"/>
  <c r="DB764"/>
  <c r="CP764"/>
  <c r="CQ764" s="1"/>
  <c r="AZ764"/>
  <c r="AZ789" s="1"/>
  <c r="DH761"/>
  <c r="DH787" s="1"/>
  <c r="DP760"/>
  <c r="BJ760"/>
  <c r="DG760"/>
  <c r="AB906"/>
  <c r="Y906"/>
  <c r="W906"/>
  <c r="BA758"/>
  <c r="CS757"/>
  <c r="DH757"/>
  <c r="J860"/>
  <c r="I860"/>
  <c r="V919"/>
  <c r="BL739"/>
  <c r="CN695"/>
  <c r="AZ905"/>
  <c r="CN693"/>
  <c r="AQ669" i="3"/>
  <c r="DA670" i="1"/>
  <c r="CB668"/>
  <c r="BV668"/>
  <c r="DD664"/>
  <c r="EA664" s="1"/>
  <c r="CV664"/>
  <c r="CT664"/>
  <c r="EK662"/>
  <c r="BU641"/>
  <c r="CK628"/>
  <c r="AY904"/>
  <c r="BT627"/>
  <c r="DN626"/>
  <c r="BZ626"/>
  <c r="BN626"/>
  <c r="AR603" i="3"/>
  <c r="AQ603"/>
  <c r="AQ602"/>
  <c r="BW624" i="1"/>
  <c r="BN623"/>
  <c r="AR601" i="3"/>
  <c r="BN611" i="1"/>
  <c r="CX604"/>
  <c r="CJ378"/>
  <c r="CC390"/>
  <c r="BW575"/>
  <c r="AU589"/>
  <c r="AU591"/>
  <c r="AS589"/>
  <c r="AS591"/>
  <c r="AQ589"/>
  <c r="AQ591"/>
  <c r="BX567"/>
  <c r="BW567"/>
  <c r="CC561"/>
  <c r="CA561"/>
  <c r="BZ561"/>
  <c r="BQ561"/>
  <c r="BS588"/>
  <c r="BO561"/>
  <c r="BN561"/>
  <c r="CA560"/>
  <c r="CB590"/>
  <c r="CB588"/>
  <c r="BX560"/>
  <c r="BW560"/>
  <c r="BY588"/>
  <c r="BO560"/>
  <c r="BP590"/>
  <c r="BP588"/>
  <c r="CR550"/>
  <c r="CQ584"/>
  <c r="AG534"/>
  <c r="BK534"/>
  <c r="DO534" s="1"/>
  <c r="CD510"/>
  <c r="CC523"/>
  <c r="BR510"/>
  <c r="BQ523"/>
  <c r="BZ525"/>
  <c r="CA509"/>
  <c r="BK525"/>
  <c r="R508"/>
  <c r="Q527"/>
  <c r="BQ485"/>
  <c r="AO516"/>
  <c r="CQ485"/>
  <c r="AM516"/>
  <c r="BT479"/>
  <c r="BU479"/>
  <c r="BN479"/>
  <c r="BO479"/>
  <c r="AX517"/>
  <c r="AX487"/>
  <c r="BX472"/>
  <c r="BY515"/>
  <c r="DC472"/>
  <c r="DC515"/>
  <c r="AY515"/>
  <c r="CS471"/>
  <c r="CR515"/>
  <c r="BW444"/>
  <c r="BX444" s="1"/>
  <c r="BY444" s="1"/>
  <c r="AU457"/>
  <c r="BQ444"/>
  <c r="BR444" s="1"/>
  <c r="BS444" s="1"/>
  <c r="AO457"/>
  <c r="AS453"/>
  <c r="BV411"/>
  <c r="BP411"/>
  <c r="AM453"/>
  <c r="BR378"/>
  <c r="BQ390"/>
  <c r="AX390"/>
  <c r="BZ378"/>
  <c r="DB378"/>
  <c r="AL390"/>
  <c r="BN378"/>
  <c r="CP378"/>
  <c r="CP891"/>
  <c r="DJ85"/>
  <c r="DK85"/>
  <c r="DL85" s="1"/>
  <c r="DM85" s="1"/>
  <c r="AI203"/>
  <c r="BJ532"/>
  <c r="AI532"/>
  <c r="DJ533"/>
  <c r="EO572"/>
  <c r="DN650"/>
  <c r="BF773"/>
  <c r="AE906"/>
  <c r="AC906"/>
  <c r="AA906"/>
  <c r="Z906"/>
  <c r="X906"/>
  <c r="AZ760"/>
  <c r="DD760" s="1"/>
  <c r="V906"/>
  <c r="K860"/>
  <c r="AL756"/>
  <c r="BF755"/>
  <c r="BK754"/>
  <c r="DO754" s="1"/>
  <c r="BF754"/>
  <c r="W919"/>
  <c r="CT731"/>
  <c r="BA905"/>
  <c r="AY905"/>
  <c r="AR669" i="3"/>
  <c r="BZ689" i="1"/>
  <c r="BN689"/>
  <c r="BT688"/>
  <c r="BN687"/>
  <c r="AZ904"/>
  <c r="AP603" i="3"/>
  <c r="AR602"/>
  <c r="AP602"/>
  <c r="AQ601"/>
  <c r="BW612" i="1"/>
  <c r="EJ597"/>
  <c r="EK596"/>
  <c r="EK595"/>
  <c r="T598" i="3" s="1"/>
  <c r="BX584" i="1"/>
  <c r="BV378"/>
  <c r="AZ390"/>
  <c r="AV390"/>
  <c r="AR390"/>
  <c r="AN390"/>
  <c r="AZ900"/>
  <c r="DD364"/>
  <c r="DD900"/>
  <c r="CB364"/>
  <c r="DB364"/>
  <c r="DB900" s="1"/>
  <c r="BS363"/>
  <c r="CS363"/>
  <c r="DO361"/>
  <c r="CN361"/>
  <c r="BP361"/>
  <c r="CP361"/>
  <c r="DH360"/>
  <c r="AP338" i="3" s="1"/>
  <c r="CH360" i="1"/>
  <c r="BS360"/>
  <c r="CS360"/>
  <c r="CF348"/>
  <c r="DC312"/>
  <c r="DB324"/>
  <c r="CM303"/>
  <c r="CN327"/>
  <c r="BH281"/>
  <c r="AD281"/>
  <c r="DP237"/>
  <c r="DD230"/>
  <c r="DC257"/>
  <c r="BQ221"/>
  <c r="AO251"/>
  <c r="DD220"/>
  <c r="DC253"/>
  <c r="O216"/>
  <c r="AP216"/>
  <c r="DC577"/>
  <c r="CL571"/>
  <c r="EI571" s="1"/>
  <c r="CL566"/>
  <c r="BT566"/>
  <c r="BT591"/>
  <c r="CI564"/>
  <c r="CW563"/>
  <c r="BW563"/>
  <c r="BQ562"/>
  <c r="AZ903"/>
  <c r="DN560"/>
  <c r="DB560"/>
  <c r="BQ560"/>
  <c r="BT559"/>
  <c r="AR536" i="3"/>
  <c r="BT558" i="1"/>
  <c r="BZ557"/>
  <c r="BN557"/>
  <c r="AQ535" i="3"/>
  <c r="BT556" i="1"/>
  <c r="CL555"/>
  <c r="BW555"/>
  <c r="BU550"/>
  <c r="BW542"/>
  <c r="BT537"/>
  <c r="BT525"/>
  <c r="CC525"/>
  <c r="AZ902"/>
  <c r="BV495"/>
  <c r="BV494"/>
  <c r="DG483"/>
  <c r="DG520" s="1"/>
  <c r="CP477"/>
  <c r="AW477"/>
  <c r="AW519" s="1"/>
  <c r="DB475"/>
  <c r="CA475"/>
  <c r="CA518"/>
  <c r="AN473"/>
  <c r="CY472"/>
  <c r="BS472"/>
  <c r="CX472"/>
  <c r="CB472"/>
  <c r="CY470"/>
  <c r="CU470"/>
  <c r="BL469"/>
  <c r="DP469" s="1"/>
  <c r="EB469" s="1"/>
  <c r="EG469" s="1"/>
  <c r="Q470" i="3" s="1"/>
  <c r="DD468" i="1"/>
  <c r="EA468"/>
  <c r="CV468"/>
  <c r="CT468"/>
  <c r="CR468"/>
  <c r="CV467"/>
  <c r="BZ444"/>
  <c r="CA444"/>
  <c r="CB444" s="1"/>
  <c r="BN444"/>
  <c r="BO444" s="1"/>
  <c r="BP444" s="1"/>
  <c r="CI432"/>
  <c r="EI432"/>
  <c r="BA901"/>
  <c r="AZ901"/>
  <c r="DP427"/>
  <c r="BY426"/>
  <c r="BY425"/>
  <c r="CX424"/>
  <c r="DC418"/>
  <c r="CX406"/>
  <c r="AT379"/>
  <c r="BV379"/>
  <c r="CN365"/>
  <c r="CN364"/>
  <c r="CN363"/>
  <c r="CB363"/>
  <c r="BV363"/>
  <c r="CK362"/>
  <c r="BV362"/>
  <c r="CB360"/>
  <c r="BV360"/>
  <c r="DK364"/>
  <c r="DH364"/>
  <c r="DH900"/>
  <c r="DF364"/>
  <c r="DF900"/>
  <c r="BP364"/>
  <c r="CP364"/>
  <c r="CQ364" s="1"/>
  <c r="CR364" s="1"/>
  <c r="DH363"/>
  <c r="CH363"/>
  <c r="CE363"/>
  <c r="DE363"/>
  <c r="CZ363"/>
  <c r="BY363"/>
  <c r="CN362"/>
  <c r="DN362"/>
  <c r="CB361"/>
  <c r="DB361"/>
  <c r="AJ339" i="3" s="1"/>
  <c r="DF360" i="1"/>
  <c r="AN338" i="3"/>
  <c r="CE360" i="1"/>
  <c r="CZ360"/>
  <c r="BY360"/>
  <c r="CG358"/>
  <c r="CQ345"/>
  <c r="AM386"/>
  <c r="CC311"/>
  <c r="BA324"/>
  <c r="BA326"/>
  <c r="AY324"/>
  <c r="AY326"/>
  <c r="AW324"/>
  <c r="AW326"/>
  <c r="AU324"/>
  <c r="BW311"/>
  <c r="AU326"/>
  <c r="AS324"/>
  <c r="AS326"/>
  <c r="AQ324"/>
  <c r="AQ326"/>
  <c r="BQ311"/>
  <c r="AO324"/>
  <c r="AO326"/>
  <c r="AM324"/>
  <c r="AM326"/>
  <c r="BH273"/>
  <c r="AD273"/>
  <c r="BS246"/>
  <c r="CR238"/>
  <c r="CQ261"/>
  <c r="CB257"/>
  <c r="CB259"/>
  <c r="BV257"/>
  <c r="AR205" i="3"/>
  <c r="CZ219" i="1"/>
  <c r="CZ255"/>
  <c r="T255"/>
  <c r="BH215"/>
  <c r="AD215"/>
  <c r="BA903"/>
  <c r="AY903"/>
  <c r="AQ536" i="3"/>
  <c r="AR535"/>
  <c r="BZ546" i="1"/>
  <c r="BN546"/>
  <c r="BN545"/>
  <c r="BW544"/>
  <c r="BQ543"/>
  <c r="BQ585"/>
  <c r="BQ541"/>
  <c r="BQ584"/>
  <c r="BT534"/>
  <c r="BI509"/>
  <c r="BF509"/>
  <c r="CV508"/>
  <c r="CV527" s="1"/>
  <c r="BQ506"/>
  <c r="BT505"/>
  <c r="BT503"/>
  <c r="BA902"/>
  <c r="AY902"/>
  <c r="AR471" i="3"/>
  <c r="AP471"/>
  <c r="CK430" i="1"/>
  <c r="AY901"/>
  <c r="AQ403" i="3"/>
  <c r="AE390" i="1"/>
  <c r="CH362"/>
  <c r="AQ338" i="3"/>
  <c r="BP360" i="1"/>
  <c r="CE349"/>
  <c r="BV345"/>
  <c r="CT216"/>
  <c r="CR168"/>
  <c r="CQ169"/>
  <c r="CQ194"/>
  <c r="CP154"/>
  <c r="AL186"/>
  <c r="BN154"/>
  <c r="AL188"/>
  <c r="O150"/>
  <c r="AP150"/>
  <c r="BH141"/>
  <c r="AD141"/>
  <c r="AM154"/>
  <c r="K186"/>
  <c r="K188"/>
  <c r="BU113"/>
  <c r="BT127"/>
  <c r="CP127"/>
  <c r="CP129"/>
  <c r="CQ113"/>
  <c r="AT112"/>
  <c r="AS112"/>
  <c r="CW112"/>
  <c r="Q131"/>
  <c r="DD102"/>
  <c r="DC103"/>
  <c r="DC128"/>
  <c r="BW102"/>
  <c r="BY103"/>
  <c r="AR73" i="3"/>
  <c r="EJ94" i="1"/>
  <c r="S73" i="3" s="1"/>
  <c r="AO120" i="1"/>
  <c r="BQ89"/>
  <c r="AA84"/>
  <c r="Z90"/>
  <c r="CL75"/>
  <c r="EF75" s="1"/>
  <c r="AG70"/>
  <c r="BA900"/>
  <c r="AY900"/>
  <c r="EH359"/>
  <c r="DO359"/>
  <c r="DK359"/>
  <c r="DF359"/>
  <c r="CB359"/>
  <c r="BP359"/>
  <c r="CU359"/>
  <c r="BS358"/>
  <c r="CX358"/>
  <c r="DA357"/>
  <c r="DB355"/>
  <c r="CS350"/>
  <c r="CS387"/>
  <c r="AN345"/>
  <c r="DB344"/>
  <c r="DN340"/>
  <c r="DN382"/>
  <c r="CP340"/>
  <c r="CP382"/>
  <c r="DA338"/>
  <c r="CS338"/>
  <c r="DB337"/>
  <c r="AJ338" i="3"/>
  <c r="CP337" i="1"/>
  <c r="DD336"/>
  <c r="EA336" s="1"/>
  <c r="CV336"/>
  <c r="CT336"/>
  <c r="CR336"/>
  <c r="DA335"/>
  <c r="CS335"/>
  <c r="DB334"/>
  <c r="CP334"/>
  <c r="EJ333"/>
  <c r="EK332"/>
  <c r="EK331"/>
  <c r="T334" i="3" s="1"/>
  <c r="Y324" i="1"/>
  <c r="U324"/>
  <c r="Q324"/>
  <c r="M324"/>
  <c r="DB308"/>
  <c r="DC308"/>
  <c r="DD308" s="1"/>
  <c r="DE308" s="1"/>
  <c r="DF308" s="1"/>
  <c r="DG308" s="1"/>
  <c r="DH308" s="1"/>
  <c r="DI308" s="1"/>
  <c r="DJ308" s="1"/>
  <c r="DK308" s="1"/>
  <c r="CP308"/>
  <c r="CQ308"/>
  <c r="CR308" s="1"/>
  <c r="CS308" s="1"/>
  <c r="CT308" s="1"/>
  <c r="CU308" s="1"/>
  <c r="CV308" s="1"/>
  <c r="CW308" s="1"/>
  <c r="CX308" s="1"/>
  <c r="CY308" s="1"/>
  <c r="CZ308" s="1"/>
  <c r="DA308" s="1"/>
  <c r="DN307"/>
  <c r="DO307"/>
  <c r="DP307" s="1"/>
  <c r="DN305"/>
  <c r="DO305" s="1"/>
  <c r="DP305" s="1"/>
  <c r="CB305"/>
  <c r="BP305"/>
  <c r="DM299"/>
  <c r="EJ299"/>
  <c r="CN298"/>
  <c r="CK298"/>
  <c r="BA899"/>
  <c r="AQ273" i="3"/>
  <c r="AR273"/>
  <c r="AR272"/>
  <c r="CN293" i="1"/>
  <c r="AQ271" i="3"/>
  <c r="BI281" i="1"/>
  <c r="BI273"/>
  <c r="DB246"/>
  <c r="DD233"/>
  <c r="DM232"/>
  <c r="AZ898"/>
  <c r="AY898"/>
  <c r="DA232"/>
  <c r="AR207" i="3"/>
  <c r="AR206"/>
  <c r="CU227" i="1"/>
  <c r="CN226"/>
  <c r="CN225"/>
  <c r="CN185"/>
  <c r="AQ74" i="3"/>
  <c r="L211" i="1"/>
  <c r="AM211"/>
  <c r="AM253"/>
  <c r="CG162"/>
  <c r="L146"/>
  <c r="AM146"/>
  <c r="K147"/>
  <c r="K187"/>
  <c r="K157"/>
  <c r="L141"/>
  <c r="K185"/>
  <c r="O138"/>
  <c r="AP138"/>
  <c r="CT138" s="1"/>
  <c r="O136"/>
  <c r="N154"/>
  <c r="L81"/>
  <c r="M80"/>
  <c r="AN80"/>
  <c r="K88"/>
  <c r="L70"/>
  <c r="AQ337" i="3"/>
  <c r="CE298" i="1"/>
  <c r="AZ899"/>
  <c r="AY899"/>
  <c r="AR271" i="3"/>
  <c r="AP271"/>
  <c r="CY284" i="1"/>
  <c r="CY321" s="1"/>
  <c r="DN278"/>
  <c r="AO241"/>
  <c r="BA898"/>
  <c r="AQ207" i="3"/>
  <c r="AQ206"/>
  <c r="AQ205"/>
  <c r="AP205"/>
  <c r="BI214" i="1"/>
  <c r="CQ146"/>
  <c r="AP74" i="3"/>
  <c r="CL44" i="1"/>
  <c r="CM44"/>
  <c r="DC60"/>
  <c r="DD32"/>
  <c r="CN60"/>
  <c r="AT18"/>
  <c r="S18"/>
  <c r="P8"/>
  <c r="AQ8"/>
  <c r="AG6"/>
  <c r="BK6"/>
  <c r="DO6" s="1"/>
  <c r="O5"/>
  <c r="N23"/>
  <c r="P4"/>
  <c r="AQ4"/>
  <c r="CU4"/>
  <c r="O22"/>
  <c r="AR178"/>
  <c r="AO175"/>
  <c r="BS175"/>
  <c r="BA897"/>
  <c r="AZ897"/>
  <c r="DA163"/>
  <c r="AQ140" i="3"/>
  <c r="BS162" i="1"/>
  <c r="CX162"/>
  <c r="CN161"/>
  <c r="CH161"/>
  <c r="BY161"/>
  <c r="DD161"/>
  <c r="CR161"/>
  <c r="AR139" i="3"/>
  <c r="DC160" i="1"/>
  <c r="CY160"/>
  <c r="CQ160"/>
  <c r="DE159"/>
  <c r="CS159"/>
  <c r="CH159"/>
  <c r="BY159"/>
  <c r="DD159"/>
  <c r="CR159"/>
  <c r="BI148"/>
  <c r="BN129"/>
  <c r="BA896"/>
  <c r="AY896"/>
  <c r="CB99"/>
  <c r="AR75" i="3"/>
  <c r="AQ73"/>
  <c r="CN94" i="1"/>
  <c r="AE83"/>
  <c r="AH72"/>
  <c r="BS43"/>
  <c r="BV60"/>
  <c r="CR32"/>
  <c r="CQ62"/>
  <c r="CT21"/>
  <c r="CT58"/>
  <c r="N58"/>
  <c r="M14"/>
  <c r="AN14"/>
  <c r="L15"/>
  <c r="DP53"/>
  <c r="DO53"/>
  <c r="L6"/>
  <c r="AM6"/>
  <c r="K54"/>
  <c r="AM23"/>
  <c r="AL211"/>
  <c r="CL168"/>
  <c r="BZ168"/>
  <c r="BZ194"/>
  <c r="CK166"/>
  <c r="AY897"/>
  <c r="AR140" i="3"/>
  <c r="AP140"/>
  <c r="AQ139"/>
  <c r="DN142" i="1"/>
  <c r="K140"/>
  <c r="AO138"/>
  <c r="EJ136"/>
  <c r="AO136"/>
  <c r="BI113"/>
  <c r="BG113"/>
  <c r="EH113"/>
  <c r="EO113" s="1"/>
  <c r="D79" i="3" s="1"/>
  <c r="BE113" i="1"/>
  <c r="CV112"/>
  <c r="CV131" s="1"/>
  <c r="AR112"/>
  <c r="CW111"/>
  <c r="AS111"/>
  <c r="CK100"/>
  <c r="DI100"/>
  <c r="DH100"/>
  <c r="CE100"/>
  <c r="AZ896"/>
  <c r="DN83"/>
  <c r="DO83" s="1"/>
  <c r="DP83" s="1"/>
  <c r="CP81"/>
  <c r="AM80"/>
  <c r="DN75"/>
  <c r="AN75"/>
  <c r="AO73"/>
  <c r="BV35"/>
  <c r="AZ895"/>
  <c r="AZ906"/>
  <c r="AY895"/>
  <c r="AY906"/>
  <c r="DA34"/>
  <c r="CU31"/>
  <c r="AR8" i="3"/>
  <c r="AP8"/>
  <c r="CU29" i="1"/>
  <c r="CB27"/>
  <c r="BP27"/>
  <c r="CS21"/>
  <c r="CS58"/>
  <c r="AE17"/>
  <c r="AE16"/>
  <c r="AO5"/>
  <c r="BP872"/>
  <c r="EK860"/>
  <c r="EK858"/>
  <c r="EK856"/>
  <c r="EK854"/>
  <c r="EK852"/>
  <c r="EK851"/>
  <c r="EK849"/>
  <c r="EK859"/>
  <c r="EK857"/>
  <c r="EK855"/>
  <c r="EK853"/>
  <c r="EK850"/>
  <c r="BQ36"/>
  <c r="BA895"/>
  <c r="BA906" s="1"/>
  <c r="AR9" i="3"/>
  <c r="DN17" i="1"/>
  <c r="DO17"/>
  <c r="DP17" s="1"/>
  <c r="DN16"/>
  <c r="DO16" s="1"/>
  <c r="DP16" s="1"/>
  <c r="AM13"/>
  <c r="CY874"/>
  <c r="CP873"/>
  <c r="BS873"/>
  <c r="CT871"/>
  <c r="EH870"/>
  <c r="F348" i="3" s="1"/>
  <c r="CK870" i="1"/>
  <c r="CW869"/>
  <c r="CU869"/>
  <c r="BS869"/>
  <c r="BP869"/>
  <c r="BY867"/>
  <c r="CK867"/>
  <c r="EH866"/>
  <c r="CX866"/>
  <c r="CK881"/>
  <c r="CH882"/>
  <c r="CH886"/>
  <c r="BZ908"/>
  <c r="CJ908"/>
  <c r="DK889"/>
  <c r="DM866"/>
  <c r="EJ866"/>
  <c r="S84" i="3" s="1"/>
  <c r="CH884" i="1"/>
  <c r="CH888"/>
  <c r="CH890"/>
  <c r="BX235"/>
  <c r="BW235"/>
  <c r="DM10"/>
  <c r="FD10"/>
  <c r="BQ84"/>
  <c r="BR84"/>
  <c r="BR766"/>
  <c r="BQ766"/>
  <c r="BS790"/>
  <c r="BO866"/>
  <c r="BP910"/>
  <c r="BN866"/>
  <c r="BP909"/>
  <c r="CV911"/>
  <c r="CV912"/>
  <c r="CV895"/>
  <c r="CD870"/>
  <c r="CC870"/>
  <c r="BT873"/>
  <c r="BT900"/>
  <c r="BV900"/>
  <c r="BU873"/>
  <c r="BU900"/>
  <c r="BX38"/>
  <c r="BW38"/>
  <c r="BW855"/>
  <c r="BX855"/>
  <c r="BX853"/>
  <c r="BW853"/>
  <c r="EI852"/>
  <c r="CM852"/>
  <c r="EF155"/>
  <c r="EF186" s="1"/>
  <c r="EG186" s="1"/>
  <c r="CH186"/>
  <c r="CM13"/>
  <c r="CL13"/>
  <c r="EF13" s="1"/>
  <c r="BQ29"/>
  <c r="BR29"/>
  <c r="BU31"/>
  <c r="BT31"/>
  <c r="CB62"/>
  <c r="BZ32"/>
  <c r="BZ62" s="1"/>
  <c r="CA32"/>
  <c r="CA62" s="1"/>
  <c r="BN35"/>
  <c r="BO35"/>
  <c r="DD38"/>
  <c r="DC63"/>
  <c r="CQ40"/>
  <c r="CP64"/>
  <c r="AM121"/>
  <c r="AM119"/>
  <c r="BE90"/>
  <c r="CG90" s="1"/>
  <c r="DI90" s="1"/>
  <c r="AC750"/>
  <c r="BE750" s="1"/>
  <c r="CG750" s="1"/>
  <c r="DI750" s="1"/>
  <c r="BN93"/>
  <c r="BO93"/>
  <c r="BN97"/>
  <c r="BO97"/>
  <c r="BW98"/>
  <c r="BY126"/>
  <c r="BX98"/>
  <c r="BT104"/>
  <c r="BT129"/>
  <c r="BU104"/>
  <c r="CG105"/>
  <c r="CF105"/>
  <c r="CH130"/>
  <c r="CD162"/>
  <c r="CC162"/>
  <c r="BT165"/>
  <c r="BU165"/>
  <c r="BO173"/>
  <c r="BN173"/>
  <c r="CA173"/>
  <c r="BZ173"/>
  <c r="CM175"/>
  <c r="CL175"/>
  <c r="CD216"/>
  <c r="CC216"/>
  <c r="CM296"/>
  <c r="CN325"/>
  <c r="CL296"/>
  <c r="BU298"/>
  <c r="BT298"/>
  <c r="BO300"/>
  <c r="BN300"/>
  <c r="BW305"/>
  <c r="BX305"/>
  <c r="CJ306"/>
  <c r="CI306"/>
  <c r="BX344"/>
  <c r="BW344"/>
  <c r="DD377"/>
  <c r="AK343" i="3"/>
  <c r="DC392" i="1"/>
  <c r="CS407"/>
  <c r="BR415"/>
  <c r="BQ415"/>
  <c r="CC424"/>
  <c r="CD424"/>
  <c r="CL426"/>
  <c r="CM426"/>
  <c r="BR427"/>
  <c r="BQ427"/>
  <c r="BX428"/>
  <c r="BW428"/>
  <c r="CG434"/>
  <c r="CF434"/>
  <c r="BU476"/>
  <c r="BT476"/>
  <c r="AO519"/>
  <c r="BS477"/>
  <c r="BN480"/>
  <c r="BO480"/>
  <c r="CD492"/>
  <c r="CC492"/>
  <c r="CM492"/>
  <c r="CL492"/>
  <c r="EI492" s="1"/>
  <c r="N470" i="3" s="1"/>
  <c r="BN493" i="1"/>
  <c r="BO493"/>
  <c r="CD493"/>
  <c r="CC493"/>
  <c r="CF902"/>
  <c r="CG902"/>
  <c r="AO9"/>
  <c r="M55"/>
  <c r="N9"/>
  <c r="M53"/>
  <c r="M13"/>
  <c r="AN13"/>
  <c r="AN56" s="1"/>
  <c r="BQ99"/>
  <c r="BR99"/>
  <c r="BW110"/>
  <c r="BX110"/>
  <c r="BU162"/>
  <c r="BT162"/>
  <c r="CA166"/>
  <c r="BZ166"/>
  <c r="BU167"/>
  <c r="BT167"/>
  <c r="CC170"/>
  <c r="CC195"/>
  <c r="CD170"/>
  <c r="CD195"/>
  <c r="CE195"/>
  <c r="BO175"/>
  <c r="BN175"/>
  <c r="CF175"/>
  <c r="CG175"/>
  <c r="CA176"/>
  <c r="BZ176"/>
  <c r="CJ227"/>
  <c r="CI227"/>
  <c r="BR231"/>
  <c r="BQ231"/>
  <c r="BQ257" s="1"/>
  <c r="BW231"/>
  <c r="BX231"/>
  <c r="BR234"/>
  <c r="BQ234"/>
  <c r="CA237"/>
  <c r="BZ237"/>
  <c r="CD240"/>
  <c r="CC240"/>
  <c r="DD247"/>
  <c r="DC235"/>
  <c r="CP278"/>
  <c r="CQ278" s="1"/>
  <c r="CR278" s="1"/>
  <c r="CS278" s="1"/>
  <c r="CT278" s="1"/>
  <c r="CU278" s="1"/>
  <c r="CV278" s="1"/>
  <c r="CW278" s="1"/>
  <c r="CX278" s="1"/>
  <c r="CY278" s="1"/>
  <c r="CZ278" s="1"/>
  <c r="BP278"/>
  <c r="CI282"/>
  <c r="EF282"/>
  <c r="EM307" s="1"/>
  <c r="ER307" s="1"/>
  <c r="CJ282"/>
  <c r="CL283"/>
  <c r="CM283"/>
  <c r="BX294"/>
  <c r="BW294"/>
  <c r="CJ307"/>
  <c r="CI307"/>
  <c r="CQ301"/>
  <c r="CQ325"/>
  <c r="CR313"/>
  <c r="BU335"/>
  <c r="BT335"/>
  <c r="BR337"/>
  <c r="BQ337"/>
  <c r="BO341"/>
  <c r="BN341"/>
  <c r="BP342"/>
  <c r="BX349"/>
  <c r="BW349"/>
  <c r="BU357"/>
  <c r="BT357"/>
  <c r="CM357"/>
  <c r="CL357"/>
  <c r="BU359"/>
  <c r="BT359"/>
  <c r="CC361"/>
  <c r="CD361"/>
  <c r="DC370"/>
  <c r="DB393"/>
  <c r="BZ373"/>
  <c r="CA373"/>
  <c r="CM373"/>
  <c r="CL373"/>
  <c r="BW404"/>
  <c r="BX404"/>
  <c r="BO406"/>
  <c r="BO449"/>
  <c r="BN406"/>
  <c r="BN449"/>
  <c r="BP449"/>
  <c r="CR409"/>
  <c r="CQ452"/>
  <c r="BX410"/>
  <c r="BW410"/>
  <c r="AV453"/>
  <c r="CM412"/>
  <c r="CL412"/>
  <c r="CM415"/>
  <c r="CL415"/>
  <c r="EF415" s="1"/>
  <c r="CL429"/>
  <c r="CM429"/>
  <c r="BV459"/>
  <c r="BT430"/>
  <c r="BT459"/>
  <c r="BU430"/>
  <c r="BU459"/>
  <c r="CI434"/>
  <c r="CJ434"/>
  <c r="BT439"/>
  <c r="BU439"/>
  <c r="BR440"/>
  <c r="BQ440"/>
  <c r="BQ471"/>
  <c r="BR471"/>
  <c r="BU491"/>
  <c r="BT491"/>
  <c r="CI496"/>
  <c r="EI496"/>
  <c r="EI523" s="1"/>
  <c r="CJ496"/>
  <c r="BO497"/>
  <c r="BN497"/>
  <c r="CH526"/>
  <c r="CC505"/>
  <c r="CD505"/>
  <c r="DP15"/>
  <c r="DP57"/>
  <c r="DO57"/>
  <c r="CC99"/>
  <c r="CD99"/>
  <c r="CL99"/>
  <c r="EI99" s="1"/>
  <c r="CM99"/>
  <c r="T538" i="3"/>
  <c r="EK572" i="1"/>
  <c r="BN542"/>
  <c r="BO542"/>
  <c r="CR543"/>
  <c r="CQ585"/>
  <c r="BU555"/>
  <c r="BT555"/>
  <c r="BO562"/>
  <c r="BN562"/>
  <c r="BX569"/>
  <c r="BW569"/>
  <c r="CL572"/>
  <c r="CM572"/>
  <c r="BZ624"/>
  <c r="CA624"/>
  <c r="BR625"/>
  <c r="BQ625"/>
  <c r="BZ625"/>
  <c r="CA625"/>
  <c r="BZ632"/>
  <c r="BZ657" s="1"/>
  <c r="CA632"/>
  <c r="CA657" s="1"/>
  <c r="BT635"/>
  <c r="BU635"/>
  <c r="BZ635"/>
  <c r="CA635"/>
  <c r="CI547"/>
  <c r="CJ547"/>
  <c r="AM583"/>
  <c r="AM553"/>
  <c r="BO553"/>
  <c r="BT544"/>
  <c r="BU544"/>
  <c r="BQ546"/>
  <c r="BR546"/>
  <c r="BR558"/>
  <c r="BQ558"/>
  <c r="BQ603"/>
  <c r="BQ647"/>
  <c r="BS647"/>
  <c r="BR603"/>
  <c r="BR647" s="1"/>
  <c r="BW603"/>
  <c r="BX603"/>
  <c r="CG623"/>
  <c r="CF623"/>
  <c r="CI627"/>
  <c r="CJ627"/>
  <c r="EI627"/>
  <c r="BQ629"/>
  <c r="BR629"/>
  <c r="BT632"/>
  <c r="BT657"/>
  <c r="BU632"/>
  <c r="BT633"/>
  <c r="BU633"/>
  <c r="BU658"/>
  <c r="BT636"/>
  <c r="BU636"/>
  <c r="BO666"/>
  <c r="BN666"/>
  <c r="CA666"/>
  <c r="BZ666"/>
  <c r="BO669"/>
  <c r="BP713"/>
  <c r="BN669"/>
  <c r="BO701"/>
  <c r="BN701"/>
  <c r="BZ704"/>
  <c r="CA704"/>
  <c r="DD759"/>
  <c r="CB759"/>
  <c r="CE770"/>
  <c r="CF770"/>
  <c r="CR775"/>
  <c r="CQ763"/>
  <c r="CR179"/>
  <c r="CQ193"/>
  <c r="CQ195"/>
  <c r="CQ245"/>
  <c r="CP260"/>
  <c r="CC392"/>
  <c r="CD377"/>
  <c r="EF74"/>
  <c r="BR790"/>
  <c r="DC259"/>
  <c r="BS755"/>
  <c r="DD13"/>
  <c r="BP83"/>
  <c r="CH896"/>
  <c r="CE876"/>
  <c r="CZ911"/>
  <c r="CZ895"/>
  <c r="CZ912"/>
  <c r="CZ876"/>
  <c r="CZ903" s="1"/>
  <c r="BZ871"/>
  <c r="CA871"/>
  <c r="CB876"/>
  <c r="BZ875"/>
  <c r="CA875"/>
  <c r="CM865"/>
  <c r="CL865"/>
  <c r="EI865" s="1"/>
  <c r="CD19"/>
  <c r="CC19"/>
  <c r="CJ39"/>
  <c r="CI39"/>
  <c r="BQ855"/>
  <c r="BR855"/>
  <c r="BR853"/>
  <c r="BQ853"/>
  <c r="BZ852"/>
  <c r="CA852"/>
  <c r="AF53"/>
  <c r="BH10"/>
  <c r="DP13"/>
  <c r="DO56"/>
  <c r="BN32"/>
  <c r="BO32"/>
  <c r="CL43"/>
  <c r="CM43"/>
  <c r="AY119"/>
  <c r="DC76"/>
  <c r="BX93"/>
  <c r="BW93"/>
  <c r="BO96"/>
  <c r="BN96"/>
  <c r="BZ97"/>
  <c r="CA97"/>
  <c r="BW99"/>
  <c r="BX99"/>
  <c r="CL102"/>
  <c r="EI102" s="1"/>
  <c r="CM102"/>
  <c r="CI104"/>
  <c r="EI104"/>
  <c r="EP104" s="1"/>
  <c r="CJ104"/>
  <c r="CF106"/>
  <c r="CG106"/>
  <c r="BY113"/>
  <c r="CP143"/>
  <c r="AL187"/>
  <c r="AL157"/>
  <c r="BN157"/>
  <c r="BO157" s="1"/>
  <c r="BP157" s="1"/>
  <c r="BP143"/>
  <c r="BP144"/>
  <c r="CJ159"/>
  <c r="CI159"/>
  <c r="BO163"/>
  <c r="BN163"/>
  <c r="BR173"/>
  <c r="BQ173"/>
  <c r="CD173"/>
  <c r="CC173"/>
  <c r="BZ216"/>
  <c r="CA216"/>
  <c r="BO227"/>
  <c r="BN227"/>
  <c r="CM238"/>
  <c r="CL238"/>
  <c r="BR292"/>
  <c r="BQ292"/>
  <c r="CG296"/>
  <c r="CF296"/>
  <c r="BX297"/>
  <c r="BW297"/>
  <c r="BW323" s="1"/>
  <c r="BX298"/>
  <c r="BW298"/>
  <c r="BR303"/>
  <c r="BQ303"/>
  <c r="BQ305"/>
  <c r="BR305"/>
  <c r="BO306"/>
  <c r="BN306"/>
  <c r="BO338"/>
  <c r="BN338"/>
  <c r="BX403"/>
  <c r="BW403"/>
  <c r="BX409"/>
  <c r="BW409"/>
  <c r="BW452"/>
  <c r="CJ426"/>
  <c r="CI426"/>
  <c r="CJ433"/>
  <c r="CI433"/>
  <c r="EI433"/>
  <c r="N412" i="3" s="1"/>
  <c r="CA470" i="1"/>
  <c r="BZ470"/>
  <c r="BX476"/>
  <c r="BW476"/>
  <c r="BX478"/>
  <c r="BW478"/>
  <c r="BZ480"/>
  <c r="CA480"/>
  <c r="BT493"/>
  <c r="BU493"/>
  <c r="BN496"/>
  <c r="BO496"/>
  <c r="BN498"/>
  <c r="BO498"/>
  <c r="BR503"/>
  <c r="BQ503"/>
  <c r="AN53"/>
  <c r="AN55"/>
  <c r="CJ162"/>
  <c r="CI162"/>
  <c r="BR170"/>
  <c r="BQ170"/>
  <c r="BQ195" s="1"/>
  <c r="CA175"/>
  <c r="BZ175"/>
  <c r="BO176"/>
  <c r="BN176"/>
  <c r="CC228"/>
  <c r="CD228"/>
  <c r="BU231"/>
  <c r="BU257"/>
  <c r="BT231"/>
  <c r="BT257"/>
  <c r="CJ231"/>
  <c r="CI231"/>
  <c r="CC233"/>
  <c r="CD233"/>
  <c r="CD239"/>
  <c r="CC239"/>
  <c r="BR240"/>
  <c r="BQ240"/>
  <c r="CR235"/>
  <c r="CS247"/>
  <c r="AL316"/>
  <c r="CP273"/>
  <c r="BX274"/>
  <c r="BW274"/>
  <c r="CP281"/>
  <c r="CQ281"/>
  <c r="CR281" s="1"/>
  <c r="CS281" s="1"/>
  <c r="CT281" s="1"/>
  <c r="CU281" s="1"/>
  <c r="CV281" s="1"/>
  <c r="CW281" s="1"/>
  <c r="CX281" s="1"/>
  <c r="CY281" s="1"/>
  <c r="CZ281" s="1"/>
  <c r="DA281" s="1"/>
  <c r="EA281" s="1"/>
  <c r="BP281"/>
  <c r="BR295"/>
  <c r="BQ295"/>
  <c r="BX335"/>
  <c r="BW335"/>
  <c r="BU337"/>
  <c r="BT337"/>
  <c r="BT341"/>
  <c r="BV342"/>
  <c r="BU341"/>
  <c r="BC355"/>
  <c r="CE355"/>
  <c r="BO348"/>
  <c r="BN348"/>
  <c r="CF357"/>
  <c r="CG357"/>
  <c r="BO357"/>
  <c r="BN357"/>
  <c r="CJ360"/>
  <c r="CI360"/>
  <c r="CI373"/>
  <c r="EI373"/>
  <c r="CJ373"/>
  <c r="CM374"/>
  <c r="CL374"/>
  <c r="BU404"/>
  <c r="BT404"/>
  <c r="BU406"/>
  <c r="BT406"/>
  <c r="BU410"/>
  <c r="BT410"/>
  <c r="DC410"/>
  <c r="AJ411" i="3"/>
  <c r="DB453" i="1"/>
  <c r="BU412"/>
  <c r="BT412"/>
  <c r="BX414"/>
  <c r="BW414"/>
  <c r="CC427"/>
  <c r="CD427"/>
  <c r="BN430"/>
  <c r="BO430"/>
  <c r="BP459"/>
  <c r="BP457"/>
  <c r="CI431"/>
  <c r="CJ431"/>
  <c r="CL434"/>
  <c r="EI434" s="1"/>
  <c r="CM434"/>
  <c r="CC439"/>
  <c r="CD439"/>
  <c r="CM439"/>
  <c r="CL439"/>
  <c r="BN440"/>
  <c r="BO440"/>
  <c r="BX440"/>
  <c r="BW440"/>
  <c r="BQ497"/>
  <c r="BR497"/>
  <c r="DC501"/>
  <c r="AJ477" i="3"/>
  <c r="BU95" i="1"/>
  <c r="BT95"/>
  <c r="BW95"/>
  <c r="BX95"/>
  <c r="BQ96"/>
  <c r="BR96"/>
  <c r="BU536"/>
  <c r="BT536"/>
  <c r="BT542"/>
  <c r="BU542"/>
  <c r="BO555"/>
  <c r="BN555"/>
  <c r="CA555"/>
  <c r="BZ555"/>
  <c r="CL561"/>
  <c r="CM561"/>
  <c r="CL562"/>
  <c r="CM562"/>
  <c r="CC563"/>
  <c r="CD563"/>
  <c r="CD568"/>
  <c r="CD592"/>
  <c r="CC568"/>
  <c r="CC592"/>
  <c r="CE592"/>
  <c r="BT569"/>
  <c r="BU569"/>
  <c r="CM569"/>
  <c r="CL569"/>
  <c r="BW602"/>
  <c r="BX602"/>
  <c r="BN625"/>
  <c r="BO625"/>
  <c r="BT625"/>
  <c r="BU625"/>
  <c r="CC626"/>
  <c r="CD626"/>
  <c r="CA634"/>
  <c r="BZ634"/>
  <c r="CI635"/>
  <c r="CJ635"/>
  <c r="BT679"/>
  <c r="BU679"/>
  <c r="BW691"/>
  <c r="BX691"/>
  <c r="CL702"/>
  <c r="CM702"/>
  <c r="CP731"/>
  <c r="BP731"/>
  <c r="BN745"/>
  <c r="BO745"/>
  <c r="BR114"/>
  <c r="BS114" s="1"/>
  <c r="BQ127"/>
  <c r="BW127"/>
  <c r="BX114"/>
  <c r="BY114" s="1"/>
  <c r="L316"/>
  <c r="AN273"/>
  <c r="AN316"/>
  <c r="M273"/>
  <c r="CR362"/>
  <c r="CQ389"/>
  <c r="AJ475" i="3"/>
  <c r="DB523" i="1"/>
  <c r="BR534"/>
  <c r="BQ534"/>
  <c r="BN544"/>
  <c r="BO544"/>
  <c r="BB546"/>
  <c r="Z552"/>
  <c r="BB552" s="1"/>
  <c r="CD552" s="1"/>
  <c r="DF552" s="1"/>
  <c r="AA546"/>
  <c r="Z744"/>
  <c r="BB744" s="1"/>
  <c r="BW546"/>
  <c r="BX546"/>
  <c r="BZ547"/>
  <c r="CA547"/>
  <c r="CL557"/>
  <c r="CM557"/>
  <c r="BT600"/>
  <c r="BU600"/>
  <c r="BU603"/>
  <c r="BU647" s="1"/>
  <c r="BT603"/>
  <c r="BQ613"/>
  <c r="BR613"/>
  <c r="BN634"/>
  <c r="BN658"/>
  <c r="BO634"/>
  <c r="BU666"/>
  <c r="BT666"/>
  <c r="BW666"/>
  <c r="BX666"/>
  <c r="BT676"/>
  <c r="BU676"/>
  <c r="CD693"/>
  <c r="CC693"/>
  <c r="BU698"/>
  <c r="BT698"/>
  <c r="BT723"/>
  <c r="BW703"/>
  <c r="BX703"/>
  <c r="CL703"/>
  <c r="EI703" s="1"/>
  <c r="CM703"/>
  <c r="BO754"/>
  <c r="BN754"/>
  <c r="CV759"/>
  <c r="BK763"/>
  <c r="BK775" s="1"/>
  <c r="AI831"/>
  <c r="M553"/>
  <c r="BQ553"/>
  <c r="BR553" s="1"/>
  <c r="AO539"/>
  <c r="N539"/>
  <c r="M583"/>
  <c r="AT279"/>
  <c r="AU279"/>
  <c r="R320"/>
  <c r="BT647"/>
  <c r="CD654"/>
  <c r="BQ790"/>
  <c r="CD876"/>
  <c r="CC876"/>
  <c r="CC62"/>
  <c r="CQ75"/>
  <c r="BR857"/>
  <c r="BS860"/>
  <c r="BQ857"/>
  <c r="CA856"/>
  <c r="BZ856"/>
  <c r="BO856"/>
  <c r="BN856"/>
  <c r="BZ853"/>
  <c r="CA853"/>
  <c r="BN19"/>
  <c r="BO19"/>
  <c r="CJ27"/>
  <c r="CI27"/>
  <c r="CL40"/>
  <c r="CM40"/>
  <c r="CJ481"/>
  <c r="CI481"/>
  <c r="BX857"/>
  <c r="BW857"/>
  <c r="BY860"/>
  <c r="CM856"/>
  <c r="BU856"/>
  <c r="BT856"/>
  <c r="CH745"/>
  <c r="T76" i="3"/>
  <c r="EK110" i="1"/>
  <c r="CP76"/>
  <c r="CP119"/>
  <c r="AL119"/>
  <c r="BP76"/>
  <c r="CL82"/>
  <c r="CM82"/>
  <c r="CC101"/>
  <c r="CD101"/>
  <c r="BN890"/>
  <c r="BO890"/>
  <c r="CD881"/>
  <c r="CC881"/>
  <c r="CE891"/>
  <c r="BR881"/>
  <c r="BQ881"/>
  <c r="BS909"/>
  <c r="BR866"/>
  <c r="BS910"/>
  <c r="BQ866"/>
  <c r="BY909"/>
  <c r="BW866"/>
  <c r="BW909" s="1"/>
  <c r="BX866"/>
  <c r="BX909" s="1"/>
  <c r="BU871"/>
  <c r="BT871"/>
  <c r="BV898"/>
  <c r="BV914"/>
  <c r="BW872"/>
  <c r="BX872"/>
  <c r="BY899"/>
  <c r="CV900"/>
  <c r="CV876"/>
  <c r="CV903" s="1"/>
  <c r="CV916"/>
  <c r="CV917"/>
  <c r="CM29"/>
  <c r="CL29"/>
  <c r="EI29" s="1"/>
  <c r="CL31"/>
  <c r="CM31"/>
  <c r="BX34"/>
  <c r="BW34"/>
  <c r="CM35"/>
  <c r="CL35"/>
  <c r="CI44"/>
  <c r="EI44"/>
  <c r="CJ44"/>
  <c r="DE49"/>
  <c r="DD37"/>
  <c r="CI94"/>
  <c r="CJ94"/>
  <c r="BU96"/>
  <c r="BT96"/>
  <c r="CA96"/>
  <c r="BZ96"/>
  <c r="BR97"/>
  <c r="BQ97"/>
  <c r="CL97"/>
  <c r="CM97"/>
  <c r="CA98"/>
  <c r="CA128" s="1"/>
  <c r="CB128"/>
  <c r="BZ98"/>
  <c r="BZ128"/>
  <c r="BR101"/>
  <c r="BQ101"/>
  <c r="CG101"/>
  <c r="CF101"/>
  <c r="CI101"/>
  <c r="CJ101"/>
  <c r="BU106"/>
  <c r="BT106"/>
  <c r="CC107"/>
  <c r="CD107"/>
  <c r="CM147"/>
  <c r="CL147"/>
  <c r="CN189"/>
  <c r="BN150"/>
  <c r="BO150"/>
  <c r="BZ897"/>
  <c r="CA897"/>
  <c r="CA227"/>
  <c r="BZ227"/>
  <c r="CD231"/>
  <c r="CC231"/>
  <c r="BW234"/>
  <c r="BX234"/>
  <c r="BN237"/>
  <c r="BO237"/>
  <c r="CN261"/>
  <c r="CL237"/>
  <c r="CM237"/>
  <c r="CM261" s="1"/>
  <c r="BQ239"/>
  <c r="BR239"/>
  <c r="CL239"/>
  <c r="CM239"/>
  <c r="CJ242"/>
  <c r="CI242"/>
  <c r="CM280"/>
  <c r="CL280"/>
  <c r="CA293"/>
  <c r="BZ293"/>
  <c r="BR302"/>
  <c r="BQ302"/>
  <c r="BX302"/>
  <c r="BW302"/>
  <c r="CM306"/>
  <c r="CL306"/>
  <c r="BO307"/>
  <c r="BN307"/>
  <c r="BU308"/>
  <c r="BT308"/>
  <c r="CA374"/>
  <c r="BZ374"/>
  <c r="BW400"/>
  <c r="BX400"/>
  <c r="CG426"/>
  <c r="CF426"/>
  <c r="EI426"/>
  <c r="N404" i="3" s="1"/>
  <c r="CC434" i="1"/>
  <c r="CC459"/>
  <c r="CD434"/>
  <c r="CD459"/>
  <c r="CE459"/>
  <c r="BW471"/>
  <c r="BX471"/>
  <c r="DD81"/>
  <c r="BI142"/>
  <c r="BI185"/>
  <c r="AF185"/>
  <c r="DM142"/>
  <c r="EB142" s="1"/>
  <c r="J189"/>
  <c r="AL147"/>
  <c r="CM159"/>
  <c r="CL159"/>
  <c r="BR161"/>
  <c r="BQ161"/>
  <c r="CA163"/>
  <c r="BZ163"/>
  <c r="CC165"/>
  <c r="CD165"/>
  <c r="BX165"/>
  <c r="BX192"/>
  <c r="BY192"/>
  <c r="BW165"/>
  <c r="BW192" s="1"/>
  <c r="CM166"/>
  <c r="CL166"/>
  <c r="CC167"/>
  <c r="CD167"/>
  <c r="BP169"/>
  <c r="BN168"/>
  <c r="BO168"/>
  <c r="BX169"/>
  <c r="BX194"/>
  <c r="BW169"/>
  <c r="BW194"/>
  <c r="BY194"/>
  <c r="CA170"/>
  <c r="BZ170"/>
  <c r="BX171"/>
  <c r="BW171"/>
  <c r="CQ172"/>
  <c r="CP196"/>
  <c r="CL174"/>
  <c r="CM174"/>
  <c r="BX175"/>
  <c r="BW175"/>
  <c r="EJ175"/>
  <c r="BR193"/>
  <c r="BS179"/>
  <c r="BR195"/>
  <c r="BO180"/>
  <c r="T208" i="3"/>
  <c r="EK242" i="1"/>
  <c r="CA208"/>
  <c r="CA250"/>
  <c r="BZ208"/>
  <c r="BZ250"/>
  <c r="CB250"/>
  <c r="EE210"/>
  <c r="CM215"/>
  <c r="CL215"/>
  <c r="BZ241"/>
  <c r="CA241"/>
  <c r="DN258"/>
  <c r="BU274"/>
  <c r="BT274"/>
  <c r="CG294"/>
  <c r="CF294"/>
  <c r="CI296"/>
  <c r="EI296"/>
  <c r="CJ296"/>
  <c r="CK323"/>
  <c r="BU297"/>
  <c r="BT297"/>
  <c r="CI297"/>
  <c r="CJ297"/>
  <c r="BR299"/>
  <c r="BQ299"/>
  <c r="BR300"/>
  <c r="BQ300"/>
  <c r="BS301"/>
  <c r="BW300"/>
  <c r="BY301"/>
  <c r="BX300"/>
  <c r="CA306"/>
  <c r="BZ306"/>
  <c r="BI326"/>
  <c r="BQ334"/>
  <c r="BR334"/>
  <c r="CA335"/>
  <c r="BZ335"/>
  <c r="BU338"/>
  <c r="BT338"/>
  <c r="BO347"/>
  <c r="BN347"/>
  <c r="BX347"/>
  <c r="BW347"/>
  <c r="CJ348"/>
  <c r="CI348"/>
  <c r="BO349"/>
  <c r="BN349"/>
  <c r="CJ357"/>
  <c r="CI357"/>
  <c r="EI357"/>
  <c r="BU358"/>
  <c r="BT358"/>
  <c r="CJ358"/>
  <c r="CI358"/>
  <c r="CG359"/>
  <c r="CF359"/>
  <c r="BX362"/>
  <c r="BW362"/>
  <c r="CD364"/>
  <c r="CC364"/>
  <c r="CE900"/>
  <c r="BX368"/>
  <c r="BW368"/>
  <c r="BW392" s="1"/>
  <c r="CG368"/>
  <c r="CF368"/>
  <c r="CM371"/>
  <c r="CL371"/>
  <c r="CM372"/>
  <c r="CL372"/>
  <c r="BO373"/>
  <c r="BN373"/>
  <c r="BX406"/>
  <c r="BW406"/>
  <c r="DP409"/>
  <c r="BN413"/>
  <c r="BO413"/>
  <c r="BS418"/>
  <c r="BR452"/>
  <c r="CJ427"/>
  <c r="CI427"/>
  <c r="BN428"/>
  <c r="BN456" s="1"/>
  <c r="BP456"/>
  <c r="BO428"/>
  <c r="BO456"/>
  <c r="CI428"/>
  <c r="EI428"/>
  <c r="CJ428"/>
  <c r="CK458"/>
  <c r="CK456"/>
  <c r="CF429"/>
  <c r="CF456" s="1"/>
  <c r="CH456"/>
  <c r="CG429"/>
  <c r="CG456"/>
  <c r="BT431"/>
  <c r="BT457"/>
  <c r="BU431"/>
  <c r="BU457"/>
  <c r="BV457"/>
  <c r="BN436"/>
  <c r="BN460" s="1"/>
  <c r="BP460"/>
  <c r="BO436"/>
  <c r="BO460"/>
  <c r="CG436"/>
  <c r="CG460"/>
  <c r="CF436"/>
  <c r="CF460"/>
  <c r="CH460"/>
  <c r="CM440"/>
  <c r="CL440"/>
  <c r="BO467"/>
  <c r="BN467"/>
  <c r="CA467"/>
  <c r="BZ467"/>
  <c r="BO468"/>
  <c r="BN468"/>
  <c r="CA468"/>
  <c r="BZ468"/>
  <c r="EE144"/>
  <c r="DO146"/>
  <c r="DN158"/>
  <c r="DN189"/>
  <c r="BX532"/>
  <c r="BW532"/>
  <c r="BN547"/>
  <c r="BO547"/>
  <c r="CL547"/>
  <c r="CM547"/>
  <c r="BO567"/>
  <c r="BN567"/>
  <c r="CF567"/>
  <c r="CF592"/>
  <c r="CG567"/>
  <c r="CG592"/>
  <c r="CH592"/>
  <c r="CF569"/>
  <c r="CG569"/>
  <c r="BN632"/>
  <c r="BO632"/>
  <c r="AM252"/>
  <c r="CB902"/>
  <c r="CB526"/>
  <c r="CQ509"/>
  <c r="CP525"/>
  <c r="CP523"/>
  <c r="BR533"/>
  <c r="BQ533"/>
  <c r="BX534"/>
  <c r="BW534"/>
  <c r="BO536"/>
  <c r="BN536"/>
  <c r="BQ557"/>
  <c r="BR557"/>
  <c r="BX558"/>
  <c r="BW558"/>
  <c r="CC562"/>
  <c r="CD562"/>
  <c r="CE903"/>
  <c r="BX566"/>
  <c r="BW566"/>
  <c r="CF626"/>
  <c r="CG626"/>
  <c r="CH656"/>
  <c r="CH654"/>
  <c r="EI626"/>
  <c r="BN628"/>
  <c r="BO628"/>
  <c r="BT628"/>
  <c r="BU628"/>
  <c r="CL628"/>
  <c r="CM628"/>
  <c r="CI632"/>
  <c r="CJ632"/>
  <c r="BG414"/>
  <c r="AE420"/>
  <c r="BG420" s="1"/>
  <c r="EE420"/>
  <c r="BH414"/>
  <c r="BX668"/>
  <c r="BW668"/>
  <c r="BW669"/>
  <c r="BW713" s="1"/>
  <c r="BX669"/>
  <c r="BX713" s="1"/>
  <c r="BQ673"/>
  <c r="BR673"/>
  <c r="BN679"/>
  <c r="BO679"/>
  <c r="CL690"/>
  <c r="CM690"/>
  <c r="CI691"/>
  <c r="CJ691"/>
  <c r="CI693"/>
  <c r="CJ693"/>
  <c r="BW694"/>
  <c r="BX694"/>
  <c r="CE905"/>
  <c r="CD699"/>
  <c r="CD724" s="1"/>
  <c r="CE724"/>
  <c r="CC699"/>
  <c r="CC724"/>
  <c r="BN703"/>
  <c r="BO703"/>
  <c r="BN704"/>
  <c r="BO704"/>
  <c r="BQ755"/>
  <c r="BR755"/>
  <c r="BF790"/>
  <c r="EE147"/>
  <c r="EE189" s="1"/>
  <c r="BF189"/>
  <c r="CE509"/>
  <c r="CE525" s="1"/>
  <c r="AM717"/>
  <c r="BZ679"/>
  <c r="CA679"/>
  <c r="BW687"/>
  <c r="BX687"/>
  <c r="BW688"/>
  <c r="BX688"/>
  <c r="CC694"/>
  <c r="CD694"/>
  <c r="CC698"/>
  <c r="CD698"/>
  <c r="CF702"/>
  <c r="EI702"/>
  <c r="CG702"/>
  <c r="CW754"/>
  <c r="CH770"/>
  <c r="CI770"/>
  <c r="AD404"/>
  <c r="BE404"/>
  <c r="DI404" s="1"/>
  <c r="AQ405" i="3" s="1"/>
  <c r="CG679" i="1"/>
  <c r="CF679"/>
  <c r="BB453"/>
  <c r="DJ664"/>
  <c r="BD478"/>
  <c r="AC478"/>
  <c r="DJ468"/>
  <c r="DJ401"/>
  <c r="AR403" i="3"/>
  <c r="BG400" i="1"/>
  <c r="AF400"/>
  <c r="AI668"/>
  <c r="BJ668"/>
  <c r="DN668"/>
  <c r="DE237"/>
  <c r="DD898"/>
  <c r="CA516"/>
  <c r="CB485"/>
  <c r="CB516" s="1"/>
  <c r="BN543"/>
  <c r="BN585"/>
  <c r="BP585"/>
  <c r="BO543"/>
  <c r="BO585" s="1"/>
  <c r="BT543"/>
  <c r="BT585" s="1"/>
  <c r="BV585"/>
  <c r="BU543"/>
  <c r="BU585"/>
  <c r="BX543"/>
  <c r="BX585"/>
  <c r="BW543"/>
  <c r="BW585"/>
  <c r="BY585"/>
  <c r="CL634"/>
  <c r="EI634" s="1"/>
  <c r="CM634"/>
  <c r="CJ349"/>
  <c r="CI349"/>
  <c r="DB783"/>
  <c r="DC741"/>
  <c r="DC783" s="1"/>
  <c r="AC673"/>
  <c r="AB716"/>
  <c r="BD673"/>
  <c r="BD716" s="1"/>
  <c r="AF666"/>
  <c r="BG666"/>
  <c r="AC610"/>
  <c r="BD610"/>
  <c r="AC609"/>
  <c r="BD609"/>
  <c r="AC409"/>
  <c r="AB452"/>
  <c r="DG896"/>
  <c r="DH105"/>
  <c r="DG130"/>
  <c r="DF915"/>
  <c r="DG476"/>
  <c r="BX70"/>
  <c r="BW70"/>
  <c r="AC15"/>
  <c r="BD15"/>
  <c r="BD57" s="1"/>
  <c r="AB57"/>
  <c r="AC411"/>
  <c r="BD411"/>
  <c r="BD453" s="1"/>
  <c r="AB453"/>
  <c r="AI401"/>
  <c r="AH419"/>
  <c r="BJ401"/>
  <c r="DN401"/>
  <c r="BI675"/>
  <c r="DH633"/>
  <c r="DG904"/>
  <c r="CU319"/>
  <c r="CV286"/>
  <c r="CS405"/>
  <c r="CR449"/>
  <c r="CT48"/>
  <c r="CS61"/>
  <c r="EE275"/>
  <c r="EO300" s="1"/>
  <c r="BF289"/>
  <c r="EE289"/>
  <c r="BE289"/>
  <c r="BR143"/>
  <c r="BQ143"/>
  <c r="AL254"/>
  <c r="AM250"/>
  <c r="BR286"/>
  <c r="DE471"/>
  <c r="CM851"/>
  <c r="Y278"/>
  <c r="AZ278"/>
  <c r="X320"/>
  <c r="X912"/>
  <c r="CB278"/>
  <c r="DD15"/>
  <c r="DC57"/>
  <c r="CD23"/>
  <c r="CD54" s="1"/>
  <c r="CE54"/>
  <c r="CC23"/>
  <c r="CC54"/>
  <c r="BY64"/>
  <c r="BW39"/>
  <c r="BX39"/>
  <c r="BW40"/>
  <c r="BX40"/>
  <c r="CD41"/>
  <c r="CC41"/>
  <c r="CT71"/>
  <c r="BS71"/>
  <c r="BT77"/>
  <c r="BU77"/>
  <c r="BZ84"/>
  <c r="CA84"/>
  <c r="CD93"/>
  <c r="CC93"/>
  <c r="BZ104"/>
  <c r="BZ129" s="1"/>
  <c r="CA104"/>
  <c r="BQ110"/>
  <c r="BR110"/>
  <c r="BR127"/>
  <c r="BS113"/>
  <c r="BT890"/>
  <c r="BU890"/>
  <c r="CC885"/>
  <c r="CD885"/>
  <c r="BX881"/>
  <c r="BW881"/>
  <c r="BT866"/>
  <c r="BU866"/>
  <c r="BV910"/>
  <c r="BV909"/>
  <c r="CP909"/>
  <c r="CP910"/>
  <c r="CR912"/>
  <c r="CR911"/>
  <c r="CR895"/>
  <c r="CR876"/>
  <c r="CR903" s="1"/>
  <c r="BO870"/>
  <c r="BP914"/>
  <c r="BP897"/>
  <c r="BN870"/>
  <c r="CX915"/>
  <c r="CX898"/>
  <c r="CX914"/>
  <c r="BY916"/>
  <c r="BY900"/>
  <c r="BX873"/>
  <c r="BW873"/>
  <c r="BQ874"/>
  <c r="BR874"/>
  <c r="BS901"/>
  <c r="CC30"/>
  <c r="CD30"/>
  <c r="CB60"/>
  <c r="CA33"/>
  <c r="CA60"/>
  <c r="BZ33"/>
  <c r="BZ60"/>
  <c r="CM34"/>
  <c r="CL34"/>
  <c r="CI95"/>
  <c r="CJ95"/>
  <c r="BW96"/>
  <c r="BX96"/>
  <c r="CD97"/>
  <c r="CC97"/>
  <c r="BO98"/>
  <c r="BN98"/>
  <c r="CJ98"/>
  <c r="CK126"/>
  <c r="CI98"/>
  <c r="CI128" s="1"/>
  <c r="CK128"/>
  <c r="CJ99"/>
  <c r="CI99"/>
  <c r="BX101"/>
  <c r="BW101"/>
  <c r="CM101"/>
  <c r="CL101"/>
  <c r="EI101" s="1"/>
  <c r="BR107"/>
  <c r="BQ107"/>
  <c r="CL145"/>
  <c r="CM145"/>
  <c r="CM151"/>
  <c r="CL151"/>
  <c r="EF151" s="1"/>
  <c r="CG167"/>
  <c r="CF167"/>
  <c r="CC227"/>
  <c r="CD227"/>
  <c r="CM228"/>
  <c r="CL228"/>
  <c r="CJ230"/>
  <c r="CK257"/>
  <c r="CI230"/>
  <c r="CL232"/>
  <c r="CM232"/>
  <c r="BV261"/>
  <c r="BT237"/>
  <c r="BT261"/>
  <c r="BU237"/>
  <c r="BU261"/>
  <c r="CG239"/>
  <c r="CF239"/>
  <c r="DP277"/>
  <c r="CM292"/>
  <c r="CL292"/>
  <c r="BR294"/>
  <c r="BQ294"/>
  <c r="BU302"/>
  <c r="BT302"/>
  <c r="CD303"/>
  <c r="CC303"/>
  <c r="CF305"/>
  <c r="CG305"/>
  <c r="BR308"/>
  <c r="BQ308"/>
  <c r="CG308"/>
  <c r="CF308"/>
  <c r="CM347"/>
  <c r="CL347"/>
  <c r="CG371"/>
  <c r="CF371"/>
  <c r="CJ424"/>
  <c r="CI424"/>
  <c r="CG431"/>
  <c r="CF431"/>
  <c r="CD433"/>
  <c r="CD458"/>
  <c r="CC433"/>
  <c r="CC458"/>
  <c r="CE458"/>
  <c r="BX466"/>
  <c r="BW466"/>
  <c r="BQ103"/>
  <c r="BR103"/>
  <c r="AE142"/>
  <c r="BO159"/>
  <c r="BN159"/>
  <c r="CQ192"/>
  <c r="CR164"/>
  <c r="BZ165"/>
  <c r="BZ192" s="1"/>
  <c r="CB192"/>
  <c r="CA165"/>
  <c r="CA192"/>
  <c r="CJ165"/>
  <c r="CI165"/>
  <c r="BX166"/>
  <c r="BW166"/>
  <c r="CC166"/>
  <c r="CD166"/>
  <c r="CE897"/>
  <c r="BO166"/>
  <c r="BN166"/>
  <c r="BT168"/>
  <c r="BU168"/>
  <c r="BV169"/>
  <c r="BO170"/>
  <c r="BN170"/>
  <c r="CH196"/>
  <c r="CH897"/>
  <c r="CG171"/>
  <c r="CG196"/>
  <c r="CF171"/>
  <c r="CF196"/>
  <c r="CJ175"/>
  <c r="CI175"/>
  <c r="EI175"/>
  <c r="BR176"/>
  <c r="BQ176"/>
  <c r="DC179"/>
  <c r="DB195"/>
  <c r="AJ147" i="3"/>
  <c r="AJ145"/>
  <c r="AY250" i="1"/>
  <c r="DC208"/>
  <c r="DC250" s="1"/>
  <c r="AZ252"/>
  <c r="AZ223"/>
  <c r="CB223"/>
  <c r="CM214"/>
  <c r="CL214"/>
  <c r="CG241"/>
  <c r="CF241"/>
  <c r="BO297"/>
  <c r="BN297"/>
  <c r="CD297"/>
  <c r="CD323"/>
  <c r="CE323"/>
  <c r="CC297"/>
  <c r="CC323"/>
  <c r="CM299"/>
  <c r="CL299"/>
  <c r="BU300"/>
  <c r="BT300"/>
  <c r="BZ301"/>
  <c r="CA301"/>
  <c r="CG306"/>
  <c r="EI306"/>
  <c r="CF306"/>
  <c r="BU334"/>
  <c r="BT334"/>
  <c r="BW338"/>
  <c r="BX338"/>
  <c r="AO386"/>
  <c r="BS345"/>
  <c r="BR347"/>
  <c r="BQ347"/>
  <c r="CD359"/>
  <c r="CC359"/>
  <c r="BO362"/>
  <c r="BN362"/>
  <c r="CA362"/>
  <c r="CA391" s="1"/>
  <c r="CB391"/>
  <c r="BZ362"/>
  <c r="BZ391"/>
  <c r="BN368"/>
  <c r="BO368"/>
  <c r="CA368"/>
  <c r="CA392" s="1"/>
  <c r="BZ368"/>
  <c r="BZ392" s="1"/>
  <c r="CF369"/>
  <c r="CG369"/>
  <c r="CM369"/>
  <c r="CL369"/>
  <c r="CN393"/>
  <c r="CJ372"/>
  <c r="CI372"/>
  <c r="EI372"/>
  <c r="BU407"/>
  <c r="BT407"/>
  <c r="BZ415"/>
  <c r="CA415"/>
  <c r="CE419"/>
  <c r="CE450"/>
  <c r="CD450"/>
  <c r="BZ428"/>
  <c r="CA428"/>
  <c r="CB458"/>
  <c r="CB456"/>
  <c r="BU429"/>
  <c r="BT429"/>
  <c r="CJ429"/>
  <c r="CI429"/>
  <c r="EI429"/>
  <c r="CB901"/>
  <c r="CA430"/>
  <c r="BZ430"/>
  <c r="CB459"/>
  <c r="CB457"/>
  <c r="BZ431"/>
  <c r="CA431"/>
  <c r="CB460"/>
  <c r="CA436"/>
  <c r="CA460"/>
  <c r="BZ436"/>
  <c r="BZ460"/>
  <c r="BO439"/>
  <c r="BN439"/>
  <c r="BX467"/>
  <c r="BW467"/>
  <c r="BR468"/>
  <c r="BQ468"/>
  <c r="BU470"/>
  <c r="BT470"/>
  <c r="BW63"/>
  <c r="BW61"/>
  <c r="CL146"/>
  <c r="CM146"/>
  <c r="DD509"/>
  <c r="AK475" i="3"/>
  <c r="DC523" i="1"/>
  <c r="AK477" i="3"/>
  <c r="BT547" i="1"/>
  <c r="BU547"/>
  <c r="BW561"/>
  <c r="BX561"/>
  <c r="CB592"/>
  <c r="BZ567"/>
  <c r="BZ592" s="1"/>
  <c r="CA567"/>
  <c r="CA592" s="1"/>
  <c r="CM568"/>
  <c r="CL568"/>
  <c r="CI624"/>
  <c r="CJ624"/>
  <c r="EI624"/>
  <c r="BW629"/>
  <c r="BX629"/>
  <c r="CG632"/>
  <c r="CG657"/>
  <c r="CH657"/>
  <c r="CF632"/>
  <c r="CF657" s="1"/>
  <c r="L252"/>
  <c r="AN207"/>
  <c r="M207"/>
  <c r="L250"/>
  <c r="DC254"/>
  <c r="DD213"/>
  <c r="BP477"/>
  <c r="AL519"/>
  <c r="CI489"/>
  <c r="EI489"/>
  <c r="CJ489"/>
  <c r="BO492"/>
  <c r="BN492"/>
  <c r="BS499"/>
  <c r="BR498"/>
  <c r="BQ498"/>
  <c r="DC500"/>
  <c r="DD500"/>
  <c r="DB525"/>
  <c r="CR501"/>
  <c r="BX533"/>
  <c r="BW533"/>
  <c r="BR536"/>
  <c r="BQ536"/>
  <c r="BX537"/>
  <c r="BW537"/>
  <c r="DB916"/>
  <c r="DB585"/>
  <c r="DC542"/>
  <c r="CG557"/>
  <c r="CF557"/>
  <c r="CM559"/>
  <c r="CL559"/>
  <c r="BU562"/>
  <c r="BT562"/>
  <c r="CA562"/>
  <c r="BZ562"/>
  <c r="CG562"/>
  <c r="CF562"/>
  <c r="CH903"/>
  <c r="BR566"/>
  <c r="BQ566"/>
  <c r="BQ591" s="1"/>
  <c r="CJ566"/>
  <c r="CI566"/>
  <c r="EI566"/>
  <c r="CM567"/>
  <c r="CM592" s="1"/>
  <c r="CN592"/>
  <c r="CL567"/>
  <c r="CL592" s="1"/>
  <c r="BN570"/>
  <c r="BO570"/>
  <c r="CJ572"/>
  <c r="CI572"/>
  <c r="EI572"/>
  <c r="AL602" i="3"/>
  <c r="EA601" i="1"/>
  <c r="AN651"/>
  <c r="CA626"/>
  <c r="CB656"/>
  <c r="BW627"/>
  <c r="BX627"/>
  <c r="BZ628"/>
  <c r="CA628"/>
  <c r="CC632"/>
  <c r="CC657" s="1"/>
  <c r="CD632"/>
  <c r="CM632"/>
  <c r="CL632"/>
  <c r="EI632" s="1"/>
  <c r="BX323"/>
  <c r="CR343"/>
  <c r="DP345"/>
  <c r="DP386" s="1"/>
  <c r="DO386"/>
  <c r="BX408"/>
  <c r="BW408"/>
  <c r="BR543"/>
  <c r="BR585"/>
  <c r="BS585"/>
  <c r="BW637"/>
  <c r="BX637"/>
  <c r="BW638"/>
  <c r="BX638"/>
  <c r="BN668"/>
  <c r="BO668"/>
  <c r="EE672"/>
  <c r="CL688"/>
  <c r="EI688" s="1"/>
  <c r="N667" i="3" s="1"/>
  <c r="CM688" i="1"/>
  <c r="CL689"/>
  <c r="CM689"/>
  <c r="CL692"/>
  <c r="EI692" s="1"/>
  <c r="CN722"/>
  <c r="CN720"/>
  <c r="CM692"/>
  <c r="BN694"/>
  <c r="BO694"/>
  <c r="BT694"/>
  <c r="BU694"/>
  <c r="CG694"/>
  <c r="CF694"/>
  <c r="EI694"/>
  <c r="BQ695"/>
  <c r="BR695"/>
  <c r="CI701"/>
  <c r="EI701"/>
  <c r="CJ701"/>
  <c r="BR704"/>
  <c r="BQ704"/>
  <c r="CD767"/>
  <c r="CC767"/>
  <c r="BW525"/>
  <c r="BX509"/>
  <c r="BW523"/>
  <c r="BT665"/>
  <c r="BU665"/>
  <c r="BQ678"/>
  <c r="BR678"/>
  <c r="CC678"/>
  <c r="CD678"/>
  <c r="CL679"/>
  <c r="EF679" s="1"/>
  <c r="CM679"/>
  <c r="BQ688"/>
  <c r="BR688"/>
  <c r="CG693"/>
  <c r="CG720"/>
  <c r="CF693"/>
  <c r="CF720"/>
  <c r="CH720"/>
  <c r="BW698"/>
  <c r="BX698"/>
  <c r="CI698"/>
  <c r="CJ698"/>
  <c r="BT700"/>
  <c r="BT724"/>
  <c r="BU700"/>
  <c r="BU724"/>
  <c r="BW701"/>
  <c r="BX701"/>
  <c r="CG701"/>
  <c r="CF701"/>
  <c r="BO736"/>
  <c r="BN736"/>
  <c r="DB912"/>
  <c r="DB320"/>
  <c r="BA741"/>
  <c r="BB741"/>
  <c r="BB716"/>
  <c r="AC676"/>
  <c r="BD676"/>
  <c r="DH676"/>
  <c r="DI676" s="1"/>
  <c r="DJ676" s="1"/>
  <c r="BD477"/>
  <c r="AC477"/>
  <c r="AB519"/>
  <c r="AD450"/>
  <c r="BF419"/>
  <c r="BH419"/>
  <c r="AF450"/>
  <c r="EE675"/>
  <c r="DJ675"/>
  <c r="DK675"/>
  <c r="DL675" s="1"/>
  <c r="DM675" s="1"/>
  <c r="EB675" s="1"/>
  <c r="EG675" s="1"/>
  <c r="BJ664"/>
  <c r="EE664" s="1"/>
  <c r="DN664"/>
  <c r="AI664"/>
  <c r="CR494"/>
  <c r="CQ522"/>
  <c r="CR560"/>
  <c r="CQ590"/>
  <c r="CQ588"/>
  <c r="CG642"/>
  <c r="CF655"/>
  <c r="AE403"/>
  <c r="BF403"/>
  <c r="BG601"/>
  <c r="DK601"/>
  <c r="AF601"/>
  <c r="CF450"/>
  <c r="CG419"/>
  <c r="BD223"/>
  <c r="BE209"/>
  <c r="BF209"/>
  <c r="BH910"/>
  <c r="BH189"/>
  <c r="AV221"/>
  <c r="T251"/>
  <c r="BI602"/>
  <c r="DM602" s="1"/>
  <c r="AH602"/>
  <c r="BJ468"/>
  <c r="DN468"/>
  <c r="AI468"/>
  <c r="AG450"/>
  <c r="BI419"/>
  <c r="BI450" s="1"/>
  <c r="DF435"/>
  <c r="DE460"/>
  <c r="BV78"/>
  <c r="CP254"/>
  <c r="DH610"/>
  <c r="BR257"/>
  <c r="BQ319"/>
  <c r="BU888"/>
  <c r="BT888"/>
  <c r="CJ885"/>
  <c r="CI885"/>
  <c r="EI885"/>
  <c r="N349" i="3" s="1"/>
  <c r="BR885" i="1"/>
  <c r="BR891"/>
  <c r="BQ885"/>
  <c r="BQ891"/>
  <c r="BS891"/>
  <c r="BT884"/>
  <c r="BT891" s="1"/>
  <c r="BU884"/>
  <c r="BU891" s="1"/>
  <c r="BV891"/>
  <c r="CF866"/>
  <c r="CG866"/>
  <c r="CH876"/>
  <c r="BU875"/>
  <c r="BV918"/>
  <c r="BT875"/>
  <c r="BV902"/>
  <c r="CN57"/>
  <c r="CL15"/>
  <c r="EF15" s="1"/>
  <c r="EF57" s="1"/>
  <c r="CM15"/>
  <c r="CM57" s="1"/>
  <c r="CL18"/>
  <c r="EF18" s="1"/>
  <c r="EM43" s="1"/>
  <c r="ER43" s="1"/>
  <c r="CM18"/>
  <c r="CC28"/>
  <c r="CD28"/>
  <c r="CG30"/>
  <c r="CF30"/>
  <c r="BP60"/>
  <c r="BO33"/>
  <c r="BO60"/>
  <c r="BN33"/>
  <c r="BN60"/>
  <c r="CL38"/>
  <c r="CM38"/>
  <c r="BQ40"/>
  <c r="BR40"/>
  <c r="CC43"/>
  <c r="CD43"/>
  <c r="BN44"/>
  <c r="BO44"/>
  <c r="BV47"/>
  <c r="BU61"/>
  <c r="CT74"/>
  <c r="BS74"/>
  <c r="BX77"/>
  <c r="BW77"/>
  <c r="CK82"/>
  <c r="CM858"/>
  <c r="EI858"/>
  <c r="BU858"/>
  <c r="BT858"/>
  <c r="CM854"/>
  <c r="BT854"/>
  <c r="BU854"/>
  <c r="BV860"/>
  <c r="BO873"/>
  <c r="BO900" s="1"/>
  <c r="BN873"/>
  <c r="BN900" s="1"/>
  <c r="BP900"/>
  <c r="BV901"/>
  <c r="BT874"/>
  <c r="BU874"/>
  <c r="BV917"/>
  <c r="BY902"/>
  <c r="BX875"/>
  <c r="BY918"/>
  <c r="BW875"/>
  <c r="BN18"/>
  <c r="BO18"/>
  <c r="BU27"/>
  <c r="BT27"/>
  <c r="CC29"/>
  <c r="CD29"/>
  <c r="CL30"/>
  <c r="CM30"/>
  <c r="BT32"/>
  <c r="BU32"/>
  <c r="BR34"/>
  <c r="BQ34"/>
  <c r="BO36"/>
  <c r="BN36"/>
  <c r="BT38"/>
  <c r="BT63" s="1"/>
  <c r="BU38"/>
  <c r="BU63" s="1"/>
  <c r="CI38"/>
  <c r="CJ38"/>
  <c r="EI38"/>
  <c r="BW41"/>
  <c r="BX41"/>
  <c r="CL41"/>
  <c r="CM41"/>
  <c r="BT42"/>
  <c r="BU42"/>
  <c r="CM42"/>
  <c r="CL42"/>
  <c r="CE48"/>
  <c r="CE61"/>
  <c r="CD61"/>
  <c r="CA94"/>
  <c r="BZ94"/>
  <c r="CA95"/>
  <c r="BZ95"/>
  <c r="CF98"/>
  <c r="CG98"/>
  <c r="CH128"/>
  <c r="BO103"/>
  <c r="BO128"/>
  <c r="BP128"/>
  <c r="BN103"/>
  <c r="BN128" s="1"/>
  <c r="CF103"/>
  <c r="CF128" s="1"/>
  <c r="CG103"/>
  <c r="CJ106"/>
  <c r="CI106"/>
  <c r="CM108"/>
  <c r="CL108"/>
  <c r="CM141"/>
  <c r="CL141"/>
  <c r="BX145"/>
  <c r="BW145"/>
  <c r="CM149"/>
  <c r="CL149"/>
  <c r="EF149" s="1"/>
  <c r="CF150"/>
  <c r="CG150"/>
  <c r="CA151"/>
  <c r="BZ151"/>
  <c r="BR159"/>
  <c r="BQ159"/>
  <c r="CC159"/>
  <c r="CD159"/>
  <c r="CM160"/>
  <c r="CL160"/>
  <c r="BZ161"/>
  <c r="CA161"/>
  <c r="BX162"/>
  <c r="BW162"/>
  <c r="CC163"/>
  <c r="CD163"/>
  <c r="BS192"/>
  <c r="BQ164"/>
  <c r="BR164"/>
  <c r="CM165"/>
  <c r="CL165"/>
  <c r="CL170"/>
  <c r="CM170"/>
  <c r="BU173"/>
  <c r="BT173"/>
  <c r="CC175"/>
  <c r="CD175"/>
  <c r="CG176"/>
  <c r="CF176"/>
  <c r="DO211"/>
  <c r="DN253"/>
  <c r="CF216"/>
  <c r="CG216"/>
  <c r="BO230"/>
  <c r="BN230"/>
  <c r="BQ232"/>
  <c r="BR232"/>
  <c r="BN233"/>
  <c r="BO233"/>
  <c r="BN236"/>
  <c r="BN260"/>
  <c r="BO236"/>
  <c r="CD238"/>
  <c r="CC238"/>
  <c r="BX240"/>
  <c r="BW240"/>
  <c r="BO241"/>
  <c r="BN241"/>
  <c r="CD242"/>
  <c r="CC242"/>
  <c r="Q71"/>
  <c r="P89"/>
  <c r="AR71"/>
  <c r="S85"/>
  <c r="AT85"/>
  <c r="BV85"/>
  <c r="R745"/>
  <c r="AT745" s="1"/>
  <c r="BR93"/>
  <c r="BQ93"/>
  <c r="BU94"/>
  <c r="BT94"/>
  <c r="CG96"/>
  <c r="CF96"/>
  <c r="CJ97"/>
  <c r="CI97"/>
  <c r="EI97"/>
  <c r="EM97" s="1"/>
  <c r="ER97" s="1"/>
  <c r="BR100"/>
  <c r="BQ100"/>
  <c r="BR104"/>
  <c r="BR129"/>
  <c r="BS129"/>
  <c r="BQ104"/>
  <c r="BQ129"/>
  <c r="BT105"/>
  <c r="BT130"/>
  <c r="BU105"/>
  <c r="BU130"/>
  <c r="BV130"/>
  <c r="BO106"/>
  <c r="BN106"/>
  <c r="CC106"/>
  <c r="CC130" s="1"/>
  <c r="CD106"/>
  <c r="CD130" s="1"/>
  <c r="CE130"/>
  <c r="BX107"/>
  <c r="BW107"/>
  <c r="BO108"/>
  <c r="BN108"/>
  <c r="CA108"/>
  <c r="BZ108"/>
  <c r="BT109"/>
  <c r="BU109"/>
  <c r="CY124"/>
  <c r="BP37"/>
  <c r="CJ889"/>
  <c r="CI889"/>
  <c r="EI889"/>
  <c r="N613" i="3" s="1"/>
  <c r="BO888" i="1"/>
  <c r="BN888"/>
  <c r="BX885"/>
  <c r="BX891"/>
  <c r="BW885"/>
  <c r="BW891"/>
  <c r="BY891"/>
  <c r="CM884"/>
  <c r="CL884"/>
  <c r="BN884"/>
  <c r="BN891" s="1"/>
  <c r="BO884"/>
  <c r="BP891"/>
  <c r="CJ866"/>
  <c r="CI866"/>
  <c r="CF867"/>
  <c r="CG867"/>
  <c r="BV916"/>
  <c r="BV899"/>
  <c r="BV915"/>
  <c r="BT872"/>
  <c r="BU872"/>
  <c r="BV876"/>
  <c r="BV903"/>
  <c r="CL17"/>
  <c r="CM17"/>
  <c r="BR28"/>
  <c r="BQ28"/>
  <c r="CI28"/>
  <c r="CJ28"/>
  <c r="BW31"/>
  <c r="BX31"/>
  <c r="CJ31"/>
  <c r="CI31"/>
  <c r="BS64"/>
  <c r="BQ39"/>
  <c r="BQ64" s="1"/>
  <c r="BR39"/>
  <c r="BR64" s="1"/>
  <c r="CF41"/>
  <c r="CG41"/>
  <c r="BR44"/>
  <c r="BQ44"/>
  <c r="CT70"/>
  <c r="BS70"/>
  <c r="CP74"/>
  <c r="BP74"/>
  <c r="DD75"/>
  <c r="DE75" s="1"/>
  <c r="DF75" s="1"/>
  <c r="DG75" s="1"/>
  <c r="DH75" s="1"/>
  <c r="DI75" s="1"/>
  <c r="DC119"/>
  <c r="AK80" i="3"/>
  <c r="CM80" i="1"/>
  <c r="CL80"/>
  <c r="CL81"/>
  <c r="CM81"/>
  <c r="CN123"/>
  <c r="CL83"/>
  <c r="CM83"/>
  <c r="BQ85"/>
  <c r="BR85"/>
  <c r="CL85"/>
  <c r="EF85" s="1"/>
  <c r="CM85"/>
  <c r="CP120"/>
  <c r="CQ89"/>
  <c r="CR89"/>
  <c r="CA858"/>
  <c r="BZ858"/>
  <c r="BO858"/>
  <c r="BN858"/>
  <c r="BZ854"/>
  <c r="CB860"/>
  <c r="CA854"/>
  <c r="BN854"/>
  <c r="BO854"/>
  <c r="BP860"/>
  <c r="DA896"/>
  <c r="DA913"/>
  <c r="DA912"/>
  <c r="DA876"/>
  <c r="DA903"/>
  <c r="BO874"/>
  <c r="BP901"/>
  <c r="BP917"/>
  <c r="BN874"/>
  <c r="BP918"/>
  <c r="BY901"/>
  <c r="BY917"/>
  <c r="BW874"/>
  <c r="BX874"/>
  <c r="CL16"/>
  <c r="CM16"/>
  <c r="BX29"/>
  <c r="BW29"/>
  <c r="CJ30"/>
  <c r="CI30"/>
  <c r="EI30"/>
  <c r="CG31"/>
  <c r="EI31"/>
  <c r="N9" i="3" s="1"/>
  <c r="CF31" i="1"/>
  <c r="CL32"/>
  <c r="CM32"/>
  <c r="BU33"/>
  <c r="BT33"/>
  <c r="CA35"/>
  <c r="BZ35"/>
  <c r="BN38"/>
  <c r="BN63" s="1"/>
  <c r="BO38"/>
  <c r="BO63" s="1"/>
  <c r="BP63"/>
  <c r="BZ38"/>
  <c r="BZ63"/>
  <c r="CA38"/>
  <c r="CA63"/>
  <c r="CB63"/>
  <c r="BQ41"/>
  <c r="BR41"/>
  <c r="CI41"/>
  <c r="CJ41"/>
  <c r="EI41"/>
  <c r="BN42"/>
  <c r="BO42"/>
  <c r="BZ42"/>
  <c r="CA42"/>
  <c r="BW43"/>
  <c r="BX43"/>
  <c r="BY47"/>
  <c r="BX63"/>
  <c r="BX61"/>
  <c r="CS77"/>
  <c r="CR78"/>
  <c r="BS88"/>
  <c r="BS122"/>
  <c r="BR122"/>
  <c r="BO94"/>
  <c r="BN94"/>
  <c r="BO95"/>
  <c r="BN95"/>
  <c r="BU98"/>
  <c r="BV128"/>
  <c r="BV126"/>
  <c r="BT98"/>
  <c r="BO99"/>
  <c r="BO126" s="1"/>
  <c r="BN99"/>
  <c r="BN126" s="1"/>
  <c r="BP126"/>
  <c r="BU103"/>
  <c r="BT103"/>
  <c r="CI105"/>
  <c r="CJ105"/>
  <c r="CJ130"/>
  <c r="CK130"/>
  <c r="CG107"/>
  <c r="CF107"/>
  <c r="CL110"/>
  <c r="CM110"/>
  <c r="AN188"/>
  <c r="CA150"/>
  <c r="BZ150"/>
  <c r="CM150"/>
  <c r="CL150"/>
  <c r="BU159"/>
  <c r="BT159"/>
  <c r="BO160"/>
  <c r="BN160"/>
  <c r="BN161"/>
  <c r="BO161"/>
  <c r="BO162"/>
  <c r="BN162"/>
  <c r="CA162"/>
  <c r="BZ162"/>
  <c r="CM162"/>
  <c r="CL162"/>
  <c r="EI162" s="1"/>
  <c r="BQ163"/>
  <c r="BR163"/>
  <c r="CJ163"/>
  <c r="CI163"/>
  <c r="CC164"/>
  <c r="CD164"/>
  <c r="CE194"/>
  <c r="CE192"/>
  <c r="BQ171"/>
  <c r="BR171"/>
  <c r="BS196"/>
  <c r="CI174"/>
  <c r="EI174"/>
  <c r="CJ174"/>
  <c r="CD176"/>
  <c r="CC176"/>
  <c r="BU209"/>
  <c r="BT209"/>
  <c r="BV210"/>
  <c r="BN217"/>
  <c r="BO217"/>
  <c r="BR227"/>
  <c r="BQ227"/>
  <c r="CA230"/>
  <c r="BZ230"/>
  <c r="CC232"/>
  <c r="CD232"/>
  <c r="CA235"/>
  <c r="BZ235"/>
  <c r="BT236"/>
  <c r="BU236"/>
  <c r="BW238"/>
  <c r="BX238"/>
  <c r="CI238"/>
  <c r="CJ238"/>
  <c r="EI238"/>
  <c r="CM240"/>
  <c r="CL240"/>
  <c r="BU241"/>
  <c r="BT241"/>
  <c r="CL242"/>
  <c r="EI242" s="1"/>
  <c r="CM242"/>
  <c r="AQ89"/>
  <c r="AQ120" s="1"/>
  <c r="O120"/>
  <c r="BN78"/>
  <c r="BO78"/>
  <c r="CM93"/>
  <c r="CL93"/>
  <c r="EI93" s="1"/>
  <c r="CM95"/>
  <c r="CL95"/>
  <c r="EI95" s="1"/>
  <c r="CC96"/>
  <c r="CD96"/>
  <c r="BX97"/>
  <c r="BW97"/>
  <c r="BU99"/>
  <c r="BT99"/>
  <c r="BX100"/>
  <c r="BW100"/>
  <c r="BO105"/>
  <c r="BO130"/>
  <c r="BN105"/>
  <c r="BN130"/>
  <c r="BP130"/>
  <c r="CM105"/>
  <c r="CL105"/>
  <c r="EI105" s="1"/>
  <c r="CN130"/>
  <c r="CA106"/>
  <c r="CA130"/>
  <c r="BZ106"/>
  <c r="BZ130"/>
  <c r="CB130"/>
  <c r="CM106"/>
  <c r="CL106"/>
  <c r="CL130" s="1"/>
  <c r="CM107"/>
  <c r="CL107"/>
  <c r="BU108"/>
  <c r="BT108"/>
  <c r="BO109"/>
  <c r="BN109"/>
  <c r="BR342"/>
  <c r="BQ342"/>
  <c r="BY78"/>
  <c r="BP145"/>
  <c r="CL109"/>
  <c r="EI109" s="1"/>
  <c r="CM109"/>
  <c r="BT110"/>
  <c r="BU110"/>
  <c r="BP113"/>
  <c r="BO127"/>
  <c r="BO129"/>
  <c r="CN187"/>
  <c r="CM187"/>
  <c r="EF144"/>
  <c r="CL187"/>
  <c r="BT161"/>
  <c r="BU161"/>
  <c r="BN165"/>
  <c r="BN192"/>
  <c r="BP192"/>
  <c r="BO165"/>
  <c r="BO192" s="1"/>
  <c r="BU170"/>
  <c r="BU195" s="1"/>
  <c r="BT170"/>
  <c r="BT195" s="1"/>
  <c r="CJ171"/>
  <c r="CI171"/>
  <c r="EI171"/>
  <c r="CK196"/>
  <c r="BW172"/>
  <c r="BW196" s="1"/>
  <c r="BY196"/>
  <c r="BX172"/>
  <c r="BX196"/>
  <c r="CJ173"/>
  <c r="CI173"/>
  <c r="BW174"/>
  <c r="BX174"/>
  <c r="BX176"/>
  <c r="BW176"/>
  <c r="BO225"/>
  <c r="BN225"/>
  <c r="BO226"/>
  <c r="BN226"/>
  <c r="BO228"/>
  <c r="BN228"/>
  <c r="CA228"/>
  <c r="BZ228"/>
  <c r="CM230"/>
  <c r="CL230"/>
  <c r="EI230" s="1"/>
  <c r="CF232"/>
  <c r="CG232"/>
  <c r="CH898"/>
  <c r="BZ236"/>
  <c r="CA236"/>
  <c r="BX239"/>
  <c r="BW239"/>
  <c r="CF240"/>
  <c r="CG240"/>
  <c r="BU242"/>
  <c r="BT242"/>
  <c r="EA274"/>
  <c r="CG291"/>
  <c r="CF291"/>
  <c r="CC293"/>
  <c r="CD293"/>
  <c r="CD294"/>
  <c r="CC294"/>
  <c r="CC295"/>
  <c r="CD295"/>
  <c r="BU296"/>
  <c r="BV325"/>
  <c r="BT296"/>
  <c r="BV323"/>
  <c r="BZ297"/>
  <c r="CA297"/>
  <c r="BW299"/>
  <c r="BX299"/>
  <c r="BO301"/>
  <c r="BN301"/>
  <c r="CL301"/>
  <c r="CM301"/>
  <c r="CD305"/>
  <c r="CC305"/>
  <c r="BX307"/>
  <c r="BW307"/>
  <c r="BX308"/>
  <c r="BW308"/>
  <c r="CA311"/>
  <c r="BZ324"/>
  <c r="BO334"/>
  <c r="BN334"/>
  <c r="BR336"/>
  <c r="BQ336"/>
  <c r="CA336"/>
  <c r="BZ336"/>
  <c r="CA337"/>
  <c r="BZ337"/>
  <c r="CR339"/>
  <c r="CQ382"/>
  <c r="BO340"/>
  <c r="BN340"/>
  <c r="BX341"/>
  <c r="BW341"/>
  <c r="BO344"/>
  <c r="BN344"/>
  <c r="BX346"/>
  <c r="BW346"/>
  <c r="BU348"/>
  <c r="BT348"/>
  <c r="BQ357"/>
  <c r="BR357"/>
  <c r="BX359"/>
  <c r="BW359"/>
  <c r="BQ362"/>
  <c r="BR362"/>
  <c r="BN363"/>
  <c r="BN389" s="1"/>
  <c r="BP389"/>
  <c r="BO363"/>
  <c r="BO389"/>
  <c r="CG370"/>
  <c r="CG393"/>
  <c r="CF370"/>
  <c r="CF393"/>
  <c r="CH393"/>
  <c r="BU373"/>
  <c r="BT373"/>
  <c r="BQ400"/>
  <c r="BR400"/>
  <c r="BQ404"/>
  <c r="BR404"/>
  <c r="BO408"/>
  <c r="BO451" s="1"/>
  <c r="BN408"/>
  <c r="BN451" s="1"/>
  <c r="BP451"/>
  <c r="BQ410"/>
  <c r="BR410"/>
  <c r="CD423"/>
  <c r="CC423"/>
  <c r="BZ424"/>
  <c r="CA424"/>
  <c r="CC425"/>
  <c r="CD425"/>
  <c r="BN427"/>
  <c r="BO427"/>
  <c r="BT428"/>
  <c r="BV456"/>
  <c r="BU428"/>
  <c r="BS460"/>
  <c r="BQ435"/>
  <c r="BQ460"/>
  <c r="BR435"/>
  <c r="BR460"/>
  <c r="CI435"/>
  <c r="CJ435"/>
  <c r="EI435"/>
  <c r="CD437"/>
  <c r="CC437"/>
  <c r="BT438"/>
  <c r="BU438"/>
  <c r="CF440"/>
  <c r="CG440"/>
  <c r="BT466"/>
  <c r="BU466"/>
  <c r="BU467"/>
  <c r="BT467"/>
  <c r="BN469"/>
  <c r="BO469"/>
  <c r="BZ469"/>
  <c r="CA469"/>
  <c r="BR470"/>
  <c r="BQ470"/>
  <c r="BP515"/>
  <c r="BO472"/>
  <c r="BN472"/>
  <c r="BN475"/>
  <c r="BO475"/>
  <c r="BN476"/>
  <c r="BO476"/>
  <c r="BX479"/>
  <c r="BW479"/>
  <c r="CI493"/>
  <c r="CJ493"/>
  <c r="BT497"/>
  <c r="BU497"/>
  <c r="CD506"/>
  <c r="CC506"/>
  <c r="BU533"/>
  <c r="BT533"/>
  <c r="BF156"/>
  <c r="BG150"/>
  <c r="EE150"/>
  <c r="EL175" s="1"/>
  <c r="AE156"/>
  <c r="BH150"/>
  <c r="CL281"/>
  <c r="CM281"/>
  <c r="BX291"/>
  <c r="BW291"/>
  <c r="CM291"/>
  <c r="CL291"/>
  <c r="CJ294"/>
  <c r="CI294"/>
  <c r="EI294"/>
  <c r="CB899"/>
  <c r="BZ298"/>
  <c r="CA298"/>
  <c r="CI303"/>
  <c r="CI327" s="1"/>
  <c r="CK327"/>
  <c r="CJ303"/>
  <c r="CJ327"/>
  <c r="BO303"/>
  <c r="BP327"/>
  <c r="BN303"/>
  <c r="BT304"/>
  <c r="BU304"/>
  <c r="CE327"/>
  <c r="CD304"/>
  <c r="CD327"/>
  <c r="CC304"/>
  <c r="CC327"/>
  <c r="BU305"/>
  <c r="BT305"/>
  <c r="CI305"/>
  <c r="CJ305"/>
  <c r="BX306"/>
  <c r="BW306"/>
  <c r="BU307"/>
  <c r="BT307"/>
  <c r="CC307"/>
  <c r="CD307"/>
  <c r="CA308"/>
  <c r="BZ308"/>
  <c r="CI308"/>
  <c r="CJ308"/>
  <c r="CS312"/>
  <c r="BX334"/>
  <c r="BW334"/>
  <c r="BX336"/>
  <c r="BW336"/>
  <c r="BQ338"/>
  <c r="BR338"/>
  <c r="BT343"/>
  <c r="BT385"/>
  <c r="BU343"/>
  <c r="BU385"/>
  <c r="BW348"/>
  <c r="BX348"/>
  <c r="CC348"/>
  <c r="CD348"/>
  <c r="CL348"/>
  <c r="EF348" s="1"/>
  <c r="EM373" s="1"/>
  <c r="ER373" s="1"/>
  <c r="CM348"/>
  <c r="BR349"/>
  <c r="BQ349"/>
  <c r="CM349"/>
  <c r="CL349"/>
  <c r="EF349" s="1"/>
  <c r="BO358"/>
  <c r="BN358"/>
  <c r="CA358"/>
  <c r="BZ358"/>
  <c r="BR359"/>
  <c r="BQ359"/>
  <c r="CM359"/>
  <c r="CL359"/>
  <c r="BU361"/>
  <c r="BT361"/>
  <c r="BU364"/>
  <c r="BT364"/>
  <c r="BZ365"/>
  <c r="CA365"/>
  <c r="CI365"/>
  <c r="CJ365"/>
  <c r="CI368"/>
  <c r="CJ368"/>
  <c r="BU369"/>
  <c r="BU393"/>
  <c r="BV393"/>
  <c r="BT369"/>
  <c r="BT393" s="1"/>
  <c r="CC370"/>
  <c r="CC393" s="1"/>
  <c r="CD370"/>
  <c r="CD393" s="1"/>
  <c r="CE393"/>
  <c r="BR371"/>
  <c r="BQ371"/>
  <c r="CC371"/>
  <c r="CD371"/>
  <c r="CD374"/>
  <c r="CC374"/>
  <c r="BQ401"/>
  <c r="BR401"/>
  <c r="CA402"/>
  <c r="BZ402"/>
  <c r="BU403"/>
  <c r="BT403"/>
  <c r="BN409"/>
  <c r="BN452"/>
  <c r="BO409"/>
  <c r="AP453"/>
  <c r="BR412"/>
  <c r="BQ412"/>
  <c r="BO414"/>
  <c r="BN414"/>
  <c r="CA414"/>
  <c r="BZ414"/>
  <c r="BO415"/>
  <c r="BN415"/>
  <c r="BT424"/>
  <c r="BU424"/>
  <c r="CL425"/>
  <c r="EI425" s="1"/>
  <c r="CM425"/>
  <c r="CL427"/>
  <c r="EI427" s="1"/>
  <c r="N405" i="3" s="1"/>
  <c r="CM427" i="1"/>
  <c r="BY456"/>
  <c r="BW429"/>
  <c r="BW456" s="1"/>
  <c r="BX429"/>
  <c r="BX456" s="1"/>
  <c r="BO432"/>
  <c r="BN432"/>
  <c r="BP433"/>
  <c r="BU436"/>
  <c r="BU460"/>
  <c r="BT436"/>
  <c r="BT460"/>
  <c r="BV460"/>
  <c r="BW437"/>
  <c r="BX437"/>
  <c r="BZ438"/>
  <c r="CA438"/>
  <c r="BZ439"/>
  <c r="CA439"/>
  <c r="CC440"/>
  <c r="CD440"/>
  <c r="BQ467"/>
  <c r="BR467"/>
  <c r="BU480"/>
  <c r="BT480"/>
  <c r="CL480"/>
  <c r="CM480"/>
  <c r="BX522"/>
  <c r="BQ500"/>
  <c r="BQ525"/>
  <c r="BR500"/>
  <c r="BO532"/>
  <c r="BN532"/>
  <c r="CA532"/>
  <c r="BZ532"/>
  <c r="BO533"/>
  <c r="BN533"/>
  <c r="CA113"/>
  <c r="BZ127"/>
  <c r="BV179"/>
  <c r="BU193"/>
  <c r="BS353"/>
  <c r="BS383" s="1"/>
  <c r="BR383"/>
  <c r="AN583"/>
  <c r="BP539"/>
  <c r="BP540" s="1"/>
  <c r="AN553"/>
  <c r="BP553" s="1"/>
  <c r="CG558"/>
  <c r="CF558"/>
  <c r="CM558"/>
  <c r="CL558"/>
  <c r="EI558" s="1"/>
  <c r="CI563"/>
  <c r="CJ563"/>
  <c r="CI567"/>
  <c r="EI567"/>
  <c r="CJ567"/>
  <c r="BT568"/>
  <c r="BU568"/>
  <c r="BV592"/>
  <c r="CR568"/>
  <c r="CQ592"/>
  <c r="BR570"/>
  <c r="BQ570"/>
  <c r="CF570"/>
  <c r="CG570"/>
  <c r="BN571"/>
  <c r="BO571"/>
  <c r="BW572"/>
  <c r="BX572"/>
  <c r="CL631"/>
  <c r="EI631" s="1"/>
  <c r="CM631"/>
  <c r="CB904"/>
  <c r="CB658"/>
  <c r="BZ633"/>
  <c r="BZ658"/>
  <c r="CA633"/>
  <c r="CA658"/>
  <c r="CI638"/>
  <c r="CJ638"/>
  <c r="EI638"/>
  <c r="BN665"/>
  <c r="BO665"/>
  <c r="BZ665"/>
  <c r="CA665"/>
  <c r="BO762"/>
  <c r="BN762"/>
  <c r="BQ769"/>
  <c r="BR769"/>
  <c r="BX433"/>
  <c r="BX458" s="1"/>
  <c r="BY458"/>
  <c r="BW433"/>
  <c r="BW458"/>
  <c r="BW557"/>
  <c r="BX557"/>
  <c r="CJ561"/>
  <c r="CI561"/>
  <c r="EI561"/>
  <c r="BN565"/>
  <c r="BO565"/>
  <c r="BZ569"/>
  <c r="CA569"/>
  <c r="CD570"/>
  <c r="CC570"/>
  <c r="BX625"/>
  <c r="BW625"/>
  <c r="CM625"/>
  <c r="CL625"/>
  <c r="CI636"/>
  <c r="CJ636"/>
  <c r="BQ669"/>
  <c r="BR669"/>
  <c r="BT670"/>
  <c r="BT713" s="1"/>
  <c r="BU670"/>
  <c r="BU713" s="1"/>
  <c r="DB717"/>
  <c r="DB918"/>
  <c r="DC674"/>
  <c r="AN717"/>
  <c r="CR682"/>
  <c r="CQ716"/>
  <c r="DC683"/>
  <c r="DB714"/>
  <c r="CJ689"/>
  <c r="CI689"/>
  <c r="EI689"/>
  <c r="CJ700"/>
  <c r="CI700"/>
  <c r="CI724" s="1"/>
  <c r="DC697"/>
  <c r="DC722" s="1"/>
  <c r="DD709"/>
  <c r="BQ734"/>
  <c r="BR734"/>
  <c r="DP736"/>
  <c r="BL779"/>
  <c r="CS761"/>
  <c r="CS787" s="1"/>
  <c r="BQ762"/>
  <c r="BR762"/>
  <c r="CH765"/>
  <c r="BU766"/>
  <c r="BT766"/>
  <c r="BX769"/>
  <c r="BW769"/>
  <c r="DD775"/>
  <c r="DC763"/>
  <c r="BO353"/>
  <c r="BU353"/>
  <c r="BT383"/>
  <c r="CA353"/>
  <c r="BZ383"/>
  <c r="BJ221"/>
  <c r="EE221" s="1"/>
  <c r="AH251"/>
  <c r="EF613"/>
  <c r="EM638" s="1"/>
  <c r="CF613"/>
  <c r="CG613"/>
  <c r="BX773"/>
  <c r="BW787"/>
  <c r="BO761"/>
  <c r="BN761"/>
  <c r="CE591"/>
  <c r="DB582"/>
  <c r="DC551"/>
  <c r="AN649"/>
  <c r="AN619"/>
  <c r="CC81"/>
  <c r="CC123"/>
  <c r="CD81"/>
  <c r="CD123"/>
  <c r="CE123"/>
  <c r="BC741"/>
  <c r="CT223"/>
  <c r="BW217"/>
  <c r="BX217"/>
  <c r="BG338"/>
  <c r="DK338"/>
  <c r="AF338"/>
  <c r="CJ551"/>
  <c r="CI582"/>
  <c r="DF459"/>
  <c r="DG434"/>
  <c r="BY421"/>
  <c r="CQ515"/>
  <c r="CW787"/>
  <c r="CB755"/>
  <c r="BY757"/>
  <c r="BS763"/>
  <c r="CQ788"/>
  <c r="BP755"/>
  <c r="BZ109"/>
  <c r="CA109"/>
  <c r="BN110"/>
  <c r="BO110"/>
  <c r="CA110"/>
  <c r="BZ110"/>
  <c r="CM142"/>
  <c r="CM185" s="1"/>
  <c r="CL142"/>
  <c r="CL185" s="1"/>
  <c r="BX160"/>
  <c r="BW160"/>
  <c r="CJ167"/>
  <c r="CI167"/>
  <c r="CI170"/>
  <c r="EI170"/>
  <c r="CJ170"/>
  <c r="BQ172"/>
  <c r="BR172"/>
  <c r="CJ172"/>
  <c r="CI172"/>
  <c r="EI172"/>
  <c r="BQ174"/>
  <c r="BR174"/>
  <c r="CC174"/>
  <c r="CD174"/>
  <c r="CJ176"/>
  <c r="CI176"/>
  <c r="BX227"/>
  <c r="BW227"/>
  <c r="BU228"/>
  <c r="BT228"/>
  <c r="BR229"/>
  <c r="BQ229"/>
  <c r="BW232"/>
  <c r="BX232"/>
  <c r="BT233"/>
  <c r="BU233"/>
  <c r="CL236"/>
  <c r="CM236"/>
  <c r="CI239"/>
  <c r="EI239"/>
  <c r="CJ239"/>
  <c r="CD241"/>
  <c r="CC241"/>
  <c r="CS49"/>
  <c r="CR37"/>
  <c r="BO274"/>
  <c r="BN274"/>
  <c r="BQ282"/>
  <c r="BR282"/>
  <c r="BU293"/>
  <c r="BT293"/>
  <c r="CJ293"/>
  <c r="CI293"/>
  <c r="BU295"/>
  <c r="BT295"/>
  <c r="BO296"/>
  <c r="BP325"/>
  <c r="BN296"/>
  <c r="BP323"/>
  <c r="CB325"/>
  <c r="CB323"/>
  <c r="BZ296"/>
  <c r="CA296"/>
  <c r="CG299"/>
  <c r="CF299"/>
  <c r="BU301"/>
  <c r="BT301"/>
  <c r="CF303"/>
  <c r="CF327" s="1"/>
  <c r="CG303"/>
  <c r="CG327" s="1"/>
  <c r="EI303"/>
  <c r="CH327"/>
  <c r="CM305"/>
  <c r="CL305"/>
  <c r="EI305" s="1"/>
  <c r="CM307"/>
  <c r="CL307"/>
  <c r="EI307" s="1"/>
  <c r="CM308"/>
  <c r="CL308"/>
  <c r="EI308" s="1"/>
  <c r="DC311"/>
  <c r="AJ279" i="3"/>
  <c r="AJ277"/>
  <c r="DB326" i="1"/>
  <c r="CA334"/>
  <c r="BZ334"/>
  <c r="BO336"/>
  <c r="BN336"/>
  <c r="BU336"/>
  <c r="BT336"/>
  <c r="BO337"/>
  <c r="BN337"/>
  <c r="DP339"/>
  <c r="DP382" s="1"/>
  <c r="DB340"/>
  <c r="DB382"/>
  <c r="AX382"/>
  <c r="BR341"/>
  <c r="BQ341"/>
  <c r="CR341"/>
  <c r="CQ342"/>
  <c r="CQ384"/>
  <c r="BX343"/>
  <c r="BX385"/>
  <c r="BW343"/>
  <c r="BW385"/>
  <c r="BU344"/>
  <c r="BT344"/>
  <c r="AV386"/>
  <c r="BY345"/>
  <c r="CC357"/>
  <c r="CD357"/>
  <c r="CM360"/>
  <c r="CL360"/>
  <c r="CJ361"/>
  <c r="CI361"/>
  <c r="CD362"/>
  <c r="CD391"/>
  <c r="CE391"/>
  <c r="CC362"/>
  <c r="CC391" s="1"/>
  <c r="BP391"/>
  <c r="BN367"/>
  <c r="BN391"/>
  <c r="BO367"/>
  <c r="BO391"/>
  <c r="BU368"/>
  <c r="BT368"/>
  <c r="BU372"/>
  <c r="BT372"/>
  <c r="BX402"/>
  <c r="BW402"/>
  <c r="BT405"/>
  <c r="BT449"/>
  <c r="BV449"/>
  <c r="BU405"/>
  <c r="BU449" s="1"/>
  <c r="BT408"/>
  <c r="BT451" s="1"/>
  <c r="BV451"/>
  <c r="BU408"/>
  <c r="BU451"/>
  <c r="BX412"/>
  <c r="BW412"/>
  <c r="BZ423"/>
  <c r="CA423"/>
  <c r="BN424"/>
  <c r="BO424"/>
  <c r="BQ425"/>
  <c r="BR425"/>
  <c r="BQ426"/>
  <c r="BR426"/>
  <c r="BZ427"/>
  <c r="CA427"/>
  <c r="CE456"/>
  <c r="CD429"/>
  <c r="CD456" s="1"/>
  <c r="CC429"/>
  <c r="CC456" s="1"/>
  <c r="BY460"/>
  <c r="BW435"/>
  <c r="BW460"/>
  <c r="BX435"/>
  <c r="BX460"/>
  <c r="BQ437"/>
  <c r="BR437"/>
  <c r="CI437"/>
  <c r="CJ437"/>
  <c r="BT440"/>
  <c r="BU440"/>
  <c r="BN466"/>
  <c r="BO466"/>
  <c r="BZ466"/>
  <c r="CA466"/>
  <c r="BX468"/>
  <c r="BW468"/>
  <c r="BT469"/>
  <c r="BU469"/>
  <c r="BX469"/>
  <c r="BW469"/>
  <c r="BX470"/>
  <c r="BW470"/>
  <c r="BU475"/>
  <c r="BT475"/>
  <c r="BN481"/>
  <c r="BO481"/>
  <c r="BR493"/>
  <c r="BQ493"/>
  <c r="BO495"/>
  <c r="BN495"/>
  <c r="BN499"/>
  <c r="BO499"/>
  <c r="BR535"/>
  <c r="BQ535"/>
  <c r="BQ186"/>
  <c r="CD282"/>
  <c r="CC282"/>
  <c r="BR291"/>
  <c r="BQ291"/>
  <c r="CD291"/>
  <c r="CC291"/>
  <c r="CF292"/>
  <c r="CG292"/>
  <c r="CM295"/>
  <c r="CL295"/>
  <c r="BX303"/>
  <c r="BW303"/>
  <c r="BN304"/>
  <c r="BO304"/>
  <c r="CA304"/>
  <c r="CA327" s="1"/>
  <c r="BZ304"/>
  <c r="BZ327" s="1"/>
  <c r="CB327"/>
  <c r="CM304"/>
  <c r="CL304"/>
  <c r="EI304" s="1"/>
  <c r="BR306"/>
  <c r="BQ306"/>
  <c r="CC306"/>
  <c r="CD306"/>
  <c r="CA307"/>
  <c r="BZ307"/>
  <c r="BO308"/>
  <c r="BN308"/>
  <c r="CD308"/>
  <c r="CC308"/>
  <c r="BR335"/>
  <c r="BQ335"/>
  <c r="BW337"/>
  <c r="BX337"/>
  <c r="BW340"/>
  <c r="BW382"/>
  <c r="BX340"/>
  <c r="BX382"/>
  <c r="BY382"/>
  <c r="BT346"/>
  <c r="BU346"/>
  <c r="BQ348"/>
  <c r="BR348"/>
  <c r="BZ348"/>
  <c r="CA348"/>
  <c r="BT349"/>
  <c r="BU349"/>
  <c r="BW357"/>
  <c r="BX357"/>
  <c r="BX358"/>
  <c r="BW358"/>
  <c r="CD358"/>
  <c r="CC358"/>
  <c r="CJ359"/>
  <c r="CI359"/>
  <c r="EI359"/>
  <c r="BR361"/>
  <c r="BQ361"/>
  <c r="BX361"/>
  <c r="BW361"/>
  <c r="BQ364"/>
  <c r="BR364"/>
  <c r="BW364"/>
  <c r="BX364"/>
  <c r="CD365"/>
  <c r="CC365"/>
  <c r="BO369"/>
  <c r="BO393"/>
  <c r="BP393"/>
  <c r="BN369"/>
  <c r="BN393" s="1"/>
  <c r="BS393"/>
  <c r="BQ370"/>
  <c r="BQ393"/>
  <c r="BR370"/>
  <c r="BR393"/>
  <c r="CL370"/>
  <c r="CL393" s="1"/>
  <c r="CM370"/>
  <c r="CM393" s="1"/>
  <c r="BX371"/>
  <c r="BW371"/>
  <c r="BW374"/>
  <c r="BX374"/>
  <c r="CI374"/>
  <c r="EI374"/>
  <c r="CJ374"/>
  <c r="CQ367"/>
  <c r="CQ391" s="1"/>
  <c r="CR379"/>
  <c r="BW401"/>
  <c r="BX401"/>
  <c r="BO403"/>
  <c r="BN403"/>
  <c r="CA403"/>
  <c r="BZ403"/>
  <c r="BU409"/>
  <c r="BU452"/>
  <c r="BT409"/>
  <c r="BT452"/>
  <c r="BV452"/>
  <c r="BU413"/>
  <c r="BT413"/>
  <c r="BU414"/>
  <c r="BT414"/>
  <c r="EE414"/>
  <c r="EL439" s="1"/>
  <c r="CH414"/>
  <c r="BY418"/>
  <c r="BX452"/>
  <c r="BX450"/>
  <c r="CG425"/>
  <c r="CF425"/>
  <c r="CD426"/>
  <c r="CC426"/>
  <c r="BU432"/>
  <c r="BV433"/>
  <c r="BT432"/>
  <c r="CE460"/>
  <c r="CD436"/>
  <c r="CD460"/>
  <c r="CC436"/>
  <c r="CC460"/>
  <c r="BN438"/>
  <c r="BO438"/>
  <c r="BT468"/>
  <c r="BU468"/>
  <c r="AR519"/>
  <c r="BV477"/>
  <c r="DP477"/>
  <c r="CG480"/>
  <c r="EF480"/>
  <c r="CF480"/>
  <c r="BO494"/>
  <c r="BN494"/>
  <c r="BP524"/>
  <c r="BP522"/>
  <c r="BT498"/>
  <c r="BU498"/>
  <c r="BR501"/>
  <c r="BR526" s="1"/>
  <c r="BQ501"/>
  <c r="BQ526" s="1"/>
  <c r="BS526"/>
  <c r="BU532"/>
  <c r="BT532"/>
  <c r="CA533"/>
  <c r="BZ533"/>
  <c r="BX536"/>
  <c r="BW536"/>
  <c r="DC113"/>
  <c r="DB129"/>
  <c r="AJ81" i="3"/>
  <c r="AJ79"/>
  <c r="AM213" i="1"/>
  <c r="K254"/>
  <c r="AN212"/>
  <c r="BP212"/>
  <c r="L213"/>
  <c r="M212"/>
  <c r="CR539"/>
  <c r="CQ540"/>
  <c r="CM556"/>
  <c r="CL556"/>
  <c r="CJ557"/>
  <c r="CI557"/>
  <c r="EI557"/>
  <c r="CC558"/>
  <c r="CD558"/>
  <c r="CJ558"/>
  <c r="CI558"/>
  <c r="BR559"/>
  <c r="BQ559"/>
  <c r="CD559"/>
  <c r="CC559"/>
  <c r="CJ559"/>
  <c r="CI559"/>
  <c r="EI559"/>
  <c r="N537" i="3" s="1"/>
  <c r="CJ562" i="1"/>
  <c r="CI562"/>
  <c r="EI562"/>
  <c r="EI591" s="1"/>
  <c r="BT563"/>
  <c r="BU563"/>
  <c r="BP592"/>
  <c r="BN568"/>
  <c r="BN592" s="1"/>
  <c r="BO568"/>
  <c r="BO592" s="1"/>
  <c r="BX568"/>
  <c r="BX592" s="1"/>
  <c r="BW568"/>
  <c r="BW592" s="1"/>
  <c r="CI569"/>
  <c r="CJ569"/>
  <c r="EI569"/>
  <c r="BT570"/>
  <c r="BU570"/>
  <c r="BQ572"/>
  <c r="BR572"/>
  <c r="DP577"/>
  <c r="CI629"/>
  <c r="EI629"/>
  <c r="CJ629"/>
  <c r="BN630"/>
  <c r="BO630"/>
  <c r="CQ632"/>
  <c r="DN658"/>
  <c r="DO633"/>
  <c r="CL636"/>
  <c r="EI636" s="1"/>
  <c r="CM636"/>
  <c r="BW664"/>
  <c r="BX664"/>
  <c r="BQ667"/>
  <c r="BR667"/>
  <c r="BT696"/>
  <c r="BU696"/>
  <c r="BU761"/>
  <c r="BT761"/>
  <c r="BU762"/>
  <c r="BT762"/>
  <c r="BV763"/>
  <c r="BX485"/>
  <c r="BY485"/>
  <c r="BP485"/>
  <c r="CK588"/>
  <c r="CI560"/>
  <c r="EI560"/>
  <c r="CJ560"/>
  <c r="BN569"/>
  <c r="BO569"/>
  <c r="CM570"/>
  <c r="CL570"/>
  <c r="BW599"/>
  <c r="BX599"/>
  <c r="CL623"/>
  <c r="CM623"/>
  <c r="BW667"/>
  <c r="BX667"/>
  <c r="BW690"/>
  <c r="BX690"/>
  <c r="CF700"/>
  <c r="CG700"/>
  <c r="DI753"/>
  <c r="CH753"/>
  <c r="DI757"/>
  <c r="CH757"/>
  <c r="AV786"/>
  <c r="AV788"/>
  <c r="CH758"/>
  <c r="DJ761"/>
  <c r="BD789"/>
  <c r="CH764"/>
  <c r="AU790"/>
  <c r="CH768"/>
  <c r="AT283"/>
  <c r="BV283" s="1"/>
  <c r="S283"/>
  <c r="DC385"/>
  <c r="DD343"/>
  <c r="CQ353"/>
  <c r="DC353"/>
  <c r="DB383"/>
  <c r="AJ344" i="3" s="1"/>
  <c r="CG378" i="1"/>
  <c r="CG283"/>
  <c r="EF283"/>
  <c r="CF283"/>
  <c r="DD741"/>
  <c r="BY551"/>
  <c r="BY582"/>
  <c r="BX582"/>
  <c r="BT582"/>
  <c r="BU551"/>
  <c r="BV551"/>
  <c r="CA551"/>
  <c r="BZ582"/>
  <c r="N605"/>
  <c r="AO605"/>
  <c r="M649"/>
  <c r="M619"/>
  <c r="BQ619" s="1"/>
  <c r="BO760"/>
  <c r="BN760"/>
  <c r="AB123"/>
  <c r="AB741"/>
  <c r="BD81"/>
  <c r="AC81"/>
  <c r="DJ338"/>
  <c r="DI154"/>
  <c r="DH186"/>
  <c r="DH910"/>
  <c r="CW434"/>
  <c r="CV459"/>
  <c r="BY342"/>
  <c r="BP519"/>
  <c r="BY592"/>
  <c r="BP631"/>
  <c r="CT734"/>
  <c r="BP764"/>
  <c r="BP763"/>
  <c r="BW524"/>
  <c r="CG888"/>
  <c r="CF888"/>
  <c r="CG886"/>
  <c r="CF886"/>
  <c r="CI881"/>
  <c r="EI881"/>
  <c r="CJ881"/>
  <c r="F84" i="3"/>
  <c r="BX867" i="1"/>
  <c r="BW867"/>
  <c r="BY911"/>
  <c r="BY910"/>
  <c r="BR869"/>
  <c r="BS912"/>
  <c r="BS896"/>
  <c r="BQ869"/>
  <c r="BS913"/>
  <c r="CW896"/>
  <c r="CW913"/>
  <c r="CW876"/>
  <c r="CW903" s="1"/>
  <c r="CW912"/>
  <c r="BQ873"/>
  <c r="BR873"/>
  <c r="BS900"/>
  <c r="BS917"/>
  <c r="CY901"/>
  <c r="CY918"/>
  <c r="CY917"/>
  <c r="CY876"/>
  <c r="CY903" s="1"/>
  <c r="AD16"/>
  <c r="BH16"/>
  <c r="BG16"/>
  <c r="BZ27"/>
  <c r="CA27"/>
  <c r="BT35"/>
  <c r="BU35"/>
  <c r="AN121"/>
  <c r="AN119"/>
  <c r="CR75"/>
  <c r="BP80"/>
  <c r="CQ80"/>
  <c r="CR80"/>
  <c r="BE127"/>
  <c r="BE129"/>
  <c r="CG113"/>
  <c r="BI129"/>
  <c r="AM140"/>
  <c r="L140"/>
  <c r="K734"/>
  <c r="AM54"/>
  <c r="BP23"/>
  <c r="CQ6"/>
  <c r="L57"/>
  <c r="AO14"/>
  <c r="N14"/>
  <c r="M15"/>
  <c r="CS32"/>
  <c r="CR62"/>
  <c r="CR60"/>
  <c r="DP60"/>
  <c r="AD83"/>
  <c r="BH83"/>
  <c r="BG83"/>
  <c r="CA99"/>
  <c r="CA126"/>
  <c r="CB126"/>
  <c r="BZ99"/>
  <c r="BZ126" s="1"/>
  <c r="CG159"/>
  <c r="EI159"/>
  <c r="CF159"/>
  <c r="CF161"/>
  <c r="CG161"/>
  <c r="BR175"/>
  <c r="BQ175"/>
  <c r="AQ22"/>
  <c r="P22"/>
  <c r="AR4"/>
  <c r="Q4"/>
  <c r="O23"/>
  <c r="AQ5"/>
  <c r="CU5"/>
  <c r="P5"/>
  <c r="BS8"/>
  <c r="CU8"/>
  <c r="AU18"/>
  <c r="BY18" s="1"/>
  <c r="AV18"/>
  <c r="S744"/>
  <c r="DE32"/>
  <c r="DD60"/>
  <c r="DD62"/>
  <c r="BS241"/>
  <c r="CS241"/>
  <c r="CT241"/>
  <c r="CU241" s="1"/>
  <c r="CV241" s="1"/>
  <c r="CW241" s="1"/>
  <c r="CX241" s="1"/>
  <c r="CY241" s="1"/>
  <c r="CZ241" s="1"/>
  <c r="DA241" s="1"/>
  <c r="CE899"/>
  <c r="CD298"/>
  <c r="CC298"/>
  <c r="K122"/>
  <c r="AM88"/>
  <c r="K120"/>
  <c r="K748"/>
  <c r="AO80"/>
  <c r="N80"/>
  <c r="M81"/>
  <c r="AP154"/>
  <c r="N188"/>
  <c r="N748"/>
  <c r="AP748" s="1"/>
  <c r="CQ157"/>
  <c r="K189"/>
  <c r="AM147"/>
  <c r="M146"/>
  <c r="L740"/>
  <c r="AN740" s="1"/>
  <c r="AN146"/>
  <c r="L147"/>
  <c r="L253"/>
  <c r="M211"/>
  <c r="AN211"/>
  <c r="AN253" s="1"/>
  <c r="L739"/>
  <c r="CM225"/>
  <c r="CL225"/>
  <c r="CI298"/>
  <c r="CJ298"/>
  <c r="CA305"/>
  <c r="BZ305"/>
  <c r="T340" i="3"/>
  <c r="EK374" i="1"/>
  <c r="AN386"/>
  <c r="BP345"/>
  <c r="BO359"/>
  <c r="BN359"/>
  <c r="BC84"/>
  <c r="AA90"/>
  <c r="AA744"/>
  <c r="BD84"/>
  <c r="CH84"/>
  <c r="DE102"/>
  <c r="DD103"/>
  <c r="DD128" s="1"/>
  <c r="AC141"/>
  <c r="AD142"/>
  <c r="BG141"/>
  <c r="CK141" s="1"/>
  <c r="BT345"/>
  <c r="BT386"/>
  <c r="BU345"/>
  <c r="BU386"/>
  <c r="BV386"/>
  <c r="CH391"/>
  <c r="CH389"/>
  <c r="CG362"/>
  <c r="CF362"/>
  <c r="CK457"/>
  <c r="CJ430"/>
  <c r="CI430"/>
  <c r="CK459"/>
  <c r="BI523"/>
  <c r="BI525"/>
  <c r="CS238"/>
  <c r="CT238" s="1"/>
  <c r="AC273"/>
  <c r="BF273" s="1"/>
  <c r="BF318" s="1"/>
  <c r="BG273"/>
  <c r="CK273" s="1"/>
  <c r="AD318"/>
  <c r="BP75"/>
  <c r="AM123"/>
  <c r="CR146"/>
  <c r="CS175"/>
  <c r="CT175" s="1"/>
  <c r="CU175" s="1"/>
  <c r="CV175" s="1"/>
  <c r="CW175" s="1"/>
  <c r="CX175" s="1"/>
  <c r="CY175" s="1"/>
  <c r="CZ175" s="1"/>
  <c r="DA175" s="1"/>
  <c r="CW131"/>
  <c r="CG890"/>
  <c r="CF890"/>
  <c r="EI884"/>
  <c r="N283" i="3" s="1"/>
  <c r="CG884" i="1"/>
  <c r="CF884"/>
  <c r="CF882"/>
  <c r="CG882"/>
  <c r="CH891"/>
  <c r="CX910"/>
  <c r="CX909"/>
  <c r="CX876"/>
  <c r="CX903" s="1"/>
  <c r="CI867"/>
  <c r="CJ867"/>
  <c r="CK876"/>
  <c r="BO869"/>
  <c r="BN869"/>
  <c r="BP896"/>
  <c r="BP913"/>
  <c r="BP912"/>
  <c r="BP876"/>
  <c r="BP903"/>
  <c r="CU912"/>
  <c r="CU896"/>
  <c r="CU913"/>
  <c r="CU876"/>
  <c r="CU903" s="1"/>
  <c r="CJ870"/>
  <c r="CI870"/>
  <c r="EI870"/>
  <c r="CT898"/>
  <c r="CT914"/>
  <c r="CT915"/>
  <c r="CT876"/>
  <c r="CT903" s="1"/>
  <c r="CP900"/>
  <c r="CP917"/>
  <c r="CP916"/>
  <c r="CP876"/>
  <c r="CP903"/>
  <c r="CQ13"/>
  <c r="AM56"/>
  <c r="BP13"/>
  <c r="BP916"/>
  <c r="BO872"/>
  <c r="BN872"/>
  <c r="BP915"/>
  <c r="BP899"/>
  <c r="CS5"/>
  <c r="BS5"/>
  <c r="AD17"/>
  <c r="BH17"/>
  <c r="BG17"/>
  <c r="BN27"/>
  <c r="BO27"/>
  <c r="CS73"/>
  <c r="BS73"/>
  <c r="CP123"/>
  <c r="CQ81"/>
  <c r="CD100"/>
  <c r="CC100"/>
  <c r="CE896"/>
  <c r="CI100"/>
  <c r="CJ100"/>
  <c r="BG129"/>
  <c r="CI113"/>
  <c r="BG127"/>
  <c r="CS136"/>
  <c r="CS138"/>
  <c r="CJ166"/>
  <c r="CI166"/>
  <c r="EI166"/>
  <c r="EI195" s="1"/>
  <c r="CP211"/>
  <c r="AL253"/>
  <c r="BP211"/>
  <c r="DZ6"/>
  <c r="AN6"/>
  <c r="CR6" s="1"/>
  <c r="L732"/>
  <c r="BR43"/>
  <c r="BQ43"/>
  <c r="AG72"/>
  <c r="BJ72"/>
  <c r="BK72"/>
  <c r="DO72"/>
  <c r="CL94"/>
  <c r="EI94" s="1"/>
  <c r="N73" i="3" s="1"/>
  <c r="CM94" i="1"/>
  <c r="BX159"/>
  <c r="BW159"/>
  <c r="BX161"/>
  <c r="BW161"/>
  <c r="CM161"/>
  <c r="CL161"/>
  <c r="BR162"/>
  <c r="BQ162"/>
  <c r="N54"/>
  <c r="AC23"/>
  <c r="AP23"/>
  <c r="AF6"/>
  <c r="BI6"/>
  <c r="BJ6"/>
  <c r="CN6"/>
  <c r="Q8"/>
  <c r="P734"/>
  <c r="AR8"/>
  <c r="BV18"/>
  <c r="DN320"/>
  <c r="DN912"/>
  <c r="DO278"/>
  <c r="DZ70"/>
  <c r="AN70"/>
  <c r="L88"/>
  <c r="L730"/>
  <c r="AN81"/>
  <c r="L123"/>
  <c r="O154"/>
  <c r="O748" s="1"/>
  <c r="AQ136"/>
  <c r="CU136" s="1"/>
  <c r="P136"/>
  <c r="P730" s="1"/>
  <c r="O730"/>
  <c r="P138"/>
  <c r="AQ138"/>
  <c r="CU138" s="1"/>
  <c r="O732"/>
  <c r="L735"/>
  <c r="AN141"/>
  <c r="L185"/>
  <c r="M141"/>
  <c r="L187"/>
  <c r="CM226"/>
  <c r="CL226"/>
  <c r="DC246"/>
  <c r="CM293"/>
  <c r="CL293"/>
  <c r="EI293" s="1"/>
  <c r="CM298"/>
  <c r="CL298"/>
  <c r="BO305"/>
  <c r="BN305"/>
  <c r="DB386"/>
  <c r="DB913"/>
  <c r="AJ345" i="3"/>
  <c r="DC344" i="1"/>
  <c r="BR358"/>
  <c r="BQ358"/>
  <c r="CA359"/>
  <c r="BZ359"/>
  <c r="AF70"/>
  <c r="BI70" s="1"/>
  <c r="BJ70"/>
  <c r="CN70" s="1"/>
  <c r="BB90"/>
  <c r="CD90"/>
  <c r="DF90" s="1"/>
  <c r="Z750"/>
  <c r="BB750" s="1"/>
  <c r="CD750" s="1"/>
  <c r="DF750" s="1"/>
  <c r="BR89"/>
  <c r="BQ120"/>
  <c r="BW103"/>
  <c r="BW128" s="1"/>
  <c r="BY128"/>
  <c r="BX103"/>
  <c r="BX128"/>
  <c r="CR113"/>
  <c r="CQ127"/>
  <c r="CQ129"/>
  <c r="BV113"/>
  <c r="BU127"/>
  <c r="BU129"/>
  <c r="AM188"/>
  <c r="AM186"/>
  <c r="O744"/>
  <c r="AQ150"/>
  <c r="BS150" s="1"/>
  <c r="AR150"/>
  <c r="BV150" s="1"/>
  <c r="BO154"/>
  <c r="BN186"/>
  <c r="CQ154"/>
  <c r="CP188"/>
  <c r="CP186"/>
  <c r="CS168"/>
  <c r="CR169"/>
  <c r="CR194" s="1"/>
  <c r="CD349"/>
  <c r="CC349"/>
  <c r="BO360"/>
  <c r="BN360"/>
  <c r="CH509"/>
  <c r="BF525"/>
  <c r="BF523"/>
  <c r="BG215"/>
  <c r="AC215"/>
  <c r="CQ23"/>
  <c r="BP146"/>
  <c r="BR311"/>
  <c r="BQ326"/>
  <c r="BQ324"/>
  <c r="BW326"/>
  <c r="BW324"/>
  <c r="CC324"/>
  <c r="CD311"/>
  <c r="CQ386"/>
  <c r="CR345"/>
  <c r="BX360"/>
  <c r="BW360"/>
  <c r="CD360"/>
  <c r="CC360"/>
  <c r="DO362"/>
  <c r="DN389"/>
  <c r="BX363"/>
  <c r="BX389"/>
  <c r="BY389"/>
  <c r="BW363"/>
  <c r="BW389" s="1"/>
  <c r="CF363"/>
  <c r="CG363"/>
  <c r="CA360"/>
  <c r="BZ360"/>
  <c r="CI362"/>
  <c r="CI391"/>
  <c r="CJ362"/>
  <c r="CK391"/>
  <c r="BZ363"/>
  <c r="BZ389" s="1"/>
  <c r="CB389"/>
  <c r="CA363"/>
  <c r="CA389"/>
  <c r="CM364"/>
  <c r="CL364"/>
  <c r="EI364" s="1"/>
  <c r="BX425"/>
  <c r="BW425"/>
  <c r="BV524"/>
  <c r="BV522"/>
  <c r="BU494"/>
  <c r="BT494"/>
  <c r="BQ588"/>
  <c r="DO560"/>
  <c r="DN588"/>
  <c r="AQ216"/>
  <c r="CU216" s="1"/>
  <c r="CV216" s="1"/>
  <c r="CW216" s="1"/>
  <c r="CX216" s="1"/>
  <c r="CY216" s="1"/>
  <c r="CZ216" s="1"/>
  <c r="DA216" s="1"/>
  <c r="EA216" s="1"/>
  <c r="AR216"/>
  <c r="BV216"/>
  <c r="DE220"/>
  <c r="DD251"/>
  <c r="DD911"/>
  <c r="BQ251"/>
  <c r="BR221"/>
  <c r="DD257"/>
  <c r="DE230"/>
  <c r="EI360"/>
  <c r="CG360"/>
  <c r="CF360"/>
  <c r="CM361"/>
  <c r="CL361"/>
  <c r="EI361" s="1"/>
  <c r="T604" i="3"/>
  <c r="EK638" i="1"/>
  <c r="CP756"/>
  <c r="BP756"/>
  <c r="BF787"/>
  <c r="BF789"/>
  <c r="BK532"/>
  <c r="DO532"/>
  <c r="AJ532"/>
  <c r="AI221"/>
  <c r="BK203"/>
  <c r="DO203"/>
  <c r="AJ203"/>
  <c r="CQ378"/>
  <c r="CA378"/>
  <c r="BZ390"/>
  <c r="BS378"/>
  <c r="BR390"/>
  <c r="BO411"/>
  <c r="BN411"/>
  <c r="CS515"/>
  <c r="CT471"/>
  <c r="CR485"/>
  <c r="BR485"/>
  <c r="BQ516"/>
  <c r="R527"/>
  <c r="CX508"/>
  <c r="CX527"/>
  <c r="R818"/>
  <c r="R772"/>
  <c r="BS510"/>
  <c r="CE510"/>
  <c r="CE523"/>
  <c r="CD523"/>
  <c r="BO588"/>
  <c r="BO590"/>
  <c r="BX588"/>
  <c r="BX575"/>
  <c r="BW589"/>
  <c r="BW591"/>
  <c r="BZ654"/>
  <c r="BZ656"/>
  <c r="CI628"/>
  <c r="CJ628"/>
  <c r="EI628"/>
  <c r="EI655" s="1"/>
  <c r="BT668"/>
  <c r="BU668"/>
  <c r="EA670"/>
  <c r="CM693"/>
  <c r="CL693"/>
  <c r="EI693" s="1"/>
  <c r="CL695"/>
  <c r="CM695"/>
  <c r="CN760"/>
  <c r="CL760" s="1"/>
  <c r="EI760" s="1"/>
  <c r="DN760"/>
  <c r="DP787"/>
  <c r="DK499"/>
  <c r="DL498"/>
  <c r="DM498"/>
  <c r="EJ498"/>
  <c r="EN498" s="1"/>
  <c r="ES498" s="1"/>
  <c r="BY378"/>
  <c r="CM456"/>
  <c r="CS475"/>
  <c r="CM588"/>
  <c r="BU589"/>
  <c r="BV575"/>
  <c r="BU591"/>
  <c r="BN589"/>
  <c r="DC576"/>
  <c r="DB589"/>
  <c r="AD614"/>
  <c r="DI614"/>
  <c r="BT654"/>
  <c r="CI654"/>
  <c r="CL656"/>
  <c r="CL654"/>
  <c r="DD654"/>
  <c r="DE626"/>
  <c r="DD656"/>
  <c r="DD634"/>
  <c r="DC658"/>
  <c r="CX771"/>
  <c r="R839"/>
  <c r="CD657"/>
  <c r="CE641"/>
  <c r="CD655"/>
  <c r="BY655"/>
  <c r="CQ642"/>
  <c r="CA642"/>
  <c r="BZ655"/>
  <c r="BW675"/>
  <c r="BW717" s="1"/>
  <c r="BY717"/>
  <c r="BX675"/>
  <c r="BX717"/>
  <c r="BP683"/>
  <c r="BR683"/>
  <c r="CX706"/>
  <c r="CX725"/>
  <c r="R725"/>
  <c r="BZ756"/>
  <c r="CA756"/>
  <c r="CC756"/>
  <c r="CD756"/>
  <c r="BZ758"/>
  <c r="CA758"/>
  <c r="CB786"/>
  <c r="CR759"/>
  <c r="CQ786"/>
  <c r="BR759"/>
  <c r="BQ759"/>
  <c r="CC759"/>
  <c r="CD759"/>
  <c r="CT787"/>
  <c r="CQ787"/>
  <c r="CR760"/>
  <c r="BX764"/>
  <c r="BX789" s="1"/>
  <c r="BW764"/>
  <c r="BW789"/>
  <c r="BT765"/>
  <c r="BT790"/>
  <c r="BU765"/>
  <c r="BU790"/>
  <c r="BV790"/>
  <c r="BU773"/>
  <c r="BT787"/>
  <c r="AE353"/>
  <c r="AF335"/>
  <c r="BG335"/>
  <c r="CG120"/>
  <c r="CH89"/>
  <c r="BF213"/>
  <c r="AE213"/>
  <c r="AD254"/>
  <c r="BX768"/>
  <c r="BW768"/>
  <c r="BT609"/>
  <c r="BT651"/>
  <c r="BU609"/>
  <c r="BU651"/>
  <c r="BV651"/>
  <c r="DJ615"/>
  <c r="AE615"/>
  <c r="AD652"/>
  <c r="DL630"/>
  <c r="DM630" s="1"/>
  <c r="EJ630"/>
  <c r="AF667"/>
  <c r="BR675"/>
  <c r="BR717" s="1"/>
  <c r="BQ675"/>
  <c r="BQ717" s="1"/>
  <c r="BS717"/>
  <c r="BU675"/>
  <c r="BT675"/>
  <c r="BV717"/>
  <c r="DI681"/>
  <c r="AD681"/>
  <c r="BO720"/>
  <c r="BU720"/>
  <c r="BU722"/>
  <c r="CA722"/>
  <c r="CA720"/>
  <c r="CJ720"/>
  <c r="BY722"/>
  <c r="BW697"/>
  <c r="BX697"/>
  <c r="CM744"/>
  <c r="CL744"/>
  <c r="CX787"/>
  <c r="BO773"/>
  <c r="BN787"/>
  <c r="AJ741" i="3"/>
  <c r="DC773" i="1"/>
  <c r="AJ739" i="3"/>
  <c r="DJ136" i="1"/>
  <c r="DG79"/>
  <c r="DF122"/>
  <c r="DJ73"/>
  <c r="AR74" i="3"/>
  <c r="AE543" i="1"/>
  <c r="BF543"/>
  <c r="DK550"/>
  <c r="DJ584"/>
  <c r="CU170"/>
  <c r="DF48"/>
  <c r="DE61"/>
  <c r="CV733"/>
  <c r="BV733"/>
  <c r="BQ148"/>
  <c r="BR148"/>
  <c r="BZ770"/>
  <c r="CA770"/>
  <c r="BB775"/>
  <c r="CD775"/>
  <c r="BB788"/>
  <c r="EH495"/>
  <c r="EI495"/>
  <c r="BL467"/>
  <c r="DP467"/>
  <c r="EB467" s="1"/>
  <c r="EG467" s="1"/>
  <c r="EN490" s="1"/>
  <c r="ES490" s="1"/>
  <c r="AJ485"/>
  <c r="BY477"/>
  <c r="CB760"/>
  <c r="CB764"/>
  <c r="BN647"/>
  <c r="CP789"/>
  <c r="BX724"/>
  <c r="CR790"/>
  <c r="CA361"/>
  <c r="BZ361"/>
  <c r="CM362"/>
  <c r="CN391"/>
  <c r="CN389"/>
  <c r="CL362"/>
  <c r="EI362" s="1"/>
  <c r="CC363"/>
  <c r="CC389" s="1"/>
  <c r="CD363"/>
  <c r="CD389" s="1"/>
  <c r="CE389"/>
  <c r="BO364"/>
  <c r="BN364"/>
  <c r="BU360"/>
  <c r="BT360"/>
  <c r="BU362"/>
  <c r="BV389"/>
  <c r="BT362"/>
  <c r="BU363"/>
  <c r="BT363"/>
  <c r="CM363"/>
  <c r="CL363"/>
  <c r="CM365"/>
  <c r="CL365"/>
  <c r="EI365" s="1"/>
  <c r="DC452"/>
  <c r="DD418"/>
  <c r="DC914"/>
  <c r="AK409" i="3"/>
  <c r="DC450" i="1"/>
  <c r="AK411" i="3"/>
  <c r="BW426" i="1"/>
  <c r="BX426"/>
  <c r="CA472"/>
  <c r="CA515" s="1"/>
  <c r="BZ472"/>
  <c r="BZ515" s="1"/>
  <c r="CB515"/>
  <c r="BR472"/>
  <c r="BR515"/>
  <c r="BS515"/>
  <c r="BQ472"/>
  <c r="BQ515" s="1"/>
  <c r="AN487"/>
  <c r="AN517"/>
  <c r="DC475"/>
  <c r="DB518"/>
  <c r="CQ477"/>
  <c r="CP519"/>
  <c r="BT495"/>
  <c r="BU495"/>
  <c r="BU582"/>
  <c r="BV550"/>
  <c r="DC560"/>
  <c r="DB590"/>
  <c r="DB588"/>
  <c r="DC565"/>
  <c r="DD577"/>
  <c r="AC281"/>
  <c r="BF281"/>
  <c r="EE281"/>
  <c r="BG281"/>
  <c r="CK281"/>
  <c r="DD312"/>
  <c r="DC324"/>
  <c r="BR360"/>
  <c r="BQ360"/>
  <c r="BO361"/>
  <c r="BN361"/>
  <c r="BR363"/>
  <c r="BR389"/>
  <c r="BQ363"/>
  <c r="BQ389"/>
  <c r="BS389"/>
  <c r="CA364"/>
  <c r="CB900"/>
  <c r="BZ364"/>
  <c r="DJ754"/>
  <c r="CH754"/>
  <c r="CH755"/>
  <c r="DJ755"/>
  <c r="BO378"/>
  <c r="DC378"/>
  <c r="DB390"/>
  <c r="BU411"/>
  <c r="BU453"/>
  <c r="BV453"/>
  <c r="BT411"/>
  <c r="BT453" s="1"/>
  <c r="CB509"/>
  <c r="CA525"/>
  <c r="CA523"/>
  <c r="AF534"/>
  <c r="BJ534"/>
  <c r="DN534"/>
  <c r="CS550"/>
  <c r="CR584"/>
  <c r="BW588"/>
  <c r="CA588"/>
  <c r="BN654"/>
  <c r="DO626"/>
  <c r="DN654"/>
  <c r="BV641"/>
  <c r="BU657"/>
  <c r="T670" i="3"/>
  <c r="EK704" i="1"/>
  <c r="BZ668"/>
  <c r="CA668"/>
  <c r="CE758"/>
  <c r="BA786"/>
  <c r="BA788"/>
  <c r="DC764"/>
  <c r="DB789"/>
  <c r="DD278"/>
  <c r="DC912"/>
  <c r="DC320"/>
  <c r="AK279" i="3"/>
  <c r="CF547" i="1"/>
  <c r="CG547"/>
  <c r="EF547"/>
  <c r="BT516"/>
  <c r="BU484"/>
  <c r="BV485"/>
  <c r="BU516"/>
  <c r="CL588"/>
  <c r="BR565"/>
  <c r="BQ565"/>
  <c r="BQ590"/>
  <c r="BS590"/>
  <c r="CA576"/>
  <c r="BZ589"/>
  <c r="BU757"/>
  <c r="BT757"/>
  <c r="BZ762"/>
  <c r="CA762"/>
  <c r="BW654"/>
  <c r="CJ654"/>
  <c r="CJ656"/>
  <c r="BX631"/>
  <c r="BW631"/>
  <c r="BW656"/>
  <c r="BY656"/>
  <c r="BO642"/>
  <c r="BU642"/>
  <c r="BV642"/>
  <c r="BV655" s="1"/>
  <c r="BT655"/>
  <c r="DC642"/>
  <c r="DB655"/>
  <c r="BN697"/>
  <c r="BO697"/>
  <c r="CT699"/>
  <c r="CW772"/>
  <c r="CW791"/>
  <c r="Q840"/>
  <c r="Q791"/>
  <c r="DP741"/>
  <c r="BQ754"/>
  <c r="BR754"/>
  <c r="BW754"/>
  <c r="BX754"/>
  <c r="CC754"/>
  <c r="CD754"/>
  <c r="BR760"/>
  <c r="BQ760"/>
  <c r="BX762"/>
  <c r="BW762"/>
  <c r="BY763"/>
  <c r="CC766"/>
  <c r="CD766"/>
  <c r="DJ335"/>
  <c r="AR337" i="3"/>
  <c r="BF353" i="1"/>
  <c r="AD383"/>
  <c r="DH286"/>
  <c r="BE254"/>
  <c r="DD64"/>
  <c r="DE39"/>
  <c r="DD895"/>
  <c r="AL15" i="3"/>
  <c r="DE765" i="1"/>
  <c r="EE253"/>
  <c r="DP673"/>
  <c r="BN722"/>
  <c r="BN720"/>
  <c r="BT722"/>
  <c r="BT720"/>
  <c r="BZ722"/>
  <c r="BZ720"/>
  <c r="CI720"/>
  <c r="DN723"/>
  <c r="CH707"/>
  <c r="CG723"/>
  <c r="BT753"/>
  <c r="BU753"/>
  <c r="CD755"/>
  <c r="CC755"/>
  <c r="CC757"/>
  <c r="CD757"/>
  <c r="BU758"/>
  <c r="BT758"/>
  <c r="BV788"/>
  <c r="BX758"/>
  <c r="BW758"/>
  <c r="BY788"/>
  <c r="BZ761"/>
  <c r="CA761"/>
  <c r="BR764"/>
  <c r="BR789"/>
  <c r="BQ764"/>
  <c r="BQ789"/>
  <c r="CT765"/>
  <c r="CA773"/>
  <c r="BZ787"/>
  <c r="CD787"/>
  <c r="CD789"/>
  <c r="CE773"/>
  <c r="AY775"/>
  <c r="CA775"/>
  <c r="AY788"/>
  <c r="CB763"/>
  <c r="BG136"/>
  <c r="AF136"/>
  <c r="BG73"/>
  <c r="DK73"/>
  <c r="AF73"/>
  <c r="CG73"/>
  <c r="CF73"/>
  <c r="DI543"/>
  <c r="BF346"/>
  <c r="CH346"/>
  <c r="AE346"/>
  <c r="CI287"/>
  <c r="BG317"/>
  <c r="AI334"/>
  <c r="BJ334"/>
  <c r="DN334"/>
  <c r="EF550"/>
  <c r="DN550"/>
  <c r="BJ584"/>
  <c r="BJ582"/>
  <c r="CE412"/>
  <c r="AB412"/>
  <c r="BC412"/>
  <c r="DH436"/>
  <c r="CU436"/>
  <c r="DF302"/>
  <c r="EH494"/>
  <c r="CU302"/>
  <c r="CL4"/>
  <c r="CM4"/>
  <c r="CT304"/>
  <c r="CS327"/>
  <c r="BK485"/>
  <c r="AW16"/>
  <c r="AF221"/>
  <c r="AE251"/>
  <c r="BS216"/>
  <c r="DD253"/>
  <c r="BO647"/>
  <c r="AC652"/>
  <c r="DI652"/>
  <c r="BJ667"/>
  <c r="DN667"/>
  <c r="BP722"/>
  <c r="BW724"/>
  <c r="BT518"/>
  <c r="BY16"/>
  <c r="AU320"/>
  <c r="AO583"/>
  <c r="AO553"/>
  <c r="AO273"/>
  <c r="N273"/>
  <c r="M316"/>
  <c r="BO457"/>
  <c r="BO459"/>
  <c r="DC453"/>
  <c r="DD410"/>
  <c r="CP316"/>
  <c r="CQ273"/>
  <c r="CT247"/>
  <c r="CS235"/>
  <c r="BO144"/>
  <c r="BN144"/>
  <c r="CP144"/>
  <c r="CP187" s="1"/>
  <c r="CQ143"/>
  <c r="CR143" s="1"/>
  <c r="DL10"/>
  <c r="CK10"/>
  <c r="BH53"/>
  <c r="CF896"/>
  <c r="CG896"/>
  <c r="BN83"/>
  <c r="BO83"/>
  <c r="CD390"/>
  <c r="CD392"/>
  <c r="CE377"/>
  <c r="CR245"/>
  <c r="CQ258"/>
  <c r="CR763"/>
  <c r="CS775"/>
  <c r="BN713"/>
  <c r="BO713"/>
  <c r="CR585"/>
  <c r="CS543"/>
  <c r="BO342"/>
  <c r="BN342"/>
  <c r="DD235"/>
  <c r="DD259"/>
  <c r="DE247"/>
  <c r="BR477"/>
  <c r="BQ477"/>
  <c r="AL343" i="3"/>
  <c r="DE377" i="1"/>
  <c r="DD392"/>
  <c r="CR40"/>
  <c r="CQ64"/>
  <c r="DE38"/>
  <c r="DD63"/>
  <c r="BN910"/>
  <c r="BN909"/>
  <c r="BO910"/>
  <c r="BO909"/>
  <c r="BZ860"/>
  <c r="CM123"/>
  <c r="BO891"/>
  <c r="CG128"/>
  <c r="BP273"/>
  <c r="BX127"/>
  <c r="CF130"/>
  <c r="BX126"/>
  <c r="BW126"/>
  <c r="CQ121"/>
  <c r="CQ119"/>
  <c r="AT320"/>
  <c r="BV279"/>
  <c r="AP539"/>
  <c r="N553"/>
  <c r="O539"/>
  <c r="N583"/>
  <c r="BD546"/>
  <c r="BC546"/>
  <c r="AA552"/>
  <c r="BC552"/>
  <c r="CE552" s="1"/>
  <c r="DG552" s="1"/>
  <c r="CS362"/>
  <c r="CR389"/>
  <c r="BN731"/>
  <c r="BO731"/>
  <c r="CC654"/>
  <c r="DC902"/>
  <c r="DD501"/>
  <c r="BN459"/>
  <c r="BN457"/>
  <c r="BU342"/>
  <c r="BT342"/>
  <c r="BN281"/>
  <c r="BO281"/>
  <c r="CG325"/>
  <c r="BN143"/>
  <c r="BO143"/>
  <c r="BY129"/>
  <c r="DD56"/>
  <c r="DE13"/>
  <c r="CR195"/>
  <c r="CS179"/>
  <c r="CR193"/>
  <c r="CA759"/>
  <c r="BZ759"/>
  <c r="CR452"/>
  <c r="CS409"/>
  <c r="DD370"/>
  <c r="DC393"/>
  <c r="CS313"/>
  <c r="CR301"/>
  <c r="CR325"/>
  <c r="BN278"/>
  <c r="BO278"/>
  <c r="N13"/>
  <c r="AO13"/>
  <c r="M56"/>
  <c r="AP9"/>
  <c r="N55"/>
  <c r="O9"/>
  <c r="N53"/>
  <c r="AO55"/>
  <c r="AO53"/>
  <c r="CT407"/>
  <c r="CL325"/>
  <c r="CE546"/>
  <c r="CG130"/>
  <c r="DG435"/>
  <c r="DF901"/>
  <c r="DF460"/>
  <c r="CH419"/>
  <c r="CG450"/>
  <c r="BH601"/>
  <c r="DL601"/>
  <c r="AG601"/>
  <c r="BG403"/>
  <c r="DK403" s="1"/>
  <c r="AF403"/>
  <c r="CS560"/>
  <c r="CR590"/>
  <c r="BJ682"/>
  <c r="AH716"/>
  <c r="BF450"/>
  <c r="DJ419"/>
  <c r="DK419" s="1"/>
  <c r="DL419" s="1"/>
  <c r="DM419" s="1"/>
  <c r="EB419" s="1"/>
  <c r="EG419" s="1"/>
  <c r="AD676"/>
  <c r="BE676"/>
  <c r="CL722"/>
  <c r="CL720"/>
  <c r="CS343"/>
  <c r="DC585"/>
  <c r="DC916"/>
  <c r="CS501"/>
  <c r="AO207"/>
  <c r="M252"/>
  <c r="M250"/>
  <c r="N207"/>
  <c r="AL475" i="3"/>
  <c r="DD523" i="1"/>
  <c r="DE509"/>
  <c r="CA459"/>
  <c r="CA457"/>
  <c r="CA456"/>
  <c r="CA458"/>
  <c r="BR345"/>
  <c r="BR386"/>
  <c r="BQ345"/>
  <c r="BQ386"/>
  <c r="BS386"/>
  <c r="DD179"/>
  <c r="DC195"/>
  <c r="AK145" i="3"/>
  <c r="AK147"/>
  <c r="CF897" i="1"/>
  <c r="CG897"/>
  <c r="CC897"/>
  <c r="CD897"/>
  <c r="CR192"/>
  <c r="CS164"/>
  <c r="AE185"/>
  <c r="CI257"/>
  <c r="BR901"/>
  <c r="BQ901"/>
  <c r="BX900"/>
  <c r="BX916"/>
  <c r="BN897"/>
  <c r="BN914"/>
  <c r="BU910"/>
  <c r="BU909"/>
  <c r="BQ71"/>
  <c r="BR71"/>
  <c r="AZ912"/>
  <c r="AZ320"/>
  <c r="DF471"/>
  <c r="CV319"/>
  <c r="CW286"/>
  <c r="DI633"/>
  <c r="DH904"/>
  <c r="BJ419"/>
  <c r="EE419" s="1"/>
  <c r="AD411"/>
  <c r="BE411"/>
  <c r="BE453"/>
  <c r="AC453"/>
  <c r="DG915"/>
  <c r="DH130"/>
  <c r="DI105"/>
  <c r="AD609"/>
  <c r="BE609"/>
  <c r="AD610"/>
  <c r="BE610"/>
  <c r="AG666"/>
  <c r="BH666"/>
  <c r="DL666" s="1"/>
  <c r="DF237"/>
  <c r="DE898"/>
  <c r="BH400"/>
  <c r="DL400" s="1"/>
  <c r="AG400"/>
  <c r="AD478"/>
  <c r="BE478"/>
  <c r="AE404"/>
  <c r="BF404"/>
  <c r="CG656"/>
  <c r="CD903"/>
  <c r="CC903"/>
  <c r="CR509"/>
  <c r="CQ523"/>
  <c r="CJ456"/>
  <c r="CC900"/>
  <c r="CD900"/>
  <c r="BY325"/>
  <c r="BX301"/>
  <c r="BX325"/>
  <c r="BW301"/>
  <c r="BW325"/>
  <c r="BR301"/>
  <c r="BS325"/>
  <c r="BQ301"/>
  <c r="BQ325" s="1"/>
  <c r="CI323"/>
  <c r="CQ196"/>
  <c r="CR172"/>
  <c r="BO169"/>
  <c r="BO194"/>
  <c r="BN169"/>
  <c r="BN194"/>
  <c r="BP194"/>
  <c r="AL189"/>
  <c r="CP147"/>
  <c r="CP189"/>
  <c r="DF49"/>
  <c r="DE37"/>
  <c r="BX899"/>
  <c r="BW899"/>
  <c r="BU914"/>
  <c r="BU898"/>
  <c r="BQ910"/>
  <c r="BQ909"/>
  <c r="BR910"/>
  <c r="BR909"/>
  <c r="AG732"/>
  <c r="DI610"/>
  <c r="BX64"/>
  <c r="EF289"/>
  <c r="CK414"/>
  <c r="CM189"/>
  <c r="CD891"/>
  <c r="BT78"/>
  <c r="BU78"/>
  <c r="AJ468"/>
  <c r="BK468"/>
  <c r="DO468" s="1"/>
  <c r="AI602"/>
  <c r="BJ602"/>
  <c r="EE602" s="1"/>
  <c r="E603" i="3" s="1"/>
  <c r="DN602" i="1"/>
  <c r="AV251"/>
  <c r="BX221"/>
  <c r="BF223"/>
  <c r="BE252"/>
  <c r="BE223"/>
  <c r="DJ403"/>
  <c r="AR404" i="3"/>
  <c r="CG655" i="1"/>
  <c r="CH642"/>
  <c r="CR522"/>
  <c r="CS494"/>
  <c r="BK664"/>
  <c r="DO664" s="1"/>
  <c r="AJ664"/>
  <c r="BH450"/>
  <c r="BE477"/>
  <c r="BE519"/>
  <c r="AD477"/>
  <c r="AC519"/>
  <c r="BY509"/>
  <c r="BX523"/>
  <c r="BX525"/>
  <c r="CM720"/>
  <c r="CA656"/>
  <c r="CA654"/>
  <c r="CF903"/>
  <c r="CG903"/>
  <c r="BR499"/>
  <c r="BQ499"/>
  <c r="BO477"/>
  <c r="BO519"/>
  <c r="BN477"/>
  <c r="DD254"/>
  <c r="DE213"/>
  <c r="AN252"/>
  <c r="BZ459"/>
  <c r="BZ457"/>
  <c r="CA901"/>
  <c r="BZ901"/>
  <c r="BZ458"/>
  <c r="BZ456"/>
  <c r="BT169"/>
  <c r="BU169"/>
  <c r="CJ257"/>
  <c r="CI126"/>
  <c r="CJ128"/>
  <c r="CJ126"/>
  <c r="BW900"/>
  <c r="BW916"/>
  <c r="BO914"/>
  <c r="BO897"/>
  <c r="BT910"/>
  <c r="BT909"/>
  <c r="DD57"/>
  <c r="DE15"/>
  <c r="CA278"/>
  <c r="CA320"/>
  <c r="BZ278"/>
  <c r="BZ320"/>
  <c r="CB912"/>
  <c r="CB320"/>
  <c r="Y912"/>
  <c r="BA278"/>
  <c r="Y320"/>
  <c r="Z278"/>
  <c r="BS286"/>
  <c r="CU48"/>
  <c r="CT61"/>
  <c r="CT405"/>
  <c r="CS449"/>
  <c r="BK401"/>
  <c r="DO401"/>
  <c r="AJ401"/>
  <c r="AI419"/>
  <c r="AC57"/>
  <c r="AD15"/>
  <c r="BE15"/>
  <c r="BE57"/>
  <c r="BA538"/>
  <c r="AD409"/>
  <c r="AC452"/>
  <c r="AC716"/>
  <c r="BE673"/>
  <c r="BE716"/>
  <c r="AD673"/>
  <c r="AJ668"/>
  <c r="BK668"/>
  <c r="DO668"/>
  <c r="CC905"/>
  <c r="CD905"/>
  <c r="CF656"/>
  <c r="CA902"/>
  <c r="BZ902"/>
  <c r="DP146"/>
  <c r="DO189"/>
  <c r="DO158"/>
  <c r="CI458"/>
  <c r="CI456"/>
  <c r="BS452"/>
  <c r="CJ323"/>
  <c r="BP180"/>
  <c r="BS193"/>
  <c r="BS195"/>
  <c r="DE81"/>
  <c r="BT898"/>
  <c r="BT914"/>
  <c r="BN76"/>
  <c r="BO76"/>
  <c r="CG745"/>
  <c r="CF745"/>
  <c r="CK16"/>
  <c r="BN519"/>
  <c r="DC525"/>
  <c r="BW64"/>
  <c r="BP207"/>
  <c r="BF252"/>
  <c r="BH142"/>
  <c r="CL189"/>
  <c r="CC891"/>
  <c r="BW515"/>
  <c r="DH896"/>
  <c r="BX515"/>
  <c r="BO763"/>
  <c r="BN763"/>
  <c r="BO764"/>
  <c r="BN764"/>
  <c r="BN789" s="1"/>
  <c r="BO631"/>
  <c r="BP656"/>
  <c r="BN631"/>
  <c r="BN656"/>
  <c r="CX434"/>
  <c r="CW459"/>
  <c r="DI186"/>
  <c r="DJ154"/>
  <c r="DI910"/>
  <c r="AP605"/>
  <c r="O605"/>
  <c r="N619"/>
  <c r="N649"/>
  <c r="CB551"/>
  <c r="CB582" s="1"/>
  <c r="CA582"/>
  <c r="DE741"/>
  <c r="CH378"/>
  <c r="DD385"/>
  <c r="DE343"/>
  <c r="T283"/>
  <c r="AU283"/>
  <c r="CG764"/>
  <c r="CF764"/>
  <c r="CF789"/>
  <c r="DJ787"/>
  <c r="CF757"/>
  <c r="CG757"/>
  <c r="CG753"/>
  <c r="CF753"/>
  <c r="CI588"/>
  <c r="BT763"/>
  <c r="BU763"/>
  <c r="DP633"/>
  <c r="DO658"/>
  <c r="CS539"/>
  <c r="L254"/>
  <c r="AN213"/>
  <c r="AN254"/>
  <c r="AK79" i="3"/>
  <c r="DD113" i="1"/>
  <c r="DC129"/>
  <c r="BN522"/>
  <c r="BN524"/>
  <c r="BY452"/>
  <c r="BY450"/>
  <c r="CR367"/>
  <c r="CR391"/>
  <c r="CS379"/>
  <c r="CA323"/>
  <c r="CA325"/>
  <c r="CS37"/>
  <c r="CT49"/>
  <c r="BW757"/>
  <c r="BX757"/>
  <c r="CK551"/>
  <c r="CK582"/>
  <c r="CJ582"/>
  <c r="DD551"/>
  <c r="DC582"/>
  <c r="BJ251"/>
  <c r="DN221"/>
  <c r="DN251"/>
  <c r="CL221"/>
  <c r="EF221" s="1"/>
  <c r="CL251"/>
  <c r="CB353"/>
  <c r="CB383" s="1"/>
  <c r="CA383"/>
  <c r="BV353"/>
  <c r="BU383"/>
  <c r="BP353"/>
  <c r="DD763"/>
  <c r="DE775"/>
  <c r="CF765"/>
  <c r="CG765"/>
  <c r="DD697"/>
  <c r="DD722"/>
  <c r="DE709"/>
  <c r="DC918"/>
  <c r="DD674"/>
  <c r="DC717"/>
  <c r="CS568"/>
  <c r="CR592"/>
  <c r="BO539"/>
  <c r="BN539"/>
  <c r="BN433"/>
  <c r="BN458"/>
  <c r="BP458"/>
  <c r="BO433"/>
  <c r="BO458" s="1"/>
  <c r="CA899"/>
  <c r="BZ899"/>
  <c r="BG156"/>
  <c r="CI156" s="1"/>
  <c r="DK156" s="1"/>
  <c r="BU456"/>
  <c r="CB311"/>
  <c r="BT323"/>
  <c r="BT325"/>
  <c r="BU325"/>
  <c r="BU323"/>
  <c r="CF898"/>
  <c r="CG898"/>
  <c r="BX78"/>
  <c r="BW78"/>
  <c r="CA257"/>
  <c r="CA259"/>
  <c r="CD194"/>
  <c r="CD192"/>
  <c r="BU128"/>
  <c r="BU126"/>
  <c r="CT77"/>
  <c r="CS78"/>
  <c r="CJ902"/>
  <c r="CI902"/>
  <c r="CL60"/>
  <c r="BX901"/>
  <c r="BX917"/>
  <c r="BO901"/>
  <c r="BO917"/>
  <c r="BO918"/>
  <c r="BN74"/>
  <c r="BO74"/>
  <c r="BR70"/>
  <c r="BQ70"/>
  <c r="BT899"/>
  <c r="BT915"/>
  <c r="BT916"/>
  <c r="AU85"/>
  <c r="T85"/>
  <c r="S745"/>
  <c r="AU745" s="1"/>
  <c r="AR89"/>
  <c r="P120"/>
  <c r="DP211"/>
  <c r="BQ192"/>
  <c r="CI899"/>
  <c r="CJ899"/>
  <c r="BT60"/>
  <c r="BT901"/>
  <c r="BT917"/>
  <c r="CJ82"/>
  <c r="CI82"/>
  <c r="EF82"/>
  <c r="BT902"/>
  <c r="BT918"/>
  <c r="BU902"/>
  <c r="BU918"/>
  <c r="BN327"/>
  <c r="BO327"/>
  <c r="CR212"/>
  <c r="BQ713"/>
  <c r="BR196"/>
  <c r="BW342"/>
  <c r="BW384"/>
  <c r="BY384"/>
  <c r="BX342"/>
  <c r="BX384" s="1"/>
  <c r="BE81"/>
  <c r="BE123" s="1"/>
  <c r="AC123"/>
  <c r="AD81"/>
  <c r="AC741"/>
  <c r="BD741"/>
  <c r="AO619"/>
  <c r="AO649"/>
  <c r="DD353"/>
  <c r="DC383"/>
  <c r="AK344" i="3"/>
  <c r="CR353" i="1"/>
  <c r="CG768"/>
  <c r="CF768"/>
  <c r="CG758"/>
  <c r="CF758"/>
  <c r="CJ588"/>
  <c r="CR632"/>
  <c r="AO212"/>
  <c r="N212"/>
  <c r="M213"/>
  <c r="AM254"/>
  <c r="BP213"/>
  <c r="CQ213"/>
  <c r="BO524"/>
  <c r="BO522"/>
  <c r="BU477"/>
  <c r="BU519"/>
  <c r="BV519"/>
  <c r="BT477"/>
  <c r="BT519" s="1"/>
  <c r="BT433"/>
  <c r="BU433"/>
  <c r="BU458"/>
  <c r="CF414"/>
  <c r="CG414"/>
  <c r="BX345"/>
  <c r="BX386"/>
  <c r="BY386"/>
  <c r="BW345"/>
  <c r="BW386" s="1"/>
  <c r="CS341"/>
  <c r="CR342"/>
  <c r="CR384"/>
  <c r="DD311"/>
  <c r="AK277" i="3"/>
  <c r="DC326" i="1"/>
  <c r="BZ325"/>
  <c r="BZ323"/>
  <c r="BN323"/>
  <c r="BN325"/>
  <c r="BO325"/>
  <c r="BO323"/>
  <c r="BO755"/>
  <c r="BN755"/>
  <c r="BR763"/>
  <c r="BQ763"/>
  <c r="CA755"/>
  <c r="BZ755"/>
  <c r="DH434"/>
  <c r="DG459"/>
  <c r="AG338"/>
  <c r="BH338"/>
  <c r="DL338"/>
  <c r="CU223"/>
  <c r="BY773"/>
  <c r="DD683"/>
  <c r="DC714"/>
  <c r="CS682"/>
  <c r="CR716"/>
  <c r="CA904"/>
  <c r="BZ904"/>
  <c r="BV193"/>
  <c r="BV195"/>
  <c r="CB113"/>
  <c r="CA127"/>
  <c r="CA129"/>
  <c r="CT312"/>
  <c r="CH156"/>
  <c r="EE156"/>
  <c r="BT456"/>
  <c r="BT458"/>
  <c r="CS339"/>
  <c r="CR382"/>
  <c r="BP127"/>
  <c r="BP129"/>
  <c r="BN145"/>
  <c r="BN188" s="1"/>
  <c r="BO145"/>
  <c r="BZ259"/>
  <c r="BZ257"/>
  <c r="BU210"/>
  <c r="BT210"/>
  <c r="CC192"/>
  <c r="CC194"/>
  <c r="BT128"/>
  <c r="BT126"/>
  <c r="BY63"/>
  <c r="BY61"/>
  <c r="BW901"/>
  <c r="BW917"/>
  <c r="BN917"/>
  <c r="BN901"/>
  <c r="BN918"/>
  <c r="BU915"/>
  <c r="BU899"/>
  <c r="BU916"/>
  <c r="BP62"/>
  <c r="BN37"/>
  <c r="BN62" s="1"/>
  <c r="BO37"/>
  <c r="BO62" s="1"/>
  <c r="BU85"/>
  <c r="BT85"/>
  <c r="CV71"/>
  <c r="R71"/>
  <c r="Q89"/>
  <c r="AS71"/>
  <c r="CW71"/>
  <c r="BR192"/>
  <c r="BU60"/>
  <c r="BW918"/>
  <c r="BW902"/>
  <c r="BX902"/>
  <c r="BX918"/>
  <c r="BU901"/>
  <c r="BU917"/>
  <c r="BQ74"/>
  <c r="BR74"/>
  <c r="BV63"/>
  <c r="BV61"/>
  <c r="CK150"/>
  <c r="BV458"/>
  <c r="BQ196"/>
  <c r="CL123"/>
  <c r="BR713"/>
  <c r="CF876"/>
  <c r="BW16"/>
  <c r="BX16"/>
  <c r="CU304"/>
  <c r="CT327"/>
  <c r="CV302"/>
  <c r="CD412"/>
  <c r="CC412"/>
  <c r="CL582"/>
  <c r="AH385"/>
  <c r="BJ352"/>
  <c r="EE352" s="1"/>
  <c r="BK334"/>
  <c r="DO334" s="1"/>
  <c r="AJ334"/>
  <c r="AF346"/>
  <c r="BG346"/>
  <c r="EE346"/>
  <c r="BH73"/>
  <c r="DL73"/>
  <c r="AG73"/>
  <c r="AH73" s="1"/>
  <c r="AF733"/>
  <c r="AG136"/>
  <c r="BH136"/>
  <c r="DL136"/>
  <c r="CA763"/>
  <c r="BZ763"/>
  <c r="CB773"/>
  <c r="CA787"/>
  <c r="CH723"/>
  <c r="DF765"/>
  <c r="BW763"/>
  <c r="BW788" s="1"/>
  <c r="BX763"/>
  <c r="CU699"/>
  <c r="BV484"/>
  <c r="BV518"/>
  <c r="BU518"/>
  <c r="CD758"/>
  <c r="CE786"/>
  <c r="CC758"/>
  <c r="DP626"/>
  <c r="CF755"/>
  <c r="CG755"/>
  <c r="CI281"/>
  <c r="CJ281"/>
  <c r="CR477"/>
  <c r="CQ519"/>
  <c r="DD475"/>
  <c r="DC518"/>
  <c r="BU389"/>
  <c r="CL389"/>
  <c r="BZ760"/>
  <c r="CA760"/>
  <c r="BY519"/>
  <c r="BW477"/>
  <c r="BW519"/>
  <c r="BX477"/>
  <c r="BX519"/>
  <c r="BL485"/>
  <c r="DG48"/>
  <c r="DF61"/>
  <c r="CV170"/>
  <c r="BG543"/>
  <c r="AF543"/>
  <c r="DD773"/>
  <c r="AK739" i="3"/>
  <c r="AK741"/>
  <c r="BP773" i="1"/>
  <c r="BO787"/>
  <c r="BO789"/>
  <c r="AE667"/>
  <c r="BH667" s="1"/>
  <c r="DL667" s="1"/>
  <c r="BF254"/>
  <c r="BG353"/>
  <c r="AE383"/>
  <c r="CR787"/>
  <c r="BZ788"/>
  <c r="BZ786"/>
  <c r="BS683"/>
  <c r="DD658"/>
  <c r="DE634"/>
  <c r="DE654"/>
  <c r="DF626"/>
  <c r="DE656"/>
  <c r="DD576"/>
  <c r="DC589"/>
  <c r="BV591"/>
  <c r="CM760"/>
  <c r="CX772"/>
  <c r="CX791" s="1"/>
  <c r="R791"/>
  <c r="R840"/>
  <c r="CS485"/>
  <c r="CU471"/>
  <c r="CT515"/>
  <c r="CB378"/>
  <c r="CA390"/>
  <c r="CR378"/>
  <c r="AI584"/>
  <c r="AI582"/>
  <c r="BN756"/>
  <c r="BO756"/>
  <c r="DF220"/>
  <c r="DE911"/>
  <c r="DE251"/>
  <c r="BT216"/>
  <c r="BU216"/>
  <c r="DO588"/>
  <c r="DP560"/>
  <c r="BU524"/>
  <c r="BU522"/>
  <c r="CJ391"/>
  <c r="CS345"/>
  <c r="CE311"/>
  <c r="AB215"/>
  <c r="BE215" s="1"/>
  <c r="CQ186"/>
  <c r="CR154"/>
  <c r="CS113"/>
  <c r="CR129"/>
  <c r="DD344"/>
  <c r="DC386"/>
  <c r="DC913"/>
  <c r="AK345" i="3"/>
  <c r="N141" i="1"/>
  <c r="M185"/>
  <c r="AO141"/>
  <c r="M187"/>
  <c r="CR141"/>
  <c r="BP141"/>
  <c r="AN187"/>
  <c r="AN185"/>
  <c r="AQ730"/>
  <c r="AN730"/>
  <c r="DZ730"/>
  <c r="CR70"/>
  <c r="BP70"/>
  <c r="DO320"/>
  <c r="DP278"/>
  <c r="CV8"/>
  <c r="AS8"/>
  <c r="CW8"/>
  <c r="R8"/>
  <c r="Q734"/>
  <c r="BE23"/>
  <c r="DN72"/>
  <c r="AF72"/>
  <c r="BI72"/>
  <c r="DM72" s="1"/>
  <c r="BO211"/>
  <c r="BN211"/>
  <c r="BN253"/>
  <c r="CQ211"/>
  <c r="CP253"/>
  <c r="CQ123"/>
  <c r="CR81"/>
  <c r="DP119"/>
  <c r="BR73"/>
  <c r="BQ73"/>
  <c r="AC17"/>
  <c r="BO915"/>
  <c r="BO916"/>
  <c r="BO899"/>
  <c r="BO13"/>
  <c r="BO56" s="1"/>
  <c r="BN13"/>
  <c r="BN56" s="1"/>
  <c r="BP56"/>
  <c r="CQ56"/>
  <c r="CR13"/>
  <c r="BO912"/>
  <c r="BO896"/>
  <c r="BO913"/>
  <c r="BO876"/>
  <c r="BO903" s="1"/>
  <c r="BO75"/>
  <c r="BP121"/>
  <c r="BN75"/>
  <c r="BP119"/>
  <c r="CI459"/>
  <c r="CI457"/>
  <c r="AD185"/>
  <c r="BG142"/>
  <c r="CK142" s="1"/>
  <c r="CK185" s="1"/>
  <c r="BG185"/>
  <c r="DK142"/>
  <c r="EF141"/>
  <c r="DF102"/>
  <c r="BC744"/>
  <c r="BD744"/>
  <c r="CE84"/>
  <c r="AO146"/>
  <c r="N146"/>
  <c r="M147"/>
  <c r="AM189"/>
  <c r="CQ147"/>
  <c r="CR157"/>
  <c r="CQ144"/>
  <c r="CQ187" s="1"/>
  <c r="M123"/>
  <c r="AO81"/>
  <c r="DE60"/>
  <c r="DF32"/>
  <c r="DE62"/>
  <c r="AU744"/>
  <c r="AV744"/>
  <c r="BQ8"/>
  <c r="BR8"/>
  <c r="AS4"/>
  <c r="CW4"/>
  <c r="R4"/>
  <c r="Q22"/>
  <c r="AR22"/>
  <c r="CS60"/>
  <c r="CT32"/>
  <c r="CS62"/>
  <c r="BO23"/>
  <c r="BO54"/>
  <c r="BN23"/>
  <c r="BN54"/>
  <c r="BP54"/>
  <c r="AM734"/>
  <c r="L734"/>
  <c r="AN140"/>
  <c r="CR140"/>
  <c r="DZ140"/>
  <c r="CH113"/>
  <c r="CG127"/>
  <c r="BN80"/>
  <c r="BO80"/>
  <c r="CJ16"/>
  <c r="CI16"/>
  <c r="AC16"/>
  <c r="BF16" s="1"/>
  <c r="EE16"/>
  <c r="EO41" s="1"/>
  <c r="BR900"/>
  <c r="BR917"/>
  <c r="BR896"/>
  <c r="BR912"/>
  <c r="BR913"/>
  <c r="BW910"/>
  <c r="BU655"/>
  <c r="BF215"/>
  <c r="EE215"/>
  <c r="EO240" s="1"/>
  <c r="DN70"/>
  <c r="DN6"/>
  <c r="CK17"/>
  <c r="CJ876"/>
  <c r="CS146"/>
  <c r="M740"/>
  <c r="AO740" s="1"/>
  <c r="BP6"/>
  <c r="BQ216"/>
  <c r="BR216"/>
  <c r="AG221"/>
  <c r="AG251" s="1"/>
  <c r="AF251"/>
  <c r="DG302"/>
  <c r="CV436"/>
  <c r="DI436"/>
  <c r="AC412"/>
  <c r="BD412"/>
  <c r="DN584"/>
  <c r="DO550"/>
  <c r="DN582"/>
  <c r="CI317"/>
  <c r="CJ287"/>
  <c r="CG346"/>
  <c r="CF346"/>
  <c r="DJ543"/>
  <c r="CE789"/>
  <c r="CU765"/>
  <c r="BX788"/>
  <c r="BT788"/>
  <c r="BU788"/>
  <c r="DF39"/>
  <c r="DE64"/>
  <c r="AM15" i="3"/>
  <c r="DE895" i="1"/>
  <c r="DI286"/>
  <c r="BF383"/>
  <c r="DD642"/>
  <c r="BP642"/>
  <c r="CB576"/>
  <c r="CA589"/>
  <c r="DD912"/>
  <c r="DE278"/>
  <c r="DD320"/>
  <c r="AL279" i="3"/>
  <c r="DD764" i="1"/>
  <c r="DC789"/>
  <c r="BV657"/>
  <c r="CT550"/>
  <c r="CS584"/>
  <c r="AE534"/>
  <c r="BH534" s="1"/>
  <c r="DL534" s="1"/>
  <c r="CB525"/>
  <c r="CB523"/>
  <c r="DD378"/>
  <c r="DC390"/>
  <c r="BP378"/>
  <c r="CG754"/>
  <c r="CF754"/>
  <c r="BZ900"/>
  <c r="CA900"/>
  <c r="DE312"/>
  <c r="DD324"/>
  <c r="AB281"/>
  <c r="BE281"/>
  <c r="DE577"/>
  <c r="DD565"/>
  <c r="DC588"/>
  <c r="DD560"/>
  <c r="DC590"/>
  <c r="BV584"/>
  <c r="BV582"/>
  <c r="DE418"/>
  <c r="DD452"/>
  <c r="DD450"/>
  <c r="DD914"/>
  <c r="AL411" i="3"/>
  <c r="AL409"/>
  <c r="BT389" i="1"/>
  <c r="CM389"/>
  <c r="BZ764"/>
  <c r="BZ789"/>
  <c r="CA764"/>
  <c r="CA789"/>
  <c r="BU733"/>
  <c r="BT733"/>
  <c r="DK584"/>
  <c r="DL550"/>
  <c r="EE543"/>
  <c r="DG122"/>
  <c r="DH79"/>
  <c r="AE681"/>
  <c r="DJ681"/>
  <c r="DK615"/>
  <c r="AF615"/>
  <c r="BG213"/>
  <c r="EE213"/>
  <c r="AF213"/>
  <c r="AE254"/>
  <c r="EF89"/>
  <c r="EF120" s="1"/>
  <c r="EG120" s="1"/>
  <c r="CH120"/>
  <c r="BH335"/>
  <c r="DL335" s="1"/>
  <c r="AT337" i="3" s="1"/>
  <c r="AF353" i="1"/>
  <c r="AG335"/>
  <c r="BV773"/>
  <c r="BU787"/>
  <c r="CA786"/>
  <c r="CA788"/>
  <c r="CA655"/>
  <c r="CB642"/>
  <c r="CR642"/>
  <c r="CE657"/>
  <c r="DJ614"/>
  <c r="DJ652" s="1"/>
  <c r="AE614"/>
  <c r="CT475"/>
  <c r="DL499"/>
  <c r="BX589"/>
  <c r="BY575"/>
  <c r="BX591"/>
  <c r="BS485"/>
  <c r="BR516"/>
  <c r="BL203"/>
  <c r="DP203"/>
  <c r="EB203" s="1"/>
  <c r="EG203" s="1"/>
  <c r="AJ221"/>
  <c r="BK221"/>
  <c r="AI251"/>
  <c r="BL532"/>
  <c r="DP532"/>
  <c r="EB532" s="1"/>
  <c r="EG532" s="1"/>
  <c r="DF230"/>
  <c r="DE257"/>
  <c r="BS221"/>
  <c r="BS251"/>
  <c r="BR251"/>
  <c r="BT522"/>
  <c r="BT524"/>
  <c r="DP362"/>
  <c r="DO389"/>
  <c r="BS311"/>
  <c r="BR324"/>
  <c r="BR326"/>
  <c r="BN146"/>
  <c r="BO146"/>
  <c r="CQ54"/>
  <c r="CR23"/>
  <c r="CH523"/>
  <c r="CH525"/>
  <c r="CT168"/>
  <c r="CS169"/>
  <c r="CS194"/>
  <c r="BP154"/>
  <c r="BO188"/>
  <c r="BO186"/>
  <c r="AR744"/>
  <c r="BV129"/>
  <c r="BR120"/>
  <c r="BS89"/>
  <c r="BS120"/>
  <c r="AH122"/>
  <c r="AH120"/>
  <c r="AE70"/>
  <c r="AF730"/>
  <c r="DD246"/>
  <c r="AN735"/>
  <c r="L779"/>
  <c r="AQ732"/>
  <c r="Q138"/>
  <c r="P732"/>
  <c r="AR138"/>
  <c r="Q136"/>
  <c r="P154"/>
  <c r="AR136"/>
  <c r="AQ154"/>
  <c r="O188"/>
  <c r="AN123"/>
  <c r="BP81"/>
  <c r="L120"/>
  <c r="AN88"/>
  <c r="L122"/>
  <c r="L748"/>
  <c r="L782" s="1"/>
  <c r="BU18"/>
  <c r="BT18"/>
  <c r="AR734"/>
  <c r="CL6"/>
  <c r="CM6"/>
  <c r="DM6"/>
  <c r="AE6"/>
  <c r="AF732"/>
  <c r="AP54"/>
  <c r="AN732"/>
  <c r="DZ732"/>
  <c r="CI127"/>
  <c r="CI129"/>
  <c r="CJ113"/>
  <c r="CC896"/>
  <c r="CD896"/>
  <c r="BQ5"/>
  <c r="BR5"/>
  <c r="BN915"/>
  <c r="BN899"/>
  <c r="BN916"/>
  <c r="BN896"/>
  <c r="BN912"/>
  <c r="BN913"/>
  <c r="BN876"/>
  <c r="BN903"/>
  <c r="EE273"/>
  <c r="AB273"/>
  <c r="BE273"/>
  <c r="BE318" s="1"/>
  <c r="AC318"/>
  <c r="CJ457"/>
  <c r="CJ459"/>
  <c r="CF391"/>
  <c r="CF389"/>
  <c r="CG389"/>
  <c r="CG391"/>
  <c r="AC142"/>
  <c r="AB141"/>
  <c r="BE141" s="1"/>
  <c r="CF84"/>
  <c r="CG84"/>
  <c r="EF84"/>
  <c r="EM109" s="1"/>
  <c r="ER109" s="1"/>
  <c r="BC90"/>
  <c r="CE90"/>
  <c r="DG90" s="1"/>
  <c r="AA750"/>
  <c r="BC750" s="1"/>
  <c r="CE750" s="1"/>
  <c r="DG750" s="1"/>
  <c r="BN345"/>
  <c r="BN386" s="1"/>
  <c r="BO345"/>
  <c r="BO386" s="1"/>
  <c r="BP386"/>
  <c r="AN739"/>
  <c r="N211"/>
  <c r="M253"/>
  <c r="AO211"/>
  <c r="M739"/>
  <c r="AN147"/>
  <c r="AN189" s="1"/>
  <c r="L189"/>
  <c r="BR154"/>
  <c r="AP188"/>
  <c r="AP80"/>
  <c r="O80"/>
  <c r="N81"/>
  <c r="K780"/>
  <c r="AM748"/>
  <c r="K782"/>
  <c r="AM122"/>
  <c r="CQ88"/>
  <c r="BO88"/>
  <c r="AM120"/>
  <c r="CD899"/>
  <c r="CC899"/>
  <c r="BR241"/>
  <c r="BQ241"/>
  <c r="Q5"/>
  <c r="P23"/>
  <c r="AR5"/>
  <c r="AQ23"/>
  <c r="AQ54"/>
  <c r="AD23"/>
  <c r="O54"/>
  <c r="CV4"/>
  <c r="BS22"/>
  <c r="EF148"/>
  <c r="AC83"/>
  <c r="BF83" s="1"/>
  <c r="EE83"/>
  <c r="AO15"/>
  <c r="M57"/>
  <c r="M741"/>
  <c r="O14"/>
  <c r="N15"/>
  <c r="AP14"/>
  <c r="N740"/>
  <c r="AP740" s="1"/>
  <c r="CQ140"/>
  <c r="BP140"/>
  <c r="CR121"/>
  <c r="CR119"/>
  <c r="BQ900"/>
  <c r="BQ917"/>
  <c r="BQ912"/>
  <c r="BQ896"/>
  <c r="BQ913"/>
  <c r="BX910"/>
  <c r="BV516"/>
  <c r="BI534"/>
  <c r="DM534" s="1"/>
  <c r="BI667"/>
  <c r="DM667" s="1"/>
  <c r="CB788"/>
  <c r="BS138"/>
  <c r="BS136"/>
  <c r="BF141"/>
  <c r="CK83"/>
  <c r="L741"/>
  <c r="CS80"/>
  <c r="CT80" s="1"/>
  <c r="CD546"/>
  <c r="CC546"/>
  <c r="CU407"/>
  <c r="AP13"/>
  <c r="AP56"/>
  <c r="N56"/>
  <c r="O13"/>
  <c r="CT409"/>
  <c r="CS452"/>
  <c r="CS193"/>
  <c r="CT179"/>
  <c r="CS195"/>
  <c r="DF13"/>
  <c r="DE56"/>
  <c r="CT362"/>
  <c r="CS389"/>
  <c r="BT279"/>
  <c r="BU279"/>
  <c r="DF247"/>
  <c r="DE235"/>
  <c r="DE259"/>
  <c r="CT543"/>
  <c r="CT775"/>
  <c r="CS763"/>
  <c r="CS245"/>
  <c r="CU247"/>
  <c r="CT235"/>
  <c r="CQ316"/>
  <c r="CR273"/>
  <c r="DE410"/>
  <c r="DD453"/>
  <c r="AO316"/>
  <c r="P9"/>
  <c r="O53"/>
  <c r="AQ9"/>
  <c r="O55"/>
  <c r="AP53"/>
  <c r="AP55"/>
  <c r="AO56"/>
  <c r="CT313"/>
  <c r="CS301"/>
  <c r="CS325"/>
  <c r="DE370"/>
  <c r="DD393"/>
  <c r="DD902"/>
  <c r="DE501"/>
  <c r="P539"/>
  <c r="O583"/>
  <c r="O553"/>
  <c r="AQ539"/>
  <c r="AP553"/>
  <c r="AP583"/>
  <c r="BO273"/>
  <c r="BO316"/>
  <c r="BN273"/>
  <c r="BN316"/>
  <c r="BP316"/>
  <c r="DF38"/>
  <c r="DE63"/>
  <c r="CR64"/>
  <c r="CS40"/>
  <c r="DF377"/>
  <c r="DE392"/>
  <c r="AM343" i="3"/>
  <c r="CE390" i="1"/>
  <c r="CE392"/>
  <c r="CJ10"/>
  <c r="CI10"/>
  <c r="O273"/>
  <c r="N316"/>
  <c r="AP273"/>
  <c r="AP316" s="1"/>
  <c r="BS539"/>
  <c r="DL142"/>
  <c r="BH185"/>
  <c r="AE673"/>
  <c r="AD716"/>
  <c r="BF673"/>
  <c r="AE409"/>
  <c r="AD452"/>
  <c r="BL401"/>
  <c r="DP401"/>
  <c r="EB401" s="1"/>
  <c r="EG401" s="1"/>
  <c r="Q403" i="3" s="1"/>
  <c r="AJ419" i="1"/>
  <c r="Z912"/>
  <c r="Z320"/>
  <c r="BB278"/>
  <c r="AA278"/>
  <c r="BA912"/>
  <c r="BA320"/>
  <c r="DE57"/>
  <c r="DF15"/>
  <c r="BY525"/>
  <c r="BF477"/>
  <c r="AE477"/>
  <c r="AD519"/>
  <c r="BK682"/>
  <c r="AI716"/>
  <c r="CT494"/>
  <c r="CS522"/>
  <c r="CH655"/>
  <c r="BK602"/>
  <c r="DO602" s="1"/>
  <c r="AJ602"/>
  <c r="DG49"/>
  <c r="DF37"/>
  <c r="CS172"/>
  <c r="CR196"/>
  <c r="CS509"/>
  <c r="CR523"/>
  <c r="DJ404"/>
  <c r="AR405" i="3" s="1"/>
  <c r="BI400" i="1"/>
  <c r="DM400" s="1"/>
  <c r="AH400"/>
  <c r="DG237"/>
  <c r="DF898"/>
  <c r="BI666"/>
  <c r="DM666"/>
  <c r="AH666"/>
  <c r="CH610"/>
  <c r="AE610"/>
  <c r="BF610"/>
  <c r="AE609"/>
  <c r="BF609"/>
  <c r="DJ633"/>
  <c r="EJ164"/>
  <c r="DG471"/>
  <c r="CS192"/>
  <c r="CT164"/>
  <c r="AL147" i="3"/>
  <c r="DE179" i="1"/>
  <c r="AL145" i="3"/>
  <c r="DF509" i="1"/>
  <c r="AM477" i="3"/>
  <c r="AM475"/>
  <c r="AO252" i="1"/>
  <c r="AO250"/>
  <c r="CT343"/>
  <c r="AE676"/>
  <c r="CH676"/>
  <c r="BF676"/>
  <c r="DN682"/>
  <c r="EF682"/>
  <c r="BJ716"/>
  <c r="BI601"/>
  <c r="DM601" s="1"/>
  <c r="AH601"/>
  <c r="BO207"/>
  <c r="BP250"/>
  <c r="BN207"/>
  <c r="DF81"/>
  <c r="DP158"/>
  <c r="DP189"/>
  <c r="BL668"/>
  <c r="DP668"/>
  <c r="EB668" s="1"/>
  <c r="EG668" s="1"/>
  <c r="Q669" i="3" s="1"/>
  <c r="L669" s="1"/>
  <c r="AZ538" i="1"/>
  <c r="CB538"/>
  <c r="DE538"/>
  <c r="AE15"/>
  <c r="BF15"/>
  <c r="BK419"/>
  <c r="CT449"/>
  <c r="CU405"/>
  <c r="CV48"/>
  <c r="CU61"/>
  <c r="BS319"/>
  <c r="BZ912"/>
  <c r="CA912"/>
  <c r="DF213"/>
  <c r="DE254"/>
  <c r="BL664"/>
  <c r="DP664" s="1"/>
  <c r="EB664" s="1"/>
  <c r="EG664" s="1"/>
  <c r="BX251"/>
  <c r="BL468"/>
  <c r="DP468"/>
  <c r="EB468" s="1"/>
  <c r="EG468" s="1"/>
  <c r="EN491" s="1"/>
  <c r="ES491" s="1"/>
  <c r="CI414"/>
  <c r="CJ414"/>
  <c r="AF404"/>
  <c r="BG404"/>
  <c r="DK404"/>
  <c r="BF478"/>
  <c r="CH478"/>
  <c r="AE478"/>
  <c r="DJ105"/>
  <c r="DI130"/>
  <c r="DI896"/>
  <c r="BF411"/>
  <c r="AE411"/>
  <c r="CL419"/>
  <c r="BJ450"/>
  <c r="DN419"/>
  <c r="CX286"/>
  <c r="CW319"/>
  <c r="AP207"/>
  <c r="N252"/>
  <c r="O207"/>
  <c r="N250"/>
  <c r="CT501"/>
  <c r="CS588"/>
  <c r="CT560"/>
  <c r="CS590"/>
  <c r="BH403"/>
  <c r="DL403"/>
  <c r="AG403"/>
  <c r="CH450"/>
  <c r="DH435"/>
  <c r="DG901"/>
  <c r="DG460"/>
  <c r="DJ610"/>
  <c r="S71"/>
  <c r="R89"/>
  <c r="AT71"/>
  <c r="CX71" s="1"/>
  <c r="DH459"/>
  <c r="DI434"/>
  <c r="AL277" i="3"/>
  <c r="DE311" i="1"/>
  <c r="DD326"/>
  <c r="CT341"/>
  <c r="CS342"/>
  <c r="CS384" s="1"/>
  <c r="BO213"/>
  <c r="BN213"/>
  <c r="AO213"/>
  <c r="M254"/>
  <c r="CS632"/>
  <c r="CS353"/>
  <c r="DE353"/>
  <c r="DD383"/>
  <c r="AE81"/>
  <c r="AD123"/>
  <c r="CH81"/>
  <c r="BF81"/>
  <c r="BT89"/>
  <c r="AR120"/>
  <c r="AV85"/>
  <c r="AW85"/>
  <c r="T745"/>
  <c r="CU77"/>
  <c r="CT78"/>
  <c r="CT568"/>
  <c r="DE674"/>
  <c r="DD918"/>
  <c r="DD717"/>
  <c r="EE545"/>
  <c r="EO570" s="1"/>
  <c r="AL79" i="3"/>
  <c r="DD129" i="1"/>
  <c r="DE113"/>
  <c r="DE385"/>
  <c r="DF343"/>
  <c r="AP619"/>
  <c r="AP649"/>
  <c r="DK154"/>
  <c r="DJ186"/>
  <c r="CS212"/>
  <c r="CJ150"/>
  <c r="CI150"/>
  <c r="EF150"/>
  <c r="EM175" s="1"/>
  <c r="ER175" s="1"/>
  <c r="AS89"/>
  <c r="AS120" s="1"/>
  <c r="Q120"/>
  <c r="CS382"/>
  <c r="CT339"/>
  <c r="DJ156"/>
  <c r="EF156"/>
  <c r="CU312"/>
  <c r="CB127"/>
  <c r="CB129"/>
  <c r="CT682"/>
  <c r="CS716"/>
  <c r="DD714"/>
  <c r="BY789"/>
  <c r="CV223"/>
  <c r="BI338"/>
  <c r="DM338" s="1"/>
  <c r="AH338"/>
  <c r="CQ254"/>
  <c r="CR213"/>
  <c r="AP212"/>
  <c r="O212"/>
  <c r="N213"/>
  <c r="BE741"/>
  <c r="DF709"/>
  <c r="DE697"/>
  <c r="DE722"/>
  <c r="DE763"/>
  <c r="DF775"/>
  <c r="DE551"/>
  <c r="DD582"/>
  <c r="CT37"/>
  <c r="CU49"/>
  <c r="CS367"/>
  <c r="CS391"/>
  <c r="CT379"/>
  <c r="CT539"/>
  <c r="AV283"/>
  <c r="AW283"/>
  <c r="DF741"/>
  <c r="P605"/>
  <c r="AQ605"/>
  <c r="O649"/>
  <c r="O619"/>
  <c r="CY434"/>
  <c r="CX459"/>
  <c r="BY744"/>
  <c r="BV71"/>
  <c r="BY85"/>
  <c r="L783"/>
  <c r="BR138"/>
  <c r="BQ138"/>
  <c r="BO140"/>
  <c r="BN140"/>
  <c r="AP15"/>
  <c r="AP57" s="1"/>
  <c r="N57"/>
  <c r="AO741"/>
  <c r="AO783" s="1"/>
  <c r="M783"/>
  <c r="AO57"/>
  <c r="BF23"/>
  <c r="AS5"/>
  <c r="CW5"/>
  <c r="Q23"/>
  <c r="R5"/>
  <c r="BP88"/>
  <c r="BO120"/>
  <c r="BO122"/>
  <c r="AM782"/>
  <c r="AM780"/>
  <c r="CQ748"/>
  <c r="BO748"/>
  <c r="AP81"/>
  <c r="AP123"/>
  <c r="N123"/>
  <c r="M782"/>
  <c r="AO739"/>
  <c r="AA141"/>
  <c r="AB142"/>
  <c r="BD141"/>
  <c r="BE142"/>
  <c r="BE185" s="1"/>
  <c r="AC185"/>
  <c r="CK113"/>
  <c r="CJ129"/>
  <c r="CV734"/>
  <c r="L780"/>
  <c r="AN748"/>
  <c r="AN780"/>
  <c r="AN120"/>
  <c r="AN122"/>
  <c r="BN81"/>
  <c r="BN123"/>
  <c r="BO81"/>
  <c r="BO123"/>
  <c r="BP123"/>
  <c r="AQ188"/>
  <c r="R136"/>
  <c r="AS136"/>
  <c r="CW136"/>
  <c r="Q154"/>
  <c r="CV138"/>
  <c r="AS138"/>
  <c r="CW138"/>
  <c r="R138"/>
  <c r="Q732"/>
  <c r="CU732"/>
  <c r="BS732"/>
  <c r="AN779"/>
  <c r="DE246"/>
  <c r="AD70"/>
  <c r="BG70"/>
  <c r="AE730"/>
  <c r="BP186"/>
  <c r="BP188"/>
  <c r="CU168"/>
  <c r="CT169"/>
  <c r="CT194"/>
  <c r="AJ584"/>
  <c r="AJ582"/>
  <c r="CU475"/>
  <c r="AF614"/>
  <c r="DK614"/>
  <c r="CS642"/>
  <c r="BV787"/>
  <c r="BH353"/>
  <c r="BH383"/>
  <c r="AF383"/>
  <c r="DH122"/>
  <c r="DI79"/>
  <c r="DF418"/>
  <c r="DE452"/>
  <c r="AM411" i="3"/>
  <c r="AM409"/>
  <c r="DE450" i="1"/>
  <c r="DE914"/>
  <c r="DE560"/>
  <c r="DD590"/>
  <c r="DD588"/>
  <c r="AA281"/>
  <c r="BD281"/>
  <c r="CH281" s="1"/>
  <c r="DE324"/>
  <c r="DE378"/>
  <c r="DD390"/>
  <c r="AL344" i="3" s="1"/>
  <c r="AD534" i="1"/>
  <c r="BG534"/>
  <c r="CU550"/>
  <c r="CT584"/>
  <c r="DE764"/>
  <c r="DE642"/>
  <c r="DJ286"/>
  <c r="DF895"/>
  <c r="DF64"/>
  <c r="DG39"/>
  <c r="AN15" i="3"/>
  <c r="CV765" i="1"/>
  <c r="CJ317"/>
  <c r="DO584"/>
  <c r="DP550"/>
  <c r="DP582" s="1"/>
  <c r="DO582"/>
  <c r="CW436"/>
  <c r="AB16"/>
  <c r="BE16" s="1"/>
  <c r="DZ734"/>
  <c r="AN734"/>
  <c r="CR734"/>
  <c r="CQ734"/>
  <c r="CU32"/>
  <c r="CT60"/>
  <c r="CT62"/>
  <c r="AS22"/>
  <c r="S4"/>
  <c r="AT4"/>
  <c r="R22"/>
  <c r="R730"/>
  <c r="CS157"/>
  <c r="M189"/>
  <c r="AO147"/>
  <c r="CC84"/>
  <c r="CD84"/>
  <c r="DG102"/>
  <c r="EF142"/>
  <c r="BN121"/>
  <c r="BN119"/>
  <c r="BO121"/>
  <c r="BO119"/>
  <c r="CS13"/>
  <c r="AB17"/>
  <c r="BE17"/>
  <c r="CQ253"/>
  <c r="CR211"/>
  <c r="AS734"/>
  <c r="CW734"/>
  <c r="BP730"/>
  <c r="CR730"/>
  <c r="CU730"/>
  <c r="BS730"/>
  <c r="CS141"/>
  <c r="CR185"/>
  <c r="AO187"/>
  <c r="AO185"/>
  <c r="DP588"/>
  <c r="BK584"/>
  <c r="BK582"/>
  <c r="CS378"/>
  <c r="CV471"/>
  <c r="CU515"/>
  <c r="CT485"/>
  <c r="DF654"/>
  <c r="DG626"/>
  <c r="DE658"/>
  <c r="DF634"/>
  <c r="DE773"/>
  <c r="AL739" i="3"/>
  <c r="AG543" i="1"/>
  <c r="BH543"/>
  <c r="DD518"/>
  <c r="CS477"/>
  <c r="CR519"/>
  <c r="DG765"/>
  <c r="CB789"/>
  <c r="BI73"/>
  <c r="DM73"/>
  <c r="CK73"/>
  <c r="AG733"/>
  <c r="BK352"/>
  <c r="BK385" s="1"/>
  <c r="AI385"/>
  <c r="EF352"/>
  <c r="DN352"/>
  <c r="BJ385"/>
  <c r="CW302"/>
  <c r="CV304"/>
  <c r="CU327"/>
  <c r="BI732"/>
  <c r="DM732"/>
  <c r="BH70"/>
  <c r="DL70"/>
  <c r="AE652"/>
  <c r="DK652"/>
  <c r="BP147"/>
  <c r="BF142"/>
  <c r="CI83"/>
  <c r="CJ83"/>
  <c r="EE141"/>
  <c r="EO164" s="1"/>
  <c r="BR136"/>
  <c r="BQ136"/>
  <c r="P14"/>
  <c r="AQ14"/>
  <c r="BS14"/>
  <c r="O15"/>
  <c r="AB83"/>
  <c r="BE83" s="1"/>
  <c r="BR22"/>
  <c r="BQ22"/>
  <c r="CV5"/>
  <c r="AR23"/>
  <c r="AE23"/>
  <c r="P54"/>
  <c r="CR88"/>
  <c r="CQ120"/>
  <c r="P80"/>
  <c r="AQ80"/>
  <c r="BS80" s="1"/>
  <c r="O81"/>
  <c r="BS154"/>
  <c r="AO253"/>
  <c r="N253"/>
  <c r="N739"/>
  <c r="AP211"/>
  <c r="AP253"/>
  <c r="O211"/>
  <c r="BP739"/>
  <c r="AN782"/>
  <c r="AA273"/>
  <c r="BD273" s="1"/>
  <c r="AB318"/>
  <c r="CR732"/>
  <c r="BP732"/>
  <c r="AD6"/>
  <c r="BG6" s="1"/>
  <c r="CV136"/>
  <c r="P188"/>
  <c r="AR154"/>
  <c r="AR732"/>
  <c r="BH730"/>
  <c r="CS23"/>
  <c r="BS324"/>
  <c r="BS326"/>
  <c r="DG230"/>
  <c r="DF257"/>
  <c r="BK251"/>
  <c r="CM221"/>
  <c r="DO221"/>
  <c r="BL221"/>
  <c r="BL251"/>
  <c r="AJ251"/>
  <c r="BY589"/>
  <c r="BY591"/>
  <c r="BI335"/>
  <c r="DM335" s="1"/>
  <c r="AG353"/>
  <c r="AH335"/>
  <c r="BH213"/>
  <c r="AG213"/>
  <c r="AF254"/>
  <c r="DL615"/>
  <c r="AF652"/>
  <c r="DK681"/>
  <c r="AF681"/>
  <c r="DM550"/>
  <c r="DL584"/>
  <c r="DE565"/>
  <c r="DF577"/>
  <c r="DE912"/>
  <c r="DE320"/>
  <c r="AM279" i="3"/>
  <c r="DF278" i="1"/>
  <c r="DK543"/>
  <c r="BE412"/>
  <c r="AD412"/>
  <c r="DJ436"/>
  <c r="DH302"/>
  <c r="DI669"/>
  <c r="BN6"/>
  <c r="BO6"/>
  <c r="CJ17"/>
  <c r="CI17"/>
  <c r="CH127"/>
  <c r="BW744"/>
  <c r="BX744"/>
  <c r="DG32"/>
  <c r="DF60"/>
  <c r="DF62"/>
  <c r="AO123"/>
  <c r="CQ189"/>
  <c r="CR147"/>
  <c r="AP146"/>
  <c r="CT146" s="1"/>
  <c r="O146"/>
  <c r="O740" s="1"/>
  <c r="N147"/>
  <c r="CS81"/>
  <c r="CR123"/>
  <c r="AE72"/>
  <c r="BH72" s="1"/>
  <c r="DL72" s="1"/>
  <c r="BE54"/>
  <c r="CH23"/>
  <c r="S8"/>
  <c r="AT8"/>
  <c r="R734"/>
  <c r="DP320"/>
  <c r="BN70"/>
  <c r="BO70"/>
  <c r="BN141"/>
  <c r="BP187"/>
  <c r="BO141"/>
  <c r="BP185"/>
  <c r="O141"/>
  <c r="N185"/>
  <c r="AP141"/>
  <c r="N187"/>
  <c r="DD913"/>
  <c r="AL345" i="3"/>
  <c r="DD386" i="1"/>
  <c r="DE344"/>
  <c r="CT113"/>
  <c r="CS129"/>
  <c r="CS154"/>
  <c r="CR186"/>
  <c r="AA215"/>
  <c r="BD215"/>
  <c r="CH215" s="1"/>
  <c r="CT345"/>
  <c r="DG220"/>
  <c r="DF251"/>
  <c r="DF911"/>
  <c r="DE576"/>
  <c r="DD589"/>
  <c r="CI353"/>
  <c r="BG383"/>
  <c r="AD667"/>
  <c r="BG667"/>
  <c r="CK667" s="1"/>
  <c r="AE733"/>
  <c r="BP787"/>
  <c r="BP789"/>
  <c r="CW170"/>
  <c r="DH48"/>
  <c r="DG61"/>
  <c r="DP654"/>
  <c r="CC786"/>
  <c r="CD786"/>
  <c r="CV699"/>
  <c r="AH136"/>
  <c r="BI136"/>
  <c r="DM136" s="1"/>
  <c r="AG730"/>
  <c r="AG346"/>
  <c r="BH346"/>
  <c r="DL346" s="1"/>
  <c r="DM346" s="1"/>
  <c r="EB346" s="1"/>
  <c r="EG346" s="1"/>
  <c r="BL334"/>
  <c r="DP334" s="1"/>
  <c r="EB334" s="1"/>
  <c r="EG334" s="1"/>
  <c r="EN357" s="1"/>
  <c r="ES357" s="1"/>
  <c r="BS23"/>
  <c r="BH6"/>
  <c r="DL6" s="1"/>
  <c r="P748"/>
  <c r="AR748" s="1"/>
  <c r="Q730"/>
  <c r="BF17"/>
  <c r="EE17"/>
  <c r="CM582"/>
  <c r="DG377"/>
  <c r="AN343" i="3"/>
  <c r="DF392" i="1"/>
  <c r="DG38"/>
  <c r="DF63"/>
  <c r="AQ553"/>
  <c r="AQ583"/>
  <c r="DF370"/>
  <c r="DE393"/>
  <c r="CT301"/>
  <c r="CT325"/>
  <c r="CU313"/>
  <c r="AQ53"/>
  <c r="AQ55"/>
  <c r="BS9"/>
  <c r="AR9"/>
  <c r="Q9"/>
  <c r="P53"/>
  <c r="P55"/>
  <c r="DF410"/>
  <c r="CU235"/>
  <c r="CV247"/>
  <c r="CU775"/>
  <c r="CT763"/>
  <c r="DG247"/>
  <c r="DF235"/>
  <c r="DF259" s="1"/>
  <c r="CU409"/>
  <c r="CT452"/>
  <c r="BS540"/>
  <c r="BQ539"/>
  <c r="BR539"/>
  <c r="AQ273"/>
  <c r="AQ316"/>
  <c r="P273"/>
  <c r="O316"/>
  <c r="CT40"/>
  <c r="CS64"/>
  <c r="Q539"/>
  <c r="P583"/>
  <c r="AR539"/>
  <c r="P553"/>
  <c r="BT553" s="1"/>
  <c r="BU553" s="1"/>
  <c r="BV553" s="1"/>
  <c r="DF501"/>
  <c r="DE902"/>
  <c r="CS273"/>
  <c r="CU543"/>
  <c r="CT389"/>
  <c r="CU362"/>
  <c r="DF56"/>
  <c r="DG13"/>
  <c r="CU179"/>
  <c r="CT193"/>
  <c r="CT195"/>
  <c r="AQ13"/>
  <c r="P13"/>
  <c r="O56"/>
  <c r="CV407"/>
  <c r="BS273"/>
  <c r="CU560"/>
  <c r="CT590"/>
  <c r="CT588"/>
  <c r="CU501"/>
  <c r="DN450"/>
  <c r="DO419"/>
  <c r="CM419"/>
  <c r="CL450"/>
  <c r="BG411"/>
  <c r="AF411"/>
  <c r="DJ130"/>
  <c r="DK105"/>
  <c r="FE82"/>
  <c r="FF82" s="1"/>
  <c r="DJ896"/>
  <c r="CF478"/>
  <c r="CG478"/>
  <c r="AG404"/>
  <c r="BH404"/>
  <c r="DL404" s="1"/>
  <c r="BL682"/>
  <c r="AJ716"/>
  <c r="AJ714"/>
  <c r="DF254"/>
  <c r="DG213"/>
  <c r="CW48"/>
  <c r="CV61"/>
  <c r="DG81"/>
  <c r="BG676"/>
  <c r="EE676"/>
  <c r="EO701" s="1"/>
  <c r="AF676"/>
  <c r="CU343"/>
  <c r="DH471"/>
  <c r="CG610"/>
  <c r="CF610"/>
  <c r="BJ666"/>
  <c r="DN666"/>
  <c r="AI666"/>
  <c r="AH732"/>
  <c r="DG898"/>
  <c r="DH237"/>
  <c r="CS523"/>
  <c r="CT509"/>
  <c r="CT522"/>
  <c r="CU494"/>
  <c r="AF409"/>
  <c r="AE452"/>
  <c r="BF716"/>
  <c r="AF673"/>
  <c r="AE716"/>
  <c r="BG673"/>
  <c r="EE673"/>
  <c r="EO698" s="1"/>
  <c r="DH901"/>
  <c r="DI435"/>
  <c r="DH460"/>
  <c r="BI403"/>
  <c r="DM403" s="1"/>
  <c r="AH403"/>
  <c r="AQ207"/>
  <c r="O250"/>
  <c r="P207"/>
  <c r="O252"/>
  <c r="AP252"/>
  <c r="AP250"/>
  <c r="CX319"/>
  <c r="CY286"/>
  <c r="EE411"/>
  <c r="BG478"/>
  <c r="EE478"/>
  <c r="EL503" s="1"/>
  <c r="EQ503" s="1"/>
  <c r="AF478"/>
  <c r="CV405"/>
  <c r="CU449"/>
  <c r="BG15"/>
  <c r="EE15"/>
  <c r="EO40" s="1"/>
  <c r="AF15"/>
  <c r="CA538"/>
  <c r="BZ538"/>
  <c r="AY538"/>
  <c r="DD538"/>
  <c r="BN250"/>
  <c r="BO250"/>
  <c r="BJ601"/>
  <c r="DN601"/>
  <c r="AI601"/>
  <c r="DO682"/>
  <c r="DN918"/>
  <c r="DN716"/>
  <c r="CG676"/>
  <c r="CF676"/>
  <c r="DG509"/>
  <c r="AN475" i="3"/>
  <c r="AN477"/>
  <c r="AM145"/>
  <c r="DF179" i="1"/>
  <c r="AM147" i="3"/>
  <c r="CT192" i="1"/>
  <c r="CU164"/>
  <c r="DK633"/>
  <c r="DJ904"/>
  <c r="BG609"/>
  <c r="EE609"/>
  <c r="AF609"/>
  <c r="BG610"/>
  <c r="EE610"/>
  <c r="AF610"/>
  <c r="BJ400"/>
  <c r="DN400" s="1"/>
  <c r="AI400"/>
  <c r="CS196"/>
  <c r="CT172"/>
  <c r="DH49"/>
  <c r="DG37"/>
  <c r="EE608"/>
  <c r="EE917" s="1"/>
  <c r="BL602"/>
  <c r="DP602" s="1"/>
  <c r="EB602" s="1"/>
  <c r="EG602" s="1"/>
  <c r="Q603" i="3" s="1"/>
  <c r="BK716" i="1"/>
  <c r="AF477"/>
  <c r="BG477"/>
  <c r="EE477"/>
  <c r="DG15"/>
  <c r="DF57"/>
  <c r="AA912"/>
  <c r="AB278"/>
  <c r="BC278"/>
  <c r="AA320"/>
  <c r="BB320"/>
  <c r="BB912"/>
  <c r="BL419"/>
  <c r="DK610"/>
  <c r="AQ649"/>
  <c r="AQ619"/>
  <c r="BS605"/>
  <c r="BS606" s="1"/>
  <c r="CT367"/>
  <c r="CT391" s="1"/>
  <c r="CU379"/>
  <c r="CU37"/>
  <c r="CV49"/>
  <c r="DF551"/>
  <c r="DE582"/>
  <c r="AP213"/>
  <c r="AP254"/>
  <c r="N254"/>
  <c r="BJ338"/>
  <c r="DN338" s="1"/>
  <c r="AI338"/>
  <c r="CW223"/>
  <c r="CU682"/>
  <c r="CT716"/>
  <c r="CV312"/>
  <c r="DK186"/>
  <c r="DL154"/>
  <c r="DE129"/>
  <c r="AM79" i="3"/>
  <c r="DF113" i="1"/>
  <c r="AW745"/>
  <c r="AV745"/>
  <c r="BU89"/>
  <c r="BT120"/>
  <c r="CF81"/>
  <c r="CF123" s="1"/>
  <c r="CG81"/>
  <c r="CG123" s="1"/>
  <c r="CH123"/>
  <c r="BG81"/>
  <c r="BG123"/>
  <c r="AF81"/>
  <c r="AE123"/>
  <c r="DF353"/>
  <c r="DE383"/>
  <c r="AM344" i="3" s="1"/>
  <c r="CT353" i="1"/>
  <c r="CT632"/>
  <c r="AO254"/>
  <c r="R120"/>
  <c r="AT89"/>
  <c r="AT120" s="1"/>
  <c r="BY283"/>
  <c r="CT212"/>
  <c r="BX85"/>
  <c r="BW85"/>
  <c r="BT71"/>
  <c r="BU71"/>
  <c r="CY459"/>
  <c r="CZ434"/>
  <c r="AR605"/>
  <c r="Q605"/>
  <c r="P619"/>
  <c r="BT619" s="1"/>
  <c r="BU619" s="1"/>
  <c r="BV619" s="1"/>
  <c r="P649"/>
  <c r="DG741"/>
  <c r="CU539"/>
  <c r="DF763"/>
  <c r="DG775"/>
  <c r="DF697"/>
  <c r="DF722"/>
  <c r="DG709"/>
  <c r="AQ212"/>
  <c r="BS212" s="1"/>
  <c r="P212"/>
  <c r="O213"/>
  <c r="CR254"/>
  <c r="CS213"/>
  <c r="CT382"/>
  <c r="CU339"/>
  <c r="DF385"/>
  <c r="DG343"/>
  <c r="DF674"/>
  <c r="DE918"/>
  <c r="DE717"/>
  <c r="CU568"/>
  <c r="CV77"/>
  <c r="CU78"/>
  <c r="EE81"/>
  <c r="EL106" s="1"/>
  <c r="EQ106" s="1"/>
  <c r="BF123"/>
  <c r="CU341"/>
  <c r="CT342"/>
  <c r="CT384" s="1"/>
  <c r="DF311"/>
  <c r="AN279" i="3" s="1"/>
  <c r="AM277"/>
  <c r="DE326" i="1"/>
  <c r="DJ434"/>
  <c r="S89"/>
  <c r="AU71"/>
  <c r="T71"/>
  <c r="CN582"/>
  <c r="BL352"/>
  <c r="BL385" s="1"/>
  <c r="AJ385"/>
  <c r="BI730"/>
  <c r="DM730"/>
  <c r="BJ136"/>
  <c r="DN136" s="1"/>
  <c r="AI136"/>
  <c r="CW699"/>
  <c r="DH61"/>
  <c r="DI48"/>
  <c r="CX170"/>
  <c r="AC667"/>
  <c r="BF667"/>
  <c r="DJ667" s="1"/>
  <c r="AR668" i="3" s="1"/>
  <c r="AD733" i="1"/>
  <c r="CU345"/>
  <c r="Z215"/>
  <c r="CS186"/>
  <c r="CT154"/>
  <c r="CU113"/>
  <c r="CT129"/>
  <c r="DE913"/>
  <c r="AM345" i="3"/>
  <c r="DF344" i="1"/>
  <c r="DE386"/>
  <c r="AP185"/>
  <c r="AP187"/>
  <c r="P141"/>
  <c r="AQ141"/>
  <c r="O187"/>
  <c r="O185"/>
  <c r="BO185"/>
  <c r="BO187"/>
  <c r="BN185"/>
  <c r="BN187"/>
  <c r="AT734"/>
  <c r="CX734"/>
  <c r="AU8"/>
  <c r="T8"/>
  <c r="S734"/>
  <c r="CG23"/>
  <c r="CG54"/>
  <c r="CH54"/>
  <c r="CF23"/>
  <c r="CF54" s="1"/>
  <c r="AD72"/>
  <c r="BG72" s="1"/>
  <c r="DK72" s="1"/>
  <c r="CT81"/>
  <c r="CS123"/>
  <c r="AP147"/>
  <c r="AP189" s="1"/>
  <c r="N189"/>
  <c r="AE412"/>
  <c r="CH412"/>
  <c r="BF412"/>
  <c r="DF912"/>
  <c r="DF320"/>
  <c r="DG278"/>
  <c r="DF565"/>
  <c r="DG577"/>
  <c r="BJ335"/>
  <c r="DN335" s="1"/>
  <c r="AH353"/>
  <c r="AI335"/>
  <c r="BI353"/>
  <c r="BI383" s="1"/>
  <c r="DP221"/>
  <c r="DG257"/>
  <c r="DH230"/>
  <c r="CV732"/>
  <c r="AR188"/>
  <c r="BT154"/>
  <c r="Z273"/>
  <c r="BC273"/>
  <c r="AA318"/>
  <c r="P211"/>
  <c r="AQ211"/>
  <c r="AQ253"/>
  <c r="O253"/>
  <c r="O739"/>
  <c r="AP739"/>
  <c r="N782"/>
  <c r="BS188"/>
  <c r="CS88"/>
  <c r="AR54"/>
  <c r="AA83"/>
  <c r="BD83" s="1"/>
  <c r="CH83" s="1"/>
  <c r="BF185"/>
  <c r="EE142"/>
  <c r="EL165" s="1"/>
  <c r="EQ165" s="1"/>
  <c r="BI733"/>
  <c r="DM733"/>
  <c r="AU734" i="3" s="1"/>
  <c r="CJ73" i="1"/>
  <c r="CI73"/>
  <c r="DF773"/>
  <c r="AM739" i="3"/>
  <c r="DF658" i="1"/>
  <c r="DG634"/>
  <c r="CW471"/>
  <c r="CV515"/>
  <c r="CT378"/>
  <c r="BR730"/>
  <c r="BQ730"/>
  <c r="CS211"/>
  <c r="CR253"/>
  <c r="AO189"/>
  <c r="CT157"/>
  <c r="AT730"/>
  <c r="CX730"/>
  <c r="AT22"/>
  <c r="T4"/>
  <c r="AU4"/>
  <c r="S22"/>
  <c r="CU60"/>
  <c r="CV32"/>
  <c r="CU62"/>
  <c r="AA16"/>
  <c r="BD16" s="1"/>
  <c r="CH16" s="1"/>
  <c r="CW765"/>
  <c r="DG64"/>
  <c r="DH39"/>
  <c r="AO15" i="3"/>
  <c r="DK286" i="1"/>
  <c r="CV550"/>
  <c r="CU584"/>
  <c r="Z281"/>
  <c r="DJ79"/>
  <c r="DI122"/>
  <c r="CV475"/>
  <c r="CU169"/>
  <c r="CU194"/>
  <c r="CV168"/>
  <c r="BQ732"/>
  <c r="BR732"/>
  <c r="AT138"/>
  <c r="CX138" s="1"/>
  <c r="S138"/>
  <c r="R732"/>
  <c r="AB185"/>
  <c r="DI142"/>
  <c r="CQ780"/>
  <c r="CR748"/>
  <c r="S5"/>
  <c r="R23"/>
  <c r="AT5"/>
  <c r="BP734"/>
  <c r="N741"/>
  <c r="BR23"/>
  <c r="BR54" s="1"/>
  <c r="BS54"/>
  <c r="BQ23"/>
  <c r="BQ54"/>
  <c r="BI346"/>
  <c r="CK346"/>
  <c r="BG733"/>
  <c r="CJ353"/>
  <c r="CI383"/>
  <c r="DF576"/>
  <c r="DE589"/>
  <c r="DH220"/>
  <c r="DG251"/>
  <c r="DG911"/>
  <c r="BV8"/>
  <c r="CX8"/>
  <c r="P146"/>
  <c r="P740" s="1"/>
  <c r="AQ146"/>
  <c r="O147"/>
  <c r="CR189"/>
  <c r="CS147"/>
  <c r="DG60"/>
  <c r="DH32"/>
  <c r="DG62"/>
  <c r="DJ669"/>
  <c r="DI302"/>
  <c r="DK436"/>
  <c r="DL543"/>
  <c r="EB550"/>
  <c r="DM584"/>
  <c r="DL681"/>
  <c r="BI213"/>
  <c r="AG254"/>
  <c r="CN221"/>
  <c r="CT23"/>
  <c r="AC6"/>
  <c r="BO732"/>
  <c r="BN732"/>
  <c r="BN739"/>
  <c r="BN782"/>
  <c r="BO739"/>
  <c r="BO782"/>
  <c r="O123"/>
  <c r="AQ81"/>
  <c r="AR80"/>
  <c r="Q80"/>
  <c r="P81"/>
  <c r="BG23"/>
  <c r="AQ15"/>
  <c r="O57"/>
  <c r="O741"/>
  <c r="Q14"/>
  <c r="P15"/>
  <c r="AR14"/>
  <c r="BN147"/>
  <c r="BN189" s="1"/>
  <c r="BO147"/>
  <c r="BO189" s="1"/>
  <c r="BP189"/>
  <c r="CW304"/>
  <c r="CV327"/>
  <c r="CX302"/>
  <c r="DO352"/>
  <c r="DN913"/>
  <c r="DN385"/>
  <c r="BJ73"/>
  <c r="EE73" s="1"/>
  <c r="EL96" s="1"/>
  <c r="EQ96" s="1"/>
  <c r="AI73"/>
  <c r="AH733"/>
  <c r="DH765"/>
  <c r="CT477"/>
  <c r="CS519"/>
  <c r="BI543"/>
  <c r="DH626"/>
  <c r="DG654"/>
  <c r="DG656"/>
  <c r="CU485"/>
  <c r="CT141"/>
  <c r="CS185"/>
  <c r="BN730"/>
  <c r="BO730"/>
  <c r="AA17"/>
  <c r="BD17" s="1"/>
  <c r="CH17" s="1"/>
  <c r="CT13"/>
  <c r="DH102"/>
  <c r="CX4"/>
  <c r="BV4"/>
  <c r="CX436"/>
  <c r="DP584"/>
  <c r="DF642"/>
  <c r="DF764"/>
  <c r="DE789"/>
  <c r="AC534"/>
  <c r="BF534"/>
  <c r="EE534"/>
  <c r="DK534"/>
  <c r="DF378"/>
  <c r="DE390"/>
  <c r="EF281"/>
  <c r="DF560"/>
  <c r="DE590"/>
  <c r="DE588"/>
  <c r="DG418"/>
  <c r="DF452"/>
  <c r="AN409" i="3"/>
  <c r="DF914" i="1"/>
  <c r="AN411" i="3"/>
  <c r="DF450" i="1"/>
  <c r="CT642"/>
  <c r="DL614"/>
  <c r="DL652"/>
  <c r="BL584"/>
  <c r="BL582"/>
  <c r="DL730"/>
  <c r="DK70"/>
  <c r="AC70"/>
  <c r="AD730"/>
  <c r="AS732"/>
  <c r="CW732"/>
  <c r="AS154"/>
  <c r="AS188" s="1"/>
  <c r="Q188"/>
  <c r="S136"/>
  <c r="S154" s="1"/>
  <c r="R154"/>
  <c r="AT136"/>
  <c r="BV136" s="1"/>
  <c r="CK129"/>
  <c r="Z141"/>
  <c r="BB141" s="1"/>
  <c r="AA142"/>
  <c r="BP748"/>
  <c r="BP780" s="1"/>
  <c r="BO780"/>
  <c r="BP122"/>
  <c r="BP120"/>
  <c r="AS23"/>
  <c r="AS54"/>
  <c r="Q54"/>
  <c r="AF23"/>
  <c r="BF54"/>
  <c r="EE23"/>
  <c r="AE732"/>
  <c r="BS211"/>
  <c r="BH733"/>
  <c r="DL733" s="1"/>
  <c r="BS141"/>
  <c r="BV22"/>
  <c r="BV138"/>
  <c r="BV734"/>
  <c r="DJ142"/>
  <c r="BR273"/>
  <c r="BQ273"/>
  <c r="CW407"/>
  <c r="Q13"/>
  <c r="AR13"/>
  <c r="P56"/>
  <c r="CV179"/>
  <c r="CU193"/>
  <c r="CU195"/>
  <c r="BQ540"/>
  <c r="BS583"/>
  <c r="BR540"/>
  <c r="CV409"/>
  <c r="CU452"/>
  <c r="DH247"/>
  <c r="DG235"/>
  <c r="DG259"/>
  <c r="CU763"/>
  <c r="CV775"/>
  <c r="CW247"/>
  <c r="CV235"/>
  <c r="DG410"/>
  <c r="AS9"/>
  <c r="R9"/>
  <c r="Q53"/>
  <c r="Q55"/>
  <c r="BQ9"/>
  <c r="BS53"/>
  <c r="BR9"/>
  <c r="DG370"/>
  <c r="DF393"/>
  <c r="DH38"/>
  <c r="DG63"/>
  <c r="AQ56"/>
  <c r="BS13"/>
  <c r="DG56"/>
  <c r="DH13"/>
  <c r="CU389"/>
  <c r="CV362"/>
  <c r="CV543"/>
  <c r="EF25"/>
  <c r="CT273"/>
  <c r="CS316"/>
  <c r="DF902"/>
  <c r="DG501"/>
  <c r="AR553"/>
  <c r="AR583"/>
  <c r="Q553"/>
  <c r="AS539"/>
  <c r="R539"/>
  <c r="Q583"/>
  <c r="CU40"/>
  <c r="CT64"/>
  <c r="P316"/>
  <c r="AR273"/>
  <c r="Q273"/>
  <c r="AR55"/>
  <c r="AR53"/>
  <c r="CV313"/>
  <c r="CU301"/>
  <c r="CU325" s="1"/>
  <c r="DH377"/>
  <c r="DG392"/>
  <c r="AO343" i="3"/>
  <c r="BC912" i="1"/>
  <c r="BC320"/>
  <c r="DH15"/>
  <c r="DG57"/>
  <c r="CT196"/>
  <c r="CU172"/>
  <c r="AH452"/>
  <c r="AH450"/>
  <c r="AG609"/>
  <c r="BH609"/>
  <c r="AO475" i="3"/>
  <c r="DH509" i="1"/>
  <c r="AO477" i="3"/>
  <c r="AG478" i="1"/>
  <c r="BH478"/>
  <c r="CU522"/>
  <c r="CV494"/>
  <c r="CU509"/>
  <c r="CT523"/>
  <c r="DH898"/>
  <c r="DI237"/>
  <c r="BJ732"/>
  <c r="DN732" s="1"/>
  <c r="DI471"/>
  <c r="CV343"/>
  <c r="DH81"/>
  <c r="BI404"/>
  <c r="DM404" s="1"/>
  <c r="AH404"/>
  <c r="AG411"/>
  <c r="BH411"/>
  <c r="DP419"/>
  <c r="AB912"/>
  <c r="BD278"/>
  <c r="AB320"/>
  <c r="AC278"/>
  <c r="BH477"/>
  <c r="AG477"/>
  <c r="DI49"/>
  <c r="DH37"/>
  <c r="BK400"/>
  <c r="DO400" s="1"/>
  <c r="AJ400"/>
  <c r="AG610"/>
  <c r="BH610"/>
  <c r="DL610"/>
  <c r="DL633"/>
  <c r="EJ633"/>
  <c r="DM633"/>
  <c r="DM904"/>
  <c r="DK904"/>
  <c r="CV164"/>
  <c r="CU192"/>
  <c r="DG179"/>
  <c r="AN147" i="3"/>
  <c r="AN145"/>
  <c r="DP682" i="1"/>
  <c r="DP716" s="1"/>
  <c r="DO716"/>
  <c r="AJ601"/>
  <c r="BK601"/>
  <c r="DO601"/>
  <c r="AG15"/>
  <c r="BH15"/>
  <c r="CW405"/>
  <c r="CV449"/>
  <c r="Q207"/>
  <c r="P252"/>
  <c r="AR207"/>
  <c r="P250"/>
  <c r="BS207"/>
  <c r="AQ252"/>
  <c r="AQ250"/>
  <c r="BJ403"/>
  <c r="DN403" s="1"/>
  <c r="AI403"/>
  <c r="DJ435"/>
  <c r="DI460"/>
  <c r="AG673"/>
  <c r="BH673"/>
  <c r="BH716"/>
  <c r="AF716"/>
  <c r="AG409"/>
  <c r="AF452"/>
  <c r="BK666"/>
  <c r="DO666" s="1"/>
  <c r="AJ666"/>
  <c r="AI732"/>
  <c r="BK732"/>
  <c r="DO732" s="1"/>
  <c r="AG676"/>
  <c r="BH676"/>
  <c r="DC538"/>
  <c r="AX538"/>
  <c r="CX48"/>
  <c r="CW61"/>
  <c r="DH213"/>
  <c r="DG254"/>
  <c r="BL716"/>
  <c r="BL714"/>
  <c r="DK896"/>
  <c r="DL105"/>
  <c r="DK130"/>
  <c r="CN419"/>
  <c r="CV501"/>
  <c r="CV560"/>
  <c r="CU590"/>
  <c r="CU588"/>
  <c r="AV71"/>
  <c r="CZ71"/>
  <c r="T89"/>
  <c r="U71"/>
  <c r="AU89"/>
  <c r="S120"/>
  <c r="CW77"/>
  <c r="CV78"/>
  <c r="CV568"/>
  <c r="DF918"/>
  <c r="DF717"/>
  <c r="DG674"/>
  <c r="CT213"/>
  <c r="CS254"/>
  <c r="O254"/>
  <c r="AQ213"/>
  <c r="CV539"/>
  <c r="DH741"/>
  <c r="AR649"/>
  <c r="AR619"/>
  <c r="BX283"/>
  <c r="BW283"/>
  <c r="CU632"/>
  <c r="DF383"/>
  <c r="DG353"/>
  <c r="BV89"/>
  <c r="BV120" s="1"/>
  <c r="BU120"/>
  <c r="DL186"/>
  <c r="DM154"/>
  <c r="CW312"/>
  <c r="CV682"/>
  <c r="CU716"/>
  <c r="BK338"/>
  <c r="DO338" s="1"/>
  <c r="AJ338"/>
  <c r="CU212"/>
  <c r="CY71"/>
  <c r="DK434"/>
  <c r="DJ459"/>
  <c r="AN277" i="3"/>
  <c r="DG311" i="1"/>
  <c r="DF326"/>
  <c r="CV341"/>
  <c r="CU342"/>
  <c r="CU384"/>
  <c r="DH343"/>
  <c r="DG385"/>
  <c r="CV339"/>
  <c r="CU382"/>
  <c r="P213"/>
  <c r="AR212"/>
  <c r="Q212"/>
  <c r="DG697"/>
  <c r="DG722" s="1"/>
  <c r="DH709"/>
  <c r="DG763"/>
  <c r="DH775"/>
  <c r="Q649"/>
  <c r="Q619"/>
  <c r="R605"/>
  <c r="AS605"/>
  <c r="DA434"/>
  <c r="DA459"/>
  <c r="CZ459"/>
  <c r="CU353"/>
  <c r="BH81"/>
  <c r="BH123" s="1"/>
  <c r="AG81"/>
  <c r="AF123"/>
  <c r="AN79" i="3"/>
  <c r="DF129" i="1"/>
  <c r="DG113"/>
  <c r="DG551"/>
  <c r="DF582"/>
  <c r="CW49"/>
  <c r="CV37"/>
  <c r="CV379"/>
  <c r="CU367"/>
  <c r="CU391"/>
  <c r="BR605"/>
  <c r="BQ605"/>
  <c r="BQ211"/>
  <c r="BQ253"/>
  <c r="BR211"/>
  <c r="BR253"/>
  <c r="BS253"/>
  <c r="BH23"/>
  <c r="BH54" s="1"/>
  <c r="AA185"/>
  <c r="Y141"/>
  <c r="CX136"/>
  <c r="T136"/>
  <c r="T730" s="1"/>
  <c r="AU136"/>
  <c r="AB70"/>
  <c r="BE70"/>
  <c r="AC730"/>
  <c r="CU642"/>
  <c r="DF588"/>
  <c r="DF590"/>
  <c r="DG560"/>
  <c r="CY436"/>
  <c r="DI102"/>
  <c r="EF17"/>
  <c r="CT185"/>
  <c r="CU141"/>
  <c r="CU477"/>
  <c r="CT519"/>
  <c r="BJ733"/>
  <c r="DN733" s="1"/>
  <c r="BK73"/>
  <c r="DO73" s="1"/>
  <c r="AJ73"/>
  <c r="AI733"/>
  <c r="DO385"/>
  <c r="DP352"/>
  <c r="DO913"/>
  <c r="CY302"/>
  <c r="CX304"/>
  <c r="CW327"/>
  <c r="Q15"/>
  <c r="AS14"/>
  <c r="R14"/>
  <c r="AS80"/>
  <c r="Q81"/>
  <c r="R80"/>
  <c r="AQ123"/>
  <c r="BS81"/>
  <c r="EB584"/>
  <c r="DJ302"/>
  <c r="DG576"/>
  <c r="CK353"/>
  <c r="CK383"/>
  <c r="CJ383"/>
  <c r="N783"/>
  <c r="AP741"/>
  <c r="BN734"/>
  <c r="BO734"/>
  <c r="CX5"/>
  <c r="BV5"/>
  <c r="T5"/>
  <c r="S23"/>
  <c r="AU5"/>
  <c r="AT732"/>
  <c r="CX732" s="1"/>
  <c r="CW475"/>
  <c r="DK79"/>
  <c r="DJ122"/>
  <c r="Y281"/>
  <c r="BB281"/>
  <c r="CX765"/>
  <c r="EF16"/>
  <c r="EP41" s="1"/>
  <c r="CY4"/>
  <c r="CU378"/>
  <c r="CX471"/>
  <c r="CW515"/>
  <c r="AN739" i="3"/>
  <c r="DG773" i="1"/>
  <c r="EF83"/>
  <c r="CT88"/>
  <c r="Q211"/>
  <c r="P739"/>
  <c r="AR211"/>
  <c r="P253"/>
  <c r="DH257"/>
  <c r="DI230"/>
  <c r="AH383"/>
  <c r="BJ353"/>
  <c r="EE353" s="1"/>
  <c r="EL378" s="1"/>
  <c r="EQ378" s="1"/>
  <c r="DH278"/>
  <c r="DG912"/>
  <c r="DG320"/>
  <c r="AO279" i="3"/>
  <c r="AF412" i="1"/>
  <c r="BG412"/>
  <c r="EE412"/>
  <c r="EL437" s="1"/>
  <c r="EQ437" s="1"/>
  <c r="AE742"/>
  <c r="CU81"/>
  <c r="AV8"/>
  <c r="CZ8" s="1"/>
  <c r="T734"/>
  <c r="U8"/>
  <c r="AQ187"/>
  <c r="AQ185"/>
  <c r="AR141"/>
  <c r="P185"/>
  <c r="P187"/>
  <c r="Q141"/>
  <c r="DF913"/>
  <c r="DF386"/>
  <c r="DG344"/>
  <c r="AN345" i="3"/>
  <c r="CV113" i="1"/>
  <c r="CU129"/>
  <c r="Y215"/>
  <c r="BB215" s="1"/>
  <c r="CV345"/>
  <c r="DK733"/>
  <c r="AS734" i="3" s="1"/>
  <c r="CY170" i="1"/>
  <c r="CX699"/>
  <c r="BK136"/>
  <c r="DO136" s="1"/>
  <c r="AJ136"/>
  <c r="BF70"/>
  <c r="EE70"/>
  <c r="BS146"/>
  <c r="BD142"/>
  <c r="CH142" s="1"/>
  <c r="BD185"/>
  <c r="S730"/>
  <c r="BU138"/>
  <c r="BT138"/>
  <c r="BR141"/>
  <c r="BS185"/>
  <c r="BS187"/>
  <c r="BQ141"/>
  <c r="BU734"/>
  <c r="BT734"/>
  <c r="BU22"/>
  <c r="BT22"/>
  <c r="BH732"/>
  <c r="DL732" s="1"/>
  <c r="AT154"/>
  <c r="R188"/>
  <c r="BF730"/>
  <c r="DH418"/>
  <c r="DG452"/>
  <c r="DG914"/>
  <c r="AO411" i="3"/>
  <c r="DG450" i="1"/>
  <c r="AO409" i="3"/>
  <c r="DG378" i="1"/>
  <c r="DF390"/>
  <c r="AN344" i="3"/>
  <c r="DJ534" i="1"/>
  <c r="AB534"/>
  <c r="DG764"/>
  <c r="DG642"/>
  <c r="BU4"/>
  <c r="BT4"/>
  <c r="CU13"/>
  <c r="Z17"/>
  <c r="BC17" s="1"/>
  <c r="AA743"/>
  <c r="CV485"/>
  <c r="DI626"/>
  <c r="DH656"/>
  <c r="DI765"/>
  <c r="P57"/>
  <c r="AR15"/>
  <c r="AQ741"/>
  <c r="AQ57"/>
  <c r="BS15"/>
  <c r="BG54"/>
  <c r="AR81"/>
  <c r="P123"/>
  <c r="AB6"/>
  <c r="BE6" s="1"/>
  <c r="CU23"/>
  <c r="DM543"/>
  <c r="DL436"/>
  <c r="DI32"/>
  <c r="DH60"/>
  <c r="DH62"/>
  <c r="CT147"/>
  <c r="CS189"/>
  <c r="AQ147"/>
  <c r="O189"/>
  <c r="Q146"/>
  <c r="Q740"/>
  <c r="AS740" s="1"/>
  <c r="AS783" s="1"/>
  <c r="P147"/>
  <c r="AR146"/>
  <c r="BT8"/>
  <c r="BU8"/>
  <c r="DI220"/>
  <c r="DH911"/>
  <c r="DH251"/>
  <c r="CI346"/>
  <c r="EF346"/>
  <c r="CJ346"/>
  <c r="R54"/>
  <c r="AT23"/>
  <c r="AT54"/>
  <c r="AG23"/>
  <c r="CR780"/>
  <c r="AU138"/>
  <c r="T138"/>
  <c r="S732"/>
  <c r="CW168"/>
  <c r="CV169"/>
  <c r="CV194" s="1"/>
  <c r="CW550"/>
  <c r="CV584"/>
  <c r="DL286"/>
  <c r="DI39"/>
  <c r="DH64"/>
  <c r="DH895"/>
  <c r="Z16"/>
  <c r="BC16" s="1"/>
  <c r="CW32"/>
  <c r="CV60"/>
  <c r="CV62"/>
  <c r="AU22"/>
  <c r="AV4"/>
  <c r="CZ4" s="1"/>
  <c r="T22"/>
  <c r="AV22" s="1"/>
  <c r="BY22" s="1"/>
  <c r="U4"/>
  <c r="AW4" s="1"/>
  <c r="CU157"/>
  <c r="CT211"/>
  <c r="CU211" s="1"/>
  <c r="CS253"/>
  <c r="DH634"/>
  <c r="DH658" s="1"/>
  <c r="DG658"/>
  <c r="Z83"/>
  <c r="BC83" s="1"/>
  <c r="AQ739"/>
  <c r="CD273"/>
  <c r="Y273"/>
  <c r="Z318"/>
  <c r="BB273"/>
  <c r="BB318"/>
  <c r="BU154"/>
  <c r="AJ335"/>
  <c r="BL335" s="1"/>
  <c r="DP335" s="1"/>
  <c r="EB335" s="1"/>
  <c r="EG335" s="1"/>
  <c r="Q337" i="3" s="1"/>
  <c r="BK335" i="1"/>
  <c r="DO335"/>
  <c r="AI353"/>
  <c r="DG565"/>
  <c r="DH577"/>
  <c r="CF412"/>
  <c r="CG412"/>
  <c r="AC72"/>
  <c r="AC732" s="1"/>
  <c r="AU734"/>
  <c r="CY734" s="1"/>
  <c r="CY8"/>
  <c r="CU154"/>
  <c r="AC733"/>
  <c r="AB667"/>
  <c r="BE667" s="1"/>
  <c r="DI667" s="1"/>
  <c r="AQ668" i="3" s="1"/>
  <c r="DJ48" i="1"/>
  <c r="BJ154"/>
  <c r="EE154" s="1"/>
  <c r="E145" i="3" s="1"/>
  <c r="AH186" i="1"/>
  <c r="AH188"/>
  <c r="BC141"/>
  <c r="BG730"/>
  <c r="CK730" s="1"/>
  <c r="BP782"/>
  <c r="BF6"/>
  <c r="BC281"/>
  <c r="BC215"/>
  <c r="AS273"/>
  <c r="AS316"/>
  <c r="R273"/>
  <c r="Q316"/>
  <c r="CV40"/>
  <c r="CU64"/>
  <c r="S539"/>
  <c r="R583"/>
  <c r="AT539"/>
  <c r="R553"/>
  <c r="DH501"/>
  <c r="DG902"/>
  <c r="CW543"/>
  <c r="DI38"/>
  <c r="DH63"/>
  <c r="DH370"/>
  <c r="DG393"/>
  <c r="BR53"/>
  <c r="BQ53"/>
  <c r="AS55"/>
  <c r="AS53"/>
  <c r="DH410"/>
  <c r="CX247"/>
  <c r="CW235"/>
  <c r="DH235"/>
  <c r="DH259" s="1"/>
  <c r="DI247"/>
  <c r="CV452"/>
  <c r="CW409"/>
  <c r="CW179"/>
  <c r="CV193"/>
  <c r="CV195"/>
  <c r="AR56"/>
  <c r="DI377"/>
  <c r="AP343" i="3"/>
  <c r="DH392" i="1"/>
  <c r="CW313"/>
  <c r="CV301"/>
  <c r="AR316"/>
  <c r="AS553"/>
  <c r="AS583"/>
  <c r="CU273"/>
  <c r="CT316"/>
  <c r="CV389"/>
  <c r="CW362"/>
  <c r="DI13"/>
  <c r="DH56"/>
  <c r="BQ13"/>
  <c r="BQ56" s="1"/>
  <c r="BR13"/>
  <c r="BR56" s="1"/>
  <c r="BS56"/>
  <c r="S9"/>
  <c r="R53"/>
  <c r="AT9"/>
  <c r="R55"/>
  <c r="CW775"/>
  <c r="CV763"/>
  <c r="AS13"/>
  <c r="AS56"/>
  <c r="R13"/>
  <c r="Q56"/>
  <c r="CX407"/>
  <c r="BV539"/>
  <c r="CW560"/>
  <c r="CV590"/>
  <c r="CV588"/>
  <c r="CW501"/>
  <c r="CY48"/>
  <c r="CX61"/>
  <c r="DK435"/>
  <c r="DJ901"/>
  <c r="DJ460"/>
  <c r="AJ403"/>
  <c r="BK403"/>
  <c r="DO403"/>
  <c r="BQ207"/>
  <c r="BR207"/>
  <c r="BS250"/>
  <c r="AR252"/>
  <c r="AR250"/>
  <c r="R207"/>
  <c r="Q252"/>
  <c r="Q250"/>
  <c r="AS207"/>
  <c r="BI15"/>
  <c r="AO145" i="3"/>
  <c r="DH179" i="1"/>
  <c r="CW164"/>
  <c r="CV192"/>
  <c r="AI452"/>
  <c r="BK418"/>
  <c r="EE418" s="1"/>
  <c r="AI450"/>
  <c r="DJ49"/>
  <c r="DI37"/>
  <c r="BI477"/>
  <c r="BI411"/>
  <c r="AI404"/>
  <c r="BJ404"/>
  <c r="DN404"/>
  <c r="CW343"/>
  <c r="DJ471"/>
  <c r="CK478"/>
  <c r="BI478"/>
  <c r="DI15"/>
  <c r="DL130"/>
  <c r="DM105"/>
  <c r="DM130" s="1"/>
  <c r="DH254"/>
  <c r="DI213"/>
  <c r="DB538"/>
  <c r="CK676"/>
  <c r="BI676"/>
  <c r="BL666"/>
  <c r="DP666" s="1"/>
  <c r="EB666" s="1"/>
  <c r="EG666" s="1"/>
  <c r="AG452"/>
  <c r="AG716"/>
  <c r="BI673"/>
  <c r="BI716"/>
  <c r="CX405"/>
  <c r="CW449"/>
  <c r="BL601"/>
  <c r="DP601"/>
  <c r="EB601" s="1"/>
  <c r="EG601" s="1"/>
  <c r="Q602" i="3" s="1"/>
  <c r="R602" s="1"/>
  <c r="CK610" i="1"/>
  <c r="BI610"/>
  <c r="DM610"/>
  <c r="EB610" s="1"/>
  <c r="EG610" s="1"/>
  <c r="BL400"/>
  <c r="DP400"/>
  <c r="EB400" s="1"/>
  <c r="EG400" s="1"/>
  <c r="EN423" s="1"/>
  <c r="ES423" s="1"/>
  <c r="BE278"/>
  <c r="AC912"/>
  <c r="AD278"/>
  <c r="AC320"/>
  <c r="BD320"/>
  <c r="BD912"/>
  <c r="DI81"/>
  <c r="DI898"/>
  <c r="DJ237"/>
  <c r="CV509"/>
  <c r="CU523"/>
  <c r="CV522"/>
  <c r="CW494"/>
  <c r="DI509"/>
  <c r="AP475" i="3"/>
  <c r="BI609" i="1"/>
  <c r="CV172"/>
  <c r="CU196"/>
  <c r="CV367"/>
  <c r="CV391"/>
  <c r="CW379"/>
  <c r="CW37"/>
  <c r="CW62" s="1"/>
  <c r="CX49"/>
  <c r="DG582"/>
  <c r="DH551"/>
  <c r="CV353"/>
  <c r="AT605"/>
  <c r="S605"/>
  <c r="R619"/>
  <c r="R649"/>
  <c r="R212"/>
  <c r="Q213"/>
  <c r="AS212"/>
  <c r="P254"/>
  <c r="AR213"/>
  <c r="CW341"/>
  <c r="CV342"/>
  <c r="CV384" s="1"/>
  <c r="DH311"/>
  <c r="AO277" i="3"/>
  <c r="DG326" i="1"/>
  <c r="CW682"/>
  <c r="CV716"/>
  <c r="CX312"/>
  <c r="DM186"/>
  <c r="EB154"/>
  <c r="EF545"/>
  <c r="DH353"/>
  <c r="DG383"/>
  <c r="AO344" i="3"/>
  <c r="EF605" i="1"/>
  <c r="EM630" s="1"/>
  <c r="ER630" s="1"/>
  <c r="AQ254"/>
  <c r="BS213"/>
  <c r="V71"/>
  <c r="U89"/>
  <c r="AW71"/>
  <c r="DG129"/>
  <c r="AO79" i="3"/>
  <c r="DH113" i="1"/>
  <c r="BI81"/>
  <c r="CK81"/>
  <c r="AS619"/>
  <c r="AS649"/>
  <c r="DI775"/>
  <c r="DH763"/>
  <c r="DI709"/>
  <c r="DH697"/>
  <c r="DH722" s="1"/>
  <c r="CW339"/>
  <c r="CV382"/>
  <c r="DI343"/>
  <c r="DH385"/>
  <c r="DK459"/>
  <c r="DL434"/>
  <c r="BL338"/>
  <c r="DP338" s="1"/>
  <c r="EB338" s="1"/>
  <c r="EG338" s="1"/>
  <c r="Q339" i="3" s="1"/>
  <c r="L339" s="1"/>
  <c r="CV632" i="1"/>
  <c r="DI741"/>
  <c r="CW539"/>
  <c r="CU213"/>
  <c r="CT254"/>
  <c r="DG918"/>
  <c r="DG717"/>
  <c r="CW568"/>
  <c r="CX77"/>
  <c r="CW78"/>
  <c r="BW89"/>
  <c r="AU120"/>
  <c r="T120"/>
  <c r="AV89"/>
  <c r="AV120" s="1"/>
  <c r="CV212"/>
  <c r="CW212" s="1"/>
  <c r="BV605"/>
  <c r="EE732"/>
  <c r="DI577"/>
  <c r="DH565"/>
  <c r="AI383"/>
  <c r="BK353"/>
  <c r="BK383"/>
  <c r="BV154"/>
  <c r="X273"/>
  <c r="Y318"/>
  <c r="BA273"/>
  <c r="CE273" s="1"/>
  <c r="CC273" s="1"/>
  <c r="BA318"/>
  <c r="DI634"/>
  <c r="CT253"/>
  <c r="U22"/>
  <c r="DJ39"/>
  <c r="DI64"/>
  <c r="DI895"/>
  <c r="CX550"/>
  <c r="CW584"/>
  <c r="AV138"/>
  <c r="CZ138"/>
  <c r="U138"/>
  <c r="T732"/>
  <c r="BI23"/>
  <c r="P189"/>
  <c r="AR147"/>
  <c r="DJ32"/>
  <c r="DI62"/>
  <c r="DI60"/>
  <c r="DM436"/>
  <c r="EJ436"/>
  <c r="EB543"/>
  <c r="CV23"/>
  <c r="BQ15"/>
  <c r="BR15"/>
  <c r="BS57"/>
  <c r="AR57"/>
  <c r="DJ626"/>
  <c r="DI654"/>
  <c r="CE743"/>
  <c r="DH642"/>
  <c r="DH764"/>
  <c r="DG789"/>
  <c r="AT188"/>
  <c r="BQ185"/>
  <c r="AU730"/>
  <c r="AI186"/>
  <c r="AI188"/>
  <c r="BK154"/>
  <c r="CW345"/>
  <c r="X215"/>
  <c r="BA215" s="1"/>
  <c r="CE215" s="1"/>
  <c r="AS141"/>
  <c r="Q187"/>
  <c r="R141"/>
  <c r="Q185"/>
  <c r="AW8"/>
  <c r="U734"/>
  <c r="V8"/>
  <c r="DI257"/>
  <c r="DJ230"/>
  <c r="AR253"/>
  <c r="R211"/>
  <c r="AS211"/>
  <c r="AS253" s="1"/>
  <c r="Q253"/>
  <c r="Q739"/>
  <c r="CY471"/>
  <c r="CX515"/>
  <c r="CV378"/>
  <c r="X281"/>
  <c r="BA281"/>
  <c r="CE281" s="1"/>
  <c r="DK122"/>
  <c r="DL79"/>
  <c r="S54"/>
  <c r="AU23"/>
  <c r="BT5"/>
  <c r="BU5"/>
  <c r="AP783"/>
  <c r="BS741"/>
  <c r="AS81"/>
  <c r="AS123"/>
  <c r="Q123"/>
  <c r="S14"/>
  <c r="AT14"/>
  <c r="BV14"/>
  <c r="R15"/>
  <c r="CZ302"/>
  <c r="DP913"/>
  <c r="DP385"/>
  <c r="BK733"/>
  <c r="DO733" s="1"/>
  <c r="DH560"/>
  <c r="DG588"/>
  <c r="DG590"/>
  <c r="X141"/>
  <c r="BA141"/>
  <c r="Y142"/>
  <c r="BF72"/>
  <c r="EE72"/>
  <c r="EL95" s="1"/>
  <c r="EQ95" s="1"/>
  <c r="BV23"/>
  <c r="DJ70"/>
  <c r="DH142"/>
  <c r="BJ188"/>
  <c r="BJ186"/>
  <c r="AB733"/>
  <c r="AA667"/>
  <c r="CV154"/>
  <c r="AB72"/>
  <c r="BE72" s="1"/>
  <c r="DI72" s="1"/>
  <c r="BS739"/>
  <c r="Y83"/>
  <c r="BB83" s="1"/>
  <c r="CE83" s="1"/>
  <c r="CV157"/>
  <c r="CX32"/>
  <c r="CW60"/>
  <c r="Y16"/>
  <c r="BB16" s="1"/>
  <c r="DM286"/>
  <c r="CW169"/>
  <c r="CW194"/>
  <c r="CX168"/>
  <c r="AU732"/>
  <c r="CY138"/>
  <c r="DJ220"/>
  <c r="DI911"/>
  <c r="DI251"/>
  <c r="R146"/>
  <c r="AS146"/>
  <c r="Q147"/>
  <c r="AQ189"/>
  <c r="BS147"/>
  <c r="CU147"/>
  <c r="AA6"/>
  <c r="BD6"/>
  <c r="AR123"/>
  <c r="DJ765"/>
  <c r="CW485"/>
  <c r="Y17"/>
  <c r="Z743"/>
  <c r="BC743" s="1"/>
  <c r="CV13"/>
  <c r="AA534"/>
  <c r="DH378"/>
  <c r="DG390"/>
  <c r="DH452"/>
  <c r="DI418"/>
  <c r="AP411" i="3"/>
  <c r="DH914" i="1"/>
  <c r="DH450"/>
  <c r="AP409" i="3"/>
  <c r="BR185" i="1"/>
  <c r="BQ146"/>
  <c r="BR146"/>
  <c r="BL136"/>
  <c r="DP136" s="1"/>
  <c r="EB136" s="1"/>
  <c r="EG136" s="1"/>
  <c r="EN159" s="1"/>
  <c r="ES159" s="1"/>
  <c r="CY699"/>
  <c r="CZ170"/>
  <c r="CW113"/>
  <c r="CV129"/>
  <c r="DG913"/>
  <c r="AO345" i="3"/>
  <c r="DH344" i="1"/>
  <c r="DG386"/>
  <c r="AR187"/>
  <c r="AR185"/>
  <c r="AV734"/>
  <c r="CZ734" s="1"/>
  <c r="CV81"/>
  <c r="AG412"/>
  <c r="BH412"/>
  <c r="AF742"/>
  <c r="BH742"/>
  <c r="DH912"/>
  <c r="DH320"/>
  <c r="DI278"/>
  <c r="AP279" i="3"/>
  <c r="DN353" i="1"/>
  <c r="CL353"/>
  <c r="EF353" s="1"/>
  <c r="BJ383"/>
  <c r="P782"/>
  <c r="AR739"/>
  <c r="CU88"/>
  <c r="DH773"/>
  <c r="AO739" i="3"/>
  <c r="CY765" i="1"/>
  <c r="CX475"/>
  <c r="CY5"/>
  <c r="AV5"/>
  <c r="CZ5"/>
  <c r="T23"/>
  <c r="U5"/>
  <c r="AW5" s="1"/>
  <c r="DH576"/>
  <c r="DK302"/>
  <c r="BQ81"/>
  <c r="BR81"/>
  <c r="AT80"/>
  <c r="BV80"/>
  <c r="R81"/>
  <c r="S80"/>
  <c r="T80" s="1"/>
  <c r="Q741"/>
  <c r="AS15"/>
  <c r="AS57"/>
  <c r="Q57"/>
  <c r="CY304"/>
  <c r="CY327" s="1"/>
  <c r="CX327"/>
  <c r="CN73"/>
  <c r="CM73" s="1"/>
  <c r="BL73"/>
  <c r="DP73" s="1"/>
  <c r="CV477"/>
  <c r="CU519"/>
  <c r="CU185"/>
  <c r="CV141"/>
  <c r="DJ102"/>
  <c r="CZ436"/>
  <c r="CV642"/>
  <c r="DJ730"/>
  <c r="AA70"/>
  <c r="BD70"/>
  <c r="CH70" s="1"/>
  <c r="DI70"/>
  <c r="CY136"/>
  <c r="AV136"/>
  <c r="CZ136" s="1"/>
  <c r="T154"/>
  <c r="T188" s="1"/>
  <c r="U136"/>
  <c r="DJ6"/>
  <c r="P741"/>
  <c r="BE534"/>
  <c r="DI534" s="1"/>
  <c r="BF733"/>
  <c r="EE733"/>
  <c r="BV540"/>
  <c r="BU539"/>
  <c r="BT539"/>
  <c r="CY407"/>
  <c r="AT13"/>
  <c r="AT56"/>
  <c r="S13"/>
  <c r="R56"/>
  <c r="DI56"/>
  <c r="DJ13"/>
  <c r="CW301"/>
  <c r="CX313"/>
  <c r="CX179"/>
  <c r="CW193"/>
  <c r="CW195"/>
  <c r="CX235"/>
  <c r="CY247"/>
  <c r="DI410"/>
  <c r="DI914" s="1"/>
  <c r="DI370"/>
  <c r="DH393"/>
  <c r="DJ38"/>
  <c r="CX543"/>
  <c r="CW763"/>
  <c r="CX775"/>
  <c r="AT55"/>
  <c r="AT53"/>
  <c r="BV9"/>
  <c r="AU9"/>
  <c r="T9"/>
  <c r="S55"/>
  <c r="S53"/>
  <c r="CX362"/>
  <c r="CW389"/>
  <c r="CV273"/>
  <c r="CU316"/>
  <c r="DJ377"/>
  <c r="AQ343" i="3"/>
  <c r="DI392" i="1"/>
  <c r="CX409"/>
  <c r="CW452"/>
  <c r="DJ247"/>
  <c r="DI235"/>
  <c r="DI259"/>
  <c r="DI501"/>
  <c r="AT583"/>
  <c r="AT553"/>
  <c r="T539"/>
  <c r="AU539"/>
  <c r="S553"/>
  <c r="BW553" s="1"/>
  <c r="BX553" s="1"/>
  <c r="BY553" s="1"/>
  <c r="S583"/>
  <c r="CW40"/>
  <c r="CV64"/>
  <c r="R316"/>
  <c r="AT273"/>
  <c r="S273"/>
  <c r="BV13"/>
  <c r="AQ475" i="3"/>
  <c r="DJ509" i="1"/>
  <c r="CW509"/>
  <c r="CV523"/>
  <c r="BF278"/>
  <c r="AD320"/>
  <c r="AD912"/>
  <c r="AE278"/>
  <c r="BL418"/>
  <c r="AJ452"/>
  <c r="AJ450"/>
  <c r="CI610"/>
  <c r="EF610"/>
  <c r="CJ610"/>
  <c r="CY405"/>
  <c r="CX449"/>
  <c r="DI254"/>
  <c r="DJ213"/>
  <c r="DJ15"/>
  <c r="CJ478"/>
  <c r="CI478"/>
  <c r="EF478"/>
  <c r="DK471"/>
  <c r="CX343"/>
  <c r="AJ404"/>
  <c r="BK404"/>
  <c r="DO404"/>
  <c r="DI179"/>
  <c r="AP145" i="3"/>
  <c r="AT207" i="1"/>
  <c r="R250"/>
  <c r="R252"/>
  <c r="S207"/>
  <c r="BR250"/>
  <c r="BL403"/>
  <c r="DP403" s="1"/>
  <c r="EB403" s="1"/>
  <c r="EG403" s="1"/>
  <c r="Q404" i="3" s="1"/>
  <c r="R404" s="1"/>
  <c r="CX501" i="1"/>
  <c r="CV196"/>
  <c r="CW172"/>
  <c r="CW522"/>
  <c r="CX494"/>
  <c r="DJ898"/>
  <c r="DK237"/>
  <c r="DJ81"/>
  <c r="BE912"/>
  <c r="BE320"/>
  <c r="CI676"/>
  <c r="EF676"/>
  <c r="CJ676"/>
  <c r="DK49"/>
  <c r="DJ37"/>
  <c r="DO418"/>
  <c r="CM418"/>
  <c r="EF418" s="1"/>
  <c r="BK452"/>
  <c r="BK450"/>
  <c r="CX164"/>
  <c r="CW192"/>
  <c r="AS250"/>
  <c r="AS252"/>
  <c r="BQ250"/>
  <c r="DK901"/>
  <c r="DL435"/>
  <c r="DL901"/>
  <c r="DK460"/>
  <c r="CZ48"/>
  <c r="CW588"/>
  <c r="CX560"/>
  <c r="CW590"/>
  <c r="AB732"/>
  <c r="DJ72"/>
  <c r="BU605"/>
  <c r="BT605"/>
  <c r="CY77"/>
  <c r="CX78"/>
  <c r="CX568"/>
  <c r="CU254"/>
  <c r="CV213"/>
  <c r="DJ343"/>
  <c r="DI385"/>
  <c r="CX339"/>
  <c r="CW382"/>
  <c r="CJ81"/>
  <c r="CI81"/>
  <c r="EF81"/>
  <c r="DH129"/>
  <c r="DI113"/>
  <c r="AP79" i="3"/>
  <c r="DA71" i="1"/>
  <c r="BY71"/>
  <c r="BR213"/>
  <c r="BQ213"/>
  <c r="DI353"/>
  <c r="DH383"/>
  <c r="AP344" i="3" s="1"/>
  <c r="CY312" i="1"/>
  <c r="CX682"/>
  <c r="CW716"/>
  <c r="AR254"/>
  <c r="R213"/>
  <c r="AT212"/>
  <c r="BV212"/>
  <c r="S212"/>
  <c r="AT649"/>
  <c r="AT619"/>
  <c r="CW353"/>
  <c r="BV606"/>
  <c r="BX89"/>
  <c r="BW120"/>
  <c r="CX539"/>
  <c r="CW632"/>
  <c r="DJ709"/>
  <c r="DI697"/>
  <c r="DI722" s="1"/>
  <c r="DJ775"/>
  <c r="DI763"/>
  <c r="AW89"/>
  <c r="AW120" s="1"/>
  <c r="U120"/>
  <c r="W71"/>
  <c r="V89"/>
  <c r="AX71"/>
  <c r="Q145" i="3"/>
  <c r="EB186" i="1"/>
  <c r="DI311"/>
  <c r="AP277" i="3"/>
  <c r="DH326" i="1"/>
  <c r="CX341"/>
  <c r="CW342"/>
  <c r="CW384" s="1"/>
  <c r="AS213"/>
  <c r="AS254" s="1"/>
  <c r="Q254"/>
  <c r="S649"/>
  <c r="S619"/>
  <c r="BW619" s="1"/>
  <c r="BX619" s="1"/>
  <c r="BY619" s="1"/>
  <c r="T605"/>
  <c r="AU605"/>
  <c r="DH582"/>
  <c r="DI551"/>
  <c r="CX37"/>
  <c r="CY49"/>
  <c r="CW367"/>
  <c r="CW391" s="1"/>
  <c r="CX379"/>
  <c r="AW136"/>
  <c r="DA136" s="1"/>
  <c r="V136"/>
  <c r="U154"/>
  <c r="AV154"/>
  <c r="CW141"/>
  <c r="CL73"/>
  <c r="EF73" s="1"/>
  <c r="CZ304"/>
  <c r="S81"/>
  <c r="DI576"/>
  <c r="V5"/>
  <c r="AV23"/>
  <c r="AV54" s="1"/>
  <c r="T54"/>
  <c r="AP739" i="3"/>
  <c r="DI773" i="1"/>
  <c r="CV88"/>
  <c r="CL383"/>
  <c r="CM353"/>
  <c r="CK412"/>
  <c r="BI412"/>
  <c r="AG742"/>
  <c r="DJ418"/>
  <c r="DI452"/>
  <c r="DI450"/>
  <c r="AQ409" i="3"/>
  <c r="AQ411"/>
  <c r="Z534" i="1"/>
  <c r="X17"/>
  <c r="Y743"/>
  <c r="BQ147"/>
  <c r="BQ189" s="1"/>
  <c r="BR147"/>
  <c r="BR189" s="1"/>
  <c r="BS189"/>
  <c r="AS147"/>
  <c r="AS189"/>
  <c r="Q189"/>
  <c r="AT146"/>
  <c r="BV146" s="1"/>
  <c r="R147"/>
  <c r="S146"/>
  <c r="S740"/>
  <c r="CX169"/>
  <c r="CX194" s="1"/>
  <c r="CY168"/>
  <c r="X16"/>
  <c r="BA16" s="1"/>
  <c r="CE16" s="1"/>
  <c r="CW157"/>
  <c r="BQ739"/>
  <c r="BR739"/>
  <c r="CW154"/>
  <c r="AA733"/>
  <c r="Z667"/>
  <c r="DN188"/>
  <c r="DN910"/>
  <c r="BT23"/>
  <c r="BT54"/>
  <c r="BU23"/>
  <c r="BU54"/>
  <c r="BV54"/>
  <c r="W141"/>
  <c r="AZ141" s="1"/>
  <c r="AZ187" s="1"/>
  <c r="X187"/>
  <c r="X142"/>
  <c r="BA142" s="1"/>
  <c r="DI560"/>
  <c r="DH588"/>
  <c r="DH590"/>
  <c r="AT15"/>
  <c r="AT57"/>
  <c r="R57"/>
  <c r="R741"/>
  <c r="AU14"/>
  <c r="T14"/>
  <c r="S15"/>
  <c r="BR741"/>
  <c r="BQ741"/>
  <c r="R253"/>
  <c r="R739"/>
  <c r="AT211"/>
  <c r="AT253"/>
  <c r="S211"/>
  <c r="DK230"/>
  <c r="DJ257"/>
  <c r="AX8"/>
  <c r="V734"/>
  <c r="W8"/>
  <c r="AW734"/>
  <c r="DA734"/>
  <c r="S141"/>
  <c r="AT141"/>
  <c r="R187"/>
  <c r="R185"/>
  <c r="AS185"/>
  <c r="AS187"/>
  <c r="CY730"/>
  <c r="DH789"/>
  <c r="DI764"/>
  <c r="DI642"/>
  <c r="DK32"/>
  <c r="FE9"/>
  <c r="FF9" s="1"/>
  <c r="DJ62"/>
  <c r="BI54"/>
  <c r="CK23"/>
  <c r="U732"/>
  <c r="AW138"/>
  <c r="V138"/>
  <c r="AW22"/>
  <c r="DJ634"/>
  <c r="DI658"/>
  <c r="W273"/>
  <c r="X318"/>
  <c r="AZ273"/>
  <c r="AZ318"/>
  <c r="CB273"/>
  <c r="BV188"/>
  <c r="DI565"/>
  <c r="DJ577"/>
  <c r="BD667"/>
  <c r="DH667" s="1"/>
  <c r="AP668" i="3" s="1"/>
  <c r="BY734" i="1"/>
  <c r="DJ733"/>
  <c r="AR734" i="3"/>
  <c r="AR741" i="1"/>
  <c r="DH70"/>
  <c r="Z70"/>
  <c r="CW642"/>
  <c r="DA436"/>
  <c r="DK102"/>
  <c r="FE79"/>
  <c r="FF79" s="1"/>
  <c r="CW477"/>
  <c r="CV519"/>
  <c r="AS741"/>
  <c r="Q783"/>
  <c r="R123"/>
  <c r="AT81"/>
  <c r="CY475"/>
  <c r="DN383"/>
  <c r="DO353"/>
  <c r="DI912"/>
  <c r="DI320"/>
  <c r="DJ278"/>
  <c r="AQ279" i="3"/>
  <c r="CW81" i="1"/>
  <c r="DI344"/>
  <c r="DH386"/>
  <c r="DH913"/>
  <c r="AP345" i="3"/>
  <c r="CX113" i="1"/>
  <c r="CY113" s="1"/>
  <c r="CW129"/>
  <c r="DA170"/>
  <c r="CZ699"/>
  <c r="AJ188"/>
  <c r="BL154"/>
  <c r="AJ186"/>
  <c r="DH390"/>
  <c r="DI378"/>
  <c r="CW13"/>
  <c r="CX485"/>
  <c r="DK765"/>
  <c r="Z6"/>
  <c r="Y6" s="1"/>
  <c r="CV147"/>
  <c r="DK220"/>
  <c r="DJ911"/>
  <c r="DJ251"/>
  <c r="CY732"/>
  <c r="CY32"/>
  <c r="CX60"/>
  <c r="CX62"/>
  <c r="X83"/>
  <c r="AA72"/>
  <c r="BD72" s="1"/>
  <c r="DH72" s="1"/>
  <c r="BD733"/>
  <c r="CL188"/>
  <c r="CL186"/>
  <c r="Y185"/>
  <c r="DA302"/>
  <c r="AU54"/>
  <c r="DM79"/>
  <c r="FD79" s="1"/>
  <c r="DL122"/>
  <c r="W281"/>
  <c r="AZ281"/>
  <c r="CW378"/>
  <c r="CZ471"/>
  <c r="CY515"/>
  <c r="AS739"/>
  <c r="DA8"/>
  <c r="BY8"/>
  <c r="W215"/>
  <c r="CX345"/>
  <c r="BK188"/>
  <c r="BK186"/>
  <c r="CC743"/>
  <c r="CD743"/>
  <c r="DJ654"/>
  <c r="DK626"/>
  <c r="CW23"/>
  <c r="EG543"/>
  <c r="AR189"/>
  <c r="AV732"/>
  <c r="CZ732" s="1"/>
  <c r="CY550"/>
  <c r="CX584"/>
  <c r="DK39"/>
  <c r="DK64" s="1"/>
  <c r="DJ64"/>
  <c r="DJ895"/>
  <c r="BY136"/>
  <c r="BX136" s="1"/>
  <c r="BD534"/>
  <c r="CH534" s="1"/>
  <c r="BB743"/>
  <c r="BB17"/>
  <c r="R740"/>
  <c r="AT740"/>
  <c r="U730"/>
  <c r="AW730" s="1"/>
  <c r="BE733"/>
  <c r="DI733"/>
  <c r="AT316"/>
  <c r="BV273"/>
  <c r="AU553"/>
  <c r="AU583"/>
  <c r="DJ501"/>
  <c r="DI902"/>
  <c r="DK247"/>
  <c r="DJ235"/>
  <c r="CX452"/>
  <c r="CY409"/>
  <c r="AV9"/>
  <c r="T55"/>
  <c r="U9"/>
  <c r="T53"/>
  <c r="BT9"/>
  <c r="BU9"/>
  <c r="DK38"/>
  <c r="FE15" s="1"/>
  <c r="FF15" s="1"/>
  <c r="DJ370"/>
  <c r="DI393"/>
  <c r="CX301"/>
  <c r="CY313"/>
  <c r="T13"/>
  <c r="AU13"/>
  <c r="S56"/>
  <c r="BV583"/>
  <c r="BU540"/>
  <c r="BU583"/>
  <c r="BT540"/>
  <c r="BT583"/>
  <c r="BT13"/>
  <c r="BT56"/>
  <c r="BU13"/>
  <c r="BU56"/>
  <c r="BV56"/>
  <c r="AU273"/>
  <c r="T273"/>
  <c r="S316"/>
  <c r="CX40"/>
  <c r="CW64"/>
  <c r="AV539"/>
  <c r="T553"/>
  <c r="U539"/>
  <c r="T583"/>
  <c r="DJ392"/>
  <c r="DK377"/>
  <c r="AS343" i="3" s="1"/>
  <c r="AR343"/>
  <c r="CV316" i="1"/>
  <c r="CW273"/>
  <c r="CY362"/>
  <c r="CX389"/>
  <c r="AU55"/>
  <c r="AU53"/>
  <c r="CY775"/>
  <c r="CX763"/>
  <c r="CY543"/>
  <c r="CY235"/>
  <c r="CZ247"/>
  <c r="CY179"/>
  <c r="CX193"/>
  <c r="CX195"/>
  <c r="DJ56"/>
  <c r="DK13"/>
  <c r="CZ407"/>
  <c r="CY560"/>
  <c r="CX588"/>
  <c r="CY164"/>
  <c r="CX192"/>
  <c r="DP418"/>
  <c r="DP452" s="1"/>
  <c r="DO452"/>
  <c r="DO450"/>
  <c r="DK81"/>
  <c r="DL237"/>
  <c r="DK898"/>
  <c r="CX172"/>
  <c r="CW196"/>
  <c r="T207"/>
  <c r="S252"/>
  <c r="AU207"/>
  <c r="S250"/>
  <c r="DJ179"/>
  <c r="AQ145" i="3"/>
  <c r="BL404" i="1"/>
  <c r="DP404" s="1"/>
  <c r="EB404" s="1"/>
  <c r="EG404" s="1"/>
  <c r="Q405" i="3" s="1"/>
  <c r="R405" s="1"/>
  <c r="CY343" i="1"/>
  <c r="DK15"/>
  <c r="BL452"/>
  <c r="BL450"/>
  <c r="AE912"/>
  <c r="AE320"/>
  <c r="BG278"/>
  <c r="AF278"/>
  <c r="DA48"/>
  <c r="DM435"/>
  <c r="DM460" s="1"/>
  <c r="DL460"/>
  <c r="CN450"/>
  <c r="CM450"/>
  <c r="DL49"/>
  <c r="DM49" s="1"/>
  <c r="DK37"/>
  <c r="FE14"/>
  <c r="FF14" s="1"/>
  <c r="CX522"/>
  <c r="CY494"/>
  <c r="CY501"/>
  <c r="BV207"/>
  <c r="AT252"/>
  <c r="AT250"/>
  <c r="DL471"/>
  <c r="DJ254"/>
  <c r="DK213"/>
  <c r="CZ405"/>
  <c r="CY449"/>
  <c r="EE278"/>
  <c r="EE912" s="1"/>
  <c r="BF320"/>
  <c r="BF912"/>
  <c r="CX509"/>
  <c r="CW523"/>
  <c r="AR475" i="3"/>
  <c r="DK509" i="1"/>
  <c r="AS475" i="3"/>
  <c r="AV605" i="1"/>
  <c r="U605"/>
  <c r="T619"/>
  <c r="T649"/>
  <c r="CY341"/>
  <c r="CX342"/>
  <c r="CX384" s="1"/>
  <c r="X71"/>
  <c r="W89"/>
  <c r="AY71"/>
  <c r="DC71" s="1"/>
  <c r="AK73" i="3" s="1"/>
  <c r="DK775" i="1"/>
  <c r="DK763"/>
  <c r="DJ763"/>
  <c r="DK709"/>
  <c r="DJ697"/>
  <c r="BT606"/>
  <c r="BT649" s="1"/>
  <c r="BU606"/>
  <c r="BU649" s="1"/>
  <c r="BV649"/>
  <c r="CX353"/>
  <c r="DJ113"/>
  <c r="AQ79" i="3"/>
  <c r="DI129" i="1"/>
  <c r="CY568"/>
  <c r="CZ77"/>
  <c r="CY78"/>
  <c r="CY379"/>
  <c r="CX367"/>
  <c r="CX391"/>
  <c r="CY37"/>
  <c r="CZ49"/>
  <c r="DI582"/>
  <c r="DJ551"/>
  <c r="AU619"/>
  <c r="AU649"/>
  <c r="AQ277" i="3"/>
  <c r="DI326" i="1"/>
  <c r="DB71"/>
  <c r="AJ73" i="3"/>
  <c r="V120" i="1"/>
  <c r="AX89"/>
  <c r="CX632"/>
  <c r="CY539"/>
  <c r="BY89"/>
  <c r="BX120"/>
  <c r="AU212"/>
  <c r="T212"/>
  <c r="S213"/>
  <c r="AT213"/>
  <c r="AT254"/>
  <c r="R254"/>
  <c r="CY682"/>
  <c r="CX716"/>
  <c r="CZ312"/>
  <c r="DI383"/>
  <c r="AQ344" i="3"/>
  <c r="DJ353" i="1"/>
  <c r="BW71"/>
  <c r="BX71"/>
  <c r="CY339"/>
  <c r="CX382"/>
  <c r="DK343"/>
  <c r="DJ385"/>
  <c r="CV254"/>
  <c r="CW213"/>
  <c r="BW136"/>
  <c r="DK895"/>
  <c r="DL39"/>
  <c r="CX23"/>
  <c r="DL626"/>
  <c r="CY345"/>
  <c r="V215"/>
  <c r="AX215" s="1"/>
  <c r="DM122"/>
  <c r="CM186"/>
  <c r="CM188"/>
  <c r="W83"/>
  <c r="AZ83"/>
  <c r="BL186"/>
  <c r="BL188"/>
  <c r="CX129"/>
  <c r="CZ475"/>
  <c r="CX477"/>
  <c r="CW519"/>
  <c r="DL102"/>
  <c r="Y70"/>
  <c r="DJ565"/>
  <c r="DK577"/>
  <c r="CB274"/>
  <c r="X316"/>
  <c r="V273"/>
  <c r="W318"/>
  <c r="AY273"/>
  <c r="AY318"/>
  <c r="AZ274"/>
  <c r="AZ316"/>
  <c r="DK634"/>
  <c r="DJ658"/>
  <c r="AW732"/>
  <c r="DA732"/>
  <c r="DL32"/>
  <c r="DK60"/>
  <c r="DK62"/>
  <c r="DJ642"/>
  <c r="AU141"/>
  <c r="T141"/>
  <c r="AX734"/>
  <c r="DB8"/>
  <c r="AJ9" i="3"/>
  <c r="DK257" i="1"/>
  <c r="DL230"/>
  <c r="AV14"/>
  <c r="U14"/>
  <c r="T15"/>
  <c r="AT741"/>
  <c r="AT783" s="1"/>
  <c r="R783"/>
  <c r="DJ560"/>
  <c r="DI588"/>
  <c r="DI590"/>
  <c r="DO188"/>
  <c r="DO910"/>
  <c r="Z733"/>
  <c r="BC733"/>
  <c r="DG733" s="1"/>
  <c r="AO734" i="3" s="1"/>
  <c r="Y667" i="1"/>
  <c r="BB667"/>
  <c r="AT147"/>
  <c r="R189"/>
  <c r="W17"/>
  <c r="AZ17" s="1"/>
  <c r="CB17" s="1"/>
  <c r="X743"/>
  <c r="Y534"/>
  <c r="BB534"/>
  <c r="DF534" s="1"/>
  <c r="DJ452"/>
  <c r="DK418"/>
  <c r="AS409" i="3"/>
  <c r="DJ450" i="1"/>
  <c r="AR409" i="3"/>
  <c r="CK742" i="1"/>
  <c r="BI742"/>
  <c r="CJ412"/>
  <c r="CI412"/>
  <c r="EF412"/>
  <c r="AX5"/>
  <c r="W5"/>
  <c r="V23"/>
  <c r="DA304"/>
  <c r="DA327" s="1"/>
  <c r="CZ327"/>
  <c r="CX141"/>
  <c r="CW185"/>
  <c r="AW154"/>
  <c r="U188"/>
  <c r="BA743"/>
  <c r="CZ550"/>
  <c r="CZ584" s="1"/>
  <c r="CY584"/>
  <c r="BW8"/>
  <c r="BX8"/>
  <c r="DA471"/>
  <c r="EA471" s="1"/>
  <c r="EA515" s="1"/>
  <c r="CZ515"/>
  <c r="CX378"/>
  <c r="V281"/>
  <c r="AX281"/>
  <c r="DB281" s="1"/>
  <c r="DC281" s="1"/>
  <c r="DD281" s="1"/>
  <c r="DE281" s="1"/>
  <c r="DF281" s="1"/>
  <c r="DG281" s="1"/>
  <c r="DH281" s="1"/>
  <c r="DI281" s="1"/>
  <c r="DJ281" s="1"/>
  <c r="DK281" s="1"/>
  <c r="DL281" s="1"/>
  <c r="DM281" s="1"/>
  <c r="EB281" s="1"/>
  <c r="EG281" s="1"/>
  <c r="Z72"/>
  <c r="CZ32"/>
  <c r="CY60"/>
  <c r="CY62"/>
  <c r="DL220"/>
  <c r="DK251"/>
  <c r="CW147"/>
  <c r="CY485"/>
  <c r="CX13"/>
  <c r="DJ378"/>
  <c r="DI390"/>
  <c r="DA699"/>
  <c r="DI913"/>
  <c r="DJ344"/>
  <c r="AQ345" i="3"/>
  <c r="CX81" i="1"/>
  <c r="DJ320"/>
  <c r="DJ912"/>
  <c r="DK278"/>
  <c r="DK912" s="1"/>
  <c r="DO383"/>
  <c r="AT123"/>
  <c r="BV81"/>
  <c r="CX642"/>
  <c r="CY642" s="1"/>
  <c r="CZ642" s="1"/>
  <c r="DA642" s="1"/>
  <c r="BX734"/>
  <c r="BW734"/>
  <c r="BZ273"/>
  <c r="BZ318"/>
  <c r="CA273"/>
  <c r="CA318"/>
  <c r="CB318"/>
  <c r="AX138"/>
  <c r="V732"/>
  <c r="W138"/>
  <c r="BY138"/>
  <c r="DA138"/>
  <c r="CJ23"/>
  <c r="CJ54" s="1"/>
  <c r="CI23"/>
  <c r="CK54"/>
  <c r="DJ764"/>
  <c r="DI789"/>
  <c r="BV141"/>
  <c r="X8"/>
  <c r="AY8"/>
  <c r="DC8"/>
  <c r="AK9" i="3" s="1"/>
  <c r="T211" i="1"/>
  <c r="S253"/>
  <c r="AU211"/>
  <c r="AT739"/>
  <c r="AU15"/>
  <c r="S57"/>
  <c r="X185"/>
  <c r="V141"/>
  <c r="AY141" s="1"/>
  <c r="AY187" s="1"/>
  <c r="W187"/>
  <c r="W142"/>
  <c r="AZ142"/>
  <c r="AZ185" s="1"/>
  <c r="DH733"/>
  <c r="AP734" i="3" s="1"/>
  <c r="CD667" i="1"/>
  <c r="CX154"/>
  <c r="W16"/>
  <c r="AZ16" s="1"/>
  <c r="CY169"/>
  <c r="CY194" s="1"/>
  <c r="CZ168"/>
  <c r="S147"/>
  <c r="AU146"/>
  <c r="T146"/>
  <c r="CM383"/>
  <c r="CW88"/>
  <c r="DJ773"/>
  <c r="AR739" i="3" s="1"/>
  <c r="AQ739"/>
  <c r="DJ576" i="1"/>
  <c r="AU81"/>
  <c r="S123"/>
  <c r="AV188"/>
  <c r="AX136"/>
  <c r="W136"/>
  <c r="AZ215"/>
  <c r="BA83"/>
  <c r="BC6"/>
  <c r="DG6" s="1"/>
  <c r="AA732"/>
  <c r="BD732" s="1"/>
  <c r="BC70"/>
  <c r="DG70"/>
  <c r="BC667"/>
  <c r="DG667"/>
  <c r="AO668" i="3" s="1"/>
  <c r="BA17" i="1"/>
  <c r="CE17" s="1"/>
  <c r="BC534"/>
  <c r="DG534" s="1"/>
  <c r="BV739"/>
  <c r="BT739" s="1"/>
  <c r="DA407"/>
  <c r="DA247"/>
  <c r="DA235" s="1"/>
  <c r="CZ235"/>
  <c r="CX273"/>
  <c r="CW316"/>
  <c r="AU316"/>
  <c r="AU56"/>
  <c r="CZ313"/>
  <c r="CY301"/>
  <c r="AW9"/>
  <c r="U53"/>
  <c r="AV53"/>
  <c r="CZ409"/>
  <c r="CY452"/>
  <c r="DJ259"/>
  <c r="DK235"/>
  <c r="DL247"/>
  <c r="DM247" s="1"/>
  <c r="DM235" s="1"/>
  <c r="EJ247"/>
  <c r="DK501"/>
  <c r="DL13"/>
  <c r="DK56"/>
  <c r="CZ179"/>
  <c r="CY193"/>
  <c r="CY195"/>
  <c r="CZ543"/>
  <c r="CY763"/>
  <c r="CZ775"/>
  <c r="CZ362"/>
  <c r="CY389"/>
  <c r="DK392"/>
  <c r="U583"/>
  <c r="AW539"/>
  <c r="BY539"/>
  <c r="U553"/>
  <c r="AV583"/>
  <c r="AV553"/>
  <c r="CY40"/>
  <c r="CX64"/>
  <c r="T316"/>
  <c r="AV273"/>
  <c r="AV316" s="1"/>
  <c r="U273"/>
  <c r="U13"/>
  <c r="AV13"/>
  <c r="AV56" s="1"/>
  <c r="T56"/>
  <c r="DK370"/>
  <c r="BT273"/>
  <c r="BT316" s="1"/>
  <c r="BU273"/>
  <c r="BU316" s="1"/>
  <c r="BV316"/>
  <c r="AY281"/>
  <c r="CY509"/>
  <c r="CX523"/>
  <c r="DA405"/>
  <c r="CZ449"/>
  <c r="AF320"/>
  <c r="AF912"/>
  <c r="BH278"/>
  <c r="DL278"/>
  <c r="AG278"/>
  <c r="AG912" s="1"/>
  <c r="DL15"/>
  <c r="CZ343"/>
  <c r="DK179"/>
  <c r="AR145" i="3"/>
  <c r="CY588" i="1"/>
  <c r="CZ560"/>
  <c r="DL509"/>
  <c r="AT475" i="3" s="1"/>
  <c r="DL213" i="1"/>
  <c r="DM471"/>
  <c r="BT207"/>
  <c r="BV250"/>
  <c r="BU207"/>
  <c r="BV252"/>
  <c r="CZ501"/>
  <c r="CZ494"/>
  <c r="CY522"/>
  <c r="BG912"/>
  <c r="BG320"/>
  <c r="AU250"/>
  <c r="U207"/>
  <c r="AV207"/>
  <c r="T250"/>
  <c r="CX196"/>
  <c r="CY172"/>
  <c r="DL81"/>
  <c r="DP450"/>
  <c r="CZ164"/>
  <c r="CZ194" s="1"/>
  <c r="CY192"/>
  <c r="CX213"/>
  <c r="DA312"/>
  <c r="CZ682"/>
  <c r="CY716"/>
  <c r="AV212"/>
  <c r="U212"/>
  <c r="T213"/>
  <c r="DB89"/>
  <c r="AX120"/>
  <c r="BZ89"/>
  <c r="CY367"/>
  <c r="CY391" s="1"/>
  <c r="CZ379"/>
  <c r="DJ129"/>
  <c r="AR79" i="3"/>
  <c r="DK113" i="1"/>
  <c r="CY353"/>
  <c r="DL709"/>
  <c r="DM709" s="1"/>
  <c r="DM697" s="1"/>
  <c r="EJ709"/>
  <c r="DL697"/>
  <c r="DK697"/>
  <c r="DK722" s="1"/>
  <c r="DL775"/>
  <c r="DM775" s="1"/>
  <c r="DL763"/>
  <c r="AY89"/>
  <c r="AY120"/>
  <c r="W120"/>
  <c r="AZ71"/>
  <c r="X89"/>
  <c r="CZ341"/>
  <c r="CY342"/>
  <c r="CY384"/>
  <c r="AV649"/>
  <c r="AV619"/>
  <c r="BV213"/>
  <c r="DL343"/>
  <c r="DK385"/>
  <c r="CZ339"/>
  <c r="CY382"/>
  <c r="DJ383"/>
  <c r="AR344" i="3" s="1"/>
  <c r="DK353" i="1"/>
  <c r="AU213"/>
  <c r="S254"/>
  <c r="CZ539"/>
  <c r="CY632"/>
  <c r="DK551"/>
  <c r="DJ582"/>
  <c r="DA49"/>
  <c r="DA37"/>
  <c r="CZ37"/>
  <c r="DA77"/>
  <c r="FC77" s="1"/>
  <c r="CZ78"/>
  <c r="CZ568"/>
  <c r="DJ722"/>
  <c r="U649"/>
  <c r="U619"/>
  <c r="AW605"/>
  <c r="CZ169"/>
  <c r="DA168"/>
  <c r="DA169" s="1"/>
  <c r="DA194" s="1"/>
  <c r="DD142"/>
  <c r="W185"/>
  <c r="W736"/>
  <c r="V187"/>
  <c r="BT141"/>
  <c r="BU141"/>
  <c r="DJ789"/>
  <c r="X138"/>
  <c r="AY138"/>
  <c r="DC138"/>
  <c r="W732"/>
  <c r="AX732"/>
  <c r="DK320"/>
  <c r="DJ913"/>
  <c r="DK344"/>
  <c r="DK378"/>
  <c r="DK390" s="1"/>
  <c r="DL378"/>
  <c r="DJ390"/>
  <c r="CY13"/>
  <c r="CZ485"/>
  <c r="DM220"/>
  <c r="DL251"/>
  <c r="CY378"/>
  <c r="DA550"/>
  <c r="AW188"/>
  <c r="CY141"/>
  <c r="AX23"/>
  <c r="V54"/>
  <c r="DB5"/>
  <c r="AJ7" i="3"/>
  <c r="BA534" i="1"/>
  <c r="DE534"/>
  <c r="CB743"/>
  <c r="V17"/>
  <c r="W743"/>
  <c r="AY17"/>
  <c r="AT189"/>
  <c r="BV147"/>
  <c r="BU147" s="1"/>
  <c r="Y733"/>
  <c r="DF733" s="1"/>
  <c r="AN734" i="3" s="1"/>
  <c r="DF667" i="1"/>
  <c r="AN668" i="3"/>
  <c r="BA667" i="1"/>
  <c r="CE667" s="1"/>
  <c r="CC667" s="1"/>
  <c r="DE667"/>
  <c r="AM668" i="3" s="1"/>
  <c r="DP188" i="1"/>
  <c r="DP910"/>
  <c r="DK560"/>
  <c r="DL560" s="1"/>
  <c r="DJ588"/>
  <c r="DJ590"/>
  <c r="AV15"/>
  <c r="AV57"/>
  <c r="T57"/>
  <c r="DB734"/>
  <c r="AJ735" i="3" s="1"/>
  <c r="U141" i="1"/>
  <c r="AV141"/>
  <c r="DK642"/>
  <c r="DM32"/>
  <c r="DL60"/>
  <c r="DL634"/>
  <c r="DK658"/>
  <c r="DD274"/>
  <c r="W316"/>
  <c r="DL577"/>
  <c r="DM577" s="1"/>
  <c r="EJ577"/>
  <c r="BA70"/>
  <c r="CE70" s="1"/>
  <c r="CN186"/>
  <c r="CN188"/>
  <c r="DL654"/>
  <c r="DM626"/>
  <c r="DM654" s="1"/>
  <c r="EJ626"/>
  <c r="CY23"/>
  <c r="BC72"/>
  <c r="BB70"/>
  <c r="DF70"/>
  <c r="AY215"/>
  <c r="BU739"/>
  <c r="X136"/>
  <c r="AZ136" s="1"/>
  <c r="AY136"/>
  <c r="DC136" s="1"/>
  <c r="DB136"/>
  <c r="CX88"/>
  <c r="AV146"/>
  <c r="BY146" s="1"/>
  <c r="U146"/>
  <c r="T147"/>
  <c r="AV147" s="1"/>
  <c r="S189"/>
  <c r="AU147"/>
  <c r="CY147" s="1"/>
  <c r="V16"/>
  <c r="AU57"/>
  <c r="AU253"/>
  <c r="T253"/>
  <c r="AV211"/>
  <c r="AV253" s="1"/>
  <c r="U211"/>
  <c r="AW211" s="1"/>
  <c r="AZ8"/>
  <c r="DD8" s="1"/>
  <c r="BX138"/>
  <c r="BW138"/>
  <c r="DB138"/>
  <c r="BU81"/>
  <c r="BT81"/>
  <c r="CY81"/>
  <c r="CX147"/>
  <c r="DA32"/>
  <c r="DA60" s="1"/>
  <c r="CZ60"/>
  <c r="CZ62"/>
  <c r="Y72"/>
  <c r="BA72" s="1"/>
  <c r="DG72"/>
  <c r="BB72"/>
  <c r="AY5"/>
  <c r="DC5"/>
  <c r="AK7" i="3" s="1"/>
  <c r="X5" i="1"/>
  <c r="X23" s="1"/>
  <c r="W23"/>
  <c r="CI742"/>
  <c r="EF742"/>
  <c r="CJ742"/>
  <c r="DL418"/>
  <c r="DK452"/>
  <c r="DK450"/>
  <c r="BB733"/>
  <c r="AW14"/>
  <c r="BY14"/>
  <c r="U15"/>
  <c r="DL257"/>
  <c r="DM230"/>
  <c r="AX273"/>
  <c r="AX318" s="1"/>
  <c r="V318"/>
  <c r="CA274"/>
  <c r="CA316" s="1"/>
  <c r="BZ274"/>
  <c r="BZ316" s="1"/>
  <c r="CB316"/>
  <c r="DM102"/>
  <c r="CY477"/>
  <c r="CZ477" s="1"/>
  <c r="CX519"/>
  <c r="DA475"/>
  <c r="V83"/>
  <c r="AX83" s="1"/>
  <c r="CZ345"/>
  <c r="DM39"/>
  <c r="EJ39"/>
  <c r="S741"/>
  <c r="BV741"/>
  <c r="BT741"/>
  <c r="AW13"/>
  <c r="AW56"/>
  <c r="U56"/>
  <c r="CZ763"/>
  <c r="DA775"/>
  <c r="DA763"/>
  <c r="DA179"/>
  <c r="CZ193"/>
  <c r="CZ195"/>
  <c r="DL56"/>
  <c r="DM13"/>
  <c r="FD13"/>
  <c r="CZ452"/>
  <c r="DA409"/>
  <c r="EA409" s="1"/>
  <c r="EA452" s="1"/>
  <c r="EA407"/>
  <c r="DL370"/>
  <c r="DM370" s="1"/>
  <c r="AW273"/>
  <c r="AW316"/>
  <c r="U316"/>
  <c r="CY64"/>
  <c r="CZ40"/>
  <c r="AW553"/>
  <c r="AW583"/>
  <c r="DA362"/>
  <c r="DA389" s="1"/>
  <c r="CZ389"/>
  <c r="DA543"/>
  <c r="DL501"/>
  <c r="DM501" s="1"/>
  <c r="DK902"/>
  <c r="DM259"/>
  <c r="BY9"/>
  <c r="BX9" s="1"/>
  <c r="BX53" s="1"/>
  <c r="AW53"/>
  <c r="DA313"/>
  <c r="DA301" s="1"/>
  <c r="CZ301"/>
  <c r="CY273"/>
  <c r="CX316"/>
  <c r="DA164"/>
  <c r="DA192"/>
  <c r="CZ192"/>
  <c r="DM81"/>
  <c r="FD81" s="1"/>
  <c r="CZ172"/>
  <c r="DA172" s="1"/>
  <c r="DA196" s="1"/>
  <c r="CY196"/>
  <c r="EJ502"/>
  <c r="CZ522"/>
  <c r="DA494"/>
  <c r="DA522" s="1"/>
  <c r="DA501"/>
  <c r="BU250"/>
  <c r="BU252"/>
  <c r="BT250"/>
  <c r="BT252"/>
  <c r="EB471"/>
  <c r="DM213"/>
  <c r="DA343"/>
  <c r="BI278"/>
  <c r="BI912" s="1"/>
  <c r="AG320"/>
  <c r="DA449"/>
  <c r="EA405"/>
  <c r="AW207"/>
  <c r="AW250" s="1"/>
  <c r="U250"/>
  <c r="DM509"/>
  <c r="DA560"/>
  <c r="DA588" s="1"/>
  <c r="CZ588"/>
  <c r="DL179"/>
  <c r="DM15"/>
  <c r="FD15" s="1"/>
  <c r="BH912"/>
  <c r="BH320"/>
  <c r="CY523"/>
  <c r="CZ509"/>
  <c r="DA568"/>
  <c r="EA77"/>
  <c r="DA78"/>
  <c r="FC78" s="1"/>
  <c r="DK582"/>
  <c r="DL551"/>
  <c r="CZ632"/>
  <c r="DA632" s="1"/>
  <c r="DA539"/>
  <c r="AU254"/>
  <c r="CZ382"/>
  <c r="DA339"/>
  <c r="DM343"/>
  <c r="DM385"/>
  <c r="DL385"/>
  <c r="AZ89"/>
  <c r="AZ120" s="1"/>
  <c r="X120"/>
  <c r="CZ367"/>
  <c r="CZ391"/>
  <c r="DA379"/>
  <c r="DA367"/>
  <c r="AV213"/>
  <c r="AV254" s="1"/>
  <c r="T254"/>
  <c r="DA682"/>
  <c r="DA716"/>
  <c r="CZ716"/>
  <c r="AW619"/>
  <c r="AW649"/>
  <c r="BY605"/>
  <c r="BX605" s="1"/>
  <c r="DL353"/>
  <c r="DL383"/>
  <c r="DK383"/>
  <c r="BU213"/>
  <c r="BT213"/>
  <c r="DA341"/>
  <c r="EA341" s="1"/>
  <c r="CZ342"/>
  <c r="CZ384" s="1"/>
  <c r="DD71"/>
  <c r="FC71" s="1"/>
  <c r="CB71"/>
  <c r="BZ71" s="1"/>
  <c r="CZ353"/>
  <c r="DA353" s="1"/>
  <c r="DL113"/>
  <c r="DM113" s="1"/>
  <c r="DK129"/>
  <c r="CA89"/>
  <c r="CB89"/>
  <c r="CB120" s="1"/>
  <c r="BZ120"/>
  <c r="DC89"/>
  <c r="DC120"/>
  <c r="DB120"/>
  <c r="AW212"/>
  <c r="BY212" s="1"/>
  <c r="U213"/>
  <c r="U254" s="1"/>
  <c r="CY213"/>
  <c r="CY519"/>
  <c r="AZ5"/>
  <c r="DD5" s="1"/>
  <c r="AW146"/>
  <c r="U147"/>
  <c r="AW147" s="1"/>
  <c r="AW189" s="1"/>
  <c r="CY88"/>
  <c r="CZ88" s="1"/>
  <c r="DA88" s="1"/>
  <c r="EA88" s="1"/>
  <c r="DE70"/>
  <c r="DK588"/>
  <c r="BA733"/>
  <c r="CE733" s="1"/>
  <c r="CD733" s="1"/>
  <c r="AX17"/>
  <c r="CA743"/>
  <c r="BZ743"/>
  <c r="CZ141"/>
  <c r="CZ378"/>
  <c r="EB251"/>
  <c r="DM251"/>
  <c r="DA485"/>
  <c r="AY732"/>
  <c r="DC732"/>
  <c r="BU741"/>
  <c r="AU741"/>
  <c r="DA345"/>
  <c r="EA345" s="1"/>
  <c r="EA475"/>
  <c r="AX274"/>
  <c r="AX316" s="1"/>
  <c r="V316"/>
  <c r="DB273"/>
  <c r="DC273" s="1"/>
  <c r="DM257"/>
  <c r="U57"/>
  <c r="AW15"/>
  <c r="AW57" s="1"/>
  <c r="DL452"/>
  <c r="DM418"/>
  <c r="DM450" s="1"/>
  <c r="DL450"/>
  <c r="AY23"/>
  <c r="AY54"/>
  <c r="W54"/>
  <c r="DF72"/>
  <c r="AX16"/>
  <c r="CB16" s="1"/>
  <c r="AU189"/>
  <c r="CZ23"/>
  <c r="DM634"/>
  <c r="EJ634"/>
  <c r="DL658"/>
  <c r="AW141"/>
  <c r="DB23"/>
  <c r="DC23"/>
  <c r="AX54"/>
  <c r="EA550"/>
  <c r="DA584"/>
  <c r="CZ13"/>
  <c r="DK913"/>
  <c r="DB732"/>
  <c r="AZ138"/>
  <c r="DD138" s="1"/>
  <c r="EA138" s="1"/>
  <c r="AY16"/>
  <c r="AY274"/>
  <c r="AY316" s="1"/>
  <c r="AZ743"/>
  <c r="CY316"/>
  <c r="CZ273"/>
  <c r="DA273" s="1"/>
  <c r="EA543"/>
  <c r="CZ64"/>
  <c r="DA40"/>
  <c r="DA64"/>
  <c r="BW9"/>
  <c r="BY53"/>
  <c r="EJ370"/>
  <c r="DM56"/>
  <c r="EB13"/>
  <c r="EG13" s="1"/>
  <c r="EG56" s="1"/>
  <c r="DA193"/>
  <c r="DA195"/>
  <c r="BY273"/>
  <c r="EB15"/>
  <c r="BY207"/>
  <c r="BW207" s="1"/>
  <c r="BW250" s="1"/>
  <c r="EA449"/>
  <c r="BI320"/>
  <c r="DA509"/>
  <c r="DA523" s="1"/>
  <c r="CZ523"/>
  <c r="EA343"/>
  <c r="EB213"/>
  <c r="EB81"/>
  <c r="EG81" s="1"/>
  <c r="AW213"/>
  <c r="AW254" s="1"/>
  <c r="DM353"/>
  <c r="EB353" s="1"/>
  <c r="BW605"/>
  <c r="EA682"/>
  <c r="EA716" s="1"/>
  <c r="EB343"/>
  <c r="EG343" s="1"/>
  <c r="EG385" s="1"/>
  <c r="EA539"/>
  <c r="CZ213"/>
  <c r="DA213" s="1"/>
  <c r="EA213" s="1"/>
  <c r="CA120"/>
  <c r="AL73" i="3"/>
  <c r="DA342" i="1"/>
  <c r="DA384" s="1"/>
  <c r="EA339"/>
  <c r="EA382" s="1"/>
  <c r="DA382"/>
  <c r="DL582"/>
  <c r="DM551"/>
  <c r="DB78"/>
  <c r="DC78" s="1"/>
  <c r="BY213"/>
  <c r="BX213" s="1"/>
  <c r="DA13"/>
  <c r="FC13" s="1"/>
  <c r="DB54"/>
  <c r="BY15"/>
  <c r="BW15" s="1"/>
  <c r="BW57" s="1"/>
  <c r="DA141"/>
  <c r="EA141" s="1"/>
  <c r="U189"/>
  <c r="DC274"/>
  <c r="BY141"/>
  <c r="BW141"/>
  <c r="EB418"/>
  <c r="Q409" i="3" s="1"/>
  <c r="DB274" i="1"/>
  <c r="DB316" s="1"/>
  <c r="EA485"/>
  <c r="DA378"/>
  <c r="DB17"/>
  <c r="DC17" s="1"/>
  <c r="DD17" s="1"/>
  <c r="DE17" s="1"/>
  <c r="DF17" s="1"/>
  <c r="DG17" s="1"/>
  <c r="DH17" s="1"/>
  <c r="DI17" s="1"/>
  <c r="DJ17" s="1"/>
  <c r="DK17" s="1"/>
  <c r="DL17" s="1"/>
  <c r="DM17" s="1"/>
  <c r="EJ560"/>
  <c r="BX273"/>
  <c r="BX316"/>
  <c r="BW273"/>
  <c r="BW316"/>
  <c r="BY316"/>
  <c r="EB56"/>
  <c r="EG213"/>
  <c r="BX207"/>
  <c r="EG15"/>
  <c r="AJ82" i="3"/>
  <c r="EB551" i="1"/>
  <c r="EG551" s="1"/>
  <c r="DM582"/>
  <c r="DM383"/>
  <c r="BX141"/>
  <c r="BX15"/>
  <c r="DJ757"/>
  <c r="X713"/>
  <c r="AZ670"/>
  <c r="CB670"/>
  <c r="CA670" s="1"/>
  <c r="CA713" s="1"/>
  <c r="AZ604"/>
  <c r="X647"/>
  <c r="CB604"/>
  <c r="Y542"/>
  <c r="Z542" s="1"/>
  <c r="AZ542"/>
  <c r="AZ916" s="1"/>
  <c r="AZ919" s="1"/>
  <c r="X585"/>
  <c r="X916"/>
  <c r="CB542"/>
  <c r="X740"/>
  <c r="CB740" s="1"/>
  <c r="Y585"/>
  <c r="AA538"/>
  <c r="AB538" s="1"/>
  <c r="BB538"/>
  <c r="DF538" s="1"/>
  <c r="DG536"/>
  <c r="AO537" i="3"/>
  <c r="DH536" i="1"/>
  <c r="AP537" i="3"/>
  <c r="CA739" i="1"/>
  <c r="CA782" s="1"/>
  <c r="BZ739"/>
  <c r="BZ782" s="1"/>
  <c r="CB782"/>
  <c r="AX782"/>
  <c r="DB739"/>
  <c r="DC739" s="1"/>
  <c r="Y515"/>
  <c r="Z472"/>
  <c r="Z515" s="1"/>
  <c r="BA472"/>
  <c r="DE472"/>
  <c r="DE515" s="1"/>
  <c r="Y449"/>
  <c r="Z406"/>
  <c r="BA449"/>
  <c r="Y316"/>
  <c r="BA274"/>
  <c r="Z274"/>
  <c r="AA274" s="1"/>
  <c r="BA208"/>
  <c r="DE208" s="1"/>
  <c r="DE250" s="1"/>
  <c r="Z208"/>
  <c r="Y250"/>
  <c r="BC140"/>
  <c r="DG140" s="1"/>
  <c r="AO141" i="3" s="1"/>
  <c r="AA734" i="1"/>
  <c r="X119"/>
  <c r="CB76"/>
  <c r="CA76"/>
  <c r="CA119" s="1"/>
  <c r="AZ76"/>
  <c r="AZ119" s="1"/>
  <c r="Y119"/>
  <c r="BA76"/>
  <c r="DE76"/>
  <c r="DE119" s="1"/>
  <c r="AM80" i="3" s="1"/>
  <c r="BA670" i="1"/>
  <c r="BA713"/>
  <c r="Y713"/>
  <c r="AZ713"/>
  <c r="DD670"/>
  <c r="DD713"/>
  <c r="AL674" i="3" s="1"/>
  <c r="DD604" i="1"/>
  <c r="AZ647"/>
  <c r="CA604"/>
  <c r="CA647" s="1"/>
  <c r="CB647"/>
  <c r="BZ604"/>
  <c r="BZ647"/>
  <c r="Y647"/>
  <c r="BA604"/>
  <c r="DE604" s="1"/>
  <c r="BZ542"/>
  <c r="BZ585" s="1"/>
  <c r="CA542"/>
  <c r="CA585" s="1"/>
  <c r="CB585"/>
  <c r="CB916"/>
  <c r="CB919"/>
  <c r="DD542"/>
  <c r="BC538"/>
  <c r="DG538" s="1"/>
  <c r="DI536"/>
  <c r="AQ537" i="3"/>
  <c r="AA472" i="1"/>
  <c r="AA515" s="1"/>
  <c r="BB472"/>
  <c r="BB515" s="1"/>
  <c r="AA406"/>
  <c r="AA449" s="1"/>
  <c r="Z449"/>
  <c r="DE274"/>
  <c r="BA316"/>
  <c r="AA208"/>
  <c r="AA250" s="1"/>
  <c r="Z250"/>
  <c r="BB208"/>
  <c r="DF208"/>
  <c r="BC734"/>
  <c r="DG734"/>
  <c r="AO735" i="3" s="1"/>
  <c r="AB734" i="1"/>
  <c r="BD140"/>
  <c r="DH140"/>
  <c r="AP141" i="3" s="1"/>
  <c r="DD76" i="1"/>
  <c r="DD119" s="1"/>
  <c r="AL80" i="3" s="1"/>
  <c r="BA119" i="1"/>
  <c r="Z119"/>
  <c r="BB76"/>
  <c r="BB119" s="1"/>
  <c r="Z713"/>
  <c r="BB670"/>
  <c r="DF670" s="1"/>
  <c r="DF713" s="1"/>
  <c r="AN674" i="3" s="1"/>
  <c r="DE670" i="1"/>
  <c r="DE713" s="1"/>
  <c r="AM674" i="3" s="1"/>
  <c r="BB604" i="1"/>
  <c r="DF604"/>
  <c r="Z647"/>
  <c r="BA647"/>
  <c r="DD585"/>
  <c r="BZ916"/>
  <c r="BZ919"/>
  <c r="CA916"/>
  <c r="CA919"/>
  <c r="DJ536"/>
  <c r="AR537" i="3" s="1"/>
  <c r="DF472" i="1"/>
  <c r="DF515" s="1"/>
  <c r="BB449"/>
  <c r="BB250"/>
  <c r="BD734"/>
  <c r="DH734" s="1"/>
  <c r="AP735" i="3" s="1"/>
  <c r="BE140" i="1"/>
  <c r="DI140"/>
  <c r="AQ141" i="3" s="1"/>
  <c r="AC734" i="1"/>
  <c r="BE734" s="1"/>
  <c r="DI734" s="1"/>
  <c r="AQ735" i="3" s="1"/>
  <c r="DF76" i="1"/>
  <c r="DF119" s="1"/>
  <c r="AN80" i="3" s="1"/>
  <c r="BC76" i="1"/>
  <c r="CE76"/>
  <c r="CC76" s="1"/>
  <c r="CC119" s="1"/>
  <c r="AA119"/>
  <c r="BC670"/>
  <c r="DG670" s="1"/>
  <c r="DG713" s="1"/>
  <c r="AO674" i="3" s="1"/>
  <c r="AA713" i="1"/>
  <c r="BC604"/>
  <c r="DG604" s="1"/>
  <c r="AA647"/>
  <c r="BB647"/>
  <c r="DK536"/>
  <c r="CE449"/>
  <c r="BF140"/>
  <c r="DJ140"/>
  <c r="AR141" i="3" s="1"/>
  <c r="AD734" i="1"/>
  <c r="DK734" s="1"/>
  <c r="BD76"/>
  <c r="BD119" s="1"/>
  <c r="AB119"/>
  <c r="CD76"/>
  <c r="CD119" s="1"/>
  <c r="CE119"/>
  <c r="BC119"/>
  <c r="DG76"/>
  <c r="DG119" s="1"/>
  <c r="AO80" i="3" s="1"/>
  <c r="BD670" i="1"/>
  <c r="AB713"/>
  <c r="BC713"/>
  <c r="BD604"/>
  <c r="BD647" s="1"/>
  <c r="AB647"/>
  <c r="BC647"/>
  <c r="DL536"/>
  <c r="BF734"/>
  <c r="BG140"/>
  <c r="DK140"/>
  <c r="AE734"/>
  <c r="BE76"/>
  <c r="AC119"/>
  <c r="DH76"/>
  <c r="DH119" s="1"/>
  <c r="AP80" i="3" s="1"/>
  <c r="AC713" i="1"/>
  <c r="BE670"/>
  <c r="DI670"/>
  <c r="DI713" s="1"/>
  <c r="AQ674" i="3" s="1"/>
  <c r="BD713" i="1"/>
  <c r="DH670"/>
  <c r="DH713" s="1"/>
  <c r="AP674" i="3" s="1"/>
  <c r="DH604" i="1"/>
  <c r="BE604"/>
  <c r="DI604"/>
  <c r="AC647"/>
  <c r="DM536"/>
  <c r="AF734"/>
  <c r="DM734" s="1"/>
  <c r="BH140"/>
  <c r="DL140"/>
  <c r="DJ734"/>
  <c r="AR735" i="3" s="1"/>
  <c r="BG734" i="1"/>
  <c r="CH76"/>
  <c r="CG76" s="1"/>
  <c r="CG119" s="1"/>
  <c r="BF76"/>
  <c r="DJ76"/>
  <c r="AD119"/>
  <c r="BE119"/>
  <c r="DI76"/>
  <c r="DI119"/>
  <c r="BE713"/>
  <c r="BF670"/>
  <c r="DJ670" s="1"/>
  <c r="DJ713" s="1"/>
  <c r="AR674" i="3" s="1"/>
  <c r="AD713" i="1"/>
  <c r="BF604"/>
  <c r="AD647"/>
  <c r="BE647"/>
  <c r="DN536"/>
  <c r="BH734"/>
  <c r="DL734" s="1"/>
  <c r="BI140"/>
  <c r="DM140"/>
  <c r="AU141" i="3" s="1"/>
  <c r="AG734" i="1"/>
  <c r="CF76"/>
  <c r="CH119"/>
  <c r="AE119"/>
  <c r="BG76"/>
  <c r="EE76"/>
  <c r="BF713"/>
  <c r="BG670"/>
  <c r="DK670" s="1"/>
  <c r="DK713" s="1"/>
  <c r="AS674" i="3" s="1"/>
  <c r="BG604" i="1"/>
  <c r="EE604"/>
  <c r="EO627" s="1"/>
  <c r="DJ604"/>
  <c r="DO536"/>
  <c r="BI734"/>
  <c r="BJ140"/>
  <c r="DN140" s="1"/>
  <c r="BH76"/>
  <c r="DL76" s="1"/>
  <c r="DL119" s="1"/>
  <c r="AF119"/>
  <c r="DK76"/>
  <c r="BH670"/>
  <c r="BH604"/>
  <c r="DL604"/>
  <c r="DP536"/>
  <c r="EB536"/>
  <c r="EG536" s="1"/>
  <c r="Q537" i="3" s="1"/>
  <c r="BK140" i="1"/>
  <c r="DO140" s="1"/>
  <c r="CK76"/>
  <c r="CI76" s="1"/>
  <c r="CI119" s="1"/>
  <c r="BI76"/>
  <c r="DM76" s="1"/>
  <c r="DL670"/>
  <c r="BI670"/>
  <c r="BI604"/>
  <c r="BL140"/>
  <c r="DP140"/>
  <c r="EB140" s="1"/>
  <c r="EG140" s="1"/>
  <c r="Q141" i="3" s="1"/>
  <c r="L141" s="1"/>
  <c r="CJ76" i="1"/>
  <c r="DM670"/>
  <c r="EB670"/>
  <c r="DM604"/>
  <c r="EB604" s="1"/>
  <c r="EH590"/>
  <c r="DK565"/>
  <c r="EH524"/>
  <c r="EI367"/>
  <c r="EP367" s="1"/>
  <c r="CJ379"/>
  <c r="CK379" s="1"/>
  <c r="EI379"/>
  <c r="EJ115"/>
  <c r="AE763"/>
  <c r="AE788" s="1"/>
  <c r="EL306"/>
  <c r="EQ306" s="1"/>
  <c r="EE582"/>
  <c r="EO432"/>
  <c r="EH192"/>
  <c r="F146" i="3" s="1"/>
  <c r="CI49" i="1"/>
  <c r="EH64"/>
  <c r="EE54"/>
  <c r="EL174"/>
  <c r="EQ174" s="1"/>
  <c r="EO505"/>
  <c r="EO298"/>
  <c r="EI696"/>
  <c r="EJ242"/>
  <c r="EJ241"/>
  <c r="EN241" s="1"/>
  <c r="ES241" s="1"/>
  <c r="CK570"/>
  <c r="EJ306"/>
  <c r="CK107"/>
  <c r="BG589"/>
  <c r="CI576"/>
  <c r="DK576"/>
  <c r="CI510"/>
  <c r="BG523"/>
  <c r="EH510"/>
  <c r="CI312"/>
  <c r="BG324"/>
  <c r="CI246"/>
  <c r="CI48"/>
  <c r="DK48"/>
  <c r="DK761"/>
  <c r="CK160"/>
  <c r="AS73" i="3"/>
  <c r="AS7"/>
  <c r="CI192" i="1"/>
  <c r="CJ192"/>
  <c r="CJ194"/>
  <c r="EH885"/>
  <c r="F349" i="3" s="1"/>
  <c r="CF891" i="1"/>
  <c r="CK887"/>
  <c r="DJ891"/>
  <c r="DK891"/>
  <c r="CG891"/>
  <c r="DK860"/>
  <c r="EH857"/>
  <c r="EO857" s="1"/>
  <c r="CK860"/>
  <c r="DK876"/>
  <c r="AU740"/>
  <c r="S783"/>
  <c r="DH6"/>
  <c r="DC54"/>
  <c r="DM278"/>
  <c r="DL320"/>
  <c r="DL912"/>
  <c r="BW539"/>
  <c r="BY540"/>
  <c r="BX539"/>
  <c r="DK667"/>
  <c r="EE667"/>
  <c r="EL690" s="1"/>
  <c r="EQ690" s="1"/>
  <c r="BR150"/>
  <c r="BQ150"/>
  <c r="AR730"/>
  <c r="AS730"/>
  <c r="CW730" s="1"/>
  <c r="BO212"/>
  <c r="BP254"/>
  <c r="BN212"/>
  <c r="CT766"/>
  <c r="CS790"/>
  <c r="DK604"/>
  <c r="BC208"/>
  <c r="BC472"/>
  <c r="CB119"/>
  <c r="BZ76"/>
  <c r="BZ119" s="1"/>
  <c r="Z316"/>
  <c r="BA515"/>
  <c r="AZ585"/>
  <c r="X783"/>
  <c r="CB713"/>
  <c r="BZ670"/>
  <c r="BZ713" s="1"/>
  <c r="Y740"/>
  <c r="BA542"/>
  <c r="EB450"/>
  <c r="EA13"/>
  <c r="EA584"/>
  <c r="CB138"/>
  <c r="CB5"/>
  <c r="BY13"/>
  <c r="AY83"/>
  <c r="BY732"/>
  <c r="BV211"/>
  <c r="CB281"/>
  <c r="BV15"/>
  <c r="EJ32"/>
  <c r="BQ14"/>
  <c r="BQ57" s="1"/>
  <c r="BR14"/>
  <c r="BR57"/>
  <c r="BU150"/>
  <c r="BT150"/>
  <c r="DD789"/>
  <c r="DD787"/>
  <c r="BT84"/>
  <c r="BU84"/>
  <c r="DA62"/>
  <c r="CF242"/>
  <c r="CG242"/>
  <c r="CP56"/>
  <c r="CP54"/>
  <c r="CI369"/>
  <c r="CJ369"/>
  <c r="BO633"/>
  <c r="BO658" s="1"/>
  <c r="BP658"/>
  <c r="BR449"/>
  <c r="BR451"/>
  <c r="CF638"/>
  <c r="CG638"/>
  <c r="DL568"/>
  <c r="BW10"/>
  <c r="BW53"/>
  <c r="BX10"/>
  <c r="AG91"/>
  <c r="CK77"/>
  <c r="BI544"/>
  <c r="CK544"/>
  <c r="X270"/>
  <c r="AY270"/>
  <c r="DC270" s="1"/>
  <c r="AF553"/>
  <c r="AF583"/>
  <c r="AG539"/>
  <c r="EE471"/>
  <c r="BG517"/>
  <c r="CZ445"/>
  <c r="CY433"/>
  <c r="AU82"/>
  <c r="T82"/>
  <c r="U82"/>
  <c r="AW82" s="1"/>
  <c r="AX268"/>
  <c r="W268"/>
  <c r="AX206"/>
  <c r="W206"/>
  <c r="AH466"/>
  <c r="BI466"/>
  <c r="DM466"/>
  <c r="CX130"/>
  <c r="CY105"/>
  <c r="CH74"/>
  <c r="DH74"/>
  <c r="AP75" i="3" s="1"/>
  <c r="AW269" i="1"/>
  <c r="V269"/>
  <c r="DI158"/>
  <c r="DJ146"/>
  <c r="DI189"/>
  <c r="CF75"/>
  <c r="CF119"/>
  <c r="CG75"/>
  <c r="BI8"/>
  <c r="AH8"/>
  <c r="AG352"/>
  <c r="AF385"/>
  <c r="DH428"/>
  <c r="DG456"/>
  <c r="DG458"/>
  <c r="BK139"/>
  <c r="DO139" s="1"/>
  <c r="AJ139"/>
  <c r="BQ281"/>
  <c r="BR281"/>
  <c r="AB619"/>
  <c r="AB649"/>
  <c r="CC18"/>
  <c r="CD18"/>
  <c r="DK730"/>
  <c r="BR619"/>
  <c r="BS619" s="1"/>
  <c r="BN254"/>
  <c r="DK666"/>
  <c r="DG546"/>
  <c r="DH546" s="1"/>
  <c r="DI546" s="1"/>
  <c r="DJ546" s="1"/>
  <c r="DK546" s="1"/>
  <c r="DL546" s="1"/>
  <c r="DM546" s="1"/>
  <c r="EB546" s="1"/>
  <c r="EG546" s="1"/>
  <c r="BY127"/>
  <c r="BV589"/>
  <c r="EJ698"/>
  <c r="DL504"/>
  <c r="DM504"/>
  <c r="EJ702"/>
  <c r="BY523"/>
  <c r="CY82"/>
  <c r="BY17"/>
  <c r="BJ617"/>
  <c r="AH648"/>
  <c r="AW278"/>
  <c r="BY278"/>
  <c r="U279"/>
  <c r="AG487"/>
  <c r="AG517"/>
  <c r="BA734"/>
  <c r="CE734" s="1"/>
  <c r="CD734" s="1"/>
  <c r="BB734"/>
  <c r="DF734"/>
  <c r="CX720"/>
  <c r="CY692"/>
  <c r="AF355"/>
  <c r="AG341"/>
  <c r="AV12"/>
  <c r="U12"/>
  <c r="T25"/>
  <c r="CC25"/>
  <c r="S143"/>
  <c r="AT143"/>
  <c r="AT187" s="1"/>
  <c r="R157"/>
  <c r="CX157" s="1"/>
  <c r="CY157" s="1"/>
  <c r="CZ157" s="1"/>
  <c r="DA157" s="1"/>
  <c r="R149"/>
  <c r="AS149"/>
  <c r="Q743"/>
  <c r="AT76"/>
  <c r="S76"/>
  <c r="W7"/>
  <c r="AX7"/>
  <c r="DB7"/>
  <c r="AJ8" i="3" s="1"/>
  <c r="FE13" i="1"/>
  <c r="FF13" s="1"/>
  <c r="DL36"/>
  <c r="BJ470"/>
  <c r="DN470"/>
  <c r="AI470"/>
  <c r="DA270"/>
  <c r="BY270"/>
  <c r="DJ643"/>
  <c r="DI631"/>
  <c r="DI656"/>
  <c r="DA72"/>
  <c r="BY72"/>
  <c r="CX565"/>
  <c r="CX590"/>
  <c r="CY577"/>
  <c r="DI301"/>
  <c r="DJ313"/>
  <c r="DK313"/>
  <c r="CW428"/>
  <c r="CW456"/>
  <c r="CV458"/>
  <c r="CV456"/>
  <c r="EE617"/>
  <c r="EE648" s="1"/>
  <c r="CF77"/>
  <c r="CF121"/>
  <c r="CH121"/>
  <c r="CG77"/>
  <c r="CG121" s="1"/>
  <c r="AT317"/>
  <c r="AT319"/>
  <c r="BQ280"/>
  <c r="BR280"/>
  <c r="BP286"/>
  <c r="BP319" s="1"/>
  <c r="BO319"/>
  <c r="BO317"/>
  <c r="BK271"/>
  <c r="DO271" s="1"/>
  <c r="AJ271"/>
  <c r="CG280"/>
  <c r="CF280"/>
  <c r="BQ18"/>
  <c r="BR18"/>
  <c r="EL109"/>
  <c r="BG716"/>
  <c r="BO254"/>
  <c r="BY745"/>
  <c r="DI478"/>
  <c r="DJ478" s="1"/>
  <c r="DK478" s="1"/>
  <c r="DL478" s="1"/>
  <c r="DM478" s="1"/>
  <c r="EB478" s="1"/>
  <c r="EG478" s="1"/>
  <c r="EN503" s="1"/>
  <c r="ES503" s="1"/>
  <c r="BS127"/>
  <c r="DA278"/>
  <c r="EA278" s="1"/>
  <c r="AN735" i="3"/>
  <c r="CB787" i="1"/>
  <c r="DL438"/>
  <c r="EJ438"/>
  <c r="EN438" s="1"/>
  <c r="ES438" s="1"/>
  <c r="DM438"/>
  <c r="CB903"/>
  <c r="CW283"/>
  <c r="CX283"/>
  <c r="CY283" s="1"/>
  <c r="CZ283" s="1"/>
  <c r="DA283" s="1"/>
  <c r="EA283" s="1"/>
  <c r="CF860"/>
  <c r="BC786"/>
  <c r="DC754"/>
  <c r="CB754"/>
  <c r="CD701"/>
  <c r="CC701"/>
  <c r="BR690"/>
  <c r="BQ690"/>
  <c r="BN676"/>
  <c r="BO676"/>
  <c r="AL717"/>
  <c r="CP675"/>
  <c r="BN674"/>
  <c r="BO674"/>
  <c r="AZ671"/>
  <c r="AY715"/>
  <c r="AY685"/>
  <c r="DC671"/>
  <c r="DD671" s="1"/>
  <c r="DE671" s="1"/>
  <c r="DF671" s="1"/>
  <c r="DG671" s="1"/>
  <c r="DH671" s="1"/>
  <c r="DI671" s="1"/>
  <c r="CL637"/>
  <c r="EI637" s="1"/>
  <c r="CM637"/>
  <c r="CR626"/>
  <c r="CQ654"/>
  <c r="CC622"/>
  <c r="CD622"/>
  <c r="DD616"/>
  <c r="DC650"/>
  <c r="BO616"/>
  <c r="BN648"/>
  <c r="AX649"/>
  <c r="AX619"/>
  <c r="CC576"/>
  <c r="BA589"/>
  <c r="BP575"/>
  <c r="CJ570"/>
  <c r="CI570"/>
  <c r="EI570"/>
  <c r="EM570" s="1"/>
  <c r="ER570" s="1"/>
  <c r="CD566"/>
  <c r="CD591"/>
  <c r="CC566"/>
  <c r="CC591"/>
  <c r="CQ582"/>
  <c r="CR551"/>
  <c r="DH549"/>
  <c r="AB586"/>
  <c r="AC549"/>
  <c r="AE546"/>
  <c r="AD552"/>
  <c r="AD744"/>
  <c r="BF744"/>
  <c r="CH744" s="1"/>
  <c r="BF546"/>
  <c r="CH546"/>
  <c r="DH769"/>
  <c r="DI769" s="1"/>
  <c r="DJ769" s="1"/>
  <c r="DK769" s="1"/>
  <c r="DL769" s="1"/>
  <c r="DJ301"/>
  <c r="BV82"/>
  <c r="CW149"/>
  <c r="AZ148"/>
  <c r="BV281"/>
  <c r="BV16"/>
  <c r="CG553"/>
  <c r="BU223"/>
  <c r="BV223"/>
  <c r="CG487"/>
  <c r="CH487"/>
  <c r="DF207"/>
  <c r="DG207"/>
  <c r="CQ720"/>
  <c r="BF589"/>
  <c r="BG450"/>
  <c r="CI419"/>
  <c r="BC763"/>
  <c r="BC788"/>
  <c r="AA831"/>
  <c r="AA788"/>
  <c r="CP770"/>
  <c r="AZ790"/>
  <c r="CB766"/>
  <c r="CE762"/>
  <c r="BC775"/>
  <c r="CE775"/>
  <c r="CE763" s="1"/>
  <c r="CE788" s="1"/>
  <c r="EJ697"/>
  <c r="EN697" s="1"/>
  <c r="ES697" s="1"/>
  <c r="DO709"/>
  <c r="CC707"/>
  <c r="BA723"/>
  <c r="AU723"/>
  <c r="BW707"/>
  <c r="BQ707"/>
  <c r="AO723"/>
  <c r="CA699"/>
  <c r="CA724"/>
  <c r="BZ699"/>
  <c r="BZ724"/>
  <c r="AV714"/>
  <c r="AV716"/>
  <c r="AT714"/>
  <c r="AT716"/>
  <c r="BW678"/>
  <c r="BX678"/>
  <c r="BT677"/>
  <c r="BU677"/>
  <c r="BW673"/>
  <c r="BX673"/>
  <c r="BK667"/>
  <c r="DO667" s="1"/>
  <c r="AG665"/>
  <c r="BJ665" s="1"/>
  <c r="BK665"/>
  <c r="DO665" s="1"/>
  <c r="AI683"/>
  <c r="BN641"/>
  <c r="AL657"/>
  <c r="BN636"/>
  <c r="BO636"/>
  <c r="BW634"/>
  <c r="BW658" s="1"/>
  <c r="BX634"/>
  <c r="BX658" s="1"/>
  <c r="CG627"/>
  <c r="CG654" s="1"/>
  <c r="CF627"/>
  <c r="CF654" s="1"/>
  <c r="BT624"/>
  <c r="BU624"/>
  <c r="CP648"/>
  <c r="CQ617"/>
  <c r="BW610"/>
  <c r="BX610"/>
  <c r="CQ607"/>
  <c r="CP650"/>
  <c r="AZ605"/>
  <c r="AY649"/>
  <c r="DC605"/>
  <c r="DD605" s="1"/>
  <c r="DE605" s="1"/>
  <c r="DF605" s="1"/>
  <c r="DG605" s="1"/>
  <c r="DH605" s="1"/>
  <c r="DI605" s="1"/>
  <c r="AY619"/>
  <c r="AW589"/>
  <c r="AW591"/>
  <c r="AP591"/>
  <c r="BR575"/>
  <c r="CG572"/>
  <c r="CF572"/>
  <c r="CA572"/>
  <c r="BZ572"/>
  <c r="BT572"/>
  <c r="BU572"/>
  <c r="BO572"/>
  <c r="BN572"/>
  <c r="BU567"/>
  <c r="BU592" s="1"/>
  <c r="BT567"/>
  <c r="BT592" s="1"/>
  <c r="BZ565"/>
  <c r="BZ590" s="1"/>
  <c r="CA565"/>
  <c r="CA590"/>
  <c r="BX559"/>
  <c r="BW559"/>
  <c r="BO551"/>
  <c r="BN582"/>
  <c r="CC551"/>
  <c r="BA582"/>
  <c r="CX85"/>
  <c r="CY85"/>
  <c r="CZ85" s="1"/>
  <c r="DA85" s="1"/>
  <c r="DJ347"/>
  <c r="DK347"/>
  <c r="BR590"/>
  <c r="CQ736"/>
  <c r="CE769"/>
  <c r="BY565"/>
  <c r="CL10"/>
  <c r="EF10" s="1"/>
  <c r="CB196"/>
  <c r="CA172"/>
  <c r="CA196" s="1"/>
  <c r="BP235"/>
  <c r="BS169"/>
  <c r="CN196"/>
  <c r="CM171"/>
  <c r="BV526"/>
  <c r="BV581"/>
  <c r="BU538"/>
  <c r="BU581"/>
  <c r="BP758"/>
  <c r="CG496"/>
  <c r="BU560"/>
  <c r="BT634"/>
  <c r="BT658" s="1"/>
  <c r="CD692"/>
  <c r="CC692"/>
  <c r="BE788"/>
  <c r="BV895"/>
  <c r="CT901"/>
  <c r="DI414"/>
  <c r="DJ414"/>
  <c r="DK414" s="1"/>
  <c r="DL414" s="1"/>
  <c r="DM414" s="1"/>
  <c r="EB414" s="1"/>
  <c r="EG414" s="1"/>
  <c r="EN439" s="1"/>
  <c r="ES439" s="1"/>
  <c r="CF722"/>
  <c r="CV915"/>
  <c r="CE860"/>
  <c r="CG849"/>
  <c r="CI849"/>
  <c r="CG851"/>
  <c r="CG868"/>
  <c r="CG876" s="1"/>
  <c r="CH259"/>
  <c r="CF259"/>
  <c r="N214" i="3"/>
  <c r="CC858" i="1"/>
  <c r="CC856"/>
  <c r="CD853"/>
  <c r="CA867"/>
  <c r="CA868"/>
  <c r="CF760"/>
  <c r="CK575"/>
  <c r="CI194"/>
  <c r="CT895"/>
  <c r="CV910"/>
  <c r="CZ898"/>
  <c r="CA869"/>
  <c r="CA872"/>
  <c r="CA870"/>
  <c r="DK300"/>
  <c r="DL564"/>
  <c r="DM564"/>
  <c r="EJ564"/>
  <c r="CG226"/>
  <c r="CG324"/>
  <c r="CC110"/>
  <c r="CF34"/>
  <c r="AC787"/>
  <c r="CF628"/>
  <c r="DI47"/>
  <c r="DA10"/>
  <c r="T279"/>
  <c r="AY272"/>
  <c r="DB206"/>
  <c r="AJ207" i="3"/>
  <c r="AI286" i="1"/>
  <c r="AV208"/>
  <c r="BV277"/>
  <c r="BH544"/>
  <c r="DC72"/>
  <c r="BW7"/>
  <c r="BH347"/>
  <c r="AH286"/>
  <c r="BK600"/>
  <c r="DO600"/>
  <c r="DM599"/>
  <c r="AG617"/>
  <c r="W140"/>
  <c r="AY82"/>
  <c r="CX368"/>
  <c r="BZ74"/>
  <c r="BH473"/>
  <c r="BH487"/>
  <c r="BG487"/>
  <c r="EE487"/>
  <c r="EO511" s="1"/>
  <c r="BW140"/>
  <c r="BV143"/>
  <c r="T280"/>
  <c r="AF318"/>
  <c r="T277"/>
  <c r="DN272"/>
  <c r="AY6"/>
  <c r="DC6"/>
  <c r="BJ270"/>
  <c r="DN270"/>
  <c r="BY271"/>
  <c r="BA148"/>
  <c r="CE148" s="1"/>
  <c r="Z204"/>
  <c r="AE487"/>
  <c r="CI487" s="1"/>
  <c r="CJ487" s="1"/>
  <c r="CK487" s="1"/>
  <c r="AJ253"/>
  <c r="BG385"/>
  <c r="AT148"/>
  <c r="CX148"/>
  <c r="DM268"/>
  <c r="CF347"/>
  <c r="BG913"/>
  <c r="CI516"/>
  <c r="AS320"/>
  <c r="U286"/>
  <c r="AW286" s="1"/>
  <c r="S25"/>
  <c r="BW25" s="1"/>
  <c r="BX25" s="1"/>
  <c r="BY25" s="1"/>
  <c r="AC915"/>
  <c r="DH126"/>
  <c r="BG75"/>
  <c r="AF407"/>
  <c r="AE121"/>
  <c r="DO220"/>
  <c r="AE122"/>
  <c r="T214"/>
  <c r="AC918"/>
  <c r="AE583"/>
  <c r="AU215"/>
  <c r="Q742"/>
  <c r="Q736"/>
  <c r="BC74"/>
  <c r="BF539"/>
  <c r="AD410"/>
  <c r="BD674"/>
  <c r="AE611"/>
  <c r="X280"/>
  <c r="AD14"/>
  <c r="BA149"/>
  <c r="CE149" s="1"/>
  <c r="P743"/>
  <c r="AR743" s="1"/>
  <c r="BV280"/>
  <c r="BU280"/>
  <c r="CN71"/>
  <c r="Z55"/>
  <c r="BU140"/>
  <c r="BR76"/>
  <c r="BF77"/>
  <c r="DJ77" s="1"/>
  <c r="DK77" s="1"/>
  <c r="DL77" s="1"/>
  <c r="DM77" s="1"/>
  <c r="AD121"/>
  <c r="DK599"/>
  <c r="CU458"/>
  <c r="BF75"/>
  <c r="BF119"/>
  <c r="AE669"/>
  <c r="AE209"/>
  <c r="AB4"/>
  <c r="S83"/>
  <c r="CH413"/>
  <c r="T286"/>
  <c r="BC469"/>
  <c r="DG469" s="1"/>
  <c r="AO470" i="3" s="1"/>
  <c r="DH14" i="1"/>
  <c r="BU157"/>
  <c r="T733"/>
  <c r="AV733"/>
  <c r="CZ733" s="1"/>
  <c r="BG909"/>
  <c r="BV148"/>
  <c r="BG56"/>
  <c r="CE82"/>
  <c r="BT203"/>
  <c r="AQ742"/>
  <c r="BS742" s="1"/>
  <c r="BG251"/>
  <c r="BP317"/>
  <c r="CH149"/>
  <c r="BU202"/>
  <c r="DD917"/>
  <c r="DH207"/>
  <c r="DI207"/>
  <c r="DJ207" s="1"/>
  <c r="DK207" s="1"/>
  <c r="DL207" s="1"/>
  <c r="DM207" s="1"/>
  <c r="EA20"/>
  <c r="EA58" s="1"/>
  <c r="AA619"/>
  <c r="AB677"/>
  <c r="BQ272"/>
  <c r="CI90"/>
  <c r="DK206"/>
  <c r="M736"/>
  <c r="CA189"/>
  <c r="DF479"/>
  <c r="DG479" s="1"/>
  <c r="DH479" s="1"/>
  <c r="DI479" s="1"/>
  <c r="DJ479" s="1"/>
  <c r="DK479" s="1"/>
  <c r="DL479" s="1"/>
  <c r="DM479" s="1"/>
  <c r="EB479" s="1"/>
  <c r="EG479" s="1"/>
  <c r="CD487"/>
  <c r="CE487"/>
  <c r="AO602" i="3"/>
  <c r="DE544" i="1"/>
  <c r="DF544"/>
  <c r="DG544" s="1"/>
  <c r="DH544" s="1"/>
  <c r="DI544" s="1"/>
  <c r="DJ544" s="1"/>
  <c r="DK544" s="1"/>
  <c r="DL544" s="1"/>
  <c r="DM544" s="1"/>
  <c r="EB544" s="1"/>
  <c r="EG544" s="1"/>
  <c r="BP538"/>
  <c r="CQ538"/>
  <c r="BN509"/>
  <c r="AL525"/>
  <c r="CD431"/>
  <c r="CE457"/>
  <c r="CA553"/>
  <c r="AA22"/>
  <c r="BI664"/>
  <c r="DM664" s="1"/>
  <c r="AF745"/>
  <c r="AO603" i="3"/>
  <c r="AQ339"/>
  <c r="CD457" i="1"/>
  <c r="BX774"/>
  <c r="CQ767"/>
  <c r="CR767"/>
  <c r="CS767" s="1"/>
  <c r="CT767" s="1"/>
  <c r="CU767" s="1"/>
  <c r="CV767" s="1"/>
  <c r="CW767" s="1"/>
  <c r="CX767" s="1"/>
  <c r="CY767" s="1"/>
  <c r="CZ767" s="1"/>
  <c r="DA767" s="1"/>
  <c r="CE765"/>
  <c r="CE790" s="1"/>
  <c r="AP775"/>
  <c r="BR775" s="1"/>
  <c r="BS775" s="1"/>
  <c r="DA761"/>
  <c r="DP757"/>
  <c r="DH753"/>
  <c r="BU707"/>
  <c r="N725"/>
  <c r="BV702"/>
  <c r="BS699"/>
  <c r="DC720"/>
  <c r="CP716"/>
  <c r="CR679"/>
  <c r="CS679"/>
  <c r="CT679" s="1"/>
  <c r="CU679" s="1"/>
  <c r="CV679" s="1"/>
  <c r="CW679" s="1"/>
  <c r="CX679" s="1"/>
  <c r="CY679" s="1"/>
  <c r="CZ679" s="1"/>
  <c r="DA679" s="1"/>
  <c r="EA679" s="1"/>
  <c r="BP664"/>
  <c r="CH635"/>
  <c r="AK601" i="3"/>
  <c r="CH621" i="1"/>
  <c r="CB621"/>
  <c r="BV621"/>
  <c r="BP621"/>
  <c r="CK612"/>
  <c r="CB600"/>
  <c r="BR576"/>
  <c r="BS576" s="1"/>
  <c r="BS589" s="1"/>
  <c r="CG576"/>
  <c r="DD570"/>
  <c r="DE570"/>
  <c r="DF570" s="1"/>
  <c r="DG570" s="1"/>
  <c r="DH570" s="1"/>
  <c r="DI570" s="1"/>
  <c r="DJ570" s="1"/>
  <c r="DK570" s="1"/>
  <c r="DL570" s="1"/>
  <c r="DM570" s="1"/>
  <c r="CB566"/>
  <c r="BP566"/>
  <c r="CN565"/>
  <c r="CN590" s="1"/>
  <c r="CK555"/>
  <c r="BO550"/>
  <c r="BY547"/>
  <c r="BS547"/>
  <c r="DO545"/>
  <c r="DP545" s="1"/>
  <c r="BW484"/>
  <c r="AU518"/>
  <c r="BT377"/>
  <c r="AR392"/>
  <c r="AK15" i="3"/>
  <c r="DE477" i="1"/>
  <c r="DB763"/>
  <c r="AZ787"/>
  <c r="BH770"/>
  <c r="CK770"/>
  <c r="AY768"/>
  <c r="CB768"/>
  <c r="AQ768"/>
  <c r="BE767"/>
  <c r="CH767" s="1"/>
  <c r="DC767"/>
  <c r="DD767" s="1"/>
  <c r="DE767" s="1"/>
  <c r="DF767" s="1"/>
  <c r="DG767" s="1"/>
  <c r="DH767" s="1"/>
  <c r="DI767" s="1"/>
  <c r="DJ767" s="1"/>
  <c r="DK767" s="1"/>
  <c r="AO767"/>
  <c r="BS767" s="1"/>
  <c r="BE766"/>
  <c r="AV765"/>
  <c r="AS764"/>
  <c r="AZ775"/>
  <c r="CB775"/>
  <c r="AU761"/>
  <c r="BE761"/>
  <c r="BC761"/>
  <c r="AW760"/>
  <c r="BB760"/>
  <c r="DF760" s="1"/>
  <c r="AR760"/>
  <c r="BF759"/>
  <c r="BD759"/>
  <c r="AU759"/>
  <c r="AS759"/>
  <c r="BV759"/>
  <c r="AP758"/>
  <c r="BK757"/>
  <c r="BG757"/>
  <c r="AZ757"/>
  <c r="AN757"/>
  <c r="AU756"/>
  <c r="CY756" s="1"/>
  <c r="BE756"/>
  <c r="DI756" s="1"/>
  <c r="AQ734" i="3" s="1"/>
  <c r="AP756" i="1"/>
  <c r="CT755"/>
  <c r="BI755"/>
  <c r="AT754"/>
  <c r="AW753"/>
  <c r="BB753"/>
  <c r="AZ753"/>
  <c r="AP753"/>
  <c r="AN753"/>
  <c r="CU784"/>
  <c r="BL745"/>
  <c r="BJ745"/>
  <c r="EE745" s="1"/>
  <c r="DC744"/>
  <c r="DD744"/>
  <c r="DE744" s="1"/>
  <c r="DF744" s="1"/>
  <c r="DG744" s="1"/>
  <c r="DH744" s="1"/>
  <c r="DI744" s="1"/>
  <c r="DJ744" s="1"/>
  <c r="DK744" s="1"/>
  <c r="DL744" s="1"/>
  <c r="DM744" s="1"/>
  <c r="EB744" s="1"/>
  <c r="EG744" s="1"/>
  <c r="BP744"/>
  <c r="AT744"/>
  <c r="BV744"/>
  <c r="AM735"/>
  <c r="AL733"/>
  <c r="CI709"/>
  <c r="BR708"/>
  <c r="BS708"/>
  <c r="AR708"/>
  <c r="CN704"/>
  <c r="CH704"/>
  <c r="DC704"/>
  <c r="DD704" s="1"/>
  <c r="DE704" s="1"/>
  <c r="DF704" s="1"/>
  <c r="DG704" s="1"/>
  <c r="DH704" s="1"/>
  <c r="DI704" s="1"/>
  <c r="DJ704" s="1"/>
  <c r="DK704" s="1"/>
  <c r="DL704" s="1"/>
  <c r="DM704" s="1"/>
  <c r="DN704" s="1"/>
  <c r="BV704"/>
  <c r="CQ704"/>
  <c r="CR704" s="1"/>
  <c r="CS704" s="1"/>
  <c r="CT704" s="1"/>
  <c r="CU704" s="1"/>
  <c r="CV704" s="1"/>
  <c r="CW704" s="1"/>
  <c r="CX704" s="1"/>
  <c r="CY704" s="1"/>
  <c r="CZ704" s="1"/>
  <c r="DA704" s="1"/>
  <c r="CB703"/>
  <c r="BS703"/>
  <c r="BY702"/>
  <c r="CN700"/>
  <c r="BP700"/>
  <c r="DB699"/>
  <c r="CH699"/>
  <c r="CN698"/>
  <c r="BS698"/>
  <c r="CK695"/>
  <c r="CU693"/>
  <c r="CU720"/>
  <c r="DB720"/>
  <c r="AJ674" i="3"/>
  <c r="AO669"/>
  <c r="CE691" i="1"/>
  <c r="CE690"/>
  <c r="CU689"/>
  <c r="BV689"/>
  <c r="BY689"/>
  <c r="CH688"/>
  <c r="AL667" i="3"/>
  <c r="AJ667"/>
  <c r="CT687" i="1"/>
  <c r="BZ685"/>
  <c r="BN682"/>
  <c r="DG680"/>
  <c r="DG718" s="1"/>
  <c r="BY679"/>
  <c r="CK678"/>
  <c r="BS677"/>
  <c r="CP674"/>
  <c r="CQ674"/>
  <c r="CR674" s="1"/>
  <c r="CQ669"/>
  <c r="BL667"/>
  <c r="DP667" s="1"/>
  <c r="EB667" s="1"/>
  <c r="EG667" s="1"/>
  <c r="Q668" i="3" s="1"/>
  <c r="L668" s="1"/>
  <c r="BS665" i="1"/>
  <c r="BS664"/>
  <c r="BG655"/>
  <c r="BA655"/>
  <c r="AU655"/>
  <c r="Q655"/>
  <c r="M655"/>
  <c r="K655"/>
  <c r="AJ608" i="3"/>
  <c r="CQ643" i="1"/>
  <c r="CD643"/>
  <c r="CE643" s="1"/>
  <c r="BX643"/>
  <c r="BY643" s="1"/>
  <c r="BR643"/>
  <c r="BS643" s="1"/>
  <c r="CL641"/>
  <c r="CQ638"/>
  <c r="CR638"/>
  <c r="CS638" s="1"/>
  <c r="CT638" s="1"/>
  <c r="CU638" s="1"/>
  <c r="CV638" s="1"/>
  <c r="CW638" s="1"/>
  <c r="CX638" s="1"/>
  <c r="CY638" s="1"/>
  <c r="CZ638" s="1"/>
  <c r="DA638" s="1"/>
  <c r="BS638"/>
  <c r="CB636"/>
  <c r="CN635"/>
  <c r="CH634"/>
  <c r="CH633"/>
  <c r="BY632"/>
  <c r="EH629"/>
  <c r="BV629"/>
  <c r="CQ628"/>
  <c r="CR628" s="1"/>
  <c r="DK627"/>
  <c r="DH627"/>
  <c r="DH654"/>
  <c r="BS626"/>
  <c r="CV624"/>
  <c r="CB623"/>
  <c r="CK623"/>
  <c r="DE622"/>
  <c r="AM601" i="3"/>
  <c r="CK622" i="1"/>
  <c r="BY622"/>
  <c r="BS622"/>
  <c r="CM619"/>
  <c r="CN619" s="1"/>
  <c r="K619"/>
  <c r="CQ619"/>
  <c r="CR619" s="1"/>
  <c r="DB617"/>
  <c r="CV652"/>
  <c r="BY613"/>
  <c r="BV613"/>
  <c r="DC612"/>
  <c r="DD612" s="1"/>
  <c r="DE612" s="1"/>
  <c r="DF612" s="1"/>
  <c r="DG612" s="1"/>
  <c r="DH612" s="1"/>
  <c r="DI612" s="1"/>
  <c r="DJ612" s="1"/>
  <c r="DK612" s="1"/>
  <c r="DL612" s="1"/>
  <c r="DM612" s="1"/>
  <c r="EB612" s="1"/>
  <c r="EG612" s="1"/>
  <c r="CQ611"/>
  <c r="CR611"/>
  <c r="CS611" s="1"/>
  <c r="CT611" s="1"/>
  <c r="CU611" s="1"/>
  <c r="CV611" s="1"/>
  <c r="CW611" s="1"/>
  <c r="CX611" s="1"/>
  <c r="CY611" s="1"/>
  <c r="CZ611" s="1"/>
  <c r="DA611" s="1"/>
  <c r="EA611" s="1"/>
  <c r="DC611"/>
  <c r="DD611"/>
  <c r="DE611" s="1"/>
  <c r="DF611" s="1"/>
  <c r="DG611" s="1"/>
  <c r="DH611" s="1"/>
  <c r="DI611" s="1"/>
  <c r="DJ611" s="1"/>
  <c r="DK611" s="1"/>
  <c r="DL611" s="1"/>
  <c r="DM611" s="1"/>
  <c r="EB611" s="1"/>
  <c r="EG611" s="1"/>
  <c r="BP610"/>
  <c r="DC609"/>
  <c r="AU609"/>
  <c r="AQ609"/>
  <c r="AM609"/>
  <c r="CQ609" s="1"/>
  <c r="DO607"/>
  <c r="BY607"/>
  <c r="BS607"/>
  <c r="AM605"/>
  <c r="BY604"/>
  <c r="CQ603"/>
  <c r="CB601"/>
  <c r="BS601"/>
  <c r="BP601"/>
  <c r="BY600"/>
  <c r="BP600"/>
  <c r="CR598"/>
  <c r="BV598"/>
  <c r="BF591"/>
  <c r="BD591"/>
  <c r="AL591"/>
  <c r="AI591"/>
  <c r="U591"/>
  <c r="S591"/>
  <c r="AC589"/>
  <c r="AA589"/>
  <c r="Y589"/>
  <c r="U589"/>
  <c r="S589"/>
  <c r="CD577"/>
  <c r="CE577" s="1"/>
  <c r="BR577"/>
  <c r="BS577" s="1"/>
  <c r="CI577"/>
  <c r="AZ589"/>
  <c r="CP575"/>
  <c r="AV591"/>
  <c r="DB572"/>
  <c r="DC572" s="1"/>
  <c r="DD572" s="1"/>
  <c r="DE572" s="1"/>
  <c r="DF572" s="1"/>
  <c r="DG572" s="1"/>
  <c r="DH572" s="1"/>
  <c r="DI572" s="1"/>
  <c r="DJ572" s="1"/>
  <c r="DK572" s="1"/>
  <c r="DL572" s="1"/>
  <c r="DM572" s="1"/>
  <c r="DN572" s="1"/>
  <c r="CP572"/>
  <c r="CQ572" s="1"/>
  <c r="CR572" s="1"/>
  <c r="CS572" s="1"/>
  <c r="CT572" s="1"/>
  <c r="CU572" s="1"/>
  <c r="CV572" s="1"/>
  <c r="CW572" s="1"/>
  <c r="CX572" s="1"/>
  <c r="CY572" s="1"/>
  <c r="CZ572" s="1"/>
  <c r="DA572" s="1"/>
  <c r="BS571"/>
  <c r="CE569"/>
  <c r="BS567"/>
  <c r="CP566"/>
  <c r="CQ566"/>
  <c r="CR566" s="1"/>
  <c r="CH566"/>
  <c r="BV564"/>
  <c r="CN563"/>
  <c r="BV561"/>
  <c r="CE560"/>
  <c r="BP558"/>
  <c r="BS366"/>
  <c r="AO379"/>
  <c r="BQ379" s="1"/>
  <c r="BR379" s="1"/>
  <c r="BS379" s="1"/>
  <c r="EH358"/>
  <c r="F337" i="3" s="1"/>
  <c r="DK358" i="1"/>
  <c r="AY342"/>
  <c r="W355"/>
  <c r="DC355"/>
  <c r="DD355" s="1"/>
  <c r="DE355" s="1"/>
  <c r="DF355" s="1"/>
  <c r="DG355" s="1"/>
  <c r="DH355" s="1"/>
  <c r="DI355" s="1"/>
  <c r="DJ355" s="1"/>
  <c r="DK355" s="1"/>
  <c r="DL355" s="1"/>
  <c r="DM355" s="1"/>
  <c r="BT311"/>
  <c r="AR326"/>
  <c r="AN324"/>
  <c r="AN326"/>
  <c r="AT311"/>
  <c r="R324"/>
  <c r="R326"/>
  <c r="CU310"/>
  <c r="CU328"/>
  <c r="O328"/>
  <c r="BV303"/>
  <c r="AS327"/>
  <c r="CK301"/>
  <c r="CK325" s="1"/>
  <c r="BH313"/>
  <c r="AW313"/>
  <c r="BY313"/>
  <c r="AW325"/>
  <c r="DN296"/>
  <c r="BJ323"/>
  <c r="CK292"/>
  <c r="DK292"/>
  <c r="AS271" i="3" s="1"/>
  <c r="BY292" i="1"/>
  <c r="DA292"/>
  <c r="BV292"/>
  <c r="CW292"/>
  <c r="CQ291"/>
  <c r="BP291"/>
  <c r="Q285"/>
  <c r="P321"/>
  <c r="N284"/>
  <c r="M321"/>
  <c r="BB246"/>
  <c r="Z258"/>
  <c r="BW245"/>
  <c r="AU260"/>
  <c r="AZ245"/>
  <c r="X258"/>
  <c r="AX245"/>
  <c r="V258"/>
  <c r="AS245"/>
  <c r="Q260"/>
  <c r="CB240"/>
  <c r="DB240"/>
  <c r="DC240" s="1"/>
  <c r="DD240" s="1"/>
  <c r="DE240" s="1"/>
  <c r="DF240" s="1"/>
  <c r="DG240" s="1"/>
  <c r="DH240" s="1"/>
  <c r="DI240" s="1"/>
  <c r="DJ240" s="1"/>
  <c r="DK240" s="1"/>
  <c r="DL240" s="1"/>
  <c r="DM240" s="1"/>
  <c r="BP240"/>
  <c r="CP240"/>
  <c r="CQ240"/>
  <c r="CR240" s="1"/>
  <c r="CS240" s="1"/>
  <c r="CT240" s="1"/>
  <c r="CU240" s="1"/>
  <c r="CV240" s="1"/>
  <c r="CW240" s="1"/>
  <c r="CX240" s="1"/>
  <c r="CY240" s="1"/>
  <c r="CZ240" s="1"/>
  <c r="DA240" s="1"/>
  <c r="CH238"/>
  <c r="BE261"/>
  <c r="N255"/>
  <c r="CT219"/>
  <c r="CT255"/>
  <c r="CL180"/>
  <c r="DN180"/>
  <c r="CI179"/>
  <c r="BG195"/>
  <c r="BB193"/>
  <c r="BB195"/>
  <c r="AZ193"/>
  <c r="AZ195"/>
  <c r="BZ179"/>
  <c r="BZ195"/>
  <c r="AX193"/>
  <c r="AX195"/>
  <c r="BY538"/>
  <c r="BS538"/>
  <c r="BQ538" s="1"/>
  <c r="BP537"/>
  <c r="BV535"/>
  <c r="BP534"/>
  <c r="E529"/>
  <c r="BX511"/>
  <c r="BY511" s="1"/>
  <c r="BP500"/>
  <c r="BS479"/>
  <c r="BS478"/>
  <c r="BY475"/>
  <c r="BS475"/>
  <c r="CN437"/>
  <c r="BV437"/>
  <c r="CN431"/>
  <c r="CN430"/>
  <c r="BV427"/>
  <c r="CN424"/>
  <c r="CK423"/>
  <c r="BP423"/>
  <c r="CQ421"/>
  <c r="BO418"/>
  <c r="CQ413"/>
  <c r="CR413" s="1"/>
  <c r="CS413" s="1"/>
  <c r="CT413" s="1"/>
  <c r="CU413" s="1"/>
  <c r="CV413" s="1"/>
  <c r="CW413" s="1"/>
  <c r="CX413" s="1"/>
  <c r="CY413" s="1"/>
  <c r="CZ413" s="1"/>
  <c r="DA413" s="1"/>
  <c r="EA413" s="1"/>
  <c r="AU411"/>
  <c r="AO411"/>
  <c r="BP410"/>
  <c r="AZ408"/>
  <c r="AU421"/>
  <c r="BY405"/>
  <c r="CB404"/>
  <c r="BP404"/>
  <c r="CX402"/>
  <c r="BS402"/>
  <c r="CP401"/>
  <c r="BV401"/>
  <c r="EJ400"/>
  <c r="CB400"/>
  <c r="BV400"/>
  <c r="CQ374"/>
  <c r="CR374" s="1"/>
  <c r="CS374" s="1"/>
  <c r="CT374" s="1"/>
  <c r="CU374" s="1"/>
  <c r="CV374" s="1"/>
  <c r="CW374" s="1"/>
  <c r="CX374" s="1"/>
  <c r="CY374" s="1"/>
  <c r="CZ374" s="1"/>
  <c r="DA374" s="1"/>
  <c r="DC371"/>
  <c r="DD371"/>
  <c r="DE371" s="1"/>
  <c r="DF371" s="1"/>
  <c r="DG371" s="1"/>
  <c r="DH371" s="1"/>
  <c r="DI371" s="1"/>
  <c r="DJ371" s="1"/>
  <c r="DK371" s="1"/>
  <c r="DL371" s="1"/>
  <c r="DM371" s="1"/>
  <c r="BS368"/>
  <c r="CH364"/>
  <c r="AX900"/>
  <c r="DP347"/>
  <c r="AW355"/>
  <c r="BY355" s="1"/>
  <c r="AU355"/>
  <c r="AS355"/>
  <c r="BU355"/>
  <c r="BV355" s="1"/>
  <c r="AQ355"/>
  <c r="BS355" s="1"/>
  <c r="AO355"/>
  <c r="AM355"/>
  <c r="BO355"/>
  <c r="BP355" s="1"/>
  <c r="BV339"/>
  <c r="EJ334"/>
  <c r="CJ313"/>
  <c r="CK313" s="1"/>
  <c r="CK299"/>
  <c r="AO287"/>
  <c r="CZ274"/>
  <c r="CZ316"/>
  <c r="BY242"/>
  <c r="CS242"/>
  <c r="CT242" s="1"/>
  <c r="CU242" s="1"/>
  <c r="CV242" s="1"/>
  <c r="CW242" s="1"/>
  <c r="CX242" s="1"/>
  <c r="CY242" s="1"/>
  <c r="CZ242" s="1"/>
  <c r="DA242" s="1"/>
  <c r="BV240"/>
  <c r="CK371"/>
  <c r="EH371"/>
  <c r="EL371" s="1"/>
  <c r="EQ371" s="1"/>
  <c r="BI900"/>
  <c r="DM364"/>
  <c r="DN358"/>
  <c r="CN358"/>
  <c r="EH357"/>
  <c r="DK357"/>
  <c r="DC357"/>
  <c r="CB357"/>
  <c r="AB351"/>
  <c r="DG351"/>
  <c r="DG387" s="1"/>
  <c r="BB312"/>
  <c r="Z324"/>
  <c r="AH324"/>
  <c r="AH326"/>
  <c r="BH311"/>
  <c r="EH311"/>
  <c r="F277" i="3" s="1"/>
  <c r="C277" s="1"/>
  <c r="AF326" i="1"/>
  <c r="BF311"/>
  <c r="AD324"/>
  <c r="AD326"/>
  <c r="AL311"/>
  <c r="J324"/>
  <c r="J326"/>
  <c r="N309"/>
  <c r="CS309"/>
  <c r="CS328"/>
  <c r="DH297"/>
  <c r="DH323"/>
  <c r="CH297"/>
  <c r="BY293"/>
  <c r="CZ293"/>
  <c r="DC291"/>
  <c r="CB291"/>
  <c r="BZ289"/>
  <c r="CA289" s="1"/>
  <c r="CB289" s="1"/>
  <c r="DB289"/>
  <c r="DC289"/>
  <c r="DD289" s="1"/>
  <c r="DE289" s="1"/>
  <c r="DF289" s="1"/>
  <c r="DG289" s="1"/>
  <c r="DH289" s="1"/>
  <c r="DI289" s="1"/>
  <c r="DJ289" s="1"/>
  <c r="DK289" s="1"/>
  <c r="DL289" s="1"/>
  <c r="DM289" s="1"/>
  <c r="CB283"/>
  <c r="DB283"/>
  <c r="DC283" s="1"/>
  <c r="DD283" s="1"/>
  <c r="DE283" s="1"/>
  <c r="DF283" s="1"/>
  <c r="DG283" s="1"/>
  <c r="DH283" s="1"/>
  <c r="DI283" s="1"/>
  <c r="DJ283" s="1"/>
  <c r="DK283" s="1"/>
  <c r="DL283" s="1"/>
  <c r="DM283" s="1"/>
  <c r="BB283"/>
  <c r="BA283"/>
  <c r="BC276"/>
  <c r="BC289"/>
  <c r="CE289" s="1"/>
  <c r="K275"/>
  <c r="AL275"/>
  <c r="J289"/>
  <c r="J318"/>
  <c r="AV246"/>
  <c r="T258"/>
  <c r="AG258"/>
  <c r="AU212" i="3"/>
  <c r="AG260" i="1"/>
  <c r="BG245"/>
  <c r="AE258"/>
  <c r="AE260"/>
  <c r="AC258"/>
  <c r="AC260"/>
  <c r="BA245"/>
  <c r="Y260"/>
  <c r="AR245"/>
  <c r="P258"/>
  <c r="AP245"/>
  <c r="N258"/>
  <c r="EJ244"/>
  <c r="DK262"/>
  <c r="DB180"/>
  <c r="BZ180"/>
  <c r="CA180"/>
  <c r="CB180" s="1"/>
  <c r="CB193" s="1"/>
  <c r="AJ535" i="3"/>
  <c r="AJ476"/>
  <c r="CK506" i="1"/>
  <c r="CA504"/>
  <c r="CG503"/>
  <c r="CB503"/>
  <c r="BP501"/>
  <c r="BX498"/>
  <c r="BX524"/>
  <c r="BY494"/>
  <c r="BS494"/>
  <c r="CN493"/>
  <c r="BW490"/>
  <c r="BV489"/>
  <c r="DB485"/>
  <c r="AT516"/>
  <c r="CN481"/>
  <c r="CB481"/>
  <c r="BY481"/>
  <c r="BS476"/>
  <c r="CK439"/>
  <c r="CE438"/>
  <c r="BS432"/>
  <c r="BQ432"/>
  <c r="AN403" i="3"/>
  <c r="AL403"/>
  <c r="BS421" i="1"/>
  <c r="DP412"/>
  <c r="BY372"/>
  <c r="CB370"/>
  <c r="AV311"/>
  <c r="DH328"/>
  <c r="CZ328"/>
  <c r="BV306"/>
  <c r="AQ313"/>
  <c r="BS313" s="1"/>
  <c r="CQ298"/>
  <c r="CR298" s="1"/>
  <c r="CB292"/>
  <c r="BS274"/>
  <c r="CB247"/>
  <c r="BV247"/>
  <c r="CK241"/>
  <c r="BL61"/>
  <c r="BL63"/>
  <c r="Y475"/>
  <c r="CB475"/>
  <c r="CB518"/>
  <c r="BS238"/>
  <c r="CR237"/>
  <c r="BV234"/>
  <c r="DK233"/>
  <c r="CB232"/>
  <c r="BV232"/>
  <c r="BP232"/>
  <c r="CE230"/>
  <c r="CH229"/>
  <c r="CE229"/>
  <c r="BV229"/>
  <c r="BP229"/>
  <c r="BY228"/>
  <c r="BS228"/>
  <c r="BV227"/>
  <c r="CB225"/>
  <c r="BO220"/>
  <c r="CY218"/>
  <c r="BB217"/>
  <c r="CE217" s="1"/>
  <c r="AY252"/>
  <c r="BY209"/>
  <c r="BS209"/>
  <c r="BN179"/>
  <c r="DO171"/>
  <c r="CH170"/>
  <c r="BY167"/>
  <c r="DO379"/>
  <c r="BS374"/>
  <c r="CH373"/>
  <c r="BY373"/>
  <c r="BP372"/>
  <c r="BP371"/>
  <c r="BY369"/>
  <c r="BY366"/>
  <c r="BV366"/>
  <c r="BV365"/>
  <c r="BS365"/>
  <c r="AL338" i="3"/>
  <c r="AN337"/>
  <c r="CB349" i="1"/>
  <c r="CQ348"/>
  <c r="CR348" s="1"/>
  <c r="CS348" s="1"/>
  <c r="CT348" s="1"/>
  <c r="CU348" s="1"/>
  <c r="CV348" s="1"/>
  <c r="CW348" s="1"/>
  <c r="CX348" s="1"/>
  <c r="CY348" s="1"/>
  <c r="CZ348" s="1"/>
  <c r="DA348" s="1"/>
  <c r="EA348" s="1"/>
  <c r="BP343"/>
  <c r="BS339"/>
  <c r="BP339"/>
  <c r="CB338"/>
  <c r="BY304"/>
  <c r="BS304"/>
  <c r="CH302"/>
  <c r="CE302"/>
  <c r="BP299"/>
  <c r="BS298"/>
  <c r="BS283"/>
  <c r="CH282"/>
  <c r="DO280"/>
  <c r="DP280" s="1"/>
  <c r="CR274"/>
  <c r="CR316" s="1"/>
  <c r="BO247"/>
  <c r="BP247" s="1"/>
  <c r="BQ258"/>
  <c r="DO241"/>
  <c r="DP241"/>
  <c r="CQ239"/>
  <c r="CR239"/>
  <c r="CS239" s="1"/>
  <c r="CT239" s="1"/>
  <c r="CU239" s="1"/>
  <c r="CV239" s="1"/>
  <c r="CW239" s="1"/>
  <c r="CX239" s="1"/>
  <c r="CY239" s="1"/>
  <c r="CZ239" s="1"/>
  <c r="DA239" s="1"/>
  <c r="CB239"/>
  <c r="BP239"/>
  <c r="DO238"/>
  <c r="DO261" s="1"/>
  <c r="CK237"/>
  <c r="CE237"/>
  <c r="BY237"/>
  <c r="BS237"/>
  <c r="CK236"/>
  <c r="CE236"/>
  <c r="BY236"/>
  <c r="BS236"/>
  <c r="CQ236"/>
  <c r="CN235"/>
  <c r="CN259" s="1"/>
  <c r="CK235"/>
  <c r="CK259"/>
  <c r="CB233"/>
  <c r="BY230"/>
  <c r="CB226"/>
  <c r="BY226"/>
  <c r="CK225"/>
  <c r="CD180"/>
  <c r="BK193"/>
  <c r="CN176"/>
  <c r="CB174"/>
  <c r="BP174"/>
  <c r="CQ167"/>
  <c r="CR167" s="1"/>
  <c r="BY163"/>
  <c r="AJ80" i="3"/>
  <c r="CE108" i="1"/>
  <c r="BY108"/>
  <c r="BS108"/>
  <c r="CH104"/>
  <c r="CB100"/>
  <c r="BV100"/>
  <c r="BP100"/>
  <c r="CE98"/>
  <c r="BS98"/>
  <c r="CN96"/>
  <c r="CB93"/>
  <c r="BV91"/>
  <c r="EA86"/>
  <c r="EA124"/>
  <c r="EB86"/>
  <c r="EB124"/>
  <c r="DC80"/>
  <c r="DO79"/>
  <c r="CQ79"/>
  <c r="AQ91"/>
  <c r="BS91" s="1"/>
  <c r="BS77"/>
  <c r="CL48"/>
  <c r="BN48"/>
  <c r="AP61"/>
  <c r="AQ61"/>
  <c r="CK43"/>
  <c r="CB43"/>
  <c r="BV43"/>
  <c r="BP43"/>
  <c r="DO42"/>
  <c r="CQ41"/>
  <c r="CR41"/>
  <c r="CS41" s="1"/>
  <c r="CT41" s="1"/>
  <c r="CU41" s="1"/>
  <c r="CV41" s="1"/>
  <c r="CW41" s="1"/>
  <c r="CX41" s="1"/>
  <c r="CY41" s="1"/>
  <c r="CZ41" s="1"/>
  <c r="DA41" s="1"/>
  <c r="CB41"/>
  <c r="BP41"/>
  <c r="DO40"/>
  <c r="CB40"/>
  <c r="CN39"/>
  <c r="CQ38"/>
  <c r="CE38"/>
  <c r="BY36"/>
  <c r="BV36"/>
  <c r="DK35"/>
  <c r="CK35"/>
  <c r="BS35"/>
  <c r="DG34"/>
  <c r="DG895"/>
  <c r="CE34"/>
  <c r="BV34"/>
  <c r="CQ34"/>
  <c r="CR34"/>
  <c r="CK33"/>
  <c r="DJ33"/>
  <c r="DJ60"/>
  <c r="BY33"/>
  <c r="CK32"/>
  <c r="BS32"/>
  <c r="BP31"/>
  <c r="BY30"/>
  <c r="BY11"/>
  <c r="BS11"/>
  <c r="AN7" i="3"/>
  <c r="CN866" i="1"/>
  <c r="CH164"/>
  <c r="BV164"/>
  <c r="CK161"/>
  <c r="CH160"/>
  <c r="BV160"/>
  <c r="BS160"/>
  <c r="CR150"/>
  <c r="CS150" s="1"/>
  <c r="CT150" s="1"/>
  <c r="CU150" s="1"/>
  <c r="CV150" s="1"/>
  <c r="CW150" s="1"/>
  <c r="CX150" s="1"/>
  <c r="CY150" s="1"/>
  <c r="CZ150" s="1"/>
  <c r="DA150" s="1"/>
  <c r="EA150" s="1"/>
  <c r="CP138"/>
  <c r="CQ115"/>
  <c r="DB114"/>
  <c r="AQ112"/>
  <c r="CH99"/>
  <c r="CH93"/>
  <c r="BY44"/>
  <c r="BP40"/>
  <c r="BY37"/>
  <c r="BS37"/>
  <c r="BV28"/>
  <c r="CE27"/>
  <c r="BS19"/>
  <c r="CQ18"/>
  <c r="CR18" s="1"/>
  <c r="CS18" s="1"/>
  <c r="CT18" s="1"/>
  <c r="CU18" s="1"/>
  <c r="CV18" s="1"/>
  <c r="CW18" s="1"/>
  <c r="CX18" s="1"/>
  <c r="CY18" s="1"/>
  <c r="CZ18" s="1"/>
  <c r="DA18" s="1"/>
  <c r="AF25"/>
  <c r="BS875"/>
  <c r="CN874"/>
  <c r="BY871"/>
  <c r="DI891"/>
  <c r="EH850"/>
  <c r="F83" i="3" s="1"/>
  <c r="EH851" i="1"/>
  <c r="EL851" s="1"/>
  <c r="EQ851" s="1"/>
  <c r="EH855"/>
  <c r="EO855" s="1"/>
  <c r="BX14"/>
  <c r="BX57"/>
  <c r="BW14"/>
  <c r="BY57"/>
  <c r="BU212"/>
  <c r="BU254"/>
  <c r="BT212"/>
  <c r="BT254"/>
  <c r="BV254"/>
  <c r="BT80"/>
  <c r="BV123"/>
  <c r="BU80"/>
  <c r="BU123"/>
  <c r="BT14"/>
  <c r="BU14"/>
  <c r="BV57"/>
  <c r="CA281"/>
  <c r="BZ281"/>
  <c r="BT123"/>
  <c r="EO437"/>
  <c r="EL502"/>
  <c r="EQ502" s="1"/>
  <c r="EE6"/>
  <c r="CF281"/>
  <c r="CG281"/>
  <c r="CU80"/>
  <c r="CT123"/>
  <c r="FD84"/>
  <c r="EB84"/>
  <c r="EG84"/>
  <c r="CF546"/>
  <c r="CG546"/>
  <c r="FC16"/>
  <c r="EA16"/>
  <c r="CL70"/>
  <c r="EF70" s="1"/>
  <c r="EM93" s="1"/>
  <c r="ER93" s="1"/>
  <c r="CM70"/>
  <c r="CU238"/>
  <c r="CR740"/>
  <c r="CS740" s="1"/>
  <c r="CT740" s="1"/>
  <c r="BP740"/>
  <c r="BW18"/>
  <c r="BX18"/>
  <c r="CS89"/>
  <c r="CR120"/>
  <c r="CX745"/>
  <c r="CY745" s="1"/>
  <c r="CZ745" s="1"/>
  <c r="DA745" s="1"/>
  <c r="EA745" s="1"/>
  <c r="BV745"/>
  <c r="DL308"/>
  <c r="DM308" s="1"/>
  <c r="FD85"/>
  <c r="EB85"/>
  <c r="EG85"/>
  <c r="DN85"/>
  <c r="DO85" s="1"/>
  <c r="DP85" s="1"/>
  <c r="CR764"/>
  <c r="CQ789"/>
  <c r="DL770"/>
  <c r="FE21"/>
  <c r="FF21"/>
  <c r="DL44"/>
  <c r="DM44" s="1"/>
  <c r="DN44" s="1"/>
  <c r="FC84"/>
  <c r="EA84"/>
  <c r="CR56"/>
  <c r="CS22"/>
  <c r="CR54"/>
  <c r="CI54"/>
  <c r="EJ102"/>
  <c r="DL48"/>
  <c r="EL40"/>
  <c r="EQ40" s="1"/>
  <c r="BT744"/>
  <c r="BU744"/>
  <c r="BX745"/>
  <c r="BW745"/>
  <c r="CS143"/>
  <c r="CR144"/>
  <c r="CR187"/>
  <c r="E74" i="3"/>
  <c r="C74" s="1"/>
  <c r="DM70" i="1"/>
  <c r="CK70"/>
  <c r="O782"/>
  <c r="AQ748"/>
  <c r="DE500"/>
  <c r="DD525"/>
  <c r="CE744"/>
  <c r="EB349"/>
  <c r="EG349"/>
  <c r="DN349"/>
  <c r="DO349"/>
  <c r="DP349" s="1"/>
  <c r="CU766"/>
  <c r="CT790"/>
  <c r="DL774"/>
  <c r="CS114"/>
  <c r="CR127"/>
  <c r="CB312"/>
  <c r="CB324"/>
  <c r="CA324"/>
  <c r="DL374"/>
  <c r="DM374" s="1"/>
  <c r="DN374" s="1"/>
  <c r="CJ280"/>
  <c r="CI280"/>
  <c r="EF280"/>
  <c r="DL305"/>
  <c r="DM305" s="1"/>
  <c r="EJ305"/>
  <c r="DL635"/>
  <c r="DM635"/>
  <c r="EJ635"/>
  <c r="DM434"/>
  <c r="EJ434"/>
  <c r="EN434" s="1"/>
  <c r="ES434" s="1"/>
  <c r="N348" i="3"/>
  <c r="FC17" i="1"/>
  <c r="EA17"/>
  <c r="CG763"/>
  <c r="CG788" s="1"/>
  <c r="DL636"/>
  <c r="DM636"/>
  <c r="EJ636"/>
  <c r="EN636" s="1"/>
  <c r="ES636" s="1"/>
  <c r="CG257"/>
  <c r="CG259"/>
  <c r="BE787"/>
  <c r="CG773"/>
  <c r="BE789"/>
  <c r="CH47"/>
  <c r="CG63"/>
  <c r="CG61"/>
  <c r="DD271"/>
  <c r="CB271"/>
  <c r="DB148"/>
  <c r="DC148" s="1"/>
  <c r="DD148" s="1"/>
  <c r="DE148" s="1"/>
  <c r="DF148" s="1"/>
  <c r="DG148" s="1"/>
  <c r="DH148" s="1"/>
  <c r="DI148" s="1"/>
  <c r="DJ148" s="1"/>
  <c r="DK148" s="1"/>
  <c r="DL148" s="1"/>
  <c r="DM148" s="1"/>
  <c r="EB148" s="1"/>
  <c r="EG148" s="1"/>
  <c r="CB148"/>
  <c r="BL268"/>
  <c r="DP268" s="1"/>
  <c r="EB268" s="1"/>
  <c r="EG268" s="1"/>
  <c r="AJ286"/>
  <c r="DB82"/>
  <c r="DC82"/>
  <c r="DD82" s="1"/>
  <c r="DE82" s="1"/>
  <c r="DF82" s="1"/>
  <c r="DG82" s="1"/>
  <c r="DH82" s="1"/>
  <c r="DI82" s="1"/>
  <c r="DJ82" s="1"/>
  <c r="DK82" s="1"/>
  <c r="DL82" s="1"/>
  <c r="DM82" s="1"/>
  <c r="CB82"/>
  <c r="CB139"/>
  <c r="DD139"/>
  <c r="DD70"/>
  <c r="CB70"/>
  <c r="DB140"/>
  <c r="AJ141" i="3"/>
  <c r="DD6" i="1"/>
  <c r="CB6"/>
  <c r="BL600"/>
  <c r="DP600"/>
  <c r="EB600" s="1"/>
  <c r="EG600" s="1"/>
  <c r="CY47"/>
  <c r="CY277"/>
  <c r="AU319"/>
  <c r="BI347"/>
  <c r="CK347"/>
  <c r="AG289"/>
  <c r="AG318"/>
  <c r="U215"/>
  <c r="AW215"/>
  <c r="AV215"/>
  <c r="BY215"/>
  <c r="DA204"/>
  <c r="BY204"/>
  <c r="BF674"/>
  <c r="AE674"/>
  <c r="AD717"/>
  <c r="AD918"/>
  <c r="AU148"/>
  <c r="T148"/>
  <c r="S742"/>
  <c r="AU742" s="1"/>
  <c r="AG671"/>
  <c r="AF685"/>
  <c r="AF122"/>
  <c r="AF909"/>
  <c r="AG88"/>
  <c r="AF120"/>
  <c r="CJ421"/>
  <c r="CK421"/>
  <c r="E343" i="3"/>
  <c r="BH75" i="1"/>
  <c r="AG75"/>
  <c r="AF121"/>
  <c r="AJ5"/>
  <c r="BK5"/>
  <c r="DO5"/>
  <c r="AI23"/>
  <c r="DJ98"/>
  <c r="DI126"/>
  <c r="AQ80" i="3"/>
  <c r="AD915" i="1"/>
  <c r="BF476"/>
  <c r="AE476"/>
  <c r="AE252"/>
  <c r="BG207"/>
  <c r="AF207"/>
  <c r="CT251"/>
  <c r="CU221"/>
  <c r="DP71"/>
  <c r="CN72"/>
  <c r="BU281"/>
  <c r="BT281"/>
  <c r="BV79"/>
  <c r="AT122"/>
  <c r="DI14"/>
  <c r="BE908"/>
  <c r="CF611"/>
  <c r="CG611"/>
  <c r="EL105"/>
  <c r="EQ105" s="1"/>
  <c r="AU317"/>
  <c r="BW286"/>
  <c r="BY268"/>
  <c r="CZ268"/>
  <c r="AF413"/>
  <c r="BG413"/>
  <c r="EE413"/>
  <c r="V205"/>
  <c r="AW205"/>
  <c r="BJ598"/>
  <c r="DN598"/>
  <c r="AI598"/>
  <c r="CV296"/>
  <c r="CU323"/>
  <c r="AW202"/>
  <c r="DA202"/>
  <c r="V202"/>
  <c r="BU16"/>
  <c r="BT16"/>
  <c r="V73"/>
  <c r="AW73"/>
  <c r="U733"/>
  <c r="CV142"/>
  <c r="CV185"/>
  <c r="BR278"/>
  <c r="BQ278"/>
  <c r="DF608"/>
  <c r="EE404"/>
  <c r="EL427" s="1"/>
  <c r="EQ427" s="1"/>
  <c r="AL477" i="3"/>
  <c r="DK136" i="1"/>
  <c r="DL506"/>
  <c r="DM506"/>
  <c r="DN506"/>
  <c r="EJ506" s="1"/>
  <c r="EJ174"/>
  <c r="DK400"/>
  <c r="CI420"/>
  <c r="DL700"/>
  <c r="EB10"/>
  <c r="EJ637"/>
  <c r="EJ307"/>
  <c r="EJ173"/>
  <c r="DL42"/>
  <c r="CG355"/>
  <c r="FD70"/>
  <c r="EB70"/>
  <c r="EG70"/>
  <c r="FC19"/>
  <c r="EA19"/>
  <c r="DL239"/>
  <c r="DM239" s="1"/>
  <c r="EJ239"/>
  <c r="BW278"/>
  <c r="BX278"/>
  <c r="EF487"/>
  <c r="EE212"/>
  <c r="EE911" s="1"/>
  <c r="BG911"/>
  <c r="DB268"/>
  <c r="FC74"/>
  <c r="EA74"/>
  <c r="AL75" i="3"/>
  <c r="BK7" i="1"/>
  <c r="AJ7"/>
  <c r="EF91"/>
  <c r="DL368"/>
  <c r="DM368"/>
  <c r="EJ368"/>
  <c r="AG344"/>
  <c r="AG913" s="1"/>
  <c r="AF913"/>
  <c r="BH344"/>
  <c r="AG479"/>
  <c r="BH479"/>
  <c r="BY269"/>
  <c r="DA269"/>
  <c r="DK303"/>
  <c r="DJ899"/>
  <c r="U144"/>
  <c r="AV144"/>
  <c r="CD149"/>
  <c r="CC149"/>
  <c r="BT280"/>
  <c r="CV736"/>
  <c r="CV450"/>
  <c r="CW419"/>
  <c r="CZ203"/>
  <c r="CH122"/>
  <c r="CH909"/>
  <c r="CZ206"/>
  <c r="BY206"/>
  <c r="BH909"/>
  <c r="AU210"/>
  <c r="T210"/>
  <c r="S223"/>
  <c r="AT157"/>
  <c r="BV157" s="1"/>
  <c r="BV144"/>
  <c r="DL168"/>
  <c r="DM168" s="1"/>
  <c r="DM169" s="1"/>
  <c r="EJ168"/>
  <c r="DK169"/>
  <c r="BV12"/>
  <c r="AT25"/>
  <c r="BV25"/>
  <c r="CX10"/>
  <c r="BV10"/>
  <c r="DA139"/>
  <c r="BY139"/>
  <c r="S142"/>
  <c r="R736"/>
  <c r="AT142"/>
  <c r="BV142"/>
  <c r="CF82"/>
  <c r="CG82"/>
  <c r="BF603"/>
  <c r="AE603"/>
  <c r="CK4"/>
  <c r="DK4"/>
  <c r="BG254"/>
  <c r="EJ570"/>
  <c r="DL41"/>
  <c r="DM41" s="1"/>
  <c r="EJ41"/>
  <c r="DL638"/>
  <c r="DM638"/>
  <c r="DN638"/>
  <c r="DO638" s="1"/>
  <c r="DP638" s="1"/>
  <c r="DL569"/>
  <c r="EJ373"/>
  <c r="EN373" s="1"/>
  <c r="ES373" s="1"/>
  <c r="EJ372"/>
  <c r="DL109"/>
  <c r="DM109" s="1"/>
  <c r="EJ109"/>
  <c r="CY148"/>
  <c r="DK212"/>
  <c r="BY281"/>
  <c r="AJ205"/>
  <c r="BK205"/>
  <c r="DO205" s="1"/>
  <c r="AD582"/>
  <c r="AV789"/>
  <c r="AV787"/>
  <c r="AL775"/>
  <c r="BN775"/>
  <c r="BO775" s="1"/>
  <c r="BP775" s="1"/>
  <c r="AL788"/>
  <c r="AS786"/>
  <c r="CW759"/>
  <c r="BS756"/>
  <c r="CT756"/>
  <c r="BN744"/>
  <c r="BO744"/>
  <c r="CP739"/>
  <c r="AL782"/>
  <c r="AZ723"/>
  <c r="AZ721"/>
  <c r="BZ707"/>
  <c r="AX721"/>
  <c r="AX723"/>
  <c r="DB707"/>
  <c r="AV723"/>
  <c r="AV721"/>
  <c r="AN723"/>
  <c r="AN721"/>
  <c r="CP707"/>
  <c r="AL721"/>
  <c r="AL723"/>
  <c r="BN707"/>
  <c r="CL704"/>
  <c r="EI704" s="1"/>
  <c r="CM704"/>
  <c r="BT704"/>
  <c r="BU704"/>
  <c r="BQ703"/>
  <c r="BR703"/>
  <c r="BW702"/>
  <c r="BX702"/>
  <c r="CL700"/>
  <c r="EI700" s="1"/>
  <c r="CM700"/>
  <c r="BN700"/>
  <c r="BN724" s="1"/>
  <c r="BO700"/>
  <c r="BP724"/>
  <c r="BQ698"/>
  <c r="BQ723" s="1"/>
  <c r="BR698"/>
  <c r="CI695"/>
  <c r="CJ695"/>
  <c r="EI695"/>
  <c r="BX689"/>
  <c r="BW689"/>
  <c r="BT683"/>
  <c r="AR714"/>
  <c r="BX679"/>
  <c r="BW679"/>
  <c r="CI678"/>
  <c r="EF678"/>
  <c r="EM703" s="1"/>
  <c r="ER703" s="1"/>
  <c r="CJ678"/>
  <c r="BR677"/>
  <c r="BQ677"/>
  <c r="DB716"/>
  <c r="DC673"/>
  <c r="M671"/>
  <c r="L715"/>
  <c r="L685"/>
  <c r="CR685" s="1"/>
  <c r="AN671"/>
  <c r="BQ664"/>
  <c r="BR664"/>
  <c r="CR643"/>
  <c r="CQ631"/>
  <c r="CQ656" s="1"/>
  <c r="BZ636"/>
  <c r="CA636"/>
  <c r="DK720"/>
  <c r="DK759"/>
  <c r="EJ505"/>
  <c r="EJ181"/>
  <c r="EE344"/>
  <c r="EE268"/>
  <c r="EO291" s="1"/>
  <c r="AP788"/>
  <c r="FD4"/>
  <c r="EB4"/>
  <c r="EG4"/>
  <c r="BW282"/>
  <c r="BX282"/>
  <c r="DJ369"/>
  <c r="BH745"/>
  <c r="BI745"/>
  <c r="DE411"/>
  <c r="BA453"/>
  <c r="AH269"/>
  <c r="AG287"/>
  <c r="BE277"/>
  <c r="BE319"/>
  <c r="AD277"/>
  <c r="AC319"/>
  <c r="DK336"/>
  <c r="EE336"/>
  <c r="AD345"/>
  <c r="BE345"/>
  <c r="BE386" s="1"/>
  <c r="DK533"/>
  <c r="EE533"/>
  <c r="BE383"/>
  <c r="CG353"/>
  <c r="AB145"/>
  <c r="BC145"/>
  <c r="AA188"/>
  <c r="P650"/>
  <c r="Q616"/>
  <c r="AR616"/>
  <c r="DB790"/>
  <c r="DC766"/>
  <c r="CC765"/>
  <c r="CC790" s="1"/>
  <c r="CD765"/>
  <c r="CD790" s="1"/>
  <c r="AR775"/>
  <c r="BT775" s="1"/>
  <c r="BU775" s="1"/>
  <c r="BV775" s="1"/>
  <c r="AR788"/>
  <c r="BD786"/>
  <c r="BD788"/>
  <c r="AT786"/>
  <c r="AT788"/>
  <c r="BY756"/>
  <c r="CZ756"/>
  <c r="CT733"/>
  <c r="BS733"/>
  <c r="CF721"/>
  <c r="CG708"/>
  <c r="CI707"/>
  <c r="BG723"/>
  <c r="BE721"/>
  <c r="BE723"/>
  <c r="AS706"/>
  <c r="CW706"/>
  <c r="CW725"/>
  <c r="BQ702"/>
  <c r="BR702"/>
  <c r="BR701"/>
  <c r="BQ701"/>
  <c r="CS696"/>
  <c r="CR697"/>
  <c r="CR722"/>
  <c r="CB905"/>
  <c r="CA694"/>
  <c r="BZ694"/>
  <c r="BR693"/>
  <c r="BR720"/>
  <c r="BQ693"/>
  <c r="BQ720"/>
  <c r="BW692"/>
  <c r="BX692"/>
  <c r="BQ689"/>
  <c r="BR689"/>
  <c r="BQ687"/>
  <c r="BR687"/>
  <c r="BT682"/>
  <c r="BU682"/>
  <c r="BV682" s="1"/>
  <c r="BV716" s="1"/>
  <c r="AR716"/>
  <c r="AN714"/>
  <c r="AN716"/>
  <c r="AC680"/>
  <c r="DH680"/>
  <c r="DH718"/>
  <c r="BN677"/>
  <c r="BO677"/>
  <c r="DO675"/>
  <c r="DN717"/>
  <c r="BO664"/>
  <c r="BN664"/>
  <c r="BQ642"/>
  <c r="AO655"/>
  <c r="BN635"/>
  <c r="BO635"/>
  <c r="BT630"/>
  <c r="BV631"/>
  <c r="BU630"/>
  <c r="DL43"/>
  <c r="DM43" s="1"/>
  <c r="CC851"/>
  <c r="CC860"/>
  <c r="DL176"/>
  <c r="DM176"/>
  <c r="DN176"/>
  <c r="DO176" s="1"/>
  <c r="DP176" s="1"/>
  <c r="CJ591"/>
  <c r="CH756"/>
  <c r="DL300"/>
  <c r="DM300"/>
  <c r="EJ300"/>
  <c r="BQ914"/>
  <c r="CS876"/>
  <c r="CS903"/>
  <c r="CT918"/>
  <c r="CT912"/>
  <c r="BV912"/>
  <c r="BU868"/>
  <c r="BT868"/>
  <c r="CZ910"/>
  <c r="BY912"/>
  <c r="BX868"/>
  <c r="CA866"/>
  <c r="DK301"/>
  <c r="CF301"/>
  <c r="CF325"/>
  <c r="CH257"/>
  <c r="CF227"/>
  <c r="AC789"/>
  <c r="BY208"/>
  <c r="AX149"/>
  <c r="BI212"/>
  <c r="BI911" s="1"/>
  <c r="DL692"/>
  <c r="AG355"/>
  <c r="AY204"/>
  <c r="BA402"/>
  <c r="CE402" s="1"/>
  <c r="CD402" s="1"/>
  <c r="AV82"/>
  <c r="BY82" s="1"/>
  <c r="BH212"/>
  <c r="BH911" s="1"/>
  <c r="CJ516"/>
  <c r="V287"/>
  <c r="Y204"/>
  <c r="BY272"/>
  <c r="DO120"/>
  <c r="AF451"/>
  <c r="BA138"/>
  <c r="CE138" s="1"/>
  <c r="AF289"/>
  <c r="S319"/>
  <c r="CX76"/>
  <c r="AE715"/>
  <c r="AE685"/>
  <c r="U287"/>
  <c r="DJ379"/>
  <c r="BJ5"/>
  <c r="EE5" s="1"/>
  <c r="E7" i="3" s="1"/>
  <c r="AE451" i="1"/>
  <c r="DI296"/>
  <c r="AE120"/>
  <c r="BE674"/>
  <c r="AG516"/>
  <c r="BY6"/>
  <c r="AB717"/>
  <c r="AG80"/>
  <c r="AG909" s="1"/>
  <c r="BF611"/>
  <c r="BI600"/>
  <c r="DM600" s="1"/>
  <c r="AD685"/>
  <c r="DJ685" s="1"/>
  <c r="DK685" s="1"/>
  <c r="DL685" s="1"/>
  <c r="DM685" s="1"/>
  <c r="BF341"/>
  <c r="AD122"/>
  <c r="AD120"/>
  <c r="BY202"/>
  <c r="BC10"/>
  <c r="CV98"/>
  <c r="AI253"/>
  <c r="AD223"/>
  <c r="R25"/>
  <c r="R223"/>
  <c r="CX223"/>
  <c r="BR277"/>
  <c r="BR319"/>
  <c r="S79"/>
  <c r="U203"/>
  <c r="Y10"/>
  <c r="X9"/>
  <c r="BY74"/>
  <c r="BS279"/>
  <c r="DM36"/>
  <c r="DM37" s="1"/>
  <c r="EJ36"/>
  <c r="DK470"/>
  <c r="BO724"/>
  <c r="DC713"/>
  <c r="AK674" i="3" s="1"/>
  <c r="EH633" i="1"/>
  <c r="EL633" s="1"/>
  <c r="EQ633" s="1"/>
  <c r="BR538"/>
  <c r="BS581"/>
  <c r="CP484"/>
  <c r="BN484"/>
  <c r="AL516"/>
  <c r="AL518"/>
  <c r="EE79"/>
  <c r="AX919"/>
  <c r="DD459"/>
  <c r="BJ205"/>
  <c r="DN205" s="1"/>
  <c r="EE203"/>
  <c r="E205" i="3" s="1"/>
  <c r="CK19" i="1"/>
  <c r="CB575"/>
  <c r="AQ648"/>
  <c r="AP648"/>
  <c r="DK791"/>
  <c r="BG760"/>
  <c r="BL738"/>
  <c r="DB708"/>
  <c r="DC708" s="1"/>
  <c r="CS705"/>
  <c r="CS725" s="1"/>
  <c r="CP700"/>
  <c r="DL695"/>
  <c r="DD694"/>
  <c r="CH691"/>
  <c r="CW688"/>
  <c r="DK687"/>
  <c r="CN687"/>
  <c r="CP683"/>
  <c r="BS637"/>
  <c r="BS630"/>
  <c r="CD630"/>
  <c r="CE631"/>
  <c r="M473"/>
  <c r="L487"/>
  <c r="L517"/>
  <c r="AW459"/>
  <c r="AW457"/>
  <c r="BS433"/>
  <c r="DK137"/>
  <c r="AS139" i="3" s="1"/>
  <c r="DK202" i="1"/>
  <c r="AY919"/>
  <c r="BG766"/>
  <c r="BG790"/>
  <c r="BG764"/>
  <c r="CI643"/>
  <c r="CP641"/>
  <c r="CI641"/>
  <c r="CE638"/>
  <c r="CQ633"/>
  <c r="DC632"/>
  <c r="AX904"/>
  <c r="AX906"/>
  <c r="DC277"/>
  <c r="DB319"/>
  <c r="DB261"/>
  <c r="DC238"/>
  <c r="CH625"/>
  <c r="DG623"/>
  <c r="DA623"/>
  <c r="CU623"/>
  <c r="EH622"/>
  <c r="DG615"/>
  <c r="DG652"/>
  <c r="BB613"/>
  <c r="CE613"/>
  <c r="EE612"/>
  <c r="EL637" s="1"/>
  <c r="CP608"/>
  <c r="DB600"/>
  <c r="CB570"/>
  <c r="CU532"/>
  <c r="CI501"/>
  <c r="EI501"/>
  <c r="EM502" s="1"/>
  <c r="ER502" s="1"/>
  <c r="EK464"/>
  <c r="CP259"/>
  <c r="CQ230"/>
  <c r="CL576"/>
  <c r="CD500"/>
  <c r="CD525" s="1"/>
  <c r="AD214"/>
  <c r="BH214"/>
  <c r="FE84"/>
  <c r="FF84" s="1"/>
  <c r="DL107"/>
  <c r="DM107" s="1"/>
  <c r="FE72"/>
  <c r="FF72" s="1"/>
  <c r="DO81"/>
  <c r="DN123"/>
  <c r="BQ47"/>
  <c r="AO63"/>
  <c r="CQ335"/>
  <c r="AE324"/>
  <c r="CN297"/>
  <c r="CN323" s="1"/>
  <c r="J279"/>
  <c r="AO270"/>
  <c r="BS233"/>
  <c r="CB229"/>
  <c r="DP171"/>
  <c r="FD72"/>
  <c r="EB72"/>
  <c r="EG72" s="1"/>
  <c r="EN95" s="1"/>
  <c r="ES95" s="1"/>
  <c r="AT61"/>
  <c r="AT63"/>
  <c r="AP307"/>
  <c r="BS307" s="1"/>
  <c r="CB302"/>
  <c r="CB299"/>
  <c r="BV299"/>
  <c r="CE299"/>
  <c r="DM298"/>
  <c r="CT298"/>
  <c r="CH298"/>
  <c r="CK295"/>
  <c r="CI295"/>
  <c r="CH295"/>
  <c r="CK291"/>
  <c r="CI291" s="1"/>
  <c r="CS284"/>
  <c r="CS321" s="1"/>
  <c r="CB238"/>
  <c r="BP238"/>
  <c r="CN233"/>
  <c r="CP232"/>
  <c r="CN231"/>
  <c r="CN257" s="1"/>
  <c r="BP231"/>
  <c r="DH229"/>
  <c r="DE229"/>
  <c r="AM207" i="3" s="1"/>
  <c r="CN229" i="1"/>
  <c r="BY229"/>
  <c r="CY228"/>
  <c r="EH226"/>
  <c r="F205" i="3" s="1"/>
  <c r="FC11" i="1"/>
  <c r="EA11"/>
  <c r="BI215"/>
  <c r="CK215"/>
  <c r="CN167"/>
  <c r="CE161"/>
  <c r="AQ109"/>
  <c r="BS109"/>
  <c r="DC101"/>
  <c r="CN100"/>
  <c r="CN98"/>
  <c r="DG95"/>
  <c r="DC93"/>
  <c r="AO139"/>
  <c r="EB74"/>
  <c r="EG74"/>
  <c r="Q75" i="3" s="1"/>
  <c r="R75" s="1"/>
  <c r="X91" i="1"/>
  <c r="DD91"/>
  <c r="DE91" s="1"/>
  <c r="DF91" s="1"/>
  <c r="DG91" s="1"/>
  <c r="DH91" s="1"/>
  <c r="DI91" s="1"/>
  <c r="DJ91" s="1"/>
  <c r="DK91" s="1"/>
  <c r="DL91" s="1"/>
  <c r="DM91" s="1"/>
  <c r="DF35"/>
  <c r="CT35"/>
  <c r="EH33"/>
  <c r="EO33" s="1"/>
  <c r="CB29"/>
  <c r="CN27"/>
  <c r="CZ27"/>
  <c r="EB21"/>
  <c r="CV20"/>
  <c r="CV58"/>
  <c r="K15"/>
  <c r="AM14"/>
  <c r="CQ14" s="1"/>
  <c r="AM9"/>
  <c r="AM7"/>
  <c r="EB6"/>
  <c r="EG6" s="1"/>
  <c r="EH875"/>
  <c r="EH876" s="1"/>
  <c r="F744" i="3" s="1"/>
  <c r="BS872" i="1"/>
  <c r="EH880"/>
  <c r="F19" i="3" s="1"/>
  <c r="EH881" i="1"/>
  <c r="F85" i="3" s="1"/>
  <c r="DK29" i="1"/>
  <c r="EH853"/>
  <c r="F281" i="3" s="1"/>
  <c r="EH854" i="1"/>
  <c r="EL854" s="1"/>
  <c r="EQ854" s="1"/>
  <c r="EH856"/>
  <c r="EL856" s="1"/>
  <c r="EQ856" s="1"/>
  <c r="EH858"/>
  <c r="F611" i="3" s="1"/>
  <c r="CI591" i="1"/>
  <c r="DL302"/>
  <c r="DM302"/>
  <c r="CI326"/>
  <c r="CJ247"/>
  <c r="CK247"/>
  <c r="AE831"/>
  <c r="BG763"/>
  <c r="DK259"/>
  <c r="BG762"/>
  <c r="EJ170"/>
  <c r="DK764"/>
  <c r="DL38"/>
  <c r="EE650"/>
  <c r="EL432"/>
  <c r="EQ432" s="1"/>
  <c r="EH457"/>
  <c r="S17" i="3"/>
  <c r="EO498" i="1"/>
  <c r="EO292"/>
  <c r="D271" i="3" s="1"/>
  <c r="EL492" i="1"/>
  <c r="EQ492" s="1"/>
  <c r="EE909"/>
  <c r="F151" i="3"/>
  <c r="F18"/>
  <c r="EO559" i="1"/>
  <c r="D537" i="3" s="1"/>
  <c r="N536"/>
  <c r="CJ295" i="1"/>
  <c r="EI295"/>
  <c r="DL295"/>
  <c r="EH895"/>
  <c r="BG786"/>
  <c r="BG788"/>
  <c r="AE826"/>
  <c r="AE786"/>
  <c r="DK163"/>
  <c r="AS141" i="3" s="1"/>
  <c r="EJ163" i="1"/>
  <c r="S141" i="3" s="1"/>
  <c r="DK162" i="1"/>
  <c r="AS140" i="3" s="1"/>
  <c r="FE73" i="1"/>
  <c r="FF73"/>
  <c r="FE8"/>
  <c r="FF8"/>
  <c r="CJ724"/>
  <c r="DM658"/>
  <c r="EI633"/>
  <c r="EI658" s="1"/>
  <c r="DL904"/>
  <c r="CI526"/>
  <c r="CK526"/>
  <c r="DL902"/>
  <c r="CJ509"/>
  <c r="CI525"/>
  <c r="CI523"/>
  <c r="EJ435"/>
  <c r="EI369"/>
  <c r="DL765"/>
  <c r="CI390"/>
  <c r="CI392"/>
  <c r="EH303"/>
  <c r="EH899" s="1"/>
  <c r="EI232"/>
  <c r="CI245"/>
  <c r="BG258"/>
  <c r="BG260"/>
  <c r="DL232"/>
  <c r="EJ232"/>
  <c r="CJ196"/>
  <c r="EI196"/>
  <c r="CI196"/>
  <c r="CI193"/>
  <c r="CJ179"/>
  <c r="CI195"/>
  <c r="FE17"/>
  <c r="FF17"/>
  <c r="DL40"/>
  <c r="DL895"/>
  <c r="FE16"/>
  <c r="FF16" s="1"/>
  <c r="CK895"/>
  <c r="EL852"/>
  <c r="EQ852" s="1"/>
  <c r="EJ106"/>
  <c r="CI130"/>
  <c r="EJ105"/>
  <c r="EJ130" s="1"/>
  <c r="F79" i="3"/>
  <c r="C79" s="1"/>
  <c r="AS79"/>
  <c r="DL100" i="1"/>
  <c r="EJ100"/>
  <c r="DL896"/>
  <c r="CJ895"/>
  <c r="CI895"/>
  <c r="BG789"/>
  <c r="BG787"/>
  <c r="CI773"/>
  <c r="DK773"/>
  <c r="DK760"/>
  <c r="BH63"/>
  <c r="BH61"/>
  <c r="BG63"/>
  <c r="BG61"/>
  <c r="CI47"/>
  <c r="EJ34"/>
  <c r="CJ34"/>
  <c r="EI34"/>
  <c r="N13" i="3" s="1"/>
  <c r="CJ291" i="1"/>
  <c r="EI291"/>
  <c r="DK754"/>
  <c r="FE70"/>
  <c r="FF70" s="1"/>
  <c r="BG753"/>
  <c r="FE4"/>
  <c r="FF4" s="1"/>
  <c r="DK590"/>
  <c r="CJ49"/>
  <c r="CK49" s="1"/>
  <c r="CL770"/>
  <c r="CJ770"/>
  <c r="EI770"/>
  <c r="CI107"/>
  <c r="CJ107"/>
  <c r="EI107"/>
  <c r="CI589"/>
  <c r="CJ576"/>
  <c r="CJ589"/>
  <c r="DL576"/>
  <c r="CJ510"/>
  <c r="CI324"/>
  <c r="CJ48"/>
  <c r="CJ160"/>
  <c r="CI160"/>
  <c r="EI160"/>
  <c r="CJ887"/>
  <c r="CK891"/>
  <c r="CI887"/>
  <c r="BW871"/>
  <c r="BX871"/>
  <c r="BY898"/>
  <c r="BY914"/>
  <c r="BY915"/>
  <c r="BY876"/>
  <c r="BY903" s="1"/>
  <c r="BR875"/>
  <c r="BQ875"/>
  <c r="BS902"/>
  <c r="BS918"/>
  <c r="CD27"/>
  <c r="CC27"/>
  <c r="BR37"/>
  <c r="BQ37"/>
  <c r="BN40"/>
  <c r="BN64" s="1"/>
  <c r="BO40"/>
  <c r="BO64" s="1"/>
  <c r="BP64"/>
  <c r="CF93"/>
  <c r="CG93"/>
  <c r="CQ103"/>
  <c r="CQ128"/>
  <c r="CR115"/>
  <c r="BU160"/>
  <c r="BT160"/>
  <c r="CJ161"/>
  <c r="CI161"/>
  <c r="EI161"/>
  <c r="CG164"/>
  <c r="CH192"/>
  <c r="CF164"/>
  <c r="CH194"/>
  <c r="CL866"/>
  <c r="EI866" s="1"/>
  <c r="N84" i="3" s="1"/>
  <c r="CM866" i="1"/>
  <c r="BR11"/>
  <c r="BS12"/>
  <c r="BQ11"/>
  <c r="BW30"/>
  <c r="BX30"/>
  <c r="BQ32"/>
  <c r="BS60"/>
  <c r="BR32"/>
  <c r="BS62"/>
  <c r="BW33"/>
  <c r="BW60" s="1"/>
  <c r="BY60"/>
  <c r="BX33"/>
  <c r="BX60"/>
  <c r="CI33"/>
  <c r="EI33"/>
  <c r="CJ33"/>
  <c r="BU34"/>
  <c r="BT34"/>
  <c r="CI35"/>
  <c r="EI35"/>
  <c r="CJ35"/>
  <c r="BU36"/>
  <c r="BT36"/>
  <c r="BV37"/>
  <c r="CR38"/>
  <c r="CQ63"/>
  <c r="CA40"/>
  <c r="CA64" s="1"/>
  <c r="CB64"/>
  <c r="BZ40"/>
  <c r="BZ64"/>
  <c r="BO41"/>
  <c r="BN41"/>
  <c r="BO43"/>
  <c r="BN43"/>
  <c r="CA43"/>
  <c r="BZ43"/>
  <c r="BO48"/>
  <c r="BN61"/>
  <c r="BR77"/>
  <c r="BQ77"/>
  <c r="BS78"/>
  <c r="CR79"/>
  <c r="CQ122"/>
  <c r="DD80"/>
  <c r="DC123"/>
  <c r="AK81" i="3"/>
  <c r="DC909" i="1"/>
  <c r="DC919"/>
  <c r="BR283"/>
  <c r="BQ283"/>
  <c r="BO299"/>
  <c r="BN299"/>
  <c r="CG302"/>
  <c r="CG326"/>
  <c r="CF302"/>
  <c r="CF326"/>
  <c r="BX304"/>
  <c r="BX327"/>
  <c r="BW304"/>
  <c r="BW327"/>
  <c r="BY327"/>
  <c r="CA338"/>
  <c r="BZ338"/>
  <c r="BR339"/>
  <c r="BQ339"/>
  <c r="BS384"/>
  <c r="CA349"/>
  <c r="BZ349"/>
  <c r="BR365"/>
  <c r="BQ365"/>
  <c r="BU366"/>
  <c r="BT366"/>
  <c r="BV367"/>
  <c r="BX369"/>
  <c r="BX393"/>
  <c r="BY393"/>
  <c r="BW369"/>
  <c r="BW393" s="1"/>
  <c r="BO371"/>
  <c r="BN371"/>
  <c r="BN372"/>
  <c r="BO372"/>
  <c r="CF373"/>
  <c r="CG373"/>
  <c r="DP379"/>
  <c r="CF170"/>
  <c r="CF195"/>
  <c r="CG170"/>
  <c r="CG195"/>
  <c r="CH195"/>
  <c r="BO179"/>
  <c r="BN193"/>
  <c r="BN195"/>
  <c r="BR209"/>
  <c r="BQ209"/>
  <c r="BS210"/>
  <c r="CA225"/>
  <c r="BZ225"/>
  <c r="BR228"/>
  <c r="BQ228"/>
  <c r="BO229"/>
  <c r="BN229"/>
  <c r="CD229"/>
  <c r="CC229"/>
  <c r="CC230"/>
  <c r="CD230"/>
  <c r="CE259"/>
  <c r="CE257"/>
  <c r="BU232"/>
  <c r="BT232"/>
  <c r="CS237"/>
  <c r="CR261"/>
  <c r="BR274"/>
  <c r="BR316"/>
  <c r="BQ274"/>
  <c r="BQ316"/>
  <c r="BS316"/>
  <c r="BU306"/>
  <c r="BT306"/>
  <c r="BX372"/>
  <c r="BW372"/>
  <c r="CJ439"/>
  <c r="CI439"/>
  <c r="EI439"/>
  <c r="BX481"/>
  <c r="BW481"/>
  <c r="CM481"/>
  <c r="CL481"/>
  <c r="EF481" s="1"/>
  <c r="DB516"/>
  <c r="DC485"/>
  <c r="BQ494"/>
  <c r="BR494"/>
  <c r="BS522"/>
  <c r="BS524"/>
  <c r="BX246"/>
  <c r="BY246"/>
  <c r="CP289"/>
  <c r="J751"/>
  <c r="K737"/>
  <c r="AM737"/>
  <c r="L275"/>
  <c r="K289"/>
  <c r="K751" s="1"/>
  <c r="K318"/>
  <c r="AM275"/>
  <c r="CA283"/>
  <c r="BZ283"/>
  <c r="BX293"/>
  <c r="BW293"/>
  <c r="CT309"/>
  <c r="CT328" s="1"/>
  <c r="N328"/>
  <c r="N771"/>
  <c r="AQ309"/>
  <c r="BF326"/>
  <c r="CH311"/>
  <c r="BF324"/>
  <c r="DJ311"/>
  <c r="BH326"/>
  <c r="CJ311"/>
  <c r="CD312"/>
  <c r="BB324"/>
  <c r="DF312"/>
  <c r="AC351"/>
  <c r="AB387"/>
  <c r="DH351"/>
  <c r="DH387"/>
  <c r="CJ371"/>
  <c r="CI371"/>
  <c r="EI371"/>
  <c r="BX242"/>
  <c r="BW242"/>
  <c r="CI299"/>
  <c r="EI299"/>
  <c r="CJ299"/>
  <c r="BT390"/>
  <c r="BU377"/>
  <c r="BT392"/>
  <c r="BX484"/>
  <c r="BW516"/>
  <c r="BR547"/>
  <c r="BQ547"/>
  <c r="BP550"/>
  <c r="BP584"/>
  <c r="CJ555"/>
  <c r="CI555"/>
  <c r="EI555"/>
  <c r="CD82"/>
  <c r="CC82"/>
  <c r="BT148"/>
  <c r="BU148"/>
  <c r="CG413"/>
  <c r="CF413"/>
  <c r="BE4"/>
  <c r="DI4" s="1"/>
  <c r="AA4"/>
  <c r="BD4" s="1"/>
  <c r="AB730"/>
  <c r="AE223"/>
  <c r="CI223"/>
  <c r="AF209"/>
  <c r="BG209"/>
  <c r="EE737"/>
  <c r="W280"/>
  <c r="V280" s="1"/>
  <c r="BA280"/>
  <c r="CE280"/>
  <c r="BD717"/>
  <c r="BD918"/>
  <c r="DH674"/>
  <c r="BG539"/>
  <c r="DJ539"/>
  <c r="DK539" s="1"/>
  <c r="DL539" s="1"/>
  <c r="DG74"/>
  <c r="AO75" i="3" s="1"/>
  <c r="CE74" i="1"/>
  <c r="F149" i="3"/>
  <c r="CM874" i="1"/>
  <c r="CL874"/>
  <c r="BR19"/>
  <c r="BQ19"/>
  <c r="BU28"/>
  <c r="BT28"/>
  <c r="BX37"/>
  <c r="BW37"/>
  <c r="BY62"/>
  <c r="BX44"/>
  <c r="BW44"/>
  <c r="CF99"/>
  <c r="CF126"/>
  <c r="CG99"/>
  <c r="CG126"/>
  <c r="CH126"/>
  <c r="DC114"/>
  <c r="DB127"/>
  <c r="BR160"/>
  <c r="BQ160"/>
  <c r="CF160"/>
  <c r="CG160"/>
  <c r="BU164"/>
  <c r="BT164"/>
  <c r="BV194"/>
  <c r="BV192"/>
  <c r="BX11"/>
  <c r="BW11"/>
  <c r="BO31"/>
  <c r="BN31"/>
  <c r="CJ32"/>
  <c r="CK60"/>
  <c r="CI32"/>
  <c r="CI62" s="1"/>
  <c r="CE895"/>
  <c r="CD34"/>
  <c r="CC34"/>
  <c r="BR35"/>
  <c r="BQ35"/>
  <c r="FE12"/>
  <c r="FF12"/>
  <c r="BX36"/>
  <c r="BW36"/>
  <c r="CD38"/>
  <c r="CD63"/>
  <c r="CC38"/>
  <c r="CC63"/>
  <c r="CE63"/>
  <c r="CN64"/>
  <c r="CL39"/>
  <c r="CM39"/>
  <c r="CM64" s="1"/>
  <c r="CA41"/>
  <c r="BZ41"/>
  <c r="BU43"/>
  <c r="BT43"/>
  <c r="CJ43"/>
  <c r="CI43"/>
  <c r="EI43"/>
  <c r="DP79"/>
  <c r="DP122"/>
  <c r="DO122"/>
  <c r="CL96"/>
  <c r="EI96" s="1"/>
  <c r="N74" i="3" s="1"/>
  <c r="CM96" i="1"/>
  <c r="CC98"/>
  <c r="CE128"/>
  <c r="CD98"/>
  <c r="CE126"/>
  <c r="BT100"/>
  <c r="BU100"/>
  <c r="BW108"/>
  <c r="BX108"/>
  <c r="CA174"/>
  <c r="BZ174"/>
  <c r="CM176"/>
  <c r="CL176"/>
  <c r="EI176" s="1"/>
  <c r="CE180"/>
  <c r="CE193" s="1"/>
  <c r="CD193"/>
  <c r="BX226"/>
  <c r="BW226"/>
  <c r="BW230"/>
  <c r="BX230"/>
  <c r="BY259"/>
  <c r="BY257"/>
  <c r="CJ235"/>
  <c r="CJ259"/>
  <c r="CI235"/>
  <c r="CI259"/>
  <c r="CR236"/>
  <c r="CQ260"/>
  <c r="BX236"/>
  <c r="BW236"/>
  <c r="BW260" s="1"/>
  <c r="CJ236"/>
  <c r="CI236"/>
  <c r="EI236"/>
  <c r="BX237"/>
  <c r="BX261"/>
  <c r="BW237"/>
  <c r="BW261"/>
  <c r="BY261"/>
  <c r="CI237"/>
  <c r="CJ237"/>
  <c r="CK261"/>
  <c r="BO239"/>
  <c r="BN239"/>
  <c r="BU339"/>
  <c r="BT339"/>
  <c r="BV382"/>
  <c r="BV384"/>
  <c r="CG364"/>
  <c r="CF364"/>
  <c r="CH900"/>
  <c r="EJ371"/>
  <c r="CA400"/>
  <c r="BZ400"/>
  <c r="BU401"/>
  <c r="BT401"/>
  <c r="BR402"/>
  <c r="BQ402"/>
  <c r="BO404"/>
  <c r="BN404"/>
  <c r="BW405"/>
  <c r="BX405"/>
  <c r="BY451"/>
  <c r="BY449"/>
  <c r="AZ451"/>
  <c r="AZ421"/>
  <c r="CB421"/>
  <c r="AO453"/>
  <c r="CS411"/>
  <c r="BS411"/>
  <c r="CR421"/>
  <c r="CQ408"/>
  <c r="CQ451"/>
  <c r="CJ423"/>
  <c r="CI423"/>
  <c r="BU427"/>
  <c r="BT427"/>
  <c r="CM431"/>
  <c r="CL431"/>
  <c r="EI431" s="1"/>
  <c r="CM437"/>
  <c r="CL437"/>
  <c r="EI437" s="1"/>
  <c r="EM437" s="1"/>
  <c r="ER437" s="1"/>
  <c r="BX475"/>
  <c r="BW475"/>
  <c r="BW518" s="1"/>
  <c r="BQ479"/>
  <c r="BR479"/>
  <c r="BO534"/>
  <c r="BN534"/>
  <c r="BO537"/>
  <c r="BN537"/>
  <c r="BP583"/>
  <c r="BX538"/>
  <c r="BX581"/>
  <c r="BW538"/>
  <c r="BW581"/>
  <c r="BY581"/>
  <c r="DO180"/>
  <c r="DP180" s="1"/>
  <c r="CM180"/>
  <c r="CN180" s="1"/>
  <c r="CG238"/>
  <c r="CG261" s="1"/>
  <c r="CF238"/>
  <c r="CF261" s="1"/>
  <c r="CH261"/>
  <c r="BO240"/>
  <c r="BN240"/>
  <c r="CA240"/>
  <c r="BZ240"/>
  <c r="AS258"/>
  <c r="AS260"/>
  <c r="AX258"/>
  <c r="DB245"/>
  <c r="BZ245"/>
  <c r="AX260"/>
  <c r="AZ258"/>
  <c r="AZ260"/>
  <c r="BW258"/>
  <c r="BX245"/>
  <c r="CD246"/>
  <c r="CE246"/>
  <c r="DF246"/>
  <c r="DG246"/>
  <c r="DH246" s="1"/>
  <c r="DI246" s="1"/>
  <c r="DJ246" s="1"/>
  <c r="DK246" s="1"/>
  <c r="CT284"/>
  <c r="CT321"/>
  <c r="N746"/>
  <c r="N321"/>
  <c r="Q747"/>
  <c r="Q321"/>
  <c r="CW285"/>
  <c r="CW321" s="1"/>
  <c r="BU292"/>
  <c r="BT292"/>
  <c r="BW292"/>
  <c r="BX292"/>
  <c r="CJ292"/>
  <c r="CI292"/>
  <c r="EI292"/>
  <c r="EM292" s="1"/>
  <c r="ER292" s="1"/>
  <c r="DO296"/>
  <c r="CI301"/>
  <c r="CJ301"/>
  <c r="CJ325"/>
  <c r="BU303"/>
  <c r="BU327"/>
  <c r="BT303"/>
  <c r="BT327"/>
  <c r="BV327"/>
  <c r="BO558"/>
  <c r="BN558"/>
  <c r="BU561"/>
  <c r="BV588"/>
  <c r="BT561"/>
  <c r="BT588" s="1"/>
  <c r="BU564"/>
  <c r="BT564"/>
  <c r="BV565"/>
  <c r="CD569"/>
  <c r="CC569"/>
  <c r="BT598"/>
  <c r="BU598"/>
  <c r="BN600"/>
  <c r="BO600"/>
  <c r="BO601"/>
  <c r="BN601"/>
  <c r="CA601"/>
  <c r="BZ601"/>
  <c r="AM619"/>
  <c r="BO619"/>
  <c r="BP619" s="1"/>
  <c r="AM649"/>
  <c r="CQ605"/>
  <c r="BP605"/>
  <c r="BW607"/>
  <c r="BX607"/>
  <c r="AQ651"/>
  <c r="BS609"/>
  <c r="DD609"/>
  <c r="DC651"/>
  <c r="BW613"/>
  <c r="BX613"/>
  <c r="BQ622"/>
  <c r="BR622"/>
  <c r="CJ622"/>
  <c r="CI622"/>
  <c r="CJ623"/>
  <c r="CI623"/>
  <c r="EI623"/>
  <c r="CG633"/>
  <c r="CF633"/>
  <c r="CH658"/>
  <c r="CH904"/>
  <c r="CL635"/>
  <c r="EI635" s="1"/>
  <c r="CM635"/>
  <c r="BR638"/>
  <c r="BQ638"/>
  <c r="BR665"/>
  <c r="BQ665"/>
  <c r="BN716"/>
  <c r="BO682"/>
  <c r="CD691"/>
  <c r="CC691"/>
  <c r="CL698"/>
  <c r="EI698" s="1"/>
  <c r="CM698"/>
  <c r="DB724"/>
  <c r="DC699"/>
  <c r="DB905"/>
  <c r="BT708"/>
  <c r="AR721"/>
  <c r="CV708"/>
  <c r="CW708"/>
  <c r="CX708" s="1"/>
  <c r="CY708" s="1"/>
  <c r="CZ708" s="1"/>
  <c r="DA708" s="1"/>
  <c r="EI709"/>
  <c r="CJ709"/>
  <c r="CK709" s="1"/>
  <c r="AM779"/>
  <c r="BP735"/>
  <c r="CQ735"/>
  <c r="CR753"/>
  <c r="BP753"/>
  <c r="DD753"/>
  <c r="CB753"/>
  <c r="DA753"/>
  <c r="BY753"/>
  <c r="DM755"/>
  <c r="CK755"/>
  <c r="DD757"/>
  <c r="CB757"/>
  <c r="DO757"/>
  <c r="BU759"/>
  <c r="BU786"/>
  <c r="BV786"/>
  <c r="BT759"/>
  <c r="BT786" s="1"/>
  <c r="DH759"/>
  <c r="CH759"/>
  <c r="CV760"/>
  <c r="CV787" s="1"/>
  <c r="BV760"/>
  <c r="BY760"/>
  <c r="DA760"/>
  <c r="DA787" s="1"/>
  <c r="DI761"/>
  <c r="DI787" s="1"/>
  <c r="CH761"/>
  <c r="CY761"/>
  <c r="CY787"/>
  <c r="BY761"/>
  <c r="AS789"/>
  <c r="BV764"/>
  <c r="CH766"/>
  <c r="BE790"/>
  <c r="BS768"/>
  <c r="CU768"/>
  <c r="CV768"/>
  <c r="CW768" s="1"/>
  <c r="CX768" s="1"/>
  <c r="CY768" s="1"/>
  <c r="CZ768" s="1"/>
  <c r="DA768" s="1"/>
  <c r="EI494"/>
  <c r="CM565"/>
  <c r="CM590" s="1"/>
  <c r="CL565"/>
  <c r="CL590" s="1"/>
  <c r="CA566"/>
  <c r="CA591"/>
  <c r="BZ566"/>
  <c r="BZ591"/>
  <c r="CH576"/>
  <c r="CH589"/>
  <c r="CG589"/>
  <c r="BZ600"/>
  <c r="CA600"/>
  <c r="BU621"/>
  <c r="BT621"/>
  <c r="CG621"/>
  <c r="CF621"/>
  <c r="CG635"/>
  <c r="CF635"/>
  <c r="BR699"/>
  <c r="BR724" s="1"/>
  <c r="BQ699"/>
  <c r="BQ724" s="1"/>
  <c r="BS724"/>
  <c r="BY774"/>
  <c r="BY787"/>
  <c r="BX787"/>
  <c r="BN523"/>
  <c r="BO509"/>
  <c r="BO538"/>
  <c r="BO581"/>
  <c r="BN538"/>
  <c r="BN581"/>
  <c r="BP581"/>
  <c r="AO736"/>
  <c r="AP736"/>
  <c r="CT736"/>
  <c r="AS742"/>
  <c r="AT742"/>
  <c r="BV742" s="1"/>
  <c r="AG407"/>
  <c r="AF421"/>
  <c r="DL421" s="1"/>
  <c r="DM421" s="1"/>
  <c r="BR432"/>
  <c r="BF553"/>
  <c r="CH553"/>
  <c r="AZ280"/>
  <c r="BN714"/>
  <c r="CD148"/>
  <c r="CC148"/>
  <c r="BT143"/>
  <c r="BU143"/>
  <c r="BI617"/>
  <c r="BI648" s="1"/>
  <c r="AH319"/>
  <c r="CZ208"/>
  <c r="AV250"/>
  <c r="T320"/>
  <c r="AV279"/>
  <c r="FC10"/>
  <c r="EA10"/>
  <c r="DJ47"/>
  <c r="AQ13" i="3"/>
  <c r="DI61" i="1"/>
  <c r="DI63"/>
  <c r="CK591"/>
  <c r="CC722"/>
  <c r="CC720"/>
  <c r="BQ169"/>
  <c r="BQ194"/>
  <c r="BR169"/>
  <c r="BR194"/>
  <c r="BS194"/>
  <c r="CD769"/>
  <c r="CC769"/>
  <c r="CC582"/>
  <c r="CD551"/>
  <c r="BP551"/>
  <c r="BP582" s="1"/>
  <c r="BO582"/>
  <c r="AZ649"/>
  <c r="BA605"/>
  <c r="AZ619"/>
  <c r="CR607"/>
  <c r="CQ650"/>
  <c r="CB648"/>
  <c r="BO641"/>
  <c r="BN655"/>
  <c r="BK683"/>
  <c r="BK714" s="1"/>
  <c r="AI714"/>
  <c r="AF665"/>
  <c r="AG731"/>
  <c r="BQ721"/>
  <c r="BR707"/>
  <c r="CD707"/>
  <c r="CC721"/>
  <c r="CD762"/>
  <c r="CD763"/>
  <c r="CD788" s="1"/>
  <c r="CC762"/>
  <c r="CC763"/>
  <c r="CC788" s="1"/>
  <c r="CI450"/>
  <c r="CJ419"/>
  <c r="EF419"/>
  <c r="BF552"/>
  <c r="CH552" s="1"/>
  <c r="DJ552" s="1"/>
  <c r="AD750"/>
  <c r="BF750"/>
  <c r="CH750"/>
  <c r="DJ750"/>
  <c r="AD549"/>
  <c r="DI549"/>
  <c r="CD576"/>
  <c r="CC589"/>
  <c r="BP616"/>
  <c r="BO648"/>
  <c r="CP717"/>
  <c r="CQ675"/>
  <c r="CA754"/>
  <c r="BZ754"/>
  <c r="EJ313"/>
  <c r="DL313"/>
  <c r="DM313" s="1"/>
  <c r="DM301" s="1"/>
  <c r="CY565"/>
  <c r="CY590" s="1"/>
  <c r="CZ577"/>
  <c r="BX72"/>
  <c r="BW72"/>
  <c r="BX270"/>
  <c r="BW270"/>
  <c r="AJ470"/>
  <c r="BK470"/>
  <c r="DO470" s="1"/>
  <c r="DM62"/>
  <c r="DL37"/>
  <c r="DL62"/>
  <c r="X7"/>
  <c r="AZ7"/>
  <c r="DD7" s="1"/>
  <c r="AY7"/>
  <c r="BV76"/>
  <c r="AU143"/>
  <c r="T143"/>
  <c r="S157"/>
  <c r="BW157"/>
  <c r="S187"/>
  <c r="AW12"/>
  <c r="U25"/>
  <c r="U55"/>
  <c r="DN617"/>
  <c r="CL617"/>
  <c r="BJ648"/>
  <c r="BW17"/>
  <c r="BX17"/>
  <c r="BL139"/>
  <c r="DP139" s="1"/>
  <c r="EB139" s="1"/>
  <c r="EG139" s="1"/>
  <c r="Q140" i="3" s="1"/>
  <c r="R140" s="1"/>
  <c r="DI428" i="1"/>
  <c r="DH456"/>
  <c r="DH458"/>
  <c r="AG385"/>
  <c r="AG383"/>
  <c r="DM8"/>
  <c r="CK8"/>
  <c r="DK146"/>
  <c r="DJ158"/>
  <c r="DJ189"/>
  <c r="DJ910"/>
  <c r="CG74"/>
  <c r="CF74"/>
  <c r="X206"/>
  <c r="AZ206"/>
  <c r="DD206" s="1"/>
  <c r="AY206"/>
  <c r="X268"/>
  <c r="AZ268"/>
  <c r="DD268" s="1"/>
  <c r="EA268" s="1"/>
  <c r="AY268"/>
  <c r="AG583"/>
  <c r="AG553"/>
  <c r="AZ270"/>
  <c r="X732"/>
  <c r="AZ732" s="1"/>
  <c r="BX732"/>
  <c r="BW732"/>
  <c r="CA138"/>
  <c r="BZ138"/>
  <c r="DE542"/>
  <c r="BA916"/>
  <c r="BA919"/>
  <c r="BA585"/>
  <c r="BC449"/>
  <c r="DG208"/>
  <c r="DG250"/>
  <c r="BC250"/>
  <c r="BD449"/>
  <c r="BW540"/>
  <c r="BW583"/>
  <c r="BX540"/>
  <c r="BX583"/>
  <c r="BY583"/>
  <c r="EB278"/>
  <c r="DM320"/>
  <c r="DM912"/>
  <c r="BE449"/>
  <c r="BH517"/>
  <c r="DL473"/>
  <c r="BP591"/>
  <c r="BO650"/>
  <c r="DJ75"/>
  <c r="BZ93"/>
  <c r="CA93"/>
  <c r="BQ98"/>
  <c r="BR98"/>
  <c r="BS126"/>
  <c r="BS128"/>
  <c r="BN100"/>
  <c r="BO100"/>
  <c r="BZ100"/>
  <c r="CA100"/>
  <c r="CB896"/>
  <c r="CF104"/>
  <c r="CF129"/>
  <c r="CG104"/>
  <c r="CG129"/>
  <c r="CH129"/>
  <c r="BQ108"/>
  <c r="BR108"/>
  <c r="CD108"/>
  <c r="CC108"/>
  <c r="BX163"/>
  <c r="BW163"/>
  <c r="BO174"/>
  <c r="BN174"/>
  <c r="CJ225"/>
  <c r="CI225"/>
  <c r="EI225"/>
  <c r="CA226"/>
  <c r="BZ226"/>
  <c r="BZ233"/>
  <c r="CA233"/>
  <c r="CL235"/>
  <c r="CL259" s="1"/>
  <c r="CM235"/>
  <c r="CM259" s="1"/>
  <c r="BR236"/>
  <c r="BQ236"/>
  <c r="BQ260" s="1"/>
  <c r="CC236"/>
  <c r="CD236"/>
  <c r="BR237"/>
  <c r="BQ237"/>
  <c r="BS261"/>
  <c r="CC237"/>
  <c r="CC261"/>
  <c r="CD237"/>
  <c r="CD261"/>
  <c r="CE261"/>
  <c r="CE898"/>
  <c r="CA239"/>
  <c r="BZ239"/>
  <c r="CG282"/>
  <c r="CF282"/>
  <c r="BR298"/>
  <c r="BQ298"/>
  <c r="CD302"/>
  <c r="CD326"/>
  <c r="CC302"/>
  <c r="CC326"/>
  <c r="CE326"/>
  <c r="BR304"/>
  <c r="BR327" s="1"/>
  <c r="BQ304"/>
  <c r="BQ327" s="1"/>
  <c r="BS327"/>
  <c r="BO339"/>
  <c r="BN339"/>
  <c r="BP382"/>
  <c r="BP384"/>
  <c r="BO343"/>
  <c r="BN343"/>
  <c r="BT365"/>
  <c r="BU365"/>
  <c r="BW366"/>
  <c r="BY367"/>
  <c r="BX366"/>
  <c r="BX373"/>
  <c r="BW373"/>
  <c r="BR374"/>
  <c r="BQ374"/>
  <c r="BW167"/>
  <c r="BX167"/>
  <c r="BX209"/>
  <c r="BW209"/>
  <c r="BP220"/>
  <c r="BO251"/>
  <c r="BU227"/>
  <c r="BT227"/>
  <c r="BX228"/>
  <c r="BW228"/>
  <c r="BU229"/>
  <c r="BT229"/>
  <c r="CG229"/>
  <c r="CF229"/>
  <c r="BO232"/>
  <c r="BN232"/>
  <c r="BN258"/>
  <c r="CA232"/>
  <c r="BZ232"/>
  <c r="CB898"/>
  <c r="BT234"/>
  <c r="BV235"/>
  <c r="BU234"/>
  <c r="BQ238"/>
  <c r="BR238"/>
  <c r="BR261"/>
  <c r="BA475"/>
  <c r="Y739"/>
  <c r="Z475"/>
  <c r="Y518"/>
  <c r="CI241"/>
  <c r="EI241"/>
  <c r="CJ241"/>
  <c r="CA292"/>
  <c r="BZ292"/>
  <c r="AV324"/>
  <c r="AV326"/>
  <c r="BX311"/>
  <c r="BZ370"/>
  <c r="BZ393"/>
  <c r="CA370"/>
  <c r="CA393"/>
  <c r="CB393"/>
  <c r="CC438"/>
  <c r="CD438"/>
  <c r="BR476"/>
  <c r="BR519" s="1"/>
  <c r="BQ476"/>
  <c r="BQ519" s="1"/>
  <c r="BS519"/>
  <c r="BZ481"/>
  <c r="CA481"/>
  <c r="BT489"/>
  <c r="BU489"/>
  <c r="CL493"/>
  <c r="N471" i="3" s="1"/>
  <c r="CM493" i="1"/>
  <c r="BY522"/>
  <c r="BY524"/>
  <c r="BN501"/>
  <c r="BN526"/>
  <c r="BO501"/>
  <c r="BO526"/>
  <c r="BP526"/>
  <c r="CJ506"/>
  <c r="CI506"/>
  <c r="DC180"/>
  <c r="DB193"/>
  <c r="AP260"/>
  <c r="AP258"/>
  <c r="BR245"/>
  <c r="CT245"/>
  <c r="AR258"/>
  <c r="AR260"/>
  <c r="BT245"/>
  <c r="BA258"/>
  <c r="CC245"/>
  <c r="BA260"/>
  <c r="CP275"/>
  <c r="CQ275"/>
  <c r="AL289"/>
  <c r="BN289"/>
  <c r="AL318"/>
  <c r="CA291"/>
  <c r="BZ291"/>
  <c r="CF297"/>
  <c r="CF323" s="1"/>
  <c r="CG297"/>
  <c r="CG323" s="1"/>
  <c r="CH323"/>
  <c r="BN311"/>
  <c r="AL326"/>
  <c r="CP311"/>
  <c r="AL324"/>
  <c r="CA357"/>
  <c r="BZ357"/>
  <c r="CM358"/>
  <c r="CL358"/>
  <c r="EI358" s="1"/>
  <c r="BU240"/>
  <c r="BT240"/>
  <c r="BQ287"/>
  <c r="CS287"/>
  <c r="AO317"/>
  <c r="BR368"/>
  <c r="BR392" s="1"/>
  <c r="BQ368"/>
  <c r="BQ392" s="1"/>
  <c r="BU400"/>
  <c r="BT400"/>
  <c r="CA404"/>
  <c r="BZ404"/>
  <c r="BO410"/>
  <c r="BO453" s="1"/>
  <c r="BN410"/>
  <c r="BN453" s="1"/>
  <c r="BP453"/>
  <c r="AU453"/>
  <c r="BY411"/>
  <c r="BP418"/>
  <c r="BO450"/>
  <c r="BO423"/>
  <c r="BN423"/>
  <c r="CM424"/>
  <c r="CL424"/>
  <c r="EI424" s="1"/>
  <c r="CM430"/>
  <c r="CN457"/>
  <c r="CN459"/>
  <c r="CL430"/>
  <c r="EI430" s="1"/>
  <c r="EI457" s="1"/>
  <c r="BU437"/>
  <c r="BT437"/>
  <c r="BR475"/>
  <c r="BR518"/>
  <c r="BQ475"/>
  <c r="BQ518"/>
  <c r="BQ478"/>
  <c r="BR478"/>
  <c r="BN500"/>
  <c r="BN525" s="1"/>
  <c r="BO500"/>
  <c r="BU535"/>
  <c r="BT535"/>
  <c r="CA179"/>
  <c r="BZ193"/>
  <c r="EJ240"/>
  <c r="BO291"/>
  <c r="BN291"/>
  <c r="AT326"/>
  <c r="AT324"/>
  <c r="BU311"/>
  <c r="BT324"/>
  <c r="AY355"/>
  <c r="CA355"/>
  <c r="CB355" s="1"/>
  <c r="AY384"/>
  <c r="BQ366"/>
  <c r="BS367"/>
  <c r="BR366"/>
  <c r="CD560"/>
  <c r="CC560"/>
  <c r="CE590"/>
  <c r="CE588"/>
  <c r="CM563"/>
  <c r="CL563"/>
  <c r="EI563" s="1"/>
  <c r="CG566"/>
  <c r="CG591"/>
  <c r="CF566"/>
  <c r="CF591"/>
  <c r="CH591"/>
  <c r="BR567"/>
  <c r="BR592" s="1"/>
  <c r="BS592"/>
  <c r="BQ567"/>
  <c r="BQ592"/>
  <c r="BR571"/>
  <c r="BQ571"/>
  <c r="CQ575"/>
  <c r="CP591"/>
  <c r="CP589"/>
  <c r="CJ577"/>
  <c r="CK577" s="1"/>
  <c r="EI577"/>
  <c r="BX600"/>
  <c r="BW600"/>
  <c r="BQ601"/>
  <c r="BR601"/>
  <c r="CR603"/>
  <c r="CQ647"/>
  <c r="BW604"/>
  <c r="BW647"/>
  <c r="BX604"/>
  <c r="BX647"/>
  <c r="BY647"/>
  <c r="BQ607"/>
  <c r="BQ650" s="1"/>
  <c r="BS650"/>
  <c r="BR607"/>
  <c r="BR650"/>
  <c r="DP607"/>
  <c r="DP650"/>
  <c r="DO650"/>
  <c r="AM651"/>
  <c r="BP609"/>
  <c r="AU651"/>
  <c r="BY609"/>
  <c r="BO610"/>
  <c r="BN610"/>
  <c r="BU613"/>
  <c r="BT613"/>
  <c r="CA613"/>
  <c r="BZ613"/>
  <c r="DC617"/>
  <c r="DB648"/>
  <c r="BW622"/>
  <c r="BX622"/>
  <c r="CA623"/>
  <c r="BZ623"/>
  <c r="BQ626"/>
  <c r="BQ654" s="1"/>
  <c r="BR626"/>
  <c r="BR654" s="1"/>
  <c r="BS654"/>
  <c r="EJ627"/>
  <c r="DK654"/>
  <c r="BT629"/>
  <c r="BU629"/>
  <c r="BW632"/>
  <c r="BW657"/>
  <c r="BX632"/>
  <c r="BX657"/>
  <c r="BY657"/>
  <c r="CG634"/>
  <c r="CF634"/>
  <c r="CR669"/>
  <c r="CQ713"/>
  <c r="CG688"/>
  <c r="CF688"/>
  <c r="BU689"/>
  <c r="BT689"/>
  <c r="CD690"/>
  <c r="CC690"/>
  <c r="CG699"/>
  <c r="CG724" s="1"/>
  <c r="CF699"/>
  <c r="CF724" s="1"/>
  <c r="CH905"/>
  <c r="CH724"/>
  <c r="BZ703"/>
  <c r="CA703"/>
  <c r="CF704"/>
  <c r="CG704"/>
  <c r="CP733"/>
  <c r="BP733"/>
  <c r="BK779"/>
  <c r="DO736"/>
  <c r="BS753"/>
  <c r="CT753"/>
  <c r="DF753"/>
  <c r="CE753"/>
  <c r="CX754"/>
  <c r="BV754"/>
  <c r="CR757"/>
  <c r="BP757"/>
  <c r="DK757"/>
  <c r="AP786"/>
  <c r="BS758"/>
  <c r="CY759"/>
  <c r="AU786"/>
  <c r="BY759"/>
  <c r="DJ759"/>
  <c r="BF786"/>
  <c r="DG761"/>
  <c r="DG787"/>
  <c r="CE761"/>
  <c r="BY765"/>
  <c r="AV790"/>
  <c r="CZ765"/>
  <c r="DA765" s="1"/>
  <c r="BZ768"/>
  <c r="CA768"/>
  <c r="DF477"/>
  <c r="DE519"/>
  <c r="BX547"/>
  <c r="BW547"/>
  <c r="BO566"/>
  <c r="BO591"/>
  <c r="BN566"/>
  <c r="BN591"/>
  <c r="CJ612"/>
  <c r="CI612"/>
  <c r="BO621"/>
  <c r="BN621"/>
  <c r="CA621"/>
  <c r="BZ621"/>
  <c r="BU702"/>
  <c r="BT702"/>
  <c r="BV707"/>
  <c r="BU723"/>
  <c r="AB22"/>
  <c r="AA56"/>
  <c r="AA908"/>
  <c r="AA54"/>
  <c r="EE143"/>
  <c r="EO167" s="1"/>
  <c r="EE157"/>
  <c r="DK90"/>
  <c r="EF90"/>
  <c r="BD677"/>
  <c r="DH677"/>
  <c r="AC677"/>
  <c r="AB743"/>
  <c r="BD743" s="1"/>
  <c r="CG149"/>
  <c r="CF149"/>
  <c r="DH908"/>
  <c r="AP15" i="3"/>
  <c r="DH57" i="1"/>
  <c r="AV286"/>
  <c r="T317"/>
  <c r="AU83"/>
  <c r="CY83"/>
  <c r="T83"/>
  <c r="AF669"/>
  <c r="BG669"/>
  <c r="AE713"/>
  <c r="BG77"/>
  <c r="BF91"/>
  <c r="CH91" s="1"/>
  <c r="BF121"/>
  <c r="CM71"/>
  <c r="CL71"/>
  <c r="EF71" s="1"/>
  <c r="CM251"/>
  <c r="AE14"/>
  <c r="BF14"/>
  <c r="AD57"/>
  <c r="BG611"/>
  <c r="EE611"/>
  <c r="AF611"/>
  <c r="BF410"/>
  <c r="AD914"/>
  <c r="AE410"/>
  <c r="AD453"/>
  <c r="AS736"/>
  <c r="U214"/>
  <c r="AW214"/>
  <c r="AV214"/>
  <c r="DP220"/>
  <c r="DO253"/>
  <c r="DO251"/>
  <c r="EE75"/>
  <c r="EL98" s="1"/>
  <c r="EQ98" s="1"/>
  <c r="BG119"/>
  <c r="BC204"/>
  <c r="DG204" s="1"/>
  <c r="Z732"/>
  <c r="BC732" s="1"/>
  <c r="DG732" s="1"/>
  <c r="BX271"/>
  <c r="BW271"/>
  <c r="T319"/>
  <c r="U277"/>
  <c r="AV277"/>
  <c r="AV280"/>
  <c r="U280"/>
  <c r="AW280"/>
  <c r="CY368"/>
  <c r="AY140"/>
  <c r="X140"/>
  <c r="W734"/>
  <c r="AY734" s="1"/>
  <c r="BU277"/>
  <c r="BT277"/>
  <c r="BT319" s="1"/>
  <c r="BK286"/>
  <c r="AI319"/>
  <c r="DC272"/>
  <c r="AK273" i="3"/>
  <c r="CB272" i="1"/>
  <c r="DL565"/>
  <c r="EJ565"/>
  <c r="S544" i="3" s="1"/>
  <c r="CD722" i="1"/>
  <c r="CD720"/>
  <c r="BU588"/>
  <c r="BN758"/>
  <c r="BO758"/>
  <c r="BP788"/>
  <c r="BP786"/>
  <c r="BO235"/>
  <c r="BO259" s="1"/>
  <c r="BP259"/>
  <c r="BN235"/>
  <c r="BN259"/>
  <c r="BY590"/>
  <c r="BW565"/>
  <c r="BW590" s="1"/>
  <c r="BX565"/>
  <c r="BX590" s="1"/>
  <c r="BS575"/>
  <c r="BR589"/>
  <c r="CR617"/>
  <c r="CQ648"/>
  <c r="BW721"/>
  <c r="BX707"/>
  <c r="DP709"/>
  <c r="CA766"/>
  <c r="CA790"/>
  <c r="BZ766"/>
  <c r="BZ790"/>
  <c r="CB790"/>
  <c r="BU82"/>
  <c r="BT82"/>
  <c r="BH546"/>
  <c r="BG546"/>
  <c r="AE552"/>
  <c r="AE744"/>
  <c r="CS551"/>
  <c r="CR582"/>
  <c r="DD650"/>
  <c r="DE616"/>
  <c r="CS626"/>
  <c r="CR654"/>
  <c r="BA671"/>
  <c r="BB671"/>
  <c r="AZ715"/>
  <c r="AZ685"/>
  <c r="BZ903"/>
  <c r="CA903"/>
  <c r="BL271"/>
  <c r="DP271" s="1"/>
  <c r="EB271" s="1"/>
  <c r="EG271" s="1"/>
  <c r="Q272" i="3" s="1"/>
  <c r="L272" s="1"/>
  <c r="CW458" i="1"/>
  <c r="CX428"/>
  <c r="DK643"/>
  <c r="DJ631"/>
  <c r="DJ656"/>
  <c r="AU76"/>
  <c r="T76"/>
  <c r="AT149"/>
  <c r="S149"/>
  <c r="R743"/>
  <c r="AT743" s="1"/>
  <c r="AV25"/>
  <c r="AV55"/>
  <c r="CY720"/>
  <c r="CZ692"/>
  <c r="AW279"/>
  <c r="AW320"/>
  <c r="U320"/>
  <c r="CF619"/>
  <c r="BJ8"/>
  <c r="EE8" s="1"/>
  <c r="E9" i="3" s="1"/>
  <c r="AI8" i="1"/>
  <c r="AH734"/>
  <c r="BJ734" s="1"/>
  <c r="W269"/>
  <c r="AX269"/>
  <c r="DB269" s="1"/>
  <c r="AJ271" i="3" s="1"/>
  <c r="CY130" i="1"/>
  <c r="CZ105"/>
  <c r="AI466"/>
  <c r="BJ466"/>
  <c r="DN466"/>
  <c r="AH730"/>
  <c r="BJ730" s="1"/>
  <c r="DA445"/>
  <c r="DA433" s="1"/>
  <c r="CZ433"/>
  <c r="CJ544"/>
  <c r="CI544"/>
  <c r="EF544"/>
  <c r="EM569" s="1"/>
  <c r="ER569" s="1"/>
  <c r="CJ77"/>
  <c r="CI77"/>
  <c r="EF77"/>
  <c r="DM568"/>
  <c r="EJ568"/>
  <c r="BU15"/>
  <c r="BU57"/>
  <c r="BT15"/>
  <c r="BT57"/>
  <c r="BU211"/>
  <c r="BU253"/>
  <c r="BT211"/>
  <c r="BT253"/>
  <c r="BV253"/>
  <c r="BW13"/>
  <c r="BX13"/>
  <c r="BZ5"/>
  <c r="CA5"/>
  <c r="BA740"/>
  <c r="Y783"/>
  <c r="DG472"/>
  <c r="DG515"/>
  <c r="BC515"/>
  <c r="BV730"/>
  <c r="CV730"/>
  <c r="AU783"/>
  <c r="CE283"/>
  <c r="DF217"/>
  <c r="DG217" s="1"/>
  <c r="DH217" s="1"/>
  <c r="DI217" s="1"/>
  <c r="DJ217" s="1"/>
  <c r="DK217" s="1"/>
  <c r="DL217" s="1"/>
  <c r="DM217" s="1"/>
  <c r="DC768"/>
  <c r="DD768" s="1"/>
  <c r="DE768" s="1"/>
  <c r="DF768" s="1"/>
  <c r="DG768" s="1"/>
  <c r="DH768" s="1"/>
  <c r="DI768" s="1"/>
  <c r="DJ768" s="1"/>
  <c r="DK768" s="1"/>
  <c r="CE760"/>
  <c r="DL347"/>
  <c r="DM347" s="1"/>
  <c r="EB347" s="1"/>
  <c r="EG347" s="1"/>
  <c r="BS392"/>
  <c r="CA685"/>
  <c r="CB685"/>
  <c r="CC723"/>
  <c r="BR591"/>
  <c r="BO452"/>
  <c r="BC318"/>
  <c r="AS743"/>
  <c r="BI473"/>
  <c r="BN657"/>
  <c r="BT326"/>
  <c r="CL657"/>
  <c r="BW723"/>
  <c r="BO253"/>
  <c r="DF250"/>
  <c r="CI215"/>
  <c r="EF215"/>
  <c r="CJ215"/>
  <c r="BU142"/>
  <c r="BU185" s="1"/>
  <c r="BT142"/>
  <c r="BT185" s="1"/>
  <c r="BV185"/>
  <c r="FE6"/>
  <c r="FF6" s="1"/>
  <c r="EJ29"/>
  <c r="CQ7"/>
  <c r="BP7"/>
  <c r="CA29"/>
  <c r="BZ29"/>
  <c r="CL121"/>
  <c r="CN121"/>
  <c r="CM98"/>
  <c r="CL98"/>
  <c r="EI98" s="1"/>
  <c r="CN126"/>
  <c r="CC161"/>
  <c r="CD161"/>
  <c r="BW229"/>
  <c r="BX229"/>
  <c r="BO231"/>
  <c r="BO257"/>
  <c r="BN231"/>
  <c r="BN257"/>
  <c r="BP257"/>
  <c r="CQ232"/>
  <c r="CR232" s="1"/>
  <c r="CP258"/>
  <c r="BO238"/>
  <c r="BO261"/>
  <c r="BN238"/>
  <c r="BN261"/>
  <c r="BP261"/>
  <c r="CF295"/>
  <c r="CG295"/>
  <c r="CG298"/>
  <c r="CF298"/>
  <c r="CH899"/>
  <c r="BU299"/>
  <c r="BT299"/>
  <c r="CA302"/>
  <c r="CA326"/>
  <c r="BZ302"/>
  <c r="BZ326"/>
  <c r="CB326"/>
  <c r="BR233"/>
  <c r="BQ233"/>
  <c r="AL279"/>
  <c r="J320"/>
  <c r="AM279"/>
  <c r="AM320" s="1"/>
  <c r="J741"/>
  <c r="DP81"/>
  <c r="BG214"/>
  <c r="AC214"/>
  <c r="AD742"/>
  <c r="CM576"/>
  <c r="CN576" s="1"/>
  <c r="DC261"/>
  <c r="DD238"/>
  <c r="DC319"/>
  <c r="DD277"/>
  <c r="DD632"/>
  <c r="CD638"/>
  <c r="CC638"/>
  <c r="CQ641"/>
  <c r="CP657"/>
  <c r="CP655"/>
  <c r="CR487"/>
  <c r="CC631"/>
  <c r="CC656" s="1"/>
  <c r="CD631"/>
  <c r="CD656" s="1"/>
  <c r="CE656"/>
  <c r="BR630"/>
  <c r="BS631"/>
  <c r="BQ630"/>
  <c r="CQ683"/>
  <c r="CP714"/>
  <c r="CF691"/>
  <c r="CG691"/>
  <c r="BL751"/>
  <c r="BL781"/>
  <c r="CI19"/>
  <c r="EF19"/>
  <c r="CJ19"/>
  <c r="CQ484"/>
  <c r="CP518"/>
  <c r="CP516"/>
  <c r="BR279"/>
  <c r="BR320"/>
  <c r="BS320"/>
  <c r="BQ279"/>
  <c r="BQ320" s="1"/>
  <c r="Y53"/>
  <c r="BB10"/>
  <c r="BB53" s="1"/>
  <c r="V203"/>
  <c r="AW203"/>
  <c r="U221"/>
  <c r="CY223"/>
  <c r="BC53"/>
  <c r="DG10"/>
  <c r="BX202"/>
  <c r="BW202"/>
  <c r="BX6"/>
  <c r="BW6"/>
  <c r="DN5"/>
  <c r="U317"/>
  <c r="AW287"/>
  <c r="DF204"/>
  <c r="BB204"/>
  <c r="BA204"/>
  <c r="CE204" s="1"/>
  <c r="AX287"/>
  <c r="V317"/>
  <c r="V749"/>
  <c r="DC204"/>
  <c r="CB204"/>
  <c r="DM692"/>
  <c r="DL720"/>
  <c r="DL722"/>
  <c r="DB149"/>
  <c r="EJ171"/>
  <c r="BT895"/>
  <c r="BT912"/>
  <c r="BT911"/>
  <c r="BT876"/>
  <c r="BT903"/>
  <c r="BU631"/>
  <c r="BU656"/>
  <c r="BT631"/>
  <c r="BT656"/>
  <c r="BV656"/>
  <c r="BW720"/>
  <c r="BW722"/>
  <c r="CI721"/>
  <c r="BW756"/>
  <c r="BX756"/>
  <c r="AS616"/>
  <c r="Q650"/>
  <c r="Q648"/>
  <c r="R616"/>
  <c r="Q748"/>
  <c r="BC188"/>
  <c r="AE345"/>
  <c r="BF345"/>
  <c r="BF386"/>
  <c r="AD386"/>
  <c r="AD741"/>
  <c r="BF277"/>
  <c r="BF319"/>
  <c r="AE277"/>
  <c r="AD319"/>
  <c r="BI287"/>
  <c r="AG317"/>
  <c r="DF411"/>
  <c r="DE453"/>
  <c r="DK369"/>
  <c r="DJ900"/>
  <c r="DJ393"/>
  <c r="AR345" i="3"/>
  <c r="AN715" i="1"/>
  <c r="AN685"/>
  <c r="DD673"/>
  <c r="DC716"/>
  <c r="CP723"/>
  <c r="CQ707"/>
  <c r="CP721"/>
  <c r="CA707"/>
  <c r="BZ721"/>
  <c r="BZ723"/>
  <c r="CP782"/>
  <c r="CQ739"/>
  <c r="BQ756"/>
  <c r="BR756"/>
  <c r="BL205"/>
  <c r="DP205"/>
  <c r="EB205" s="1"/>
  <c r="EG205" s="1"/>
  <c r="Q206" i="3" s="1"/>
  <c r="BW281" i="1"/>
  <c r="BX281"/>
  <c r="DL212"/>
  <c r="DK911"/>
  <c r="DK254"/>
  <c r="BG603"/>
  <c r="AF603"/>
  <c r="AE647"/>
  <c r="AT736"/>
  <c r="BW139"/>
  <c r="BX139"/>
  <c r="BU10"/>
  <c r="BU53" s="1"/>
  <c r="BT10"/>
  <c r="BT53" s="1"/>
  <c r="BV53"/>
  <c r="AV210"/>
  <c r="U210"/>
  <c r="T223"/>
  <c r="T252"/>
  <c r="BX206"/>
  <c r="BW206"/>
  <c r="AW144"/>
  <c r="DK899"/>
  <c r="DL303"/>
  <c r="BH913"/>
  <c r="DL344"/>
  <c r="BI344"/>
  <c r="BI913" s="1"/>
  <c r="BL7"/>
  <c r="DP7" s="1"/>
  <c r="AJ733"/>
  <c r="DM700"/>
  <c r="EJ700"/>
  <c r="EN700" s="1"/>
  <c r="ES700" s="1"/>
  <c r="AW733"/>
  <c r="W73"/>
  <c r="V733"/>
  <c r="AX73"/>
  <c r="BY205"/>
  <c r="DA205"/>
  <c r="BX286"/>
  <c r="BW317"/>
  <c r="CL72"/>
  <c r="EF72" s="1"/>
  <c r="CM72"/>
  <c r="CV221"/>
  <c r="CU251"/>
  <c r="BH207"/>
  <c r="AG207"/>
  <c r="AF252"/>
  <c r="BF915"/>
  <c r="BF519"/>
  <c r="DK98"/>
  <c r="DJ126"/>
  <c r="BK23"/>
  <c r="AI54"/>
  <c r="BL5"/>
  <c r="DP5" s="1"/>
  <c r="AJ23"/>
  <c r="CK75"/>
  <c r="BI75"/>
  <c r="BI119" s="1"/>
  <c r="AG121"/>
  <c r="AG119"/>
  <c r="BF918"/>
  <c r="BF717"/>
  <c r="BX204"/>
  <c r="BW204"/>
  <c r="BW215"/>
  <c r="BX215"/>
  <c r="CA6"/>
  <c r="BZ6"/>
  <c r="CA70"/>
  <c r="BZ70"/>
  <c r="EA139"/>
  <c r="AL140" i="3"/>
  <c r="EA271" i="1"/>
  <c r="AL272" i="3"/>
  <c r="CH63" i="1"/>
  <c r="CH61"/>
  <c r="CG787"/>
  <c r="CH773"/>
  <c r="CG789"/>
  <c r="CS127"/>
  <c r="CT114"/>
  <c r="CV766"/>
  <c r="CU790"/>
  <c r="CI70"/>
  <c r="CJ70"/>
  <c r="CS144"/>
  <c r="CS187" s="1"/>
  <c r="CT143"/>
  <c r="CT89"/>
  <c r="CS120"/>
  <c r="CV238"/>
  <c r="CV80"/>
  <c r="CU123"/>
  <c r="EF6"/>
  <c r="CU109"/>
  <c r="CV109"/>
  <c r="CW109" s="1"/>
  <c r="CX109" s="1"/>
  <c r="CY109" s="1"/>
  <c r="CZ109" s="1"/>
  <c r="DA109" s="1"/>
  <c r="CK745"/>
  <c r="CZ82"/>
  <c r="DA82" s="1"/>
  <c r="DI345"/>
  <c r="DJ223"/>
  <c r="DK223"/>
  <c r="BT716"/>
  <c r="DF613"/>
  <c r="DG613"/>
  <c r="DH613" s="1"/>
  <c r="DI613" s="1"/>
  <c r="DJ613" s="1"/>
  <c r="DK613" s="1"/>
  <c r="DL613" s="1"/>
  <c r="DM613" s="1"/>
  <c r="EO856"/>
  <c r="BS915"/>
  <c r="BS899"/>
  <c r="BR872"/>
  <c r="BQ872"/>
  <c r="BS876"/>
  <c r="BS903" s="1"/>
  <c r="BS916"/>
  <c r="AM55"/>
  <c r="BP9"/>
  <c r="K57"/>
  <c r="AM15"/>
  <c r="AN15"/>
  <c r="AN57" s="1"/>
  <c r="K741"/>
  <c r="EG153"/>
  <c r="EG219"/>
  <c r="EG351"/>
  <c r="EG285"/>
  <c r="EG417"/>
  <c r="EN442" s="1"/>
  <c r="ES442" s="1"/>
  <c r="EG549"/>
  <c r="EG615"/>
  <c r="EN640" s="1"/>
  <c r="ES640" s="1"/>
  <c r="EG483"/>
  <c r="EG747"/>
  <c r="EG681"/>
  <c r="EG21"/>
  <c r="EG87"/>
  <c r="CM27"/>
  <c r="CL27"/>
  <c r="EI27" s="1"/>
  <c r="CL76"/>
  <c r="EF76" s="1"/>
  <c r="CM76"/>
  <c r="CN119"/>
  <c r="CS139"/>
  <c r="BS139"/>
  <c r="CL100"/>
  <c r="EI100" s="1"/>
  <c r="EI129" s="1"/>
  <c r="CM100"/>
  <c r="BR109"/>
  <c r="BQ109"/>
  <c r="CL167"/>
  <c r="EI167" s="1"/>
  <c r="CM167"/>
  <c r="CL229"/>
  <c r="EI229" s="1"/>
  <c r="N207" i="3" s="1"/>
  <c r="CM229" i="1"/>
  <c r="CL231"/>
  <c r="CM231"/>
  <c r="CM257" s="1"/>
  <c r="CM233"/>
  <c r="CL233"/>
  <c r="BZ238"/>
  <c r="BZ261" s="1"/>
  <c r="CB261"/>
  <c r="CA238"/>
  <c r="CA261"/>
  <c r="CC299"/>
  <c r="CD299"/>
  <c r="CA299"/>
  <c r="BZ299"/>
  <c r="CA229"/>
  <c r="BZ229"/>
  <c r="CS270"/>
  <c r="BS270"/>
  <c r="CM297"/>
  <c r="CM323" s="1"/>
  <c r="CL297"/>
  <c r="BQ63"/>
  <c r="BQ61"/>
  <c r="BR47"/>
  <c r="CQ257"/>
  <c r="CR230"/>
  <c r="CQ259"/>
  <c r="T472" i="3"/>
  <c r="EK506" i="1"/>
  <c r="CA570"/>
  <c r="BZ570"/>
  <c r="CQ608"/>
  <c r="CP651"/>
  <c r="CC613"/>
  <c r="CD613"/>
  <c r="CF625"/>
  <c r="CG625"/>
  <c r="CQ658"/>
  <c r="CR633"/>
  <c r="CI655"/>
  <c r="CI657"/>
  <c r="CJ643"/>
  <c r="CK643" s="1"/>
  <c r="EI643"/>
  <c r="BR433"/>
  <c r="BR458"/>
  <c r="BS458"/>
  <c r="BQ433"/>
  <c r="BQ458" s="1"/>
  <c r="M517"/>
  <c r="AO473"/>
  <c r="M487"/>
  <c r="N473"/>
  <c r="BQ637"/>
  <c r="BR637"/>
  <c r="CL687"/>
  <c r="EI687" s="1"/>
  <c r="CM687"/>
  <c r="CP724"/>
  <c r="CQ700"/>
  <c r="CB591"/>
  <c r="CB589"/>
  <c r="BO484"/>
  <c r="BN516"/>
  <c r="BN518"/>
  <c r="BW74"/>
  <c r="BX74"/>
  <c r="X11"/>
  <c r="W9"/>
  <c r="X10"/>
  <c r="BA10" s="1"/>
  <c r="BA9"/>
  <c r="CE9" s="1"/>
  <c r="AU79"/>
  <c r="T79"/>
  <c r="S122"/>
  <c r="S739"/>
  <c r="CW98"/>
  <c r="CV126"/>
  <c r="BG341"/>
  <c r="BF355"/>
  <c r="BI80"/>
  <c r="CK80"/>
  <c r="AG123"/>
  <c r="EJ362"/>
  <c r="BE717"/>
  <c r="BE918"/>
  <c r="DI674"/>
  <c r="DI325"/>
  <c r="DI323"/>
  <c r="DJ296"/>
  <c r="DJ367"/>
  <c r="DK379"/>
  <c r="CI685"/>
  <c r="EF617"/>
  <c r="BW272"/>
  <c r="BX272"/>
  <c r="BX208"/>
  <c r="BX250"/>
  <c r="BW208"/>
  <c r="BY250"/>
  <c r="BX912"/>
  <c r="BX895"/>
  <c r="BX911"/>
  <c r="BX876"/>
  <c r="BX903"/>
  <c r="BU912"/>
  <c r="BU895"/>
  <c r="BU911"/>
  <c r="BU876"/>
  <c r="BU903" s="1"/>
  <c r="DL301"/>
  <c r="CG756"/>
  <c r="CF756"/>
  <c r="BR642"/>
  <c r="DP675"/>
  <c r="DI680"/>
  <c r="DI718"/>
  <c r="AC718"/>
  <c r="AD680"/>
  <c r="BX720"/>
  <c r="BX722"/>
  <c r="CA905"/>
  <c r="BZ905"/>
  <c r="CB906"/>
  <c r="CT696"/>
  <c r="CS697"/>
  <c r="CS722"/>
  <c r="CH708"/>
  <c r="CH721"/>
  <c r="CG721"/>
  <c r="BQ733"/>
  <c r="BR733"/>
  <c r="DD766"/>
  <c r="DC790"/>
  <c r="AR650"/>
  <c r="BT616"/>
  <c r="AR917"/>
  <c r="AR648"/>
  <c r="AB188"/>
  <c r="AC145"/>
  <c r="BD145"/>
  <c r="BD188"/>
  <c r="CG383"/>
  <c r="CH353"/>
  <c r="CH383"/>
  <c r="AH287"/>
  <c r="AI269"/>
  <c r="AH731"/>
  <c r="CR631"/>
  <c r="CR656" s="1"/>
  <c r="CS643"/>
  <c r="AO671"/>
  <c r="M685"/>
  <c r="BQ685" s="1"/>
  <c r="BR685" s="1"/>
  <c r="M715"/>
  <c r="N671"/>
  <c r="BU683"/>
  <c r="BT714"/>
  <c r="BO707"/>
  <c r="BN721"/>
  <c r="BN723"/>
  <c r="DC707"/>
  <c r="DB721"/>
  <c r="AJ673" i="3"/>
  <c r="DB723" i="1"/>
  <c r="AJ675" i="3"/>
  <c r="AE582" i="1"/>
  <c r="CJ4"/>
  <c r="CI4"/>
  <c r="EF4"/>
  <c r="BF647"/>
  <c r="CX142"/>
  <c r="CX185" s="1"/>
  <c r="AT185"/>
  <c r="AU142"/>
  <c r="S736"/>
  <c r="T142"/>
  <c r="S185"/>
  <c r="BU12"/>
  <c r="BU55"/>
  <c r="BT12"/>
  <c r="BT55"/>
  <c r="BV55"/>
  <c r="DL169"/>
  <c r="BU144"/>
  <c r="BU187"/>
  <c r="BT144"/>
  <c r="BT187"/>
  <c r="BV187"/>
  <c r="BW223"/>
  <c r="AU223"/>
  <c r="AU252"/>
  <c r="CF909"/>
  <c r="CG909"/>
  <c r="CW450"/>
  <c r="CX419"/>
  <c r="BW269"/>
  <c r="BX269"/>
  <c r="BI479"/>
  <c r="CK479"/>
  <c r="DO7"/>
  <c r="CN7"/>
  <c r="DK420"/>
  <c r="EF420"/>
  <c r="DA73"/>
  <c r="BY73"/>
  <c r="AX202"/>
  <c r="W202"/>
  <c r="CV323"/>
  <c r="CW296"/>
  <c r="CV325"/>
  <c r="BK598"/>
  <c r="DO598"/>
  <c r="AJ598"/>
  <c r="AI730"/>
  <c r="W205"/>
  <c r="AX205"/>
  <c r="BH413"/>
  <c r="AG413"/>
  <c r="BX268"/>
  <c r="BW268"/>
  <c r="DI908"/>
  <c r="DJ14"/>
  <c r="AQ15" i="3"/>
  <c r="DI57" i="1"/>
  <c r="BT79"/>
  <c r="BT122"/>
  <c r="BU79"/>
  <c r="BU122"/>
  <c r="BV122"/>
  <c r="FD71"/>
  <c r="EB71"/>
  <c r="EG71"/>
  <c r="Q73" i="3" s="1"/>
  <c r="L73" s="1"/>
  <c r="EE207" i="1"/>
  <c r="EO230" s="1"/>
  <c r="BG252"/>
  <c r="AE915"/>
  <c r="BG476"/>
  <c r="AF476"/>
  <c r="AE519"/>
  <c r="BH119"/>
  <c r="CK88"/>
  <c r="AG120"/>
  <c r="AG122"/>
  <c r="AG685"/>
  <c r="U148"/>
  <c r="AV148"/>
  <c r="CZ148"/>
  <c r="T742"/>
  <c r="AV742" s="1"/>
  <c r="AE918"/>
  <c r="AE717"/>
  <c r="BG674"/>
  <c r="AF674"/>
  <c r="CJ347"/>
  <c r="CI347"/>
  <c r="EF347"/>
  <c r="CZ277"/>
  <c r="CY319"/>
  <c r="CZ47"/>
  <c r="CY61"/>
  <c r="FC6"/>
  <c r="EA6"/>
  <c r="FC70"/>
  <c r="EA70"/>
  <c r="BZ139"/>
  <c r="CA139"/>
  <c r="BZ82"/>
  <c r="CA82"/>
  <c r="BL286"/>
  <c r="BL319"/>
  <c r="AJ319"/>
  <c r="BZ148"/>
  <c r="CA148"/>
  <c r="CA271"/>
  <c r="BZ271"/>
  <c r="CD744"/>
  <c r="CC744"/>
  <c r="DE525"/>
  <c r="DF500"/>
  <c r="AQ782"/>
  <c r="CT22"/>
  <c r="CS54"/>
  <c r="CS56"/>
  <c r="CS764"/>
  <c r="CR789"/>
  <c r="BT745"/>
  <c r="BU745"/>
  <c r="BN740"/>
  <c r="BO740"/>
  <c r="CQ9"/>
  <c r="CT307"/>
  <c r="CU307" s="1"/>
  <c r="CV307" s="1"/>
  <c r="CW307" s="1"/>
  <c r="CX307" s="1"/>
  <c r="CY307" s="1"/>
  <c r="CZ307" s="1"/>
  <c r="DA307" s="1"/>
  <c r="CH355"/>
  <c r="DJ341"/>
  <c r="CV616"/>
  <c r="CI723"/>
  <c r="DL745"/>
  <c r="DM745"/>
  <c r="BH254"/>
  <c r="BU716"/>
  <c r="BI254"/>
  <c r="BG775"/>
  <c r="AS739" i="3"/>
  <c r="CJ525" i="1"/>
  <c r="CJ523"/>
  <c r="CK509"/>
  <c r="CI258"/>
  <c r="CI260"/>
  <c r="CJ193"/>
  <c r="CJ195"/>
  <c r="DM40"/>
  <c r="EJ40"/>
  <c r="DL64"/>
  <c r="AG831"/>
  <c r="BI763"/>
  <c r="DK787"/>
  <c r="DK789"/>
  <c r="CI61"/>
  <c r="CJ47"/>
  <c r="CI63"/>
  <c r="CI787"/>
  <c r="DK753"/>
  <c r="EI301"/>
  <c r="EM301" s="1"/>
  <c r="ER301" s="1"/>
  <c r="EI887"/>
  <c r="N481" i="3" s="1"/>
  <c r="BB685" i="1"/>
  <c r="CD685" s="1"/>
  <c r="CE685" s="1"/>
  <c r="BB715"/>
  <c r="BC671"/>
  <c r="BU730"/>
  <c r="BT730"/>
  <c r="BA783"/>
  <c r="AH516"/>
  <c r="BJ484"/>
  <c r="EE484" s="1"/>
  <c r="E475" i="3" s="1"/>
  <c r="AH518" i="1"/>
  <c r="AJ466"/>
  <c r="BK466"/>
  <c r="DO466"/>
  <c r="W287"/>
  <c r="X269"/>
  <c r="AY269"/>
  <c r="DC269" s="1"/>
  <c r="AK271" i="3" s="1"/>
  <c r="AJ8" i="1"/>
  <c r="BK8"/>
  <c r="DO8" s="1"/>
  <c r="AI734"/>
  <c r="DN8"/>
  <c r="CZ720"/>
  <c r="DA692"/>
  <c r="DA720"/>
  <c r="BV149"/>
  <c r="CX149"/>
  <c r="AV76"/>
  <c r="U76"/>
  <c r="CY76"/>
  <c r="EJ643"/>
  <c r="DL643"/>
  <c r="DM643" s="1"/>
  <c r="DM631" s="1"/>
  <c r="DK631"/>
  <c r="DF616"/>
  <c r="DE650"/>
  <c r="DE917"/>
  <c r="CT551"/>
  <c r="CS582"/>
  <c r="BG552"/>
  <c r="AE750"/>
  <c r="BG750" s="1"/>
  <c r="CI750" s="1"/>
  <c r="DK750" s="1"/>
  <c r="BX721"/>
  <c r="BX723"/>
  <c r="BY707"/>
  <c r="BO786"/>
  <c r="BO788"/>
  <c r="CA272"/>
  <c r="BZ272"/>
  <c r="AZ140"/>
  <c r="DD140"/>
  <c r="X734"/>
  <c r="AZ734"/>
  <c r="DD734" s="1"/>
  <c r="CZ368"/>
  <c r="DA368"/>
  <c r="AV319"/>
  <c r="DP251"/>
  <c r="DP253"/>
  <c r="CW736"/>
  <c r="AE914"/>
  <c r="AF410"/>
  <c r="BG410"/>
  <c r="AE453"/>
  <c r="BF914"/>
  <c r="BF453"/>
  <c r="DJ410"/>
  <c r="AE57"/>
  <c r="BG14"/>
  <c r="AF14"/>
  <c r="EE77"/>
  <c r="BH77"/>
  <c r="BG121"/>
  <c r="BG91"/>
  <c r="EE91"/>
  <c r="BI77"/>
  <c r="DK669"/>
  <c r="BG713"/>
  <c r="U83"/>
  <c r="AV83"/>
  <c r="AD677"/>
  <c r="BE677"/>
  <c r="BY790"/>
  <c r="BX765"/>
  <c r="BW765"/>
  <c r="BQ758"/>
  <c r="BS786"/>
  <c r="BR758"/>
  <c r="BS788"/>
  <c r="BO757"/>
  <c r="BN757"/>
  <c r="BU754"/>
  <c r="BT754"/>
  <c r="CD753"/>
  <c r="CC753"/>
  <c r="BO733"/>
  <c r="BN733"/>
  <c r="BW609"/>
  <c r="BX609"/>
  <c r="BY651"/>
  <c r="BO609"/>
  <c r="BO651" s="1"/>
  <c r="BP651"/>
  <c r="BN609"/>
  <c r="BN651"/>
  <c r="CR575"/>
  <c r="CQ591"/>
  <c r="CD588"/>
  <c r="CD590"/>
  <c r="BQ367"/>
  <c r="BQ391" s="1"/>
  <c r="BR367"/>
  <c r="BR391" s="1"/>
  <c r="BS391"/>
  <c r="BU324"/>
  <c r="BV311"/>
  <c r="BU326"/>
  <c r="CB179"/>
  <c r="CA193"/>
  <c r="CA195"/>
  <c r="CL457"/>
  <c r="CL459"/>
  <c r="BX411"/>
  <c r="BX453"/>
  <c r="BW411"/>
  <c r="BW453"/>
  <c r="BY453"/>
  <c r="CS317"/>
  <c r="CT287"/>
  <c r="CU245"/>
  <c r="BA739"/>
  <c r="BX367"/>
  <c r="BX391" s="1"/>
  <c r="BW367"/>
  <c r="BW391" s="1"/>
  <c r="BY391"/>
  <c r="BN382"/>
  <c r="BN384"/>
  <c r="CD898"/>
  <c r="CC898"/>
  <c r="BZ896"/>
  <c r="CA896"/>
  <c r="BQ126"/>
  <c r="BQ128"/>
  <c r="DK75"/>
  <c r="DJ119"/>
  <c r="CH449"/>
  <c r="EE472"/>
  <c r="EB912"/>
  <c r="EB320"/>
  <c r="CJ8"/>
  <c r="CI8"/>
  <c r="DJ428"/>
  <c r="DI456"/>
  <c r="CL648"/>
  <c r="EF473"/>
  <c r="AV143"/>
  <c r="U143"/>
  <c r="T187"/>
  <c r="T157"/>
  <c r="BU76"/>
  <c r="BT76"/>
  <c r="DC7"/>
  <c r="AK8" i="3"/>
  <c r="CB7" i="1"/>
  <c r="DA577"/>
  <c r="DA565" s="1"/>
  <c r="DA590" s="1"/>
  <c r="CZ565"/>
  <c r="CZ590"/>
  <c r="CQ717"/>
  <c r="CR675"/>
  <c r="DJ549"/>
  <c r="AE549"/>
  <c r="CK419"/>
  <c r="CK450"/>
  <c r="CJ450"/>
  <c r="BS707"/>
  <c r="BR721"/>
  <c r="AG683"/>
  <c r="AE665"/>
  <c r="AF683"/>
  <c r="AF731"/>
  <c r="BP641"/>
  <c r="BO657"/>
  <c r="BO655"/>
  <c r="CS607"/>
  <c r="CR650"/>
  <c r="AR13" i="3"/>
  <c r="DJ61" i="1"/>
  <c r="DJ63"/>
  <c r="DK47"/>
  <c r="AV320"/>
  <c r="BY279"/>
  <c r="BS736"/>
  <c r="CS736"/>
  <c r="BP509"/>
  <c r="BO523"/>
  <c r="BO525"/>
  <c r="BR768"/>
  <c r="BQ768"/>
  <c r="CH790"/>
  <c r="CG766"/>
  <c r="CG790"/>
  <c r="CF766"/>
  <c r="CF790"/>
  <c r="BW760"/>
  <c r="BX760"/>
  <c r="CA757"/>
  <c r="BZ757"/>
  <c r="CJ755"/>
  <c r="CI755"/>
  <c r="BX753"/>
  <c r="BW753"/>
  <c r="BZ753"/>
  <c r="CA753"/>
  <c r="BN753"/>
  <c r="BO753"/>
  <c r="CQ779"/>
  <c r="CR735"/>
  <c r="DE609"/>
  <c r="DD651"/>
  <c r="CQ606"/>
  <c r="CQ649" s="1"/>
  <c r="CR605"/>
  <c r="BT565"/>
  <c r="BT590"/>
  <c r="BU565"/>
  <c r="BU590"/>
  <c r="BV590"/>
  <c r="CW747"/>
  <c r="CW784" s="1"/>
  <c r="Q784"/>
  <c r="CT746"/>
  <c r="CT784"/>
  <c r="N784"/>
  <c r="BY245"/>
  <c r="BX258"/>
  <c r="BX260"/>
  <c r="DC245"/>
  <c r="AJ211" i="3"/>
  <c r="DB258" i="1"/>
  <c r="AJ212" i="3"/>
  <c r="DB260" i="1"/>
  <c r="AJ213" i="3"/>
  <c r="BS453" i="1"/>
  <c r="BR411"/>
  <c r="BR453" s="1"/>
  <c r="BQ411"/>
  <c r="BQ453" s="1"/>
  <c r="BW451"/>
  <c r="BW449"/>
  <c r="CF900"/>
  <c r="CG900"/>
  <c r="BU382"/>
  <c r="BU384"/>
  <c r="CJ898"/>
  <c r="CJ261"/>
  <c r="CS236"/>
  <c r="CR260"/>
  <c r="BW259"/>
  <c r="BW257"/>
  <c r="CD128"/>
  <c r="CD126"/>
  <c r="CC128"/>
  <c r="CC126"/>
  <c r="CD895"/>
  <c r="CC895"/>
  <c r="CE906"/>
  <c r="CJ60"/>
  <c r="BU194"/>
  <c r="BU192"/>
  <c r="DD114"/>
  <c r="DC127"/>
  <c r="CC74"/>
  <c r="CD74"/>
  <c r="EE539"/>
  <c r="EL564" s="1"/>
  <c r="EQ564" s="1"/>
  <c r="BG553"/>
  <c r="EE553"/>
  <c r="BH539"/>
  <c r="CC280"/>
  <c r="CD280"/>
  <c r="BG223"/>
  <c r="EE223"/>
  <c r="DK209"/>
  <c r="EE209"/>
  <c r="EL234" s="1"/>
  <c r="EQ234" s="1"/>
  <c r="DG312"/>
  <c r="DF324"/>
  <c r="CE312"/>
  <c r="CE324" s="1"/>
  <c r="CD324"/>
  <c r="AR279" i="3"/>
  <c r="DK311" i="1"/>
  <c r="DJ326"/>
  <c r="AR277" i="3"/>
  <c r="CH326" i="1"/>
  <c r="CH324"/>
  <c r="L289"/>
  <c r="L751"/>
  <c r="AN275"/>
  <c r="L318"/>
  <c r="L737"/>
  <c r="AN737"/>
  <c r="M275"/>
  <c r="J738"/>
  <c r="CP751"/>
  <c r="BR524"/>
  <c r="BR522"/>
  <c r="DD485"/>
  <c r="DC516"/>
  <c r="CS261"/>
  <c r="CT237"/>
  <c r="CC259"/>
  <c r="CC257"/>
  <c r="BP179"/>
  <c r="BO195"/>
  <c r="BO193"/>
  <c r="BQ384"/>
  <c r="BR384"/>
  <c r="BR78"/>
  <c r="BQ78"/>
  <c r="BP48"/>
  <c r="BP61" s="1"/>
  <c r="BO61"/>
  <c r="BT37"/>
  <c r="BT62"/>
  <c r="BU37"/>
  <c r="BU62"/>
  <c r="BV62"/>
  <c r="BR62"/>
  <c r="BR60"/>
  <c r="BQ60"/>
  <c r="BQ62"/>
  <c r="BR12"/>
  <c r="BR55" s="1"/>
  <c r="BQ12"/>
  <c r="BQ55" s="1"/>
  <c r="BS55"/>
  <c r="CF192"/>
  <c r="CF194"/>
  <c r="CG194"/>
  <c r="CG192"/>
  <c r="BQ902"/>
  <c r="BQ918"/>
  <c r="BX898"/>
  <c r="BX914"/>
  <c r="BX915"/>
  <c r="BB605"/>
  <c r="AH748"/>
  <c r="CG658"/>
  <c r="BX62"/>
  <c r="BR723"/>
  <c r="BI487"/>
  <c r="BI517"/>
  <c r="CD760"/>
  <c r="CC760"/>
  <c r="CC283"/>
  <c r="CD283"/>
  <c r="CZ130"/>
  <c r="DA105"/>
  <c r="DA130"/>
  <c r="T149"/>
  <c r="AU149"/>
  <c r="S743"/>
  <c r="AU743" s="1"/>
  <c r="CY428"/>
  <c r="CX458"/>
  <c r="CX456"/>
  <c r="BA715"/>
  <c r="BA685"/>
  <c r="CS654"/>
  <c r="CT626"/>
  <c r="BH744"/>
  <c r="BG744"/>
  <c r="CK546"/>
  <c r="EE546"/>
  <c r="EO571" s="1"/>
  <c r="CR648"/>
  <c r="CS617"/>
  <c r="BS591"/>
  <c r="BN786"/>
  <c r="BN788"/>
  <c r="DO286"/>
  <c r="BK319"/>
  <c r="DC140"/>
  <c r="AK141" i="3" s="1"/>
  <c r="CB140" i="1"/>
  <c r="BY280"/>
  <c r="AW277"/>
  <c r="U319"/>
  <c r="BH611"/>
  <c r="AG611"/>
  <c r="BF908"/>
  <c r="BF57"/>
  <c r="CN251"/>
  <c r="AG669"/>
  <c r="BH669"/>
  <c r="BH713" s="1"/>
  <c r="AF713"/>
  <c r="AF715"/>
  <c r="CZ286"/>
  <c r="AV317"/>
  <c r="AB56"/>
  <c r="AB908"/>
  <c r="AC22"/>
  <c r="AB54"/>
  <c r="BV723"/>
  <c r="DG477"/>
  <c r="DF519"/>
  <c r="CD761"/>
  <c r="CC761"/>
  <c r="BW759"/>
  <c r="BW786" s="1"/>
  <c r="BY786"/>
  <c r="BX759"/>
  <c r="BX786"/>
  <c r="BR753"/>
  <c r="BQ753"/>
  <c r="CG905"/>
  <c r="CF905"/>
  <c r="CR713"/>
  <c r="CS669"/>
  <c r="DD617"/>
  <c r="DC648"/>
  <c r="CS603"/>
  <c r="CR647"/>
  <c r="CC590"/>
  <c r="CC588"/>
  <c r="CM457"/>
  <c r="CM459"/>
  <c r="BP452"/>
  <c r="BP450"/>
  <c r="BR287"/>
  <c r="BQ317"/>
  <c r="CP324"/>
  <c r="CQ311"/>
  <c r="CP326"/>
  <c r="BN326"/>
  <c r="BO311"/>
  <c r="BN324"/>
  <c r="CD245"/>
  <c r="CC260"/>
  <c r="CC258"/>
  <c r="BU245"/>
  <c r="BT258"/>
  <c r="BT260"/>
  <c r="BS245"/>
  <c r="BR260"/>
  <c r="BR258"/>
  <c r="DD180"/>
  <c r="DC193"/>
  <c r="BX326"/>
  <c r="BY311"/>
  <c r="BX324"/>
  <c r="AA475"/>
  <c r="BB475"/>
  <c r="BB518"/>
  <c r="Z739"/>
  <c r="Z518"/>
  <c r="DE475"/>
  <c r="CC475"/>
  <c r="CC518" s="1"/>
  <c r="BA518"/>
  <c r="CD475"/>
  <c r="CD518"/>
  <c r="BV259"/>
  <c r="BU235"/>
  <c r="BU259" s="1"/>
  <c r="BT235"/>
  <c r="BT259" s="1"/>
  <c r="BZ898"/>
  <c r="CA898"/>
  <c r="CA906"/>
  <c r="BP253"/>
  <c r="BP251"/>
  <c r="BO384"/>
  <c r="BO382"/>
  <c r="BR126"/>
  <c r="BR128"/>
  <c r="BF449"/>
  <c r="DE585"/>
  <c r="DE916"/>
  <c r="DD270"/>
  <c r="EA270"/>
  <c r="CB270"/>
  <c r="DC268"/>
  <c r="CB268"/>
  <c r="DC206"/>
  <c r="AK207" i="3" s="1"/>
  <c r="CB206" i="1"/>
  <c r="DK189"/>
  <c r="DK158"/>
  <c r="DL146"/>
  <c r="DK910"/>
  <c r="DN648"/>
  <c r="AW25"/>
  <c r="AW55"/>
  <c r="BY12"/>
  <c r="AU157"/>
  <c r="AU187"/>
  <c r="BL470"/>
  <c r="DP470"/>
  <c r="EB470" s="1"/>
  <c r="EG470" s="1"/>
  <c r="Q471" i="3" s="1"/>
  <c r="L471" s="1"/>
  <c r="BP650" i="1"/>
  <c r="BP648"/>
  <c r="CE576"/>
  <c r="CE589"/>
  <c r="CD589"/>
  <c r="CE707"/>
  <c r="CD721"/>
  <c r="CD723"/>
  <c r="CD582"/>
  <c r="CE551"/>
  <c r="CE582" s="1"/>
  <c r="AG451"/>
  <c r="AG421"/>
  <c r="BU764"/>
  <c r="BU789" s="1"/>
  <c r="BT764"/>
  <c r="BT789" s="1"/>
  <c r="BV789"/>
  <c r="BX761"/>
  <c r="BW761"/>
  <c r="CG761"/>
  <c r="CF761"/>
  <c r="BU760"/>
  <c r="BT760"/>
  <c r="CG759"/>
  <c r="CG786"/>
  <c r="CF759"/>
  <c r="CF786"/>
  <c r="CH786"/>
  <c r="BO735"/>
  <c r="BO779" s="1"/>
  <c r="BP779"/>
  <c r="BN735"/>
  <c r="BN779"/>
  <c r="BU708"/>
  <c r="BT721"/>
  <c r="DC724"/>
  <c r="DD699"/>
  <c r="DC905"/>
  <c r="BP682"/>
  <c r="BO716"/>
  <c r="BO714"/>
  <c r="CF904"/>
  <c r="CG904"/>
  <c r="BR609"/>
  <c r="BR651" s="1"/>
  <c r="BS651"/>
  <c r="BQ609"/>
  <c r="BQ651"/>
  <c r="BO605"/>
  <c r="BN605"/>
  <c r="DP296"/>
  <c r="CA245"/>
  <c r="BZ258"/>
  <c r="BZ260"/>
  <c r="CS421"/>
  <c r="CR408"/>
  <c r="CR451" s="1"/>
  <c r="CS453"/>
  <c r="CT411"/>
  <c r="BX449"/>
  <c r="BX451"/>
  <c r="BT382"/>
  <c r="BT384"/>
  <c r="EI237"/>
  <c r="CI261"/>
  <c r="BX257"/>
  <c r="BX259"/>
  <c r="CI60"/>
  <c r="EI32"/>
  <c r="BT192"/>
  <c r="BT194"/>
  <c r="DH717"/>
  <c r="DH918"/>
  <c r="AG209"/>
  <c r="AF223"/>
  <c r="BH209"/>
  <c r="BH223" s="1"/>
  <c r="CJ223" s="1"/>
  <c r="CK223" s="1"/>
  <c r="BE730"/>
  <c r="DI730"/>
  <c r="Z4"/>
  <c r="DG4" s="1"/>
  <c r="BC4"/>
  <c r="AA730"/>
  <c r="BD730" s="1"/>
  <c r="BX518"/>
  <c r="BY484"/>
  <c r="BX516"/>
  <c r="BV377"/>
  <c r="BU390"/>
  <c r="BU392"/>
  <c r="AC387"/>
  <c r="DI351"/>
  <c r="DI387" s="1"/>
  <c r="AD351"/>
  <c r="CJ326"/>
  <c r="CK311"/>
  <c r="CT771"/>
  <c r="AQ771"/>
  <c r="N839"/>
  <c r="AM289"/>
  <c r="BO289"/>
  <c r="AM318"/>
  <c r="CQ737"/>
  <c r="CR737" s="1"/>
  <c r="CS737" s="1"/>
  <c r="BP737"/>
  <c r="CP276"/>
  <c r="CP318"/>
  <c r="CQ289"/>
  <c r="BQ522"/>
  <c r="BQ524"/>
  <c r="CD259"/>
  <c r="CD257"/>
  <c r="BQ210"/>
  <c r="BQ252" s="1"/>
  <c r="BR210"/>
  <c r="BR252" s="1"/>
  <c r="BS252"/>
  <c r="BT367"/>
  <c r="BT391"/>
  <c r="BV391"/>
  <c r="BU367"/>
  <c r="BU391" s="1"/>
  <c r="DE80"/>
  <c r="DD909"/>
  <c r="DD123"/>
  <c r="AL81" i="3"/>
  <c r="CS79" i="1"/>
  <c r="CR122"/>
  <c r="CS38"/>
  <c r="CR63"/>
  <c r="CR103"/>
  <c r="CR128"/>
  <c r="CS115"/>
  <c r="BR902"/>
  <c r="BR918"/>
  <c r="BW914"/>
  <c r="BW898"/>
  <c r="BW876"/>
  <c r="BW903" s="1"/>
  <c r="BW915"/>
  <c r="BZ906"/>
  <c r="DL223"/>
  <c r="AR80" i="3"/>
  <c r="DF10" i="1"/>
  <c r="BY214"/>
  <c r="DI677"/>
  <c r="CR275"/>
  <c r="BQ261"/>
  <c r="DM473"/>
  <c r="EB473"/>
  <c r="EG473" s="1"/>
  <c r="BI665"/>
  <c r="DM665"/>
  <c r="BC605"/>
  <c r="CF658"/>
  <c r="BP606"/>
  <c r="BW62"/>
  <c r="EB745"/>
  <c r="EG745" s="1"/>
  <c r="DN745"/>
  <c r="CQ55"/>
  <c r="CR9"/>
  <c r="CS789"/>
  <c r="CT764"/>
  <c r="DA47"/>
  <c r="CZ61"/>
  <c r="BH674"/>
  <c r="AG674"/>
  <c r="AG918" s="1"/>
  <c r="AF918"/>
  <c r="AF717"/>
  <c r="AW148"/>
  <c r="DA148"/>
  <c r="EA148" s="1"/>
  <c r="U742"/>
  <c r="AW742" s="1"/>
  <c r="AF915"/>
  <c r="BH476"/>
  <c r="AG476"/>
  <c r="AG915" s="1"/>
  <c r="AF519"/>
  <c r="DJ908"/>
  <c r="DK14"/>
  <c r="AR15" i="3"/>
  <c r="DJ57" i="1"/>
  <c r="BK730"/>
  <c r="DO730" s="1"/>
  <c r="DB202"/>
  <c r="AU736"/>
  <c r="AU185"/>
  <c r="CY142"/>
  <c r="CY185" s="1"/>
  <c r="BP707"/>
  <c r="BO721"/>
  <c r="BO723"/>
  <c r="BV683"/>
  <c r="BV714" s="1"/>
  <c r="BU714"/>
  <c r="AO715"/>
  <c r="AO685"/>
  <c r="BJ731"/>
  <c r="DN731"/>
  <c r="BJ287"/>
  <c r="EE287" s="1"/>
  <c r="EE317" s="1"/>
  <c r="AH317"/>
  <c r="BT648"/>
  <c r="BU616"/>
  <c r="BT650"/>
  <c r="AE680"/>
  <c r="AD718"/>
  <c r="DJ680"/>
  <c r="DJ718"/>
  <c r="BS642"/>
  <c r="DL379"/>
  <c r="DM379" s="1"/>
  <c r="DM367" s="1"/>
  <c r="EJ379"/>
  <c r="DK367"/>
  <c r="DJ323"/>
  <c r="DK296"/>
  <c r="DJ325"/>
  <c r="BI909"/>
  <c r="BI123"/>
  <c r="CW126"/>
  <c r="CX98"/>
  <c r="AU122"/>
  <c r="W11"/>
  <c r="V9"/>
  <c r="W53"/>
  <c r="CR700"/>
  <c r="CQ724"/>
  <c r="BQ487"/>
  <c r="BQ270"/>
  <c r="BR270"/>
  <c r="BQ915"/>
  <c r="BQ899"/>
  <c r="BQ876"/>
  <c r="BQ903" s="1"/>
  <c r="BQ916"/>
  <c r="CI745"/>
  <c r="CJ745"/>
  <c r="CU114"/>
  <c r="CT127"/>
  <c r="CH789"/>
  <c r="CH787"/>
  <c r="CJ75"/>
  <c r="CI75"/>
  <c r="CK119"/>
  <c r="CK121"/>
  <c r="BL23"/>
  <c r="AJ54"/>
  <c r="BK54"/>
  <c r="CN23"/>
  <c r="DO23"/>
  <c r="BI207"/>
  <c r="AG252"/>
  <c r="DB73"/>
  <c r="AJ74" i="3" s="1"/>
  <c r="AX733" i="1"/>
  <c r="BL733"/>
  <c r="DP733" s="1"/>
  <c r="EB733" s="1"/>
  <c r="EG733" s="1"/>
  <c r="DL899"/>
  <c r="DM303"/>
  <c r="AW210"/>
  <c r="U223"/>
  <c r="U252"/>
  <c r="EE603"/>
  <c r="EL626" s="1"/>
  <c r="EQ626" s="1"/>
  <c r="BG647"/>
  <c r="DD716"/>
  <c r="DE673"/>
  <c r="BI317"/>
  <c r="CK287"/>
  <c r="CK317"/>
  <c r="AS748"/>
  <c r="Q782"/>
  <c r="AS917"/>
  <c r="AS650"/>
  <c r="AS648"/>
  <c r="AW221"/>
  <c r="U251"/>
  <c r="W203"/>
  <c r="AX203"/>
  <c r="CR484"/>
  <c r="CQ518"/>
  <c r="CQ516"/>
  <c r="CQ714"/>
  <c r="CR683"/>
  <c r="BS656"/>
  <c r="BR631"/>
  <c r="BR656"/>
  <c r="BQ631"/>
  <c r="BQ656"/>
  <c r="CS487"/>
  <c r="DE632"/>
  <c r="DD319"/>
  <c r="DE277"/>
  <c r="DE238"/>
  <c r="DD261"/>
  <c r="BG742"/>
  <c r="EE742"/>
  <c r="CH742"/>
  <c r="EE214"/>
  <c r="CK214"/>
  <c r="BP279"/>
  <c r="CP279"/>
  <c r="AL320"/>
  <c r="CM126"/>
  <c r="BN7"/>
  <c r="BO7"/>
  <c r="BY148"/>
  <c r="CW616"/>
  <c r="DK341"/>
  <c r="CU22"/>
  <c r="CT56"/>
  <c r="CT54"/>
  <c r="DG500"/>
  <c r="DF525"/>
  <c r="DA277"/>
  <c r="CZ319"/>
  <c r="BG918"/>
  <c r="BG717"/>
  <c r="CK122"/>
  <c r="CK120"/>
  <c r="BG915"/>
  <c r="BG519"/>
  <c r="BI413"/>
  <c r="CK413"/>
  <c r="DB205"/>
  <c r="AJ206" i="3"/>
  <c r="X205" i="1"/>
  <c r="AZ205" s="1"/>
  <c r="AY205"/>
  <c r="DC205" s="1"/>
  <c r="AK206" i="3" s="1"/>
  <c r="BL598" i="1"/>
  <c r="DP598"/>
  <c r="EB598" s="1"/>
  <c r="EG598" s="1"/>
  <c r="EN621" s="1"/>
  <c r="ES621" s="1"/>
  <c r="AJ730"/>
  <c r="CX296"/>
  <c r="CW323"/>
  <c r="CW325"/>
  <c r="X202"/>
  <c r="AY202"/>
  <c r="DC202"/>
  <c r="BX73"/>
  <c r="BW73"/>
  <c r="CL7"/>
  <c r="EF7" s="1"/>
  <c r="EM30" s="1"/>
  <c r="ER30" s="1"/>
  <c r="CM7"/>
  <c r="CJ479"/>
  <c r="CI479"/>
  <c r="EF479"/>
  <c r="CY419"/>
  <c r="CX450"/>
  <c r="AV142"/>
  <c r="T736"/>
  <c r="U142"/>
  <c r="T185"/>
  <c r="AF582"/>
  <c r="AK673" i="3"/>
  <c r="DD707" i="1"/>
  <c r="DC723"/>
  <c r="AK675" i="3"/>
  <c r="O671" i="1"/>
  <c r="N715"/>
  <c r="N685"/>
  <c r="AP671"/>
  <c r="CS631"/>
  <c r="CS656"/>
  <c r="CT643"/>
  <c r="AI287"/>
  <c r="AJ269"/>
  <c r="BE145"/>
  <c r="BE188"/>
  <c r="AC188"/>
  <c r="AD145"/>
  <c r="DE766"/>
  <c r="DD790"/>
  <c r="CU696"/>
  <c r="CT697"/>
  <c r="CT722" s="1"/>
  <c r="DJ674"/>
  <c r="DI717"/>
  <c r="DI918"/>
  <c r="CJ80"/>
  <c r="CJ123" s="1"/>
  <c r="CI80"/>
  <c r="CK909"/>
  <c r="CK123"/>
  <c r="BG355"/>
  <c r="EE355"/>
  <c r="EE341"/>
  <c r="EL366" s="1"/>
  <c r="EQ366" s="1"/>
  <c r="AU739"/>
  <c r="AV79"/>
  <c r="AV122" s="1"/>
  <c r="U79"/>
  <c r="T122"/>
  <c r="T739"/>
  <c r="X53"/>
  <c r="AZ10"/>
  <c r="X25"/>
  <c r="X737"/>
  <c r="X55"/>
  <c r="BP484"/>
  <c r="BO518"/>
  <c r="BO516"/>
  <c r="O473"/>
  <c r="N487"/>
  <c r="AP473"/>
  <c r="N517"/>
  <c r="AO487"/>
  <c r="AO517"/>
  <c r="CR658"/>
  <c r="CS633"/>
  <c r="CR608"/>
  <c r="CR259"/>
  <c r="CR257"/>
  <c r="CS230"/>
  <c r="BS47"/>
  <c r="BR63"/>
  <c r="BR61"/>
  <c r="BQ139"/>
  <c r="BR139"/>
  <c r="AM741"/>
  <c r="AM783" s="1"/>
  <c r="AN741"/>
  <c r="AN783" s="1"/>
  <c r="K783"/>
  <c r="CQ15"/>
  <c r="AM57"/>
  <c r="BP15"/>
  <c r="BN9"/>
  <c r="BP55"/>
  <c r="BO9"/>
  <c r="BR899"/>
  <c r="BR915"/>
  <c r="BR916"/>
  <c r="BR876"/>
  <c r="BR903"/>
  <c r="DJ345"/>
  <c r="DI386"/>
  <c r="CW80"/>
  <c r="CV123"/>
  <c r="CW238"/>
  <c r="CU89"/>
  <c r="CT120"/>
  <c r="CU143"/>
  <c r="CT144"/>
  <c r="CT187"/>
  <c r="CW766"/>
  <c r="CV790"/>
  <c r="EF275"/>
  <c r="FE75"/>
  <c r="FF75" s="1"/>
  <c r="DL98"/>
  <c r="DK126"/>
  <c r="CW221"/>
  <c r="CV251"/>
  <c r="BX317"/>
  <c r="BW205"/>
  <c r="BX205"/>
  <c r="X73"/>
  <c r="AY73"/>
  <c r="DC73"/>
  <c r="AK74" i="3" s="1"/>
  <c r="W733" i="1"/>
  <c r="DA733"/>
  <c r="BY733"/>
  <c r="DL913"/>
  <c r="DM344"/>
  <c r="AV223"/>
  <c r="AV252"/>
  <c r="CX736"/>
  <c r="BV736"/>
  <c r="AG603"/>
  <c r="BH603"/>
  <c r="AF647"/>
  <c r="DM212"/>
  <c r="DL911"/>
  <c r="DL254"/>
  <c r="CR739"/>
  <c r="CQ782"/>
  <c r="CB707"/>
  <c r="CA723"/>
  <c r="CA721"/>
  <c r="CQ721"/>
  <c r="CR707"/>
  <c r="CQ723"/>
  <c r="DL369"/>
  <c r="DK393"/>
  <c r="DK900"/>
  <c r="DG411"/>
  <c r="DF453"/>
  <c r="AE319"/>
  <c r="BG277"/>
  <c r="AF277"/>
  <c r="BF741"/>
  <c r="AF345"/>
  <c r="BG345"/>
  <c r="AE386"/>
  <c r="AE741"/>
  <c r="S616"/>
  <c r="R650"/>
  <c r="AT616"/>
  <c r="R648"/>
  <c r="R748"/>
  <c r="DM720"/>
  <c r="DM722"/>
  <c r="BZ204"/>
  <c r="CA204"/>
  <c r="V780"/>
  <c r="AX749"/>
  <c r="AX317"/>
  <c r="DB287"/>
  <c r="BZ287"/>
  <c r="BY287"/>
  <c r="CZ223"/>
  <c r="DA203"/>
  <c r="BY203"/>
  <c r="L738"/>
  <c r="CR641"/>
  <c r="CQ657"/>
  <c r="CQ655"/>
  <c r="AB214"/>
  <c r="AC742"/>
  <c r="BF742"/>
  <c r="J783"/>
  <c r="AL741"/>
  <c r="CF899"/>
  <c r="CG899"/>
  <c r="CL126"/>
  <c r="BX223"/>
  <c r="AZ9"/>
  <c r="BH252"/>
  <c r="DP286"/>
  <c r="CN5"/>
  <c r="BF214"/>
  <c r="CI775"/>
  <c r="CK525"/>
  <c r="CJ63"/>
  <c r="CJ61"/>
  <c r="BX214"/>
  <c r="BW214"/>
  <c r="CS103"/>
  <c r="CS128" s="1"/>
  <c r="CT115"/>
  <c r="CT38"/>
  <c r="CS63"/>
  <c r="CT79"/>
  <c r="CS122"/>
  <c r="DE909"/>
  <c r="DF80"/>
  <c r="DE123"/>
  <c r="AM81" i="3"/>
  <c r="CK326" i="1"/>
  <c r="DJ351"/>
  <c r="DJ387" s="1"/>
  <c r="AE351"/>
  <c r="AD387"/>
  <c r="Y4"/>
  <c r="Z730"/>
  <c r="CT421"/>
  <c r="CS408"/>
  <c r="CS451" s="1"/>
  <c r="DP323"/>
  <c r="BV708"/>
  <c r="BV721"/>
  <c r="BU721"/>
  <c r="CE723"/>
  <c r="CE721"/>
  <c r="BW12"/>
  <c r="BW55" s="1"/>
  <c r="BX12"/>
  <c r="BX55" s="1"/>
  <c r="BY55"/>
  <c r="DM146"/>
  <c r="DL189"/>
  <c r="DL910"/>
  <c r="DL158"/>
  <c r="DE518"/>
  <c r="DF475"/>
  <c r="BB739"/>
  <c r="BB782" s="1"/>
  <c r="AB475"/>
  <c r="BC475"/>
  <c r="BC518" s="1"/>
  <c r="AA518"/>
  <c r="AA739"/>
  <c r="BY326"/>
  <c r="BY324"/>
  <c r="BS258"/>
  <c r="BS260"/>
  <c r="CD258"/>
  <c r="CD260"/>
  <c r="CE245"/>
  <c r="BO324"/>
  <c r="BP311"/>
  <c r="BO326"/>
  <c r="BS287"/>
  <c r="BS317"/>
  <c r="BR317"/>
  <c r="CT603"/>
  <c r="CS647"/>
  <c r="DE617"/>
  <c r="DD648"/>
  <c r="CT669"/>
  <c r="CS713"/>
  <c r="AG713"/>
  <c r="BI669"/>
  <c r="BI713" s="1"/>
  <c r="AG715"/>
  <c r="EE744"/>
  <c r="CK744"/>
  <c r="CU626"/>
  <c r="CT654"/>
  <c r="U149"/>
  <c r="AW149" s="1"/>
  <c r="AV149"/>
  <c r="BY149" s="1"/>
  <c r="BB649"/>
  <c r="BB619"/>
  <c r="CD619"/>
  <c r="BD605"/>
  <c r="BE605"/>
  <c r="CU237"/>
  <c r="CT261"/>
  <c r="CP738"/>
  <c r="CP781" s="1"/>
  <c r="N275"/>
  <c r="M289"/>
  <c r="M318"/>
  <c r="AO275"/>
  <c r="M737"/>
  <c r="AO737"/>
  <c r="DE114"/>
  <c r="DD127"/>
  <c r="BY260"/>
  <c r="BY258"/>
  <c r="CS605"/>
  <c r="CR779"/>
  <c r="BP523"/>
  <c r="BP525"/>
  <c r="BP657"/>
  <c r="BP655"/>
  <c r="BH683"/>
  <c r="BH714"/>
  <c r="AF714"/>
  <c r="BH665"/>
  <c r="DL665"/>
  <c r="AD665"/>
  <c r="BG665"/>
  <c r="CK665" s="1"/>
  <c r="AE683"/>
  <c r="AE731"/>
  <c r="DK549"/>
  <c r="AF549"/>
  <c r="AW143"/>
  <c r="U187"/>
  <c r="U157"/>
  <c r="BA782"/>
  <c r="CV245"/>
  <c r="CT317"/>
  <c r="CU287"/>
  <c r="CS575"/>
  <c r="CH677"/>
  <c r="BF677"/>
  <c r="AE677"/>
  <c r="CZ83"/>
  <c r="BH121"/>
  <c r="BH91"/>
  <c r="CJ91" s="1"/>
  <c r="CK91" s="1"/>
  <c r="BH14"/>
  <c r="AF57"/>
  <c r="AG14"/>
  <c r="DJ914"/>
  <c r="DK410"/>
  <c r="AR411" i="3"/>
  <c r="EE410" i="1"/>
  <c r="BG914"/>
  <c r="BG453"/>
  <c r="EA140"/>
  <c r="AL141" i="3"/>
  <c r="EE750" i="1"/>
  <c r="DG616"/>
  <c r="DF650"/>
  <c r="DF917"/>
  <c r="DM656"/>
  <c r="DL631"/>
  <c r="DL656"/>
  <c r="AW76"/>
  <c r="BU149"/>
  <c r="BT149"/>
  <c r="W317"/>
  <c r="W749"/>
  <c r="AY287"/>
  <c r="AY317" s="1"/>
  <c r="AI518"/>
  <c r="AI516"/>
  <c r="AI748"/>
  <c r="DN484"/>
  <c r="EF484"/>
  <c r="BJ516"/>
  <c r="BJ518"/>
  <c r="BC685"/>
  <c r="BC715"/>
  <c r="CS275"/>
  <c r="BY277"/>
  <c r="DE919"/>
  <c r="BN606"/>
  <c r="BN649" s="1"/>
  <c r="BP649"/>
  <c r="BO606"/>
  <c r="BO649"/>
  <c r="BC619"/>
  <c r="BC649"/>
  <c r="CR289"/>
  <c r="CQ276"/>
  <c r="CQ318" s="1"/>
  <c r="BN737"/>
  <c r="BO737"/>
  <c r="BV390"/>
  <c r="BV392"/>
  <c r="BY516"/>
  <c r="BY518"/>
  <c r="BC730"/>
  <c r="DG730"/>
  <c r="AG223"/>
  <c r="BI209"/>
  <c r="CT453"/>
  <c r="CU411"/>
  <c r="CB245"/>
  <c r="CA260"/>
  <c r="CA258"/>
  <c r="BP716"/>
  <c r="BP714"/>
  <c r="DE699"/>
  <c r="DD724"/>
  <c r="DD905"/>
  <c r="CA206"/>
  <c r="BZ206"/>
  <c r="CA268"/>
  <c r="BZ268"/>
  <c r="BZ270"/>
  <c r="CA270"/>
  <c r="DE180"/>
  <c r="DD193"/>
  <c r="BV245"/>
  <c r="BU260"/>
  <c r="BU258"/>
  <c r="CQ324"/>
  <c r="CQ326"/>
  <c r="CR311"/>
  <c r="DH477"/>
  <c r="DG519"/>
  <c r="AC56"/>
  <c r="AD22"/>
  <c r="AC908"/>
  <c r="AC54"/>
  <c r="CK611"/>
  <c r="BI611"/>
  <c r="BX280"/>
  <c r="BW280"/>
  <c r="CA140"/>
  <c r="BZ140"/>
  <c r="DO319"/>
  <c r="DO912"/>
  <c r="CT617"/>
  <c r="CS648"/>
  <c r="CI546"/>
  <c r="CJ546"/>
  <c r="CZ428"/>
  <c r="CY456"/>
  <c r="CY458"/>
  <c r="AH782"/>
  <c r="BJ748"/>
  <c r="BP195"/>
  <c r="BP193"/>
  <c r="DE485"/>
  <c r="DD516"/>
  <c r="AL738"/>
  <c r="J781"/>
  <c r="AN318"/>
  <c r="AN289"/>
  <c r="BP289" s="1"/>
  <c r="BP275"/>
  <c r="AS277" i="3"/>
  <c r="DK326" i="1"/>
  <c r="DL311"/>
  <c r="AT279" i="3"/>
  <c r="AS279"/>
  <c r="DG324" i="1"/>
  <c r="DH312"/>
  <c r="BI539"/>
  <c r="BH553"/>
  <c r="CJ553"/>
  <c r="CT236"/>
  <c r="CS260"/>
  <c r="DD245"/>
  <c r="DC260"/>
  <c r="DC258"/>
  <c r="AK211" i="3"/>
  <c r="AK213"/>
  <c r="DF609" i="1"/>
  <c r="DE651"/>
  <c r="BQ736"/>
  <c r="BR736"/>
  <c r="BX279"/>
  <c r="BX320"/>
  <c r="BY320"/>
  <c r="BW279"/>
  <c r="BW320" s="1"/>
  <c r="DK63"/>
  <c r="DL47"/>
  <c r="AS13" i="3"/>
  <c r="DK61" i="1"/>
  <c r="CS650"/>
  <c r="CT607"/>
  <c r="AG714"/>
  <c r="BI683"/>
  <c r="BI714" s="1"/>
  <c r="BS723"/>
  <c r="BS721"/>
  <c r="CS675"/>
  <c r="CA7"/>
  <c r="BZ7"/>
  <c r="AV157"/>
  <c r="BX157" s="1"/>
  <c r="BY157" s="1"/>
  <c r="AV187"/>
  <c r="EF341"/>
  <c r="DK428"/>
  <c r="DJ456"/>
  <c r="EE406"/>
  <c r="BG449"/>
  <c r="DK119"/>
  <c r="AS80" i="3" s="1"/>
  <c r="DL75" i="1"/>
  <c r="CB195"/>
  <c r="BV326"/>
  <c r="BV324"/>
  <c r="BR786"/>
  <c r="BR788"/>
  <c r="BQ788"/>
  <c r="BQ786"/>
  <c r="AW83"/>
  <c r="BY83" s="1"/>
  <c r="U743"/>
  <c r="DL669"/>
  <c r="BI121"/>
  <c r="BI91"/>
  <c r="BG908"/>
  <c r="EE14"/>
  <c r="EE908" s="1"/>
  <c r="BG57"/>
  <c r="AG410"/>
  <c r="AG914" s="1"/>
  <c r="BH410"/>
  <c r="AF914"/>
  <c r="AF453"/>
  <c r="BY721"/>
  <c r="BY723"/>
  <c r="CI552"/>
  <c r="EE552"/>
  <c r="CU551"/>
  <c r="CT582"/>
  <c r="DK656"/>
  <c r="CZ76"/>
  <c r="BK734"/>
  <c r="DO734"/>
  <c r="BL8"/>
  <c r="DP8"/>
  <c r="AJ734"/>
  <c r="X287"/>
  <c r="AZ269"/>
  <c r="BL466"/>
  <c r="DP466" s="1"/>
  <c r="EB466" s="1"/>
  <c r="EG466" s="1"/>
  <c r="EE538"/>
  <c r="EL561" s="1"/>
  <c r="EQ561" s="1"/>
  <c r="EE208"/>
  <c r="DJ677"/>
  <c r="DM223"/>
  <c r="DL209"/>
  <c r="DM209" s="1"/>
  <c r="EB209" s="1"/>
  <c r="EG209" s="1"/>
  <c r="BH731"/>
  <c r="DL731" s="1"/>
  <c r="BI731"/>
  <c r="DM731" s="1"/>
  <c r="T743"/>
  <c r="AV743" s="1"/>
  <c r="CY149"/>
  <c r="CZ149" s="1"/>
  <c r="DA149" s="1"/>
  <c r="EA149" s="1"/>
  <c r="CN8"/>
  <c r="BD671"/>
  <c r="CM5"/>
  <c r="CL5"/>
  <c r="EF5" s="1"/>
  <c r="AA214"/>
  <c r="BD214" s="1"/>
  <c r="AB742"/>
  <c r="CS641"/>
  <c r="CR657"/>
  <c r="CR655"/>
  <c r="DB317"/>
  <c r="AJ278" i="3" s="1"/>
  <c r="DC287" i="1"/>
  <c r="BZ749"/>
  <c r="DB749"/>
  <c r="AX780"/>
  <c r="AT748"/>
  <c r="R782"/>
  <c r="AT650"/>
  <c r="AT917"/>
  <c r="AT648"/>
  <c r="T616"/>
  <c r="S650"/>
  <c r="AU616"/>
  <c r="S648"/>
  <c r="BH345"/>
  <c r="BH386"/>
  <c r="AG345"/>
  <c r="AF386"/>
  <c r="AF741"/>
  <c r="DJ741"/>
  <c r="AG277"/>
  <c r="BH277"/>
  <c r="BH319"/>
  <c r="AF319"/>
  <c r="DH411"/>
  <c r="DG453"/>
  <c r="DM369"/>
  <c r="DL393"/>
  <c r="DL900"/>
  <c r="CS707"/>
  <c r="CR723"/>
  <c r="CR721"/>
  <c r="CB723"/>
  <c r="CB721"/>
  <c r="CS739"/>
  <c r="CR782"/>
  <c r="BH647"/>
  <c r="BU736"/>
  <c r="BT736"/>
  <c r="DM913"/>
  <c r="EB344"/>
  <c r="BX733"/>
  <c r="BW733"/>
  <c r="CX766"/>
  <c r="CW790"/>
  <c r="CV143"/>
  <c r="CU144"/>
  <c r="CU187" s="1"/>
  <c r="CV89"/>
  <c r="CU120"/>
  <c r="CX238"/>
  <c r="CX80"/>
  <c r="CW123"/>
  <c r="BN55"/>
  <c r="CS257"/>
  <c r="CT230"/>
  <c r="CS259"/>
  <c r="CS608"/>
  <c r="BP518"/>
  <c r="BP516"/>
  <c r="CB737"/>
  <c r="DD10"/>
  <c r="CB10"/>
  <c r="AZ53"/>
  <c r="AV739"/>
  <c r="AW79"/>
  <c r="AW122"/>
  <c r="U122"/>
  <c r="U739"/>
  <c r="CJ909"/>
  <c r="CI909"/>
  <c r="DJ918"/>
  <c r="DK674"/>
  <c r="DJ717"/>
  <c r="AI317"/>
  <c r="BK287"/>
  <c r="BK317"/>
  <c r="P671"/>
  <c r="O715"/>
  <c r="AQ671"/>
  <c r="O685"/>
  <c r="AL673" i="3"/>
  <c r="AL675"/>
  <c r="DE707" i="1"/>
  <c r="DD723"/>
  <c r="AG582"/>
  <c r="AW142"/>
  <c r="U736"/>
  <c r="U185"/>
  <c r="AV185"/>
  <c r="CZ142"/>
  <c r="CZ185"/>
  <c r="CZ419"/>
  <c r="CY450"/>
  <c r="CY296"/>
  <c r="CX323"/>
  <c r="CX325"/>
  <c r="CJ413"/>
  <c r="CI413"/>
  <c r="EF671"/>
  <c r="EA277"/>
  <c r="DH500"/>
  <c r="DG525"/>
  <c r="BX148"/>
  <c r="BW148"/>
  <c r="CQ279"/>
  <c r="CP320"/>
  <c r="DF238"/>
  <c r="DE261"/>
  <c r="CT487"/>
  <c r="CR714"/>
  <c r="CS683"/>
  <c r="CS484"/>
  <c r="CR516"/>
  <c r="CR518"/>
  <c r="AY203"/>
  <c r="DC203" s="1"/>
  <c r="AK205" i="3" s="1"/>
  <c r="X203" i="1"/>
  <c r="DE716"/>
  <c r="DF673"/>
  <c r="EE735"/>
  <c r="DB733"/>
  <c r="AJ734" i="3"/>
  <c r="CL23" i="1"/>
  <c r="CM23"/>
  <c r="CJ119"/>
  <c r="CJ121"/>
  <c r="CU127"/>
  <c r="CV114"/>
  <c r="V11"/>
  <c r="V53"/>
  <c r="AX9"/>
  <c r="W55"/>
  <c r="W737"/>
  <c r="AZ737" s="1"/>
  <c r="W25"/>
  <c r="W751" s="1"/>
  <c r="W738" s="1"/>
  <c r="DL296"/>
  <c r="DK323"/>
  <c r="DK325"/>
  <c r="DL367"/>
  <c r="AE718"/>
  <c r="AF680"/>
  <c r="DK680"/>
  <c r="DK718" s="1"/>
  <c r="BU650"/>
  <c r="BU648"/>
  <c r="BV616"/>
  <c r="BJ317"/>
  <c r="CL287"/>
  <c r="EF287" s="1"/>
  <c r="EF317" s="1"/>
  <c r="EG317" s="1"/>
  <c r="DN287"/>
  <c r="CY736"/>
  <c r="BH915"/>
  <c r="BH519"/>
  <c r="BI674"/>
  <c r="AG717"/>
  <c r="DA61"/>
  <c r="CS9"/>
  <c r="CR53"/>
  <c r="DP912"/>
  <c r="DP319"/>
  <c r="CP741"/>
  <c r="BP741"/>
  <c r="AL783"/>
  <c r="AN738"/>
  <c r="L781"/>
  <c r="BX203"/>
  <c r="BW203"/>
  <c r="DA223"/>
  <c r="CA287"/>
  <c r="BZ317"/>
  <c r="BG741"/>
  <c r="EE345"/>
  <c r="BG386"/>
  <c r="BG319"/>
  <c r="EE277"/>
  <c r="EE319" s="1"/>
  <c r="EB212"/>
  <c r="DM911"/>
  <c r="DM254"/>
  <c r="BI603"/>
  <c r="AG647"/>
  <c r="AY733"/>
  <c r="DC733"/>
  <c r="AK734" i="3" s="1"/>
  <c r="AZ73" i="1"/>
  <c r="DD73" s="1"/>
  <c r="X733"/>
  <c r="AZ733" s="1"/>
  <c r="DD733" s="1"/>
  <c r="CW251"/>
  <c r="CX221"/>
  <c r="DM98"/>
  <c r="DL126"/>
  <c r="DK345"/>
  <c r="DJ386"/>
  <c r="BO55"/>
  <c r="BN15"/>
  <c r="BO15"/>
  <c r="CR15"/>
  <c r="BS63"/>
  <c r="BS61"/>
  <c r="CT633"/>
  <c r="CS658"/>
  <c r="AP517"/>
  <c r="AP487"/>
  <c r="O487"/>
  <c r="O517"/>
  <c r="AQ473"/>
  <c r="P473"/>
  <c r="EF80"/>
  <c r="EF123" s="1"/>
  <c r="CI123"/>
  <c r="CV696"/>
  <c r="CU697"/>
  <c r="CU722"/>
  <c r="DF766"/>
  <c r="DE790"/>
  <c r="AE145"/>
  <c r="BF145"/>
  <c r="BF188" s="1"/>
  <c r="AD188"/>
  <c r="AJ287"/>
  <c r="CU643"/>
  <c r="CT631"/>
  <c r="CT656" s="1"/>
  <c r="AP715"/>
  <c r="AP685"/>
  <c r="AV736"/>
  <c r="AZ202"/>
  <c r="DD202"/>
  <c r="EA202" s="1"/>
  <c r="BL730"/>
  <c r="DP730" s="1"/>
  <c r="EB730" s="1"/>
  <c r="EG730" s="1"/>
  <c r="CV22"/>
  <c r="CU54"/>
  <c r="CU56"/>
  <c r="CX616"/>
  <c r="BN279"/>
  <c r="BN320" s="1"/>
  <c r="BO279"/>
  <c r="BO320" s="1"/>
  <c r="BP320"/>
  <c r="CI214"/>
  <c r="EF214"/>
  <c r="CJ214"/>
  <c r="CF742"/>
  <c r="CG742"/>
  <c r="DF277"/>
  <c r="DE319"/>
  <c r="DF632"/>
  <c r="DB203"/>
  <c r="AJ205" i="3"/>
  <c r="AW251" i="1"/>
  <c r="BY221"/>
  <c r="BY251"/>
  <c r="AS782"/>
  <c r="AW223"/>
  <c r="AW252"/>
  <c r="BY210"/>
  <c r="DP23"/>
  <c r="DO54"/>
  <c r="CI121"/>
  <c r="CS700"/>
  <c r="CR724"/>
  <c r="CX126"/>
  <c r="CY98"/>
  <c r="BP721"/>
  <c r="BP723"/>
  <c r="DK908"/>
  <c r="DL14"/>
  <c r="AT15" i="3" s="1"/>
  <c r="DK57" i="1"/>
  <c r="AS15" i="3"/>
  <c r="BI476" i="1"/>
  <c r="AG519"/>
  <c r="BH717"/>
  <c r="BH918"/>
  <c r="CU764"/>
  <c r="CT789"/>
  <c r="BY223"/>
  <c r="CB73"/>
  <c r="BY142"/>
  <c r="CB202"/>
  <c r="BE742"/>
  <c r="BE214"/>
  <c r="BR487"/>
  <c r="AY9"/>
  <c r="AY53"/>
  <c r="BY79"/>
  <c r="AZ287"/>
  <c r="AZ317" s="1"/>
  <c r="X317"/>
  <c r="EB8"/>
  <c r="EG8" s="1"/>
  <c r="Q9" i="3" s="1"/>
  <c r="FD8" i="1"/>
  <c r="CV551"/>
  <c r="CU582"/>
  <c r="DK552"/>
  <c r="EF552"/>
  <c r="AG453"/>
  <c r="BI410"/>
  <c r="CU607"/>
  <c r="CT650"/>
  <c r="DG609"/>
  <c r="DF651"/>
  <c r="BI583"/>
  <c r="BI553"/>
  <c r="BN275"/>
  <c r="BO275"/>
  <c r="AL751"/>
  <c r="BN751" s="1"/>
  <c r="AL781"/>
  <c r="DE516"/>
  <c r="DF485"/>
  <c r="CZ456"/>
  <c r="CZ458"/>
  <c r="DA428"/>
  <c r="CU617"/>
  <c r="CT648"/>
  <c r="CJ611"/>
  <c r="CI611"/>
  <c r="EF611"/>
  <c r="BV260"/>
  <c r="BV258"/>
  <c r="DF180"/>
  <c r="DE193"/>
  <c r="DE905"/>
  <c r="DF699"/>
  <c r="DE724"/>
  <c r="CV411"/>
  <c r="CU453"/>
  <c r="BI223"/>
  <c r="BI252"/>
  <c r="EF209"/>
  <c r="CS289"/>
  <c r="CR276"/>
  <c r="CR318"/>
  <c r="BX277"/>
  <c r="BX319"/>
  <c r="BW277"/>
  <c r="BW319"/>
  <c r="DN518"/>
  <c r="DO484"/>
  <c r="DP484" s="1"/>
  <c r="DP518" s="1"/>
  <c r="DA76"/>
  <c r="BY76"/>
  <c r="DK914"/>
  <c r="DL410"/>
  <c r="AS411" i="3"/>
  <c r="AF677" i="1"/>
  <c r="BG677"/>
  <c r="EE677"/>
  <c r="EE743"/>
  <c r="CF677"/>
  <c r="CG677"/>
  <c r="CT575"/>
  <c r="BY143"/>
  <c r="AW187"/>
  <c r="AW157"/>
  <c r="DL549"/>
  <c r="N318"/>
  <c r="O275"/>
  <c r="AP275"/>
  <c r="N289"/>
  <c r="N751" s="1"/>
  <c r="N738" s="1"/>
  <c r="N737"/>
  <c r="AP737"/>
  <c r="CV237"/>
  <c r="CU261"/>
  <c r="CT713"/>
  <c r="CU669"/>
  <c r="DE648"/>
  <c r="DF617"/>
  <c r="CU603"/>
  <c r="CT647"/>
  <c r="BP324"/>
  <c r="BP326"/>
  <c r="CE260"/>
  <c r="CE258"/>
  <c r="DG475"/>
  <c r="DF518"/>
  <c r="CU421"/>
  <c r="CT408"/>
  <c r="CT451"/>
  <c r="AF351"/>
  <c r="DK351"/>
  <c r="DK387" s="1"/>
  <c r="AE387"/>
  <c r="DF909"/>
  <c r="DG80"/>
  <c r="DF123"/>
  <c r="AN81" i="3"/>
  <c r="CT103" i="1"/>
  <c r="CT128"/>
  <c r="CU115"/>
  <c r="AW743"/>
  <c r="CK553"/>
  <c r="CE619"/>
  <c r="BD715"/>
  <c r="BD685"/>
  <c r="BE671"/>
  <c r="CM8"/>
  <c r="CL8"/>
  <c r="EF8" s="1"/>
  <c r="AJ518"/>
  <c r="AJ516"/>
  <c r="AJ748"/>
  <c r="DD269"/>
  <c r="CB269"/>
  <c r="BL734"/>
  <c r="DP734"/>
  <c r="EB734" s="1"/>
  <c r="EG734" s="1"/>
  <c r="BH914"/>
  <c r="BH453"/>
  <c r="DL713"/>
  <c r="AT674" i="3" s="1"/>
  <c r="DM669" i="1"/>
  <c r="DM75"/>
  <c r="BH449"/>
  <c r="DK456"/>
  <c r="DL428"/>
  <c r="CT675"/>
  <c r="DL63"/>
  <c r="DL61"/>
  <c r="AL211" i="3"/>
  <c r="DD260" i="1"/>
  <c r="DE245"/>
  <c r="AL213" i="3"/>
  <c r="DD258" i="1"/>
  <c r="AL212" i="3"/>
  <c r="CU236" i="1"/>
  <c r="CT260"/>
  <c r="DH324"/>
  <c r="DI312"/>
  <c r="DM311"/>
  <c r="DL326"/>
  <c r="CL748"/>
  <c r="BJ782"/>
  <c r="DN748"/>
  <c r="AD54"/>
  <c r="AE22"/>
  <c r="AD56"/>
  <c r="AD908"/>
  <c r="DI477"/>
  <c r="CS311"/>
  <c r="CR324"/>
  <c r="CR326"/>
  <c r="CB260"/>
  <c r="CB258"/>
  <c r="AI782"/>
  <c r="BK518"/>
  <c r="BK516"/>
  <c r="AY749"/>
  <c r="AY780" s="1"/>
  <c r="W780"/>
  <c r="DH616"/>
  <c r="DG650"/>
  <c r="EF750"/>
  <c r="BI14"/>
  <c r="AG57"/>
  <c r="BH908"/>
  <c r="BH57"/>
  <c r="CV287"/>
  <c r="CU317"/>
  <c r="CW245"/>
  <c r="AE714"/>
  <c r="BG683"/>
  <c r="AC665"/>
  <c r="AD683" s="1"/>
  <c r="AD731"/>
  <c r="DK665"/>
  <c r="AS667" i="3" s="1"/>
  <c r="CT605" i="1"/>
  <c r="DF114"/>
  <c r="DE127"/>
  <c r="AO289"/>
  <c r="AO318"/>
  <c r="BQ289"/>
  <c r="M751"/>
  <c r="CU654"/>
  <c r="CV626"/>
  <c r="CI744"/>
  <c r="EF744"/>
  <c r="CJ744"/>
  <c r="BC739"/>
  <c r="BC782"/>
  <c r="AC475"/>
  <c r="AB518"/>
  <c r="BD475"/>
  <c r="AB739"/>
  <c r="EB146"/>
  <c r="DM158"/>
  <c r="DM189"/>
  <c r="DM910"/>
  <c r="BB4"/>
  <c r="DF4" s="1"/>
  <c r="Y730"/>
  <c r="BA4"/>
  <c r="CU79"/>
  <c r="CT122"/>
  <c r="CU38"/>
  <c r="CT63"/>
  <c r="DK677"/>
  <c r="BP276"/>
  <c r="DM539"/>
  <c r="EB539" s="1"/>
  <c r="EG539" s="1"/>
  <c r="CT275"/>
  <c r="DA83"/>
  <c r="CA202"/>
  <c r="BZ202"/>
  <c r="CA73"/>
  <c r="BZ73"/>
  <c r="EB207"/>
  <c r="DL908"/>
  <c r="DM14"/>
  <c r="DL57"/>
  <c r="CS724"/>
  <c r="CT700"/>
  <c r="BW210"/>
  <c r="BW252"/>
  <c r="BX210"/>
  <c r="BX252"/>
  <c r="BY252"/>
  <c r="CY616"/>
  <c r="CW22"/>
  <c r="CV56"/>
  <c r="CV54"/>
  <c r="CV643"/>
  <c r="CU631"/>
  <c r="CU656"/>
  <c r="AJ317"/>
  <c r="BL287"/>
  <c r="BL317" s="1"/>
  <c r="DG766"/>
  <c r="DF790"/>
  <c r="CW696"/>
  <c r="CV697"/>
  <c r="CV722"/>
  <c r="AR473"/>
  <c r="Q473"/>
  <c r="P487"/>
  <c r="P517"/>
  <c r="DL345"/>
  <c r="DK386"/>
  <c r="FC73"/>
  <c r="AL74" i="3"/>
  <c r="EA73" i="1"/>
  <c r="AL734" i="3"/>
  <c r="EA733" i="1"/>
  <c r="BI647"/>
  <c r="EG212"/>
  <c r="EB911"/>
  <c r="EB254"/>
  <c r="EE741"/>
  <c r="CB287"/>
  <c r="CB317" s="1"/>
  <c r="CA317"/>
  <c r="AN781"/>
  <c r="AN751"/>
  <c r="BN741"/>
  <c r="BN783"/>
  <c r="BO741"/>
  <c r="BO783"/>
  <c r="BP783"/>
  <c r="DO287"/>
  <c r="DN317"/>
  <c r="DL680"/>
  <c r="DL718" s="1"/>
  <c r="AF718"/>
  <c r="DM296"/>
  <c r="DM325"/>
  <c r="DL325"/>
  <c r="DL323"/>
  <c r="AY738"/>
  <c r="AX53"/>
  <c r="DB9"/>
  <c r="CB9"/>
  <c r="AX11"/>
  <c r="V55"/>
  <c r="V25"/>
  <c r="V737"/>
  <c r="AX737" s="1"/>
  <c r="DF716"/>
  <c r="DG673"/>
  <c r="AZ203"/>
  <c r="CS516"/>
  <c r="CT484"/>
  <c r="CS518"/>
  <c r="CU487"/>
  <c r="DG238"/>
  <c r="DF261"/>
  <c r="CR279"/>
  <c r="CQ320"/>
  <c r="DI500"/>
  <c r="DH525"/>
  <c r="AW185"/>
  <c r="DA142"/>
  <c r="AQ685"/>
  <c r="AQ715"/>
  <c r="BS671"/>
  <c r="P685"/>
  <c r="BT685" s="1"/>
  <c r="BU685" s="1"/>
  <c r="BV685" s="1"/>
  <c r="P715"/>
  <c r="Q671"/>
  <c r="AR671"/>
  <c r="DK918"/>
  <c r="DL674"/>
  <c r="DK717"/>
  <c r="CX123"/>
  <c r="CY238"/>
  <c r="CW89"/>
  <c r="CV120"/>
  <c r="CW143"/>
  <c r="CV144"/>
  <c r="CV187" s="1"/>
  <c r="CY766"/>
  <c r="CX790"/>
  <c r="EB913"/>
  <c r="EG913"/>
  <c r="CT739"/>
  <c r="DI411"/>
  <c r="DH453"/>
  <c r="BH741"/>
  <c r="BI345"/>
  <c r="BI386"/>
  <c r="AG386"/>
  <c r="AG741"/>
  <c r="BW616"/>
  <c r="AU917"/>
  <c r="AU648"/>
  <c r="AU650"/>
  <c r="T650"/>
  <c r="U616"/>
  <c r="T648"/>
  <c r="AV616"/>
  <c r="T748"/>
  <c r="AT782"/>
  <c r="DB780"/>
  <c r="DC749"/>
  <c r="DD287"/>
  <c r="DC317"/>
  <c r="AK278" i="3" s="1"/>
  <c r="CT641" i="1"/>
  <c r="CS657"/>
  <c r="CS655"/>
  <c r="CH214"/>
  <c r="BX79"/>
  <c r="BX122" s="1"/>
  <c r="BW79"/>
  <c r="BW122" s="1"/>
  <c r="BW142"/>
  <c r="BW185"/>
  <c r="BX142"/>
  <c r="BX185"/>
  <c r="BY185"/>
  <c r="CU789"/>
  <c r="CV764"/>
  <c r="BI915"/>
  <c r="BI519"/>
  <c r="CY126"/>
  <c r="CZ98"/>
  <c r="DG632"/>
  <c r="DG277"/>
  <c r="DF319"/>
  <c r="CZ736"/>
  <c r="AE188"/>
  <c r="AF145"/>
  <c r="BG145"/>
  <c r="AQ487"/>
  <c r="AQ517"/>
  <c r="BS473"/>
  <c r="CU633"/>
  <c r="CT658"/>
  <c r="CS15"/>
  <c r="CY221"/>
  <c r="CX251"/>
  <c r="CP783"/>
  <c r="CQ741"/>
  <c r="CT9"/>
  <c r="CS53"/>
  <c r="BI918"/>
  <c r="BI717"/>
  <c r="CL317"/>
  <c r="CM287"/>
  <c r="BV648"/>
  <c r="BV650"/>
  <c r="CW114"/>
  <c r="CV127"/>
  <c r="CS714"/>
  <c r="CT683"/>
  <c r="CZ296"/>
  <c r="CY323"/>
  <c r="CY325"/>
  <c r="CZ450"/>
  <c r="DA419"/>
  <c r="AW736"/>
  <c r="AM673" i="3"/>
  <c r="DF707" i="1"/>
  <c r="DE723"/>
  <c r="AM675" i="3"/>
  <c r="AW739" i="1"/>
  <c r="CA10"/>
  <c r="BZ10"/>
  <c r="CB53"/>
  <c r="BZ737"/>
  <c r="CA737"/>
  <c r="CT608"/>
  <c r="CU230"/>
  <c r="CT257"/>
  <c r="CT259"/>
  <c r="CT707"/>
  <c r="CS723"/>
  <c r="CS721"/>
  <c r="BI277"/>
  <c r="BI319" s="1"/>
  <c r="AG319"/>
  <c r="DK741"/>
  <c r="BZ780"/>
  <c r="CA749"/>
  <c r="Z214"/>
  <c r="BC214" s="1"/>
  <c r="AA742"/>
  <c r="BD742" s="1"/>
  <c r="BS487"/>
  <c r="BS685"/>
  <c r="BY736"/>
  <c r="AY737"/>
  <c r="AY751" s="1"/>
  <c r="CB733"/>
  <c r="BF683"/>
  <c r="BF714" s="1"/>
  <c r="AD714"/>
  <c r="BP318"/>
  <c r="BO276"/>
  <c r="BO318"/>
  <c r="BN276"/>
  <c r="BN318"/>
  <c r="CE4"/>
  <c r="DE4"/>
  <c r="EB189"/>
  <c r="EG146"/>
  <c r="EB910"/>
  <c r="BD518"/>
  <c r="BE475"/>
  <c r="BE518" s="1"/>
  <c r="AC518"/>
  <c r="AD475"/>
  <c r="AC739"/>
  <c r="CW626"/>
  <c r="CV654"/>
  <c r="EE605"/>
  <c r="EO630" s="1"/>
  <c r="CX245"/>
  <c r="CW287"/>
  <c r="CV317"/>
  <c r="EE274"/>
  <c r="EL297" s="1"/>
  <c r="EQ297" s="1"/>
  <c r="CS326"/>
  <c r="CT311"/>
  <c r="CS324"/>
  <c r="DN782"/>
  <c r="DM326"/>
  <c r="DI324"/>
  <c r="DJ312"/>
  <c r="DE260"/>
  <c r="DF245"/>
  <c r="DE258"/>
  <c r="AM212" i="3"/>
  <c r="AM213"/>
  <c r="AM211"/>
  <c r="CU675" i="1"/>
  <c r="DM428"/>
  <c r="BZ269"/>
  <c r="CA269"/>
  <c r="AJ782"/>
  <c r="BL518"/>
  <c r="BL516"/>
  <c r="DL351"/>
  <c r="DL387"/>
  <c r="AF387"/>
  <c r="CV421"/>
  <c r="CU408"/>
  <c r="CU451"/>
  <c r="DG617"/>
  <c r="DF648"/>
  <c r="CU713"/>
  <c r="CV669"/>
  <c r="CT737"/>
  <c r="AP318"/>
  <c r="AP289"/>
  <c r="BW143"/>
  <c r="BX143"/>
  <c r="BY144"/>
  <c r="BH677"/>
  <c r="AG677"/>
  <c r="DL914"/>
  <c r="DM410"/>
  <c r="BX76"/>
  <c r="BW76"/>
  <c r="DO518"/>
  <c r="CW411"/>
  <c r="CV453"/>
  <c r="DG699"/>
  <c r="DF724"/>
  <c r="DF905"/>
  <c r="DG180"/>
  <c r="DF193"/>
  <c r="DA458"/>
  <c r="DA456"/>
  <c r="DG485"/>
  <c r="DF516"/>
  <c r="DH609"/>
  <c r="CK449"/>
  <c r="CW551"/>
  <c r="CV582"/>
  <c r="DL677"/>
  <c r="BR289"/>
  <c r="EA83"/>
  <c r="FC83"/>
  <c r="CV38"/>
  <c r="CU63"/>
  <c r="CV79"/>
  <c r="CU122"/>
  <c r="BA730"/>
  <c r="DE730"/>
  <c r="BD739"/>
  <c r="BQ751"/>
  <c r="M738"/>
  <c r="DG114"/>
  <c r="DF127"/>
  <c r="CU605"/>
  <c r="AC731"/>
  <c r="AB665"/>
  <c r="CI683"/>
  <c r="BG714"/>
  <c r="BI908"/>
  <c r="BI57"/>
  <c r="DH650"/>
  <c r="DI616"/>
  <c r="DJ477"/>
  <c r="AF22"/>
  <c r="AE56"/>
  <c r="AE54"/>
  <c r="AE908"/>
  <c r="CV236"/>
  <c r="CU260"/>
  <c r="DM119"/>
  <c r="AU80" i="3" s="1"/>
  <c r="FD75" i="1"/>
  <c r="EB75"/>
  <c r="EB669"/>
  <c r="DM713"/>
  <c r="AL271" i="3"/>
  <c r="EA269" i="1"/>
  <c r="BE685"/>
  <c r="CG685" s="1"/>
  <c r="CH685" s="1"/>
  <c r="BE715"/>
  <c r="BF671"/>
  <c r="BG671"/>
  <c r="CU103"/>
  <c r="CU128"/>
  <c r="CV115"/>
  <c r="DG909"/>
  <c r="DH80"/>
  <c r="DG123"/>
  <c r="AO81" i="3"/>
  <c r="DG518" i="1"/>
  <c r="DH475"/>
  <c r="CU647"/>
  <c r="CV603"/>
  <c r="CW237"/>
  <c r="CV261"/>
  <c r="AP738"/>
  <c r="O289"/>
  <c r="O751"/>
  <c r="AQ275"/>
  <c r="O318"/>
  <c r="P275"/>
  <c r="O737"/>
  <c r="AQ737" s="1"/>
  <c r="CU575"/>
  <c r="FC76"/>
  <c r="EA76"/>
  <c r="CT289"/>
  <c r="CS276"/>
  <c r="CS318"/>
  <c r="CU648"/>
  <c r="CV617"/>
  <c r="CU650"/>
  <c r="CV607"/>
  <c r="BI449"/>
  <c r="BI914"/>
  <c r="BI453"/>
  <c r="CU275"/>
  <c r="BB730"/>
  <c r="DF730"/>
  <c r="BG731"/>
  <c r="CK731" s="1"/>
  <c r="EE731"/>
  <c r="CE742"/>
  <c r="CT723"/>
  <c r="CT721"/>
  <c r="CU707"/>
  <c r="CV230"/>
  <c r="CU259"/>
  <c r="CU257"/>
  <c r="CU608"/>
  <c r="DF723"/>
  <c r="DG707"/>
  <c r="AN673" i="3"/>
  <c r="AN675"/>
  <c r="EA419" i="1"/>
  <c r="EA450"/>
  <c r="DA450"/>
  <c r="DA296"/>
  <c r="CZ323"/>
  <c r="CZ325"/>
  <c r="CU683"/>
  <c r="CT714"/>
  <c r="CX114"/>
  <c r="CW127"/>
  <c r="CN287"/>
  <c r="CN317" s="1"/>
  <c r="CM317"/>
  <c r="CR741"/>
  <c r="CQ783"/>
  <c r="CY251"/>
  <c r="CZ221"/>
  <c r="CU658"/>
  <c r="CV633"/>
  <c r="BR473"/>
  <c r="BQ473"/>
  <c r="EE145"/>
  <c r="EE188" s="1"/>
  <c r="BG188"/>
  <c r="DH277"/>
  <c r="DG319"/>
  <c r="DA98"/>
  <c r="CZ126"/>
  <c r="CV789"/>
  <c r="CW764"/>
  <c r="DC780"/>
  <c r="AV748"/>
  <c r="T782"/>
  <c r="BW648"/>
  <c r="BX616"/>
  <c r="BW650"/>
  <c r="BI741"/>
  <c r="CK741"/>
  <c r="CZ766"/>
  <c r="CY790"/>
  <c r="CX143"/>
  <c r="CW144"/>
  <c r="CW187" s="1"/>
  <c r="CX89"/>
  <c r="CW120"/>
  <c r="CZ238"/>
  <c r="AS671"/>
  <c r="Q685"/>
  <c r="R671"/>
  <c r="Q715"/>
  <c r="EA142"/>
  <c r="EA185"/>
  <c r="DA185"/>
  <c r="DD203"/>
  <c r="CB203"/>
  <c r="DB11"/>
  <c r="AX25"/>
  <c r="AX55"/>
  <c r="AY11"/>
  <c r="DB53"/>
  <c r="AJ14" i="3" s="1"/>
  <c r="DC9" i="1"/>
  <c r="DO317"/>
  <c r="DP287"/>
  <c r="DP317"/>
  <c r="BT487"/>
  <c r="AR487"/>
  <c r="AR517"/>
  <c r="CW643"/>
  <c r="CV631"/>
  <c r="CV656" s="1"/>
  <c r="CZ616"/>
  <c r="CA733"/>
  <c r="BZ733"/>
  <c r="BX736"/>
  <c r="BW736"/>
  <c r="Y214"/>
  <c r="Z742"/>
  <c r="CA780"/>
  <c r="DL741"/>
  <c r="BY739"/>
  <c r="DA736"/>
  <c r="CT53"/>
  <c r="CU9"/>
  <c r="CT15"/>
  <c r="BH145"/>
  <c r="BH188" s="1"/>
  <c r="AF188"/>
  <c r="AG145"/>
  <c r="DH632"/>
  <c r="CF214"/>
  <c r="CG214"/>
  <c r="CU641"/>
  <c r="CT657"/>
  <c r="CT655"/>
  <c r="DE287"/>
  <c r="DD317"/>
  <c r="AL278" i="3"/>
  <c r="AV648" i="1"/>
  <c r="AV917"/>
  <c r="AV650"/>
  <c r="AW616"/>
  <c r="U648"/>
  <c r="U650"/>
  <c r="U748"/>
  <c r="DJ411"/>
  <c r="DI453"/>
  <c r="CU739"/>
  <c r="DL918"/>
  <c r="DM674"/>
  <c r="DL717"/>
  <c r="AR715"/>
  <c r="AR685"/>
  <c r="BR671"/>
  <c r="BQ671"/>
  <c r="BS672"/>
  <c r="DJ500"/>
  <c r="DI525"/>
  <c r="CS279"/>
  <c r="CR320"/>
  <c r="DG261"/>
  <c r="DH238"/>
  <c r="CV487"/>
  <c r="CU484"/>
  <c r="CT518"/>
  <c r="CT516"/>
  <c r="DH673"/>
  <c r="DG716"/>
  <c r="DB25"/>
  <c r="DC25"/>
  <c r="DD25" s="1"/>
  <c r="DE25" s="1"/>
  <c r="DF25" s="1"/>
  <c r="DG25" s="1"/>
  <c r="DH25" s="1"/>
  <c r="DI25" s="1"/>
  <c r="DJ25" s="1"/>
  <c r="DK25" s="1"/>
  <c r="DL25" s="1"/>
  <c r="DM25" s="1"/>
  <c r="BZ25"/>
  <c r="BZ9"/>
  <c r="CA9"/>
  <c r="CA53" s="1"/>
  <c r="DM345"/>
  <c r="DL386"/>
  <c r="Q487"/>
  <c r="Q517"/>
  <c r="AS473"/>
  <c r="R473"/>
  <c r="CX696"/>
  <c r="CW697"/>
  <c r="CW722" s="1"/>
  <c r="DH766"/>
  <c r="DG790"/>
  <c r="CX22"/>
  <c r="CW54"/>
  <c r="CW56"/>
  <c r="CU700"/>
  <c r="CT724"/>
  <c r="FD14"/>
  <c r="EB14"/>
  <c r="DM908"/>
  <c r="DM57"/>
  <c r="BZ53"/>
  <c r="BS474"/>
  <c r="EE671"/>
  <c r="EO695" s="1"/>
  <c r="BG685"/>
  <c r="EE685"/>
  <c r="BG715"/>
  <c r="EB406"/>
  <c r="CW607"/>
  <c r="CV650"/>
  <c r="CT276"/>
  <c r="CT318" s="1"/>
  <c r="CU289"/>
  <c r="CX237"/>
  <c r="CW261"/>
  <c r="EG75"/>
  <c r="CW236"/>
  <c r="CV260"/>
  <c r="DK477"/>
  <c r="CI714"/>
  <c r="CJ683"/>
  <c r="AO738"/>
  <c r="CW79"/>
  <c r="CV122"/>
  <c r="CW38"/>
  <c r="CV63"/>
  <c r="CX551"/>
  <c r="CW582"/>
  <c r="DH180"/>
  <c r="DG193"/>
  <c r="CK677"/>
  <c r="BI677"/>
  <c r="CV713"/>
  <c r="CW669"/>
  <c r="CW421"/>
  <c r="CV408"/>
  <c r="CV451" s="1"/>
  <c r="CV675"/>
  <c r="AN211" i="3"/>
  <c r="DG245" i="1"/>
  <c r="DF258"/>
  <c r="AN212" i="3" s="1"/>
  <c r="DF260" i="1"/>
  <c r="AN213" i="3"/>
  <c r="DK312" i="1"/>
  <c r="DJ324"/>
  <c r="CX287"/>
  <c r="CW317"/>
  <c r="CY245"/>
  <c r="CW654"/>
  <c r="CX626"/>
  <c r="BE739"/>
  <c r="BE782" s="1"/>
  <c r="O738"/>
  <c r="BF731"/>
  <c r="DJ731" s="1"/>
  <c r="AR733" i="3" s="1"/>
  <c r="DM677" i="1"/>
  <c r="EB677"/>
  <c r="EG677" s="1"/>
  <c r="EN702" s="1"/>
  <c r="ES702" s="1"/>
  <c r="AP751"/>
  <c r="CW617"/>
  <c r="CV648"/>
  <c r="CV575"/>
  <c r="AR275"/>
  <c r="P289"/>
  <c r="P318"/>
  <c r="Q275"/>
  <c r="P737"/>
  <c r="AR737" s="1"/>
  <c r="AQ318"/>
  <c r="AQ289"/>
  <c r="BS275"/>
  <c r="BS276" s="1"/>
  <c r="CV647"/>
  <c r="CW603"/>
  <c r="DH518"/>
  <c r="DI475"/>
  <c r="DH909"/>
  <c r="DI80"/>
  <c r="DH123"/>
  <c r="AP81" i="3"/>
  <c r="CW115" i="1"/>
  <c r="CV103"/>
  <c r="CV128"/>
  <c r="BF685"/>
  <c r="BF715"/>
  <c r="EB713"/>
  <c r="AG22"/>
  <c r="AF54"/>
  <c r="AF56"/>
  <c r="AF908"/>
  <c r="DJ616"/>
  <c r="DI650"/>
  <c r="AC683"/>
  <c r="AA665"/>
  <c r="BD665"/>
  <c r="AB683"/>
  <c r="AB731"/>
  <c r="CV605"/>
  <c r="DH114"/>
  <c r="DG127"/>
  <c r="DI609"/>
  <c r="DG516"/>
  <c r="DH485"/>
  <c r="DG724"/>
  <c r="DH699"/>
  <c r="DG905"/>
  <c r="CX411"/>
  <c r="CW453"/>
  <c r="EB410"/>
  <c r="DM914"/>
  <c r="BX144"/>
  <c r="BX187"/>
  <c r="BY187"/>
  <c r="BW144"/>
  <c r="BW187" s="1"/>
  <c r="DG648"/>
  <c r="DH617"/>
  <c r="CT326"/>
  <c r="CU311"/>
  <c r="CV311" s="1"/>
  <c r="CT324"/>
  <c r="BF475"/>
  <c r="BF518" s="1"/>
  <c r="AE475"/>
  <c r="AF475" s="1"/>
  <c r="AD518"/>
  <c r="CD4"/>
  <c r="CC4"/>
  <c r="CV275"/>
  <c r="BE665"/>
  <c r="DI665"/>
  <c r="AQ667" i="3" s="1"/>
  <c r="DK731" i="1"/>
  <c r="AS733" i="3" s="1"/>
  <c r="BR751" i="1"/>
  <c r="BH671"/>
  <c r="BS289"/>
  <c r="DJ671"/>
  <c r="DK671" s="1"/>
  <c r="DL671" s="1"/>
  <c r="DM671" s="1"/>
  <c r="EB671" s="1"/>
  <c r="EG671" s="1"/>
  <c r="EN696" s="1"/>
  <c r="ES696" s="1"/>
  <c r="BQ474"/>
  <c r="BQ517"/>
  <c r="BR474"/>
  <c r="BR517"/>
  <c r="BS517"/>
  <c r="CY22"/>
  <c r="CX56"/>
  <c r="CX54"/>
  <c r="DI766"/>
  <c r="DH790"/>
  <c r="CY696"/>
  <c r="CX697"/>
  <c r="CX722" s="1"/>
  <c r="S473"/>
  <c r="AU473" s="1"/>
  <c r="R487"/>
  <c r="AT473"/>
  <c r="BV473" s="1"/>
  <c r="R517"/>
  <c r="CU518"/>
  <c r="CU516"/>
  <c r="CV484"/>
  <c r="CW484" s="1"/>
  <c r="CW487"/>
  <c r="CT279"/>
  <c r="CS320"/>
  <c r="DK500"/>
  <c r="DJ525"/>
  <c r="AW648"/>
  <c r="AW917"/>
  <c r="AW650"/>
  <c r="CV641"/>
  <c r="CU657"/>
  <c r="CU655"/>
  <c r="DI632"/>
  <c r="BI145"/>
  <c r="BI188"/>
  <c r="AG188"/>
  <c r="CU15"/>
  <c r="CV15" s="1"/>
  <c r="X214"/>
  <c r="BA214" s="1"/>
  <c r="CE214" s="1"/>
  <c r="Y742"/>
  <c r="BB742" s="1"/>
  <c r="DA616"/>
  <c r="EA616" s="1"/>
  <c r="CW631"/>
  <c r="CW656"/>
  <c r="CX643"/>
  <c r="EA203"/>
  <c r="AL205" i="3"/>
  <c r="R685" i="1"/>
  <c r="AT671"/>
  <c r="AT715" s="1"/>
  <c r="S671"/>
  <c r="R715"/>
  <c r="AS685"/>
  <c r="AS715"/>
  <c r="DA238"/>
  <c r="CY89"/>
  <c r="CX120"/>
  <c r="CY143"/>
  <c r="CX144"/>
  <c r="CX187" s="1"/>
  <c r="DA766"/>
  <c r="DA790" s="1"/>
  <c r="CZ790"/>
  <c r="BY616"/>
  <c r="BX648"/>
  <c r="BX650"/>
  <c r="AV782"/>
  <c r="DI277"/>
  <c r="DH319"/>
  <c r="CV683"/>
  <c r="CW683" s="1"/>
  <c r="CU714"/>
  <c r="DA323"/>
  <c r="DA325"/>
  <c r="DH707"/>
  <c r="DG723"/>
  <c r="AO673" i="3"/>
  <c r="AO675"/>
  <c r="CV257" i="1"/>
  <c r="CV259"/>
  <c r="CW230"/>
  <c r="CU723"/>
  <c r="CU721"/>
  <c r="CV707"/>
  <c r="CV721" s="1"/>
  <c r="AZ11"/>
  <c r="AZ25" s="1"/>
  <c r="CB25" s="1"/>
  <c r="DC11"/>
  <c r="BC742"/>
  <c r="EB908"/>
  <c r="EB57"/>
  <c r="CU724"/>
  <c r="CV700"/>
  <c r="AS487"/>
  <c r="BU487"/>
  <c r="BV487" s="1"/>
  <c r="AS517"/>
  <c r="EB345"/>
  <c r="EG345" s="1"/>
  <c r="DM386"/>
  <c r="DI673"/>
  <c r="DH716"/>
  <c r="DH261"/>
  <c r="DI238"/>
  <c r="DJ238" s="1"/>
  <c r="BR672"/>
  <c r="BR715"/>
  <c r="BQ672"/>
  <c r="BQ715"/>
  <c r="BS715"/>
  <c r="DM717"/>
  <c r="DM918"/>
  <c r="EB674"/>
  <c r="EB918" s="1"/>
  <c r="CV739"/>
  <c r="DK411"/>
  <c r="DJ453"/>
  <c r="AW748"/>
  <c r="U782"/>
  <c r="DF287"/>
  <c r="DE317"/>
  <c r="AM278" i="3"/>
  <c r="CU53" i="1"/>
  <c r="CV9"/>
  <c r="CV53" s="1"/>
  <c r="EA736"/>
  <c r="BW739"/>
  <c r="BX739"/>
  <c r="DM741"/>
  <c r="EE740"/>
  <c r="DC53"/>
  <c r="AK14" i="3"/>
  <c r="DD9" i="1"/>
  <c r="AY25"/>
  <c r="AY55"/>
  <c r="CA203"/>
  <c r="BZ203"/>
  <c r="CX764"/>
  <c r="CW789"/>
  <c r="DA126"/>
  <c r="CV658"/>
  <c r="CW633"/>
  <c r="DA221"/>
  <c r="EA221" s="1"/>
  <c r="EA251" s="1"/>
  <c r="CZ251"/>
  <c r="CS741"/>
  <c r="CT741" s="1"/>
  <c r="CR783"/>
  <c r="CY114"/>
  <c r="CX127"/>
  <c r="CV608"/>
  <c r="CC742"/>
  <c r="CD742"/>
  <c r="CA25"/>
  <c r="BB214"/>
  <c r="BH685"/>
  <c r="CJ685" s="1"/>
  <c r="CK685" s="1"/>
  <c r="BH715"/>
  <c r="BG475"/>
  <c r="AE518"/>
  <c r="DJ609"/>
  <c r="DI114"/>
  <c r="DI127" s="1"/>
  <c r="DH127"/>
  <c r="CW605"/>
  <c r="CX605" s="1"/>
  <c r="CY605" s="1"/>
  <c r="CZ605" s="1"/>
  <c r="DA605" s="1"/>
  <c r="EA605" s="1"/>
  <c r="BE683"/>
  <c r="BE714"/>
  <c r="AC714"/>
  <c r="CX115"/>
  <c r="CX103" s="1"/>
  <c r="CX128" s="1"/>
  <c r="CW103"/>
  <c r="CW128"/>
  <c r="Q289"/>
  <c r="Q751"/>
  <c r="AS275"/>
  <c r="Q318"/>
  <c r="R275"/>
  <c r="Q737"/>
  <c r="AS737" s="1"/>
  <c r="BT289"/>
  <c r="P751"/>
  <c r="CW575"/>
  <c r="CX575" s="1"/>
  <c r="CX617"/>
  <c r="CW648"/>
  <c r="AQ738"/>
  <c r="CX654"/>
  <c r="CY626"/>
  <c r="CZ245"/>
  <c r="CY287"/>
  <c r="CY317" s="1"/>
  <c r="CX317"/>
  <c r="CW675"/>
  <c r="CX675" s="1"/>
  <c r="CX421"/>
  <c r="CY421" s="1"/>
  <c r="CW408"/>
  <c r="CW451"/>
  <c r="CJ677"/>
  <c r="CI677"/>
  <c r="EF677"/>
  <c r="DI180"/>
  <c r="DH193"/>
  <c r="CK683"/>
  <c r="CK714"/>
  <c r="CJ714"/>
  <c r="DL477"/>
  <c r="CX236"/>
  <c r="CW260"/>
  <c r="CY237"/>
  <c r="CX261"/>
  <c r="EG406"/>
  <c r="DD11"/>
  <c r="CU324"/>
  <c r="DH648"/>
  <c r="DI617"/>
  <c r="EN435"/>
  <c r="ES435" s="1"/>
  <c r="EB914"/>
  <c r="CY411"/>
  <c r="CZ411" s="1"/>
  <c r="CX453"/>
  <c r="DH905"/>
  <c r="DI699"/>
  <c r="DH724"/>
  <c r="DH516"/>
  <c r="DI485"/>
  <c r="DI516" s="1"/>
  <c r="AB714"/>
  <c r="BD683"/>
  <c r="Z665"/>
  <c r="BC665" s="1"/>
  <c r="DG665" s="1"/>
  <c r="AO667" i="3" s="1"/>
  <c r="AA731" i="1"/>
  <c r="DK616"/>
  <c r="DL616" s="1"/>
  <c r="DJ650"/>
  <c r="AG56"/>
  <c r="AG54"/>
  <c r="DI909"/>
  <c r="DJ80"/>
  <c r="DI123"/>
  <c r="AQ81" i="3"/>
  <c r="DI518" i="1"/>
  <c r="CW647"/>
  <c r="CX603"/>
  <c r="BR275"/>
  <c r="BQ275"/>
  <c r="AR318"/>
  <c r="AR289"/>
  <c r="DK324"/>
  <c r="AO211" i="3"/>
  <c r="DG260" i="1"/>
  <c r="AO213" i="3"/>
  <c r="DH245" i="1"/>
  <c r="AP211" i="3" s="1"/>
  <c r="DG258" i="1"/>
  <c r="AO212" i="3"/>
  <c r="CW713" i="1"/>
  <c r="CX669"/>
  <c r="CX713" s="1"/>
  <c r="CY551"/>
  <c r="CZ551" s="1"/>
  <c r="CX582"/>
  <c r="CX38"/>
  <c r="CY38" s="1"/>
  <c r="CW63"/>
  <c r="CW122"/>
  <c r="CX79"/>
  <c r="AO751"/>
  <c r="CU276"/>
  <c r="CU318"/>
  <c r="CV289"/>
  <c r="CX607"/>
  <c r="CX650" s="1"/>
  <c r="CW650"/>
  <c r="CW275"/>
  <c r="CW276" s="1"/>
  <c r="CW318" s="1"/>
  <c r="BD731"/>
  <c r="DH731"/>
  <c r="AP733" i="3" s="1"/>
  <c r="BI671" i="1"/>
  <c r="BI715" s="1"/>
  <c r="BE731"/>
  <c r="DI731"/>
  <c r="AQ733" i="3" s="1"/>
  <c r="CW608" i="1"/>
  <c r="CX608" s="1"/>
  <c r="CY608" s="1"/>
  <c r="CZ608" s="1"/>
  <c r="DA608" s="1"/>
  <c r="EA608" s="1"/>
  <c r="EA917" s="1"/>
  <c r="CZ114"/>
  <c r="CY127"/>
  <c r="CS783"/>
  <c r="CW658"/>
  <c r="CX633"/>
  <c r="DE9"/>
  <c r="DF9" s="1"/>
  <c r="DD53"/>
  <c r="AL14" i="3"/>
  <c r="EB741" i="1"/>
  <c r="EG741" s="1"/>
  <c r="CW9"/>
  <c r="AW782"/>
  <c r="DL411"/>
  <c r="DK453"/>
  <c r="CW739"/>
  <c r="CX739" s="1"/>
  <c r="DJ673"/>
  <c r="DI716"/>
  <c r="CW700"/>
  <c r="CX700" s="1"/>
  <c r="CV724"/>
  <c r="CV723"/>
  <c r="CW707"/>
  <c r="CX707" s="1"/>
  <c r="CV714"/>
  <c r="DJ277"/>
  <c r="DI319"/>
  <c r="BY650"/>
  <c r="BY648"/>
  <c r="AT685"/>
  <c r="CY643"/>
  <c r="CZ643" s="1"/>
  <c r="CX631"/>
  <c r="CX656"/>
  <c r="CV518"/>
  <c r="AT487"/>
  <c r="AT517"/>
  <c r="S517"/>
  <c r="T473"/>
  <c r="AV473" s="1"/>
  <c r="CZ696"/>
  <c r="CY697"/>
  <c r="CY722" s="1"/>
  <c r="DJ766"/>
  <c r="DK766" s="1"/>
  <c r="DI790"/>
  <c r="CB11"/>
  <c r="CA11" s="1"/>
  <c r="CY764"/>
  <c r="CY789" s="1"/>
  <c r="CX789"/>
  <c r="DF317"/>
  <c r="AN278" i="3" s="1"/>
  <c r="DG287" i="1"/>
  <c r="DG317" s="1"/>
  <c r="AO278" i="3" s="1"/>
  <c r="EB717" i="1"/>
  <c r="DI261"/>
  <c r="EB386"/>
  <c r="CW257"/>
  <c r="CX230"/>
  <c r="CW259"/>
  <c r="AP673" i="3"/>
  <c r="DH723" i="1"/>
  <c r="DI707"/>
  <c r="DI723" s="1"/>
  <c r="AP675" i="3"/>
  <c r="CZ143" i="1"/>
  <c r="CY144"/>
  <c r="CY187" s="1"/>
  <c r="CY120"/>
  <c r="CZ89"/>
  <c r="T671"/>
  <c r="AV671" s="1"/>
  <c r="AU671"/>
  <c r="S685"/>
  <c r="BW685" s="1"/>
  <c r="S715"/>
  <c r="W214"/>
  <c r="W742" s="1"/>
  <c r="X742"/>
  <c r="CB742" s="1"/>
  <c r="DJ632"/>
  <c r="DK632" s="1"/>
  <c r="DL632" s="1"/>
  <c r="DM632" s="1"/>
  <c r="CW641"/>
  <c r="CX641" s="1"/>
  <c r="CV657"/>
  <c r="CV655"/>
  <c r="DL500"/>
  <c r="DL525" s="1"/>
  <c r="DK525"/>
  <c r="CU279"/>
  <c r="CT320"/>
  <c r="CX487"/>
  <c r="CY56"/>
  <c r="CZ22"/>
  <c r="DA22" s="1"/>
  <c r="CY54"/>
  <c r="BA11"/>
  <c r="BA55" s="1"/>
  <c r="BI685"/>
  <c r="CW289"/>
  <c r="CV276"/>
  <c r="CV318" s="1"/>
  <c r="CX63"/>
  <c r="CY582"/>
  <c r="CY669"/>
  <c r="CY713" s="1"/>
  <c r="CX647"/>
  <c r="CY603"/>
  <c r="CY647" s="1"/>
  <c r="DJ909"/>
  <c r="DK80"/>
  <c r="DJ123"/>
  <c r="AR81" i="3"/>
  <c r="DK650" i="1"/>
  <c r="Y665"/>
  <c r="Y731" s="1"/>
  <c r="Z683"/>
  <c r="DJ485"/>
  <c r="DJ516" s="1"/>
  <c r="CY453"/>
  <c r="CX408"/>
  <c r="CX451" s="1"/>
  <c r="DA245"/>
  <c r="CZ626"/>
  <c r="CZ654" s="1"/>
  <c r="CY654"/>
  <c r="CY617"/>
  <c r="CY648" s="1"/>
  <c r="CX648"/>
  <c r="P738"/>
  <c r="AR738" s="1"/>
  <c r="BT751"/>
  <c r="CY115"/>
  <c r="CZ115" s="1"/>
  <c r="DJ114"/>
  <c r="DJ127" s="1"/>
  <c r="EE475"/>
  <c r="EO500" s="1"/>
  <c r="Q738"/>
  <c r="AS738" s="1"/>
  <c r="CY607"/>
  <c r="CY650" s="1"/>
  <c r="CY79"/>
  <c r="CY122" s="1"/>
  <c r="CX122"/>
  <c r="DH260"/>
  <c r="DI245"/>
  <c r="DJ245" s="1"/>
  <c r="CF683"/>
  <c r="CF714" s="1"/>
  <c r="BD714"/>
  <c r="DJ699"/>
  <c r="DK699" s="1"/>
  <c r="DI724"/>
  <c r="DI905"/>
  <c r="DI648"/>
  <c r="DJ617"/>
  <c r="CZ237"/>
  <c r="CY261"/>
  <c r="CY236"/>
  <c r="CX260"/>
  <c r="DM477"/>
  <c r="DJ180"/>
  <c r="DI193"/>
  <c r="EF743"/>
  <c r="CZ287"/>
  <c r="DA287" s="1"/>
  <c r="R318"/>
  <c r="R289"/>
  <c r="R751"/>
  <c r="R738" s="1"/>
  <c r="AT275"/>
  <c r="AT318" s="1"/>
  <c r="S275"/>
  <c r="R737"/>
  <c r="AT737" s="1"/>
  <c r="AS289"/>
  <c r="BU289"/>
  <c r="AS318"/>
  <c r="DK609"/>
  <c r="AA683"/>
  <c r="BC683" s="1"/>
  <c r="BC714" s="1"/>
  <c r="CW655"/>
  <c r="EF145"/>
  <c r="EF188" s="1"/>
  <c r="T685"/>
  <c r="U671"/>
  <c r="AW671" s="1"/>
  <c r="DA143"/>
  <c r="DA144" s="1"/>
  <c r="CZ144"/>
  <c r="CZ187"/>
  <c r="CY230"/>
  <c r="CX257"/>
  <c r="CX259"/>
  <c r="DH287"/>
  <c r="DJ790"/>
  <c r="DA696"/>
  <c r="DA697" s="1"/>
  <c r="DA722" s="1"/>
  <c r="CZ697"/>
  <c r="CZ722"/>
  <c r="U473"/>
  <c r="AW473" s="1"/>
  <c r="DK277"/>
  <c r="DJ319"/>
  <c r="CW724"/>
  <c r="DK673"/>
  <c r="DK716" s="1"/>
  <c r="DJ716"/>
  <c r="DM411"/>
  <c r="EB411" s="1"/>
  <c r="DL453"/>
  <c r="CX658"/>
  <c r="CY633"/>
  <c r="CY658" s="1"/>
  <c r="BA25"/>
  <c r="BB11"/>
  <c r="BB25" s="1"/>
  <c r="CD25" s="1"/>
  <c r="CE25" s="1"/>
  <c r="BC11"/>
  <c r="BC25" s="1"/>
  <c r="CZ56"/>
  <c r="CU320"/>
  <c r="CV279"/>
  <c r="CW279" s="1"/>
  <c r="V214"/>
  <c r="AX214" s="1"/>
  <c r="AU715"/>
  <c r="AU685"/>
  <c r="CZ120"/>
  <c r="DA89"/>
  <c r="AQ673" i="3"/>
  <c r="CZ764" i="1"/>
  <c r="DA764" s="1"/>
  <c r="DA789" s="1"/>
  <c r="BZ11"/>
  <c r="CY631"/>
  <c r="CY656" s="1"/>
  <c r="CW723"/>
  <c r="CX9"/>
  <c r="CX53" s="1"/>
  <c r="CW53"/>
  <c r="DA114"/>
  <c r="DL609"/>
  <c r="AT289"/>
  <c r="BV275"/>
  <c r="BT275" s="1"/>
  <c r="EB477"/>
  <c r="CZ236"/>
  <c r="CY260"/>
  <c r="DA237"/>
  <c r="DA261"/>
  <c r="CZ261"/>
  <c r="DJ648"/>
  <c r="DJ905"/>
  <c r="DJ724"/>
  <c r="CG683"/>
  <c r="CH683" s="1"/>
  <c r="CH714" s="1"/>
  <c r="CY103"/>
  <c r="CY128" s="1"/>
  <c r="CZ617"/>
  <c r="DA617" s="1"/>
  <c r="DK485"/>
  <c r="DK516" s="1"/>
  <c r="BB683"/>
  <c r="BB714" s="1"/>
  <c r="Z714"/>
  <c r="BA665"/>
  <c r="CX289"/>
  <c r="AA714"/>
  <c r="EE739"/>
  <c r="T275"/>
  <c r="T289" s="1"/>
  <c r="S289"/>
  <c r="S318"/>
  <c r="AU275"/>
  <c r="S737"/>
  <c r="AU737" s="1"/>
  <c r="CZ317"/>
  <c r="DK180"/>
  <c r="DL180" s="1"/>
  <c r="DJ193"/>
  <c r="AQ211" i="3"/>
  <c r="DI258" i="1"/>
  <c r="AQ212" i="3" s="1"/>
  <c r="DI260" i="1"/>
  <c r="CZ79"/>
  <c r="CZ122" s="1"/>
  <c r="CZ607"/>
  <c r="DA607" s="1"/>
  <c r="DK114"/>
  <c r="DA626"/>
  <c r="DA654" s="1"/>
  <c r="DK909"/>
  <c r="DK123"/>
  <c r="AS81" i="3"/>
  <c r="DL80" i="1"/>
  <c r="AT81" i="3" s="1"/>
  <c r="CZ603" i="1"/>
  <c r="CZ647" s="1"/>
  <c r="CZ669"/>
  <c r="DA669" s="1"/>
  <c r="BV289"/>
  <c r="BB665"/>
  <c r="V742"/>
  <c r="AX742" s="1"/>
  <c r="DB742" s="1"/>
  <c r="BC55"/>
  <c r="BB55"/>
  <c r="DL277"/>
  <c r="DL319" s="1"/>
  <c r="DK319"/>
  <c r="DH317"/>
  <c r="AP278" i="3" s="1"/>
  <c r="DI287" i="1"/>
  <c r="DI317" s="1"/>
  <c r="AQ278" i="3" s="1"/>
  <c r="CY257" i="1"/>
  <c r="CZ230"/>
  <c r="CZ257" s="1"/>
  <c r="CY259"/>
  <c r="CE11"/>
  <c r="CC11" s="1"/>
  <c r="EA89"/>
  <c r="EA120" s="1"/>
  <c r="DA120"/>
  <c r="CY9"/>
  <c r="CY53" s="1"/>
  <c r="CV320"/>
  <c r="CZ633"/>
  <c r="DM453"/>
  <c r="DL673"/>
  <c r="DM673" s="1"/>
  <c r="U517"/>
  <c r="EA143"/>
  <c r="U715"/>
  <c r="U685"/>
  <c r="AY214"/>
  <c r="DL909"/>
  <c r="DM80"/>
  <c r="DK127"/>
  <c r="CZ650"/>
  <c r="DA79"/>
  <c r="DA122" s="1"/>
  <c r="T318"/>
  <c r="U275"/>
  <c r="AW275" s="1"/>
  <c r="T737"/>
  <c r="AV737" s="1"/>
  <c r="DL485"/>
  <c r="DL516" s="1"/>
  <c r="CG714"/>
  <c r="DM609"/>
  <c r="EB609" s="1"/>
  <c r="CZ713"/>
  <c r="DA603"/>
  <c r="EA603" s="1"/>
  <c r="EA647" s="1"/>
  <c r="AU289"/>
  <c r="AU318"/>
  <c r="BW289"/>
  <c r="CY289"/>
  <c r="CZ289" s="1"/>
  <c r="CZ648"/>
  <c r="DA236"/>
  <c r="DA260" s="1"/>
  <c r="CZ260"/>
  <c r="EG477"/>
  <c r="BU275"/>
  <c r="DL716"/>
  <c r="DA633"/>
  <c r="DA658" s="1"/>
  <c r="CZ658"/>
  <c r="CD11"/>
  <c r="CE12"/>
  <c r="CE55" s="1"/>
  <c r="DJ287"/>
  <c r="DJ317" s="1"/>
  <c r="AR278" i="3" s="1"/>
  <c r="CZ9" i="1"/>
  <c r="CZ259"/>
  <c r="EJ238"/>
  <c r="DM277"/>
  <c r="EB277" s="1"/>
  <c r="U318"/>
  <c r="U737"/>
  <c r="AW737" s="1"/>
  <c r="EA79"/>
  <c r="EA122" s="1"/>
  <c r="FC79"/>
  <c r="FD80"/>
  <c r="EB80"/>
  <c r="EB123" s="1"/>
  <c r="DA647"/>
  <c r="DM485"/>
  <c r="DM516" s="1"/>
  <c r="EE11"/>
  <c r="EO35" s="1"/>
  <c r="EE25"/>
  <c r="DK287"/>
  <c r="DL287" s="1"/>
  <c r="CC12"/>
  <c r="CD12"/>
  <c r="DM319"/>
  <c r="DA9"/>
  <c r="FC9" s="1"/>
  <c r="EB485"/>
  <c r="EG485" s="1"/>
  <c r="EG80"/>
  <c r="EB909"/>
  <c r="EA9"/>
  <c r="EA53" s="1"/>
  <c r="DK317"/>
  <c r="AS278" i="3" s="1"/>
  <c r="EF11" i="1"/>
  <c r="AJ610" i="3"/>
  <c r="DB649" i="1"/>
  <c r="DC606"/>
  <c r="DD606" s="1"/>
  <c r="AK610" i="3"/>
  <c r="EF12" i="1"/>
  <c r="E14" i="3"/>
  <c r="DC449" i="1"/>
  <c r="AK410" i="3"/>
  <c r="DD449" i="1"/>
  <c r="AL410" i="3"/>
  <c r="CI449" i="1"/>
  <c r="CC449"/>
  <c r="CF449"/>
  <c r="CD449"/>
  <c r="DE449"/>
  <c r="AM410" i="3"/>
  <c r="DF449" i="1"/>
  <c r="AN410" i="3"/>
  <c r="DG449" i="1"/>
  <c r="AO410" i="3" s="1"/>
  <c r="DH449" i="1"/>
  <c r="AP410" i="3" s="1"/>
  <c r="DI449" i="1"/>
  <c r="AQ410" i="3" s="1"/>
  <c r="DJ449" i="1"/>
  <c r="AR410" i="3"/>
  <c r="DK449" i="1"/>
  <c r="AS410" i="3" s="1"/>
  <c r="DL449" i="1"/>
  <c r="DM449"/>
  <c r="EB405"/>
  <c r="EG405"/>
  <c r="EB449"/>
  <c r="N75" i="3"/>
  <c r="EM433" i="1"/>
  <c r="ER433" s="1"/>
  <c r="EP432"/>
  <c r="N85" i="3"/>
  <c r="EP374" i="1"/>
  <c r="EP174"/>
  <c r="EM300"/>
  <c r="ER300" s="1"/>
  <c r="EP292"/>
  <c r="K271" i="3" s="1"/>
  <c r="EI325" i="1"/>
  <c r="CH584"/>
  <c r="EF539"/>
  <c r="CN474"/>
  <c r="CJ449"/>
  <c r="CG449"/>
  <c r="EF408"/>
  <c r="CN342"/>
  <c r="CL342" s="1"/>
  <c r="EG908"/>
  <c r="N346" i="3"/>
  <c r="Q541"/>
  <c r="EP109" i="1"/>
  <c r="Q205" i="3"/>
  <c r="R205" s="1"/>
  <c r="EG452" i="1"/>
  <c r="EM505"/>
  <c r="ER505" s="1"/>
  <c r="EG713"/>
  <c r="Q674" i="3" s="1"/>
  <c r="R674" s="1"/>
  <c r="N271"/>
  <c r="EI524" i="1"/>
  <c r="N478" i="3"/>
  <c r="EF672" i="1"/>
  <c r="EF540"/>
  <c r="CM474"/>
  <c r="CL474"/>
  <c r="CM342"/>
  <c r="CM276"/>
  <c r="CL276"/>
  <c r="EF276" s="1"/>
  <c r="EF210"/>
  <c r="EF146"/>
  <c r="EL94"/>
  <c r="EQ94" s="1"/>
  <c r="EO171"/>
  <c r="EL171"/>
  <c r="EQ171" s="1"/>
  <c r="EO697"/>
  <c r="EE318"/>
  <c r="EL305"/>
  <c r="EQ305" s="1"/>
  <c r="E470" i="3"/>
  <c r="EO492" i="1"/>
  <c r="D470" i="3" s="1"/>
  <c r="F480"/>
  <c r="F415"/>
  <c r="EE120" i="1"/>
  <c r="EO431"/>
  <c r="DC649"/>
  <c r="L536" i="3"/>
  <c r="L343"/>
  <c r="N280"/>
  <c r="EH763" i="1"/>
  <c r="EL763" s="1"/>
  <c r="EQ763" s="1"/>
  <c r="CI625"/>
  <c r="CJ625"/>
  <c r="EI625"/>
  <c r="AT603" i="3"/>
  <c r="DM625" i="1"/>
  <c r="AU603" i="3" s="1"/>
  <c r="AT273"/>
  <c r="S676"/>
  <c r="EJ722" i="1"/>
  <c r="EH722"/>
  <c r="CI656"/>
  <c r="CI565"/>
  <c r="CI590" s="1"/>
  <c r="CJ565"/>
  <c r="CJ590" s="1"/>
  <c r="EI565"/>
  <c r="N544" i="3" s="1"/>
  <c r="CK590" i="1"/>
  <c r="EI564"/>
  <c r="EL367"/>
  <c r="EQ367" s="1"/>
  <c r="EO367"/>
  <c r="EH325"/>
  <c r="CI325"/>
  <c r="EH259"/>
  <c r="DL235"/>
  <c r="EJ169"/>
  <c r="S148" i="3" s="1"/>
  <c r="CK37" i="1"/>
  <c r="CK62" s="1"/>
  <c r="CJ62"/>
  <c r="CI905"/>
  <c r="CJ905"/>
  <c r="CJ897"/>
  <c r="CI897"/>
  <c r="EJ37"/>
  <c r="EN37" s="1"/>
  <c r="ES37" s="1"/>
  <c r="EI49"/>
  <c r="EN46"/>
  <c r="ES46" s="1"/>
  <c r="DM440"/>
  <c r="CK440"/>
  <c r="EO176"/>
  <c r="DM770"/>
  <c r="CI900"/>
  <c r="CJ900"/>
  <c r="EL565"/>
  <c r="EQ565" s="1"/>
  <c r="BH895"/>
  <c r="DM895"/>
  <c r="CI741"/>
  <c r="CJ741"/>
  <c r="CJ147"/>
  <c r="CI147"/>
  <c r="DL791"/>
  <c r="EH770"/>
  <c r="EO770" s="1"/>
  <c r="CJ708"/>
  <c r="EH708"/>
  <c r="EH890"/>
  <c r="F679" i="3" s="1"/>
  <c r="EH889" i="1"/>
  <c r="F613" i="3" s="1"/>
  <c r="CI882" i="1"/>
  <c r="DL891"/>
  <c r="N545" i="3"/>
  <c r="DL860" i="1"/>
  <c r="DL876"/>
  <c r="EJ865"/>
  <c r="S18" i="3" s="1"/>
  <c r="BH392" i="1"/>
  <c r="EH377"/>
  <c r="DL377"/>
  <c r="CJ377"/>
  <c r="BH390"/>
  <c r="DL642"/>
  <c r="CJ642"/>
  <c r="CK510"/>
  <c r="EI510"/>
  <c r="EJ510"/>
  <c r="DL444"/>
  <c r="CJ444"/>
  <c r="BH324"/>
  <c r="CJ312"/>
  <c r="DL312"/>
  <c r="AF324"/>
  <c r="CJ246"/>
  <c r="DL246"/>
  <c r="BH127"/>
  <c r="DL114"/>
  <c r="CJ114"/>
  <c r="DM569"/>
  <c r="EJ569"/>
  <c r="EO173"/>
  <c r="EL173"/>
  <c r="EQ173" s="1"/>
  <c r="EJ107"/>
  <c r="EH767"/>
  <c r="CK767"/>
  <c r="DL767"/>
  <c r="DM500"/>
  <c r="DM525" s="1"/>
  <c r="EH459"/>
  <c r="EL434"/>
  <c r="EQ434" s="1"/>
  <c r="DL459"/>
  <c r="EJ302"/>
  <c r="EJ104"/>
  <c r="EM38"/>
  <c r="ER38" s="1"/>
  <c r="DL764"/>
  <c r="EH63"/>
  <c r="DM38"/>
  <c r="EJ38"/>
  <c r="CI556"/>
  <c r="CJ556"/>
  <c r="EI556"/>
  <c r="EJ556"/>
  <c r="S535" i="3" s="1"/>
  <c r="CI490" i="1"/>
  <c r="CJ490"/>
  <c r="EI490"/>
  <c r="DL424"/>
  <c r="EJ226"/>
  <c r="EN226" s="1"/>
  <c r="ES226" s="1"/>
  <c r="DL754"/>
  <c r="EL570"/>
  <c r="EQ570" s="1"/>
  <c r="CJ240"/>
  <c r="EI240"/>
  <c r="CI240"/>
  <c r="DM108"/>
  <c r="EJ108"/>
  <c r="EH108"/>
  <c r="DL768"/>
  <c r="EH768"/>
  <c r="CK768"/>
  <c r="DM42"/>
  <c r="EJ42"/>
  <c r="CJ363"/>
  <c r="CK389"/>
  <c r="CI363"/>
  <c r="CI389"/>
  <c r="DM456"/>
  <c r="DL456"/>
  <c r="EJ429"/>
  <c r="AT80" i="3"/>
  <c r="BH759" i="1"/>
  <c r="BH786"/>
  <c r="F207" i="3"/>
  <c r="S206"/>
  <c r="EO97" i="1"/>
  <c r="D75" i="3" s="1"/>
  <c r="F75"/>
  <c r="DL97" i="1"/>
  <c r="AT75" i="3" s="1"/>
  <c r="EJ97" i="1"/>
  <c r="EN97" s="1"/>
  <c r="ES97" s="1"/>
  <c r="N602" i="3"/>
  <c r="CJ690" i="1"/>
  <c r="EI690"/>
  <c r="CI690"/>
  <c r="DL689"/>
  <c r="EJ689"/>
  <c r="EN689" s="1"/>
  <c r="ES689" s="1"/>
  <c r="F140" i="3"/>
  <c r="DL162" i="1"/>
  <c r="AT140" i="3" s="1"/>
  <c r="EJ162" i="1"/>
  <c r="EN558"/>
  <c r="ES558" s="1"/>
  <c r="DL757"/>
  <c r="DL756"/>
  <c r="AT734" i="3" s="1"/>
  <c r="CK756" i="1"/>
  <c r="EO30"/>
  <c r="D9" i="3" s="1"/>
  <c r="F8"/>
  <c r="BH723" i="1"/>
  <c r="EH707"/>
  <c r="CJ707"/>
  <c r="BH721"/>
  <c r="BH655"/>
  <c r="EH641"/>
  <c r="EO641" s="1"/>
  <c r="D607" i="3" s="1"/>
  <c r="CJ641" i="1"/>
  <c r="BH657"/>
  <c r="EO628"/>
  <c r="BI657"/>
  <c r="BH904"/>
  <c r="BH903"/>
  <c r="BH906" s="1"/>
  <c r="DL562"/>
  <c r="EJ562"/>
  <c r="BH902"/>
  <c r="BH459"/>
  <c r="DL443"/>
  <c r="CJ443"/>
  <c r="BH457"/>
  <c r="EH389"/>
  <c r="F344" i="3" s="1"/>
  <c r="EL311" i="1"/>
  <c r="EQ311" s="1"/>
  <c r="AT277" i="3"/>
  <c r="BH258" i="1"/>
  <c r="BH260"/>
  <c r="CJ245"/>
  <c r="DL898"/>
  <c r="AF260"/>
  <c r="BI258"/>
  <c r="AT79" i="3"/>
  <c r="BH789" i="1"/>
  <c r="BH787"/>
  <c r="DL773"/>
  <c r="CJ773"/>
  <c r="CJ787" s="1"/>
  <c r="DL760"/>
  <c r="AT13" i="3"/>
  <c r="CK460" i="1"/>
  <c r="CJ436"/>
  <c r="CI436"/>
  <c r="CI460" s="1"/>
  <c r="CJ370"/>
  <c r="CI370"/>
  <c r="CI393" s="1"/>
  <c r="CK393"/>
  <c r="EJ304"/>
  <c r="DM237"/>
  <c r="EJ237"/>
  <c r="BH790"/>
  <c r="EL240"/>
  <c r="EQ240" s="1"/>
  <c r="DL753"/>
  <c r="EB582"/>
  <c r="EL505"/>
  <c r="EL703"/>
  <c r="EJ601"/>
  <c r="EL373"/>
  <c r="AF906"/>
  <c r="R668" i="3"/>
  <c r="R536"/>
  <c r="L75"/>
  <c r="L535"/>
  <c r="R339"/>
  <c r="AT735"/>
  <c r="DL259" i="1"/>
  <c r="CJ440"/>
  <c r="EI440"/>
  <c r="CI440"/>
  <c r="EF147"/>
  <c r="EM172" s="1"/>
  <c r="ER172" s="1"/>
  <c r="CK708"/>
  <c r="AT343" i="3"/>
  <c r="DL392" i="1"/>
  <c r="DL390"/>
  <c r="DM377"/>
  <c r="AT739" i="3"/>
  <c r="CJ392" i="1"/>
  <c r="CK377"/>
  <c r="CK392" s="1"/>
  <c r="CJ390"/>
  <c r="CJ324"/>
  <c r="DL324"/>
  <c r="CJ127"/>
  <c r="DL127"/>
  <c r="EJ767"/>
  <c r="DM767"/>
  <c r="CI767"/>
  <c r="CJ767"/>
  <c r="EI767"/>
  <c r="AT403" i="3"/>
  <c r="EJ424" i="1"/>
  <c r="EN424" s="1"/>
  <c r="ES424" s="1"/>
  <c r="AT733" i="3"/>
  <c r="CI768" i="1"/>
  <c r="CJ768"/>
  <c r="DM768"/>
  <c r="EI363"/>
  <c r="CJ389"/>
  <c r="DL759"/>
  <c r="CI756"/>
  <c r="CJ756"/>
  <c r="CJ721"/>
  <c r="CJ723"/>
  <c r="CK707"/>
  <c r="CK721" s="1"/>
  <c r="EI707"/>
  <c r="N673" i="3" s="1"/>
  <c r="CJ655" i="1"/>
  <c r="CJ657"/>
  <c r="CK641"/>
  <c r="EI641"/>
  <c r="AT409" i="3"/>
  <c r="AT411"/>
  <c r="CJ260" i="1"/>
  <c r="CJ258"/>
  <c r="CK245"/>
  <c r="CK260" s="1"/>
  <c r="DL789"/>
  <c r="DL787"/>
  <c r="CJ460"/>
  <c r="EI370"/>
  <c r="CJ393"/>
  <c r="DM392"/>
  <c r="CK723"/>
  <c r="CK657"/>
  <c r="EE340"/>
  <c r="EN852"/>
  <c r="ES852" s="1"/>
  <c r="S611" i="3"/>
  <c r="EI859" i="1"/>
  <c r="CM859"/>
  <c r="EN851"/>
  <c r="ES851" s="1"/>
  <c r="S545" i="3"/>
  <c r="CM850" i="1"/>
  <c r="DM860"/>
  <c r="EJ850"/>
  <c r="CI860"/>
  <c r="BJ860"/>
  <c r="CM889"/>
  <c r="CM882"/>
  <c r="CL882"/>
  <c r="EI882" s="1"/>
  <c r="CJ891"/>
  <c r="CM888"/>
  <c r="CL888"/>
  <c r="EI888" s="1"/>
  <c r="N547" i="3" s="1"/>
  <c r="CI891" i="1"/>
  <c r="EJ869"/>
  <c r="S282" i="3" s="1"/>
  <c r="DM876" i="1"/>
  <c r="CI876"/>
  <c r="EN853"/>
  <c r="ES853" s="1"/>
  <c r="S281" i="3"/>
  <c r="DM891" i="1"/>
  <c r="EJ880"/>
  <c r="EO109"/>
  <c r="EO241"/>
  <c r="CJ108"/>
  <c r="CI108"/>
  <c r="EI108"/>
  <c r="EL107"/>
  <c r="EQ107" s="1"/>
  <c r="EM503"/>
  <c r="ER503" s="1"/>
  <c r="EO372"/>
  <c r="CJ438"/>
  <c r="CI438"/>
  <c r="EH438"/>
  <c r="DM769"/>
  <c r="EH769"/>
  <c r="EO769" s="1"/>
  <c r="CK769"/>
  <c r="EO236"/>
  <c r="DM236"/>
  <c r="EL632"/>
  <c r="EQ632" s="1"/>
  <c r="EH657"/>
  <c r="EJ500"/>
  <c r="EO566"/>
  <c r="EH591"/>
  <c r="EH764"/>
  <c r="CK764"/>
  <c r="DM764"/>
  <c r="CI233"/>
  <c r="CJ233"/>
  <c r="EI233"/>
  <c r="CK246"/>
  <c r="DM246"/>
  <c r="EH233"/>
  <c r="EO233" s="1"/>
  <c r="DM233"/>
  <c r="EJ233"/>
  <c r="CK114"/>
  <c r="DM114"/>
  <c r="EH114"/>
  <c r="EL114" s="1"/>
  <c r="EQ114" s="1"/>
  <c r="BI127"/>
  <c r="EH642"/>
  <c r="BI655"/>
  <c r="CK642"/>
  <c r="DM642"/>
  <c r="CK523"/>
  <c r="BI721"/>
  <c r="EH180"/>
  <c r="EL180" s="1"/>
  <c r="EQ180" s="1"/>
  <c r="CK180"/>
  <c r="EI180"/>
  <c r="EP180" s="1"/>
  <c r="EJ180"/>
  <c r="CK444"/>
  <c r="EI444"/>
  <c r="DM444"/>
  <c r="EJ444"/>
  <c r="EH444"/>
  <c r="EO444" s="1"/>
  <c r="DM576"/>
  <c r="CK576"/>
  <c r="EH576"/>
  <c r="BI589"/>
  <c r="DM35"/>
  <c r="EJ35"/>
  <c r="BI312"/>
  <c r="EH761"/>
  <c r="DM761"/>
  <c r="EJ761"/>
  <c r="CK761"/>
  <c r="CK774"/>
  <c r="DM774"/>
  <c r="DM48"/>
  <c r="EH48"/>
  <c r="EO48" s="1"/>
  <c r="CK48"/>
  <c r="EI48"/>
  <c r="EO237"/>
  <c r="CI898"/>
  <c r="BI898"/>
  <c r="DM898"/>
  <c r="EJ245"/>
  <c r="S211" i="3" s="1"/>
  <c r="EH232" i="1"/>
  <c r="EH260" s="1"/>
  <c r="BI896"/>
  <c r="DM896"/>
  <c r="AU79" i="3"/>
  <c r="EO634" i="1"/>
  <c r="EL634"/>
  <c r="EQ634" s="1"/>
  <c r="EJ641"/>
  <c r="DM902"/>
  <c r="DM393"/>
  <c r="DM900"/>
  <c r="AU343" i="3"/>
  <c r="BI905" i="1"/>
  <c r="EJ707"/>
  <c r="S673" i="3" s="1"/>
  <c r="EI40" i="1"/>
  <c r="CI40"/>
  <c r="CI64" s="1"/>
  <c r="CJ40"/>
  <c r="CJ64" s="1"/>
  <c r="CK64"/>
  <c r="DM64"/>
  <c r="EJ895"/>
  <c r="ES895" s="1"/>
  <c r="BI895"/>
  <c r="BI63"/>
  <c r="CK47"/>
  <c r="BI61"/>
  <c r="EH47"/>
  <c r="EL47" s="1"/>
  <c r="EQ47" s="1"/>
  <c r="DM47"/>
  <c r="AG787"/>
  <c r="BI897"/>
  <c r="BI906" s="1"/>
  <c r="BI195"/>
  <c r="BI193"/>
  <c r="EH179"/>
  <c r="F145" i="3" s="1"/>
  <c r="DM179" i="1"/>
  <c r="CK179"/>
  <c r="BI901"/>
  <c r="BI457"/>
  <c r="EH443"/>
  <c r="F409" i="3" s="1"/>
  <c r="CK443" i="1"/>
  <c r="BI459"/>
  <c r="DM443"/>
  <c r="DM430"/>
  <c r="EL568"/>
  <c r="EQ568" s="1"/>
  <c r="EO568"/>
  <c r="CK568"/>
  <c r="BI903"/>
  <c r="F541" i="3"/>
  <c r="C541" s="1"/>
  <c r="CK766" i="1"/>
  <c r="EH766"/>
  <c r="EL766" s="1"/>
  <c r="EQ766" s="1"/>
  <c r="BI790"/>
  <c r="EH765"/>
  <c r="CK765"/>
  <c r="DM765"/>
  <c r="BI899"/>
  <c r="DM760"/>
  <c r="EH760"/>
  <c r="CK760"/>
  <c r="DM899"/>
  <c r="AU277" i="3"/>
  <c r="BI773" i="1"/>
  <c r="AG906"/>
  <c r="EJ99"/>
  <c r="DM126"/>
  <c r="EH99"/>
  <c r="EO98"/>
  <c r="EH654"/>
  <c r="F608" i="3" s="1"/>
  <c r="EJ494" i="1"/>
  <c r="EJ522" s="1"/>
  <c r="EJ165"/>
  <c r="EN165" s="1"/>
  <c r="ES165" s="1"/>
  <c r="EL428"/>
  <c r="EQ428" s="1"/>
  <c r="EH588"/>
  <c r="F542" i="3" s="1"/>
  <c r="DM561" i="1"/>
  <c r="DM323"/>
  <c r="EJ297"/>
  <c r="EJ296"/>
  <c r="DM759"/>
  <c r="EH759"/>
  <c r="CK759"/>
  <c r="DM60"/>
  <c r="EJ33"/>
  <c r="EN33" s="1"/>
  <c r="ES33" s="1"/>
  <c r="CK758"/>
  <c r="BI786"/>
  <c r="EH758"/>
  <c r="EL32"/>
  <c r="EQ32" s="1"/>
  <c r="EH60"/>
  <c r="CJ228"/>
  <c r="CI228"/>
  <c r="EI228"/>
  <c r="EJ96"/>
  <c r="S74" i="3" s="1"/>
  <c r="F603"/>
  <c r="EL625" i="1"/>
  <c r="EQ625" s="1"/>
  <c r="EJ625"/>
  <c r="EJ624"/>
  <c r="S602" i="3" s="1"/>
  <c r="AU470"/>
  <c r="EJ361" i="1"/>
  <c r="S339" i="3" s="1"/>
  <c r="EJ691" i="1"/>
  <c r="S669" i="3" s="1"/>
  <c r="AU669"/>
  <c r="AU9"/>
  <c r="EJ427" i="1"/>
  <c r="S405" i="3" s="1"/>
  <c r="AU405"/>
  <c r="EJ426" i="1"/>
  <c r="S404" i="3" s="1"/>
  <c r="AU404"/>
  <c r="EJ559" i="1"/>
  <c r="S537" i="3" s="1"/>
  <c r="EH757" i="1"/>
  <c r="DM757"/>
  <c r="AU735" i="3" s="1"/>
  <c r="CK757" i="1"/>
  <c r="AU273" i="3"/>
  <c r="EJ295" i="1"/>
  <c r="EN227"/>
  <c r="ES227" s="1"/>
  <c r="CJ226"/>
  <c r="EI226"/>
  <c r="CI226"/>
  <c r="AU601" i="3"/>
  <c r="AU337"/>
  <c r="EJ358" i="1"/>
  <c r="S337" i="3" s="1"/>
  <c r="AU667"/>
  <c r="AU7"/>
  <c r="EJ28" i="1"/>
  <c r="S7" i="3" s="1"/>
  <c r="EH28" i="1"/>
  <c r="AU139" i="3"/>
  <c r="F403"/>
  <c r="EJ292" i="1"/>
  <c r="S271" i="3" s="1"/>
  <c r="EH754" i="1"/>
  <c r="DM754"/>
  <c r="CK754"/>
  <c r="CI621"/>
  <c r="CJ621"/>
  <c r="DM687"/>
  <c r="EJ687"/>
  <c r="EN291"/>
  <c r="ES291" s="1"/>
  <c r="EH753"/>
  <c r="DM753"/>
  <c r="CK753"/>
  <c r="EL770"/>
  <c r="EL308"/>
  <c r="L13" i="3"/>
  <c r="CI769" i="1"/>
  <c r="CJ769"/>
  <c r="EJ236"/>
  <c r="CJ764"/>
  <c r="CJ789"/>
  <c r="CI764"/>
  <c r="CI789"/>
  <c r="EJ246"/>
  <c r="EN246" s="1"/>
  <c r="ES246" s="1"/>
  <c r="CK258"/>
  <c r="CK127"/>
  <c r="DM127"/>
  <c r="CK655"/>
  <c r="EJ576"/>
  <c r="EN576" s="1"/>
  <c r="ES576" s="1"/>
  <c r="CK589"/>
  <c r="EI576"/>
  <c r="EH312"/>
  <c r="CK312"/>
  <c r="DM312"/>
  <c r="BI324"/>
  <c r="EJ467"/>
  <c r="EJ48"/>
  <c r="EJ401"/>
  <c r="EJ665"/>
  <c r="EJ731"/>
  <c r="EJ269"/>
  <c r="EJ137"/>
  <c r="EJ599"/>
  <c r="EJ71"/>
  <c r="EJ335"/>
  <c r="EJ203"/>
  <c r="EJ533"/>
  <c r="CJ761"/>
  <c r="CI761"/>
  <c r="CJ896"/>
  <c r="CK906"/>
  <c r="CI896"/>
  <c r="CI901"/>
  <c r="CI906" s="1"/>
  <c r="CJ901"/>
  <c r="DM63"/>
  <c r="AU13" i="3"/>
  <c r="DM61" i="1"/>
  <c r="CK61"/>
  <c r="CK63"/>
  <c r="CK195"/>
  <c r="CK193"/>
  <c r="EJ430"/>
  <c r="DM901"/>
  <c r="DM457"/>
  <c r="DM459"/>
  <c r="AU411" i="3"/>
  <c r="AU409"/>
  <c r="CK592" i="1"/>
  <c r="CJ568"/>
  <c r="CJ592" s="1"/>
  <c r="CI568"/>
  <c r="CI592" s="1"/>
  <c r="EI568"/>
  <c r="CJ766"/>
  <c r="CI766"/>
  <c r="CI765"/>
  <c r="CK790"/>
  <c r="CJ765"/>
  <c r="BI787"/>
  <c r="BI789"/>
  <c r="EH773"/>
  <c r="DM773"/>
  <c r="CK773"/>
  <c r="CJ760"/>
  <c r="CI760"/>
  <c r="DM789"/>
  <c r="DM787"/>
  <c r="EJ760"/>
  <c r="EJ561"/>
  <c r="CI759"/>
  <c r="CJ759"/>
  <c r="EJ758"/>
  <c r="CJ758"/>
  <c r="CI758"/>
  <c r="CI786" s="1"/>
  <c r="CK786"/>
  <c r="CJ757"/>
  <c r="CI757"/>
  <c r="AU733" i="3"/>
  <c r="CI754" i="1"/>
  <c r="CJ754"/>
  <c r="CJ753"/>
  <c r="CI753"/>
  <c r="DM324"/>
  <c r="CK324"/>
  <c r="CJ906"/>
  <c r="CJ903"/>
  <c r="CI903"/>
  <c r="CJ790"/>
  <c r="CI790"/>
  <c r="CK789"/>
  <c r="CK787"/>
  <c r="CJ786"/>
  <c r="R271" i="3" l="1"/>
  <c r="EM107" i="1"/>
  <c r="ER107" s="1"/>
  <c r="EI63"/>
  <c r="EM306"/>
  <c r="ER306" s="1"/>
  <c r="EP630"/>
  <c r="EL700"/>
  <c r="EQ700" s="1"/>
  <c r="EO28"/>
  <c r="D7" i="3" s="1"/>
  <c r="EN492" i="1"/>
  <c r="ES492" s="1"/>
  <c r="EL230"/>
  <c r="EQ230" s="1"/>
  <c r="EH658"/>
  <c r="EO297"/>
  <c r="EL657"/>
  <c r="EL41"/>
  <c r="EQ41" s="1"/>
  <c r="L140" i="3"/>
  <c r="R207"/>
  <c r="EO311" i="1"/>
  <c r="D277" i="3" s="1"/>
  <c r="EH904" i="1"/>
  <c r="EN162"/>
  <c r="ES162" s="1"/>
  <c r="EN360"/>
  <c r="ES360" s="1"/>
  <c r="EO38"/>
  <c r="EH390"/>
  <c r="EP857"/>
  <c r="EI722"/>
  <c r="EP496"/>
  <c r="EP562"/>
  <c r="EM499"/>
  <c r="ER499" s="1"/>
  <c r="EP563"/>
  <c r="EG123"/>
  <c r="EP31"/>
  <c r="EI898"/>
  <c r="EP29"/>
  <c r="K8" i="3" s="1"/>
  <c r="E668"/>
  <c r="C668" s="1"/>
  <c r="EI522" i="1"/>
  <c r="EP176"/>
  <c r="EP107"/>
  <c r="EQ899"/>
  <c r="EM104"/>
  <c r="ER104" s="1"/>
  <c r="EO359"/>
  <c r="EL701"/>
  <c r="EQ701" s="1"/>
  <c r="EO503"/>
  <c r="EO161"/>
  <c r="EL849"/>
  <c r="EQ849" s="1"/>
  <c r="EH128"/>
  <c r="EL93"/>
  <c r="EQ93" s="1"/>
  <c r="EO700"/>
  <c r="EO305"/>
  <c r="EH456"/>
  <c r="F410" i="3" s="1"/>
  <c r="EN109" i="1"/>
  <c r="ES109" s="1"/>
  <c r="EE682"/>
  <c r="E673" i="3" s="1"/>
  <c r="DO674" i="1"/>
  <c r="EH656"/>
  <c r="EO302"/>
  <c r="EI903"/>
  <c r="N543" i="3" s="1"/>
  <c r="C9"/>
  <c r="EE385" i="1"/>
  <c r="EH130"/>
  <c r="EI259"/>
  <c r="EH460"/>
  <c r="EO299"/>
  <c r="EL687"/>
  <c r="EQ687" s="1"/>
  <c r="EO638"/>
  <c r="EO631"/>
  <c r="EL575"/>
  <c r="EQ575" s="1"/>
  <c r="EO561"/>
  <c r="EO560"/>
  <c r="EO504"/>
  <c r="EL498"/>
  <c r="EQ498" s="1"/>
  <c r="EO439"/>
  <c r="EH458"/>
  <c r="EO425"/>
  <c r="EO362"/>
  <c r="EO301"/>
  <c r="EO239"/>
  <c r="EO107"/>
  <c r="EO44"/>
  <c r="EO43"/>
  <c r="EL42"/>
  <c r="EQ42" s="1"/>
  <c r="EL38"/>
  <c r="EQ38" s="1"/>
  <c r="EO32"/>
  <c r="EH391"/>
  <c r="EL227"/>
  <c r="EQ227" s="1"/>
  <c r="L667" i="3"/>
  <c r="M667" s="1"/>
  <c r="J667" s="1"/>
  <c r="R667"/>
  <c r="EJ457" i="1"/>
  <c r="EO312"/>
  <c r="EL642"/>
  <c r="EQ642" s="1"/>
  <c r="EN295"/>
  <c r="ES295" s="1"/>
  <c r="C603" i="3"/>
  <c r="EL627" i="1"/>
  <c r="EQ627" s="1"/>
  <c r="EH126"/>
  <c r="F80" i="3" s="1"/>
  <c r="EO575" i="1"/>
  <c r="D541" i="3" s="1"/>
  <c r="EM40" i="1"/>
  <c r="ER40" s="1"/>
  <c r="EL500"/>
  <c r="EQ500" s="1"/>
  <c r="EH589"/>
  <c r="EQ589" s="1"/>
  <c r="EL363"/>
  <c r="EQ363" s="1"/>
  <c r="EP641"/>
  <c r="K607" i="3" s="1"/>
  <c r="EI389" i="1"/>
  <c r="L271" i="3"/>
  <c r="M271" s="1"/>
  <c r="J271" s="1"/>
  <c r="EL362" i="1"/>
  <c r="EQ362" s="1"/>
  <c r="EI904"/>
  <c r="N609" i="3" s="1"/>
  <c r="EL30" i="1"/>
  <c r="EQ30" s="1"/>
  <c r="C75" i="3"/>
  <c r="EL97" i="1"/>
  <c r="EQ97" s="1"/>
  <c r="EL108"/>
  <c r="EQ108" s="1"/>
  <c r="EE383"/>
  <c r="EO440"/>
  <c r="EO235"/>
  <c r="EL301"/>
  <c r="EQ301" s="1"/>
  <c r="N676" i="3"/>
  <c r="EO690" i="1"/>
  <c r="D668" i="3" s="1"/>
  <c r="EO696" i="1"/>
  <c r="EN856"/>
  <c r="ES856" s="1"/>
  <c r="EP430"/>
  <c r="Q469" i="3"/>
  <c r="L469" s="1"/>
  <c r="M469" s="1"/>
  <c r="EI459" i="1"/>
  <c r="EF121"/>
  <c r="ER195"/>
  <c r="EN564"/>
  <c r="ES564" s="1"/>
  <c r="BK748"/>
  <c r="EP234"/>
  <c r="EM239"/>
  <c r="ER239" s="1"/>
  <c r="EO370"/>
  <c r="EN489"/>
  <c r="ES489" s="1"/>
  <c r="EL429"/>
  <c r="EQ429" s="1"/>
  <c r="EO379"/>
  <c r="EL239"/>
  <c r="EQ239" s="1"/>
  <c r="EO247"/>
  <c r="EP498"/>
  <c r="EE515"/>
  <c r="E476" i="3" s="1"/>
  <c r="EO115" i="1"/>
  <c r="EL102"/>
  <c r="EQ102" s="1"/>
  <c r="EN40"/>
  <c r="ES40" s="1"/>
  <c r="EN574"/>
  <c r="ES574" s="1"/>
  <c r="EL636"/>
  <c r="EQ636" s="1"/>
  <c r="EO181"/>
  <c r="EJ654"/>
  <c r="S608" i="3" s="1"/>
  <c r="EP43" i="1"/>
  <c r="EM371"/>
  <c r="ER371" s="1"/>
  <c r="EL113"/>
  <c r="EQ113" s="1"/>
  <c r="EO852"/>
  <c r="EH901"/>
  <c r="EL292"/>
  <c r="EQ292" s="1"/>
  <c r="EL104"/>
  <c r="EQ104" s="1"/>
  <c r="EN505"/>
  <c r="ES505" s="1"/>
  <c r="EP115"/>
  <c r="EN307"/>
  <c r="ES307" s="1"/>
  <c r="EN571"/>
  <c r="ES571" s="1"/>
  <c r="EL425"/>
  <c r="EQ425" s="1"/>
  <c r="EN693"/>
  <c r="ES693" s="1"/>
  <c r="EO557"/>
  <c r="EO436"/>
  <c r="EO42"/>
  <c r="EL296"/>
  <c r="EQ296" s="1"/>
  <c r="EO687"/>
  <c r="EO169"/>
  <c r="EO227"/>
  <c r="EO859"/>
  <c r="EN172"/>
  <c r="ES172" s="1"/>
  <c r="EL560"/>
  <c r="EQ560" s="1"/>
  <c r="EO307"/>
  <c r="EO104"/>
  <c r="EI60"/>
  <c r="EL291"/>
  <c r="EQ291" s="1"/>
  <c r="EF383"/>
  <c r="EG383" s="1"/>
  <c r="E409" i="3"/>
  <c r="E739" s="1"/>
  <c r="EE452" i="1"/>
  <c r="EQ459" s="1"/>
  <c r="C409" i="3"/>
  <c r="EE748" i="1"/>
  <c r="EE919" s="1"/>
  <c r="M741" i="3" s="1"/>
  <c r="EE914" i="1"/>
  <c r="EQ901" s="1"/>
  <c r="C411" i="3" s="1"/>
  <c r="EE782" i="1"/>
  <c r="EF450"/>
  <c r="EG450" s="1"/>
  <c r="EE450"/>
  <c r="EO457" s="1"/>
  <c r="EJ298"/>
  <c r="DN899"/>
  <c r="EI298"/>
  <c r="EI899" s="1"/>
  <c r="N279" i="3" s="1"/>
  <c r="DN737" i="1"/>
  <c r="DO737" s="1"/>
  <c r="DP737" s="1"/>
  <c r="BJ751"/>
  <c r="EH49"/>
  <c r="EO49" s="1"/>
  <c r="DN775"/>
  <c r="AH763"/>
  <c r="EH37"/>
  <c r="EF619"/>
  <c r="EE540"/>
  <c r="EO562" s="1"/>
  <c r="DO553"/>
  <c r="DO487"/>
  <c r="DP289"/>
  <c r="DO751"/>
  <c r="DP751" s="1"/>
  <c r="CN25"/>
  <c r="BK751"/>
  <c r="BK781"/>
  <c r="EE738"/>
  <c r="EO760" s="1"/>
  <c r="EL904"/>
  <c r="EQ904"/>
  <c r="EI525"/>
  <c r="EQ895"/>
  <c r="EG582"/>
  <c r="EP308"/>
  <c r="EP306"/>
  <c r="EP431"/>
  <c r="EB516"/>
  <c r="EK308"/>
  <c r="EK46"/>
  <c r="EK45"/>
  <c r="EK44"/>
  <c r="EK43"/>
  <c r="EK42"/>
  <c r="EK39"/>
  <c r="EK38"/>
  <c r="EK37"/>
  <c r="EK36"/>
  <c r="EK34"/>
  <c r="EK32"/>
  <c r="EO296"/>
  <c r="EK398"/>
  <c r="CM867"/>
  <c r="CL867"/>
  <c r="CN876"/>
  <c r="EO36"/>
  <c r="EN429"/>
  <c r="ES429" s="1"/>
  <c r="EL857"/>
  <c r="EQ857" s="1"/>
  <c r="EP629"/>
  <c r="EE716"/>
  <c r="EP307"/>
  <c r="EI458"/>
  <c r="DO240"/>
  <c r="DO108"/>
  <c r="EI42"/>
  <c r="DO569"/>
  <c r="DO371"/>
  <c r="DP173"/>
  <c r="DO107"/>
  <c r="DO767"/>
  <c r="CM445"/>
  <c r="CN379"/>
  <c r="CM367"/>
  <c r="CM391" s="1"/>
  <c r="EI391"/>
  <c r="EM366"/>
  <c r="ER366" s="1"/>
  <c r="EP366"/>
  <c r="DO102"/>
  <c r="CM368"/>
  <c r="CL368"/>
  <c r="EI368" s="1"/>
  <c r="CM302"/>
  <c r="CL302"/>
  <c r="EI302" s="1"/>
  <c r="AI589"/>
  <c r="DO457"/>
  <c r="AI390"/>
  <c r="AI324"/>
  <c r="CN761"/>
  <c r="DO761"/>
  <c r="DO700"/>
  <c r="CM699"/>
  <c r="CL699"/>
  <c r="EI699" s="1"/>
  <c r="EI905" s="1"/>
  <c r="N675" i="3" s="1"/>
  <c r="CN724" i="1"/>
  <c r="BK723"/>
  <c r="DO707"/>
  <c r="CM707"/>
  <c r="BL655"/>
  <c r="EO636"/>
  <c r="EL359"/>
  <c r="EQ359" s="1"/>
  <c r="E405" i="3"/>
  <c r="C405" s="1"/>
  <c r="EH522" i="1"/>
  <c r="EI588"/>
  <c r="N542" i="3" s="1"/>
  <c r="DO435" i="1"/>
  <c r="DO370"/>
  <c r="BK377"/>
  <c r="BK392" s="1"/>
  <c r="BL390"/>
  <c r="BK245"/>
  <c r="BK790"/>
  <c r="CL895"/>
  <c r="AI787"/>
  <c r="CM164"/>
  <c r="CL164"/>
  <c r="EI164" s="1"/>
  <c r="EM164" s="1"/>
  <c r="ER164" s="1"/>
  <c r="CL192"/>
  <c r="CM192"/>
  <c r="CN192"/>
  <c r="EL179"/>
  <c r="EQ179" s="1"/>
  <c r="EF252"/>
  <c r="BK788"/>
  <c r="BK786"/>
  <c r="CN758"/>
  <c r="DO163"/>
  <c r="DP753"/>
  <c r="CN622"/>
  <c r="CN28"/>
  <c r="F609" i="3"/>
  <c r="EO904" i="1"/>
  <c r="D609" i="3" s="1"/>
  <c r="EO899" i="1"/>
  <c r="D279" i="3" s="1"/>
  <c r="Q735"/>
  <c r="C8"/>
  <c r="EO901" i="1"/>
  <c r="D411" i="3" s="1"/>
  <c r="EJ896" i="1"/>
  <c r="DN774"/>
  <c r="EJ774" s="1"/>
  <c r="EH774"/>
  <c r="BJ509"/>
  <c r="CL509"/>
  <c r="EH496"/>
  <c r="EH525" s="1"/>
  <c r="BJ902"/>
  <c r="BJ906"/>
  <c r="EO238"/>
  <c r="EL238"/>
  <c r="EQ238" s="1"/>
  <c r="EH261"/>
  <c r="CL261"/>
  <c r="CL906"/>
  <c r="DO294"/>
  <c r="EL459"/>
  <c r="EJ658"/>
  <c r="EP102"/>
  <c r="EO502"/>
  <c r="EM432"/>
  <c r="ER432" s="1"/>
  <c r="EO106"/>
  <c r="EH129"/>
  <c r="EO495"/>
  <c r="EM636"/>
  <c r="ER636" s="1"/>
  <c r="EP569"/>
  <c r="EI897"/>
  <c r="EP30"/>
  <c r="K9" i="3" s="1"/>
  <c r="EL27" i="1"/>
  <c r="EQ27" s="1"/>
  <c r="L470" i="3"/>
  <c r="M470" s="1"/>
  <c r="J470" s="1"/>
  <c r="R470"/>
  <c r="P470" s="1"/>
  <c r="J9" i="4" s="1"/>
  <c r="EO196" i="1"/>
  <c r="EQ196"/>
  <c r="CL28"/>
  <c r="EI28" s="1"/>
  <c r="CM28"/>
  <c r="EJ588"/>
  <c r="S542" i="3" s="1"/>
  <c r="EN687" i="1"/>
  <c r="ES687" s="1"/>
  <c r="EO625"/>
  <c r="D603" i="3" s="1"/>
  <c r="EO626" i="1"/>
  <c r="C145" i="3"/>
  <c r="EL237" i="1"/>
  <c r="EQ237" s="1"/>
  <c r="EO761"/>
  <c r="EE715"/>
  <c r="EQ722" s="1"/>
  <c r="EO642"/>
  <c r="EL698"/>
  <c r="EQ698" s="1"/>
  <c r="EO175"/>
  <c r="EO637"/>
  <c r="EP767"/>
  <c r="L404" i="3"/>
  <c r="M404" s="1"/>
  <c r="J404" s="1"/>
  <c r="EJ898" i="1"/>
  <c r="EI901"/>
  <c r="N411" i="3" s="1"/>
  <c r="EO707" i="1"/>
  <c r="D673" i="3" s="1"/>
  <c r="EN690" i="1"/>
  <c r="ES690" s="1"/>
  <c r="EL696"/>
  <c r="EQ696" s="1"/>
  <c r="EN38"/>
  <c r="ES38" s="1"/>
  <c r="EN569"/>
  <c r="ES569" s="1"/>
  <c r="EM308"/>
  <c r="EM115"/>
  <c r="EP570"/>
  <c r="N8" i="3"/>
  <c r="EM702" i="1"/>
  <c r="ER702" s="1"/>
  <c r="EM31"/>
  <c r="ER31" s="1"/>
  <c r="EP636"/>
  <c r="EE187"/>
  <c r="EL194" s="1"/>
  <c r="EH526"/>
  <c r="EE254"/>
  <c r="EP703"/>
  <c r="EM44"/>
  <c r="C205" i="3"/>
  <c r="F347"/>
  <c r="EO494" i="1"/>
  <c r="EI589"/>
  <c r="EL855"/>
  <c r="EQ855" s="1"/>
  <c r="F545" i="3"/>
  <c r="EJ460" i="1"/>
  <c r="EO103"/>
  <c r="EN623"/>
  <c r="ES623" s="1"/>
  <c r="EN855"/>
  <c r="ES855" s="1"/>
  <c r="EO490"/>
  <c r="D469" i="3" s="1"/>
  <c r="EO849" i="1"/>
  <c r="EL300"/>
  <c r="EQ300" s="1"/>
  <c r="EL490"/>
  <c r="EQ490" s="1"/>
  <c r="EO565"/>
  <c r="EH523"/>
  <c r="EH326"/>
  <c r="EL326" s="1"/>
  <c r="EO100"/>
  <c r="EH896"/>
  <c r="EQ896" s="1"/>
  <c r="M535" i="3"/>
  <c r="M140"/>
  <c r="M536"/>
  <c r="J536" s="1"/>
  <c r="M669"/>
  <c r="M73"/>
  <c r="M272"/>
  <c r="M339"/>
  <c r="M13"/>
  <c r="M75"/>
  <c r="J75" s="1"/>
  <c r="M343"/>
  <c r="M471"/>
  <c r="M668"/>
  <c r="M141"/>
  <c r="M207"/>
  <c r="J207" s="1"/>
  <c r="EP27" i="1"/>
  <c r="EP697"/>
  <c r="K676" i="3" s="1"/>
  <c r="N603"/>
  <c r="BL748" i="1"/>
  <c r="BL782" s="1"/>
  <c r="AP782"/>
  <c r="BQ748"/>
  <c r="BQ780" s="1"/>
  <c r="AO780"/>
  <c r="CS748"/>
  <c r="AO782"/>
  <c r="CJ748"/>
  <c r="CI748"/>
  <c r="BR584"/>
  <c r="BQ782"/>
  <c r="F411" i="3"/>
  <c r="EP433" i="1"/>
  <c r="CP757"/>
  <c r="N403" i="3"/>
  <c r="DN453" i="1"/>
  <c r="DN914"/>
  <c r="DO410"/>
  <c r="CM421"/>
  <c r="N337" i="3"/>
  <c r="EJ659" i="1"/>
  <c r="EO895"/>
  <c r="EE186"/>
  <c r="EO703"/>
  <c r="EM96"/>
  <c r="ER96" s="1"/>
  <c r="EJ394"/>
  <c r="CN217"/>
  <c r="EB319"/>
  <c r="EG277"/>
  <c r="EN302" s="1"/>
  <c r="ES302" s="1"/>
  <c r="DB214"/>
  <c r="DC214" s="1"/>
  <c r="EG411"/>
  <c r="EG453" s="1"/>
  <c r="ES460" s="1"/>
  <c r="EB453"/>
  <c r="AW517"/>
  <c r="AW487"/>
  <c r="AW685"/>
  <c r="AW715"/>
  <c r="AT738"/>
  <c r="DL699"/>
  <c r="DK905"/>
  <c r="DK724"/>
  <c r="CY641"/>
  <c r="CX655"/>
  <c r="CX657"/>
  <c r="BZ742"/>
  <c r="CA742"/>
  <c r="DK790"/>
  <c r="DL766"/>
  <c r="CZ631"/>
  <c r="CZ656" s="1"/>
  <c r="DA643"/>
  <c r="DA631" s="1"/>
  <c r="CY700"/>
  <c r="CX724"/>
  <c r="DA411"/>
  <c r="CZ453"/>
  <c r="CY675"/>
  <c r="CU741"/>
  <c r="CT783"/>
  <c r="CD214"/>
  <c r="CC214"/>
  <c r="CV324"/>
  <c r="CW311"/>
  <c r="CV326"/>
  <c r="BR276"/>
  <c r="BR318" s="1"/>
  <c r="BS318"/>
  <c r="BQ276"/>
  <c r="BQ318" s="1"/>
  <c r="CU737"/>
  <c r="CV737" s="1"/>
  <c r="CW737" s="1"/>
  <c r="CX737" s="1"/>
  <c r="CY737" s="1"/>
  <c r="CZ737" s="1"/>
  <c r="DA737" s="1"/>
  <c r="EA737" s="1"/>
  <c r="AQ751"/>
  <c r="BS751" s="1"/>
  <c r="BS737"/>
  <c r="AS751"/>
  <c r="BU751" s="1"/>
  <c r="AL610" i="3"/>
  <c r="DE606" i="1"/>
  <c r="DM287"/>
  <c r="DL317"/>
  <c r="EG609"/>
  <c r="EN634" s="1"/>
  <c r="ES634" s="1"/>
  <c r="AW318"/>
  <c r="AW289"/>
  <c r="DM716"/>
  <c r="EB673"/>
  <c r="EA669"/>
  <c r="EA713" s="1"/>
  <c r="DA713"/>
  <c r="EA607"/>
  <c r="EA650" s="1"/>
  <c r="DA650"/>
  <c r="DM180"/>
  <c r="DM193" s="1"/>
  <c r="DL193"/>
  <c r="BY737"/>
  <c r="EA617"/>
  <c r="EA648" s="1"/>
  <c r="DA648"/>
  <c r="CX279"/>
  <c r="CW320"/>
  <c r="DB144"/>
  <c r="EA144"/>
  <c r="EA187" s="1"/>
  <c r="DA187"/>
  <c r="EA287"/>
  <c r="DJ260"/>
  <c r="AR211" i="3"/>
  <c r="DJ258" i="1"/>
  <c r="DK245"/>
  <c r="DA115"/>
  <c r="DA103" s="1"/>
  <c r="DA128" s="1"/>
  <c r="CZ103"/>
  <c r="CZ128" s="1"/>
  <c r="BA731"/>
  <c r="EA22"/>
  <c r="EA56" s="1"/>
  <c r="DA56"/>
  <c r="AY742"/>
  <c r="DC742" s="1"/>
  <c r="DD742" s="1"/>
  <c r="DE742" s="1"/>
  <c r="DF742" s="1"/>
  <c r="DG742" s="1"/>
  <c r="DH742" s="1"/>
  <c r="DI742" s="1"/>
  <c r="DJ742" s="1"/>
  <c r="DK742" s="1"/>
  <c r="DL742" s="1"/>
  <c r="DM742" s="1"/>
  <c r="EB742" s="1"/>
  <c r="EG742" s="1"/>
  <c r="AZ742"/>
  <c r="AV685"/>
  <c r="BY671"/>
  <c r="AV715"/>
  <c r="BY672"/>
  <c r="AV517"/>
  <c r="AV487"/>
  <c r="CX721"/>
  <c r="CX723"/>
  <c r="CY707"/>
  <c r="CY739"/>
  <c r="DG9"/>
  <c r="DF53"/>
  <c r="AN14" i="3" s="1"/>
  <c r="CZ38" i="1"/>
  <c r="CY63"/>
  <c r="DA551"/>
  <c r="CZ582"/>
  <c r="DL650"/>
  <c r="DM616"/>
  <c r="CZ421"/>
  <c r="CY408"/>
  <c r="CY451" s="1"/>
  <c r="CY575"/>
  <c r="DK238"/>
  <c r="DJ261"/>
  <c r="CX683"/>
  <c r="CW714"/>
  <c r="CW15"/>
  <c r="CW518"/>
  <c r="CX484"/>
  <c r="CW516"/>
  <c r="BT473"/>
  <c r="BV474"/>
  <c r="BU473"/>
  <c r="AU517"/>
  <c r="BY473"/>
  <c r="AU487"/>
  <c r="BY474"/>
  <c r="AF518"/>
  <c r="BH475"/>
  <c r="BH518" s="1"/>
  <c r="AG475"/>
  <c r="AR751"/>
  <c r="BV737"/>
  <c r="DB737"/>
  <c r="DC737" s="1"/>
  <c r="DD737" s="1"/>
  <c r="AT751"/>
  <c r="BX685"/>
  <c r="BY685" s="1"/>
  <c r="CJ904"/>
  <c r="CI904"/>
  <c r="EF606"/>
  <c r="EP628" s="1"/>
  <c r="EG606"/>
  <c r="Q610" i="3" s="1"/>
  <c r="R610" s="1"/>
  <c r="BW149" i="1"/>
  <c r="BX149"/>
  <c r="CH730"/>
  <c r="DH730"/>
  <c r="EA734"/>
  <c r="AL735" i="3"/>
  <c r="CC9" i="1"/>
  <c r="CC55" s="1"/>
  <c r="CD9"/>
  <c r="CD55" s="1"/>
  <c r="EB7"/>
  <c r="EG7" s="1"/>
  <c r="Q8" i="3" s="1"/>
  <c r="FD7" i="1"/>
  <c r="CN730"/>
  <c r="EE730"/>
  <c r="EL753" s="1"/>
  <c r="EQ753" s="1"/>
  <c r="DN730"/>
  <c r="CN734"/>
  <c r="DN734"/>
  <c r="EE734"/>
  <c r="EL757" s="1"/>
  <c r="EQ757" s="1"/>
  <c r="FC7"/>
  <c r="AL8" i="3"/>
  <c r="EA7" i="1"/>
  <c r="BU742"/>
  <c r="BT742"/>
  <c r="AX280"/>
  <c r="AY280"/>
  <c r="CH4"/>
  <c r="DH4"/>
  <c r="DD708"/>
  <c r="DC721"/>
  <c r="CS685"/>
  <c r="EB82"/>
  <c r="EG82" s="1"/>
  <c r="FD82"/>
  <c r="FC18"/>
  <c r="O156"/>
  <c r="AQ156" s="1"/>
  <c r="BS156" s="1"/>
  <c r="CU156" s="1"/>
  <c r="J24"/>
  <c r="O90"/>
  <c r="AQ90" s="1"/>
  <c r="BS90" s="1"/>
  <c r="CU90" s="1"/>
  <c r="EA18"/>
  <c r="P24"/>
  <c r="K24"/>
  <c r="N90"/>
  <c r="AP90" s="1"/>
  <c r="BR90" s="1"/>
  <c r="CT90" s="1"/>
  <c r="S288"/>
  <c r="AU288" s="1"/>
  <c r="BW288" s="1"/>
  <c r="CY288" s="1"/>
  <c r="U684"/>
  <c r="AW684" s="1"/>
  <c r="BY684" s="1"/>
  <c r="DA684" s="1"/>
  <c r="Q684"/>
  <c r="AS684" s="1"/>
  <c r="BU684" s="1"/>
  <c r="CW684" s="1"/>
  <c r="M684"/>
  <c r="AO684" s="1"/>
  <c r="BQ684" s="1"/>
  <c r="CS684" s="1"/>
  <c r="U618"/>
  <c r="AW618" s="1"/>
  <c r="BY618" s="1"/>
  <c r="DA618" s="1"/>
  <c r="Q618"/>
  <c r="AS618" s="1"/>
  <c r="BU618" s="1"/>
  <c r="CW618" s="1"/>
  <c r="M618"/>
  <c r="AO618" s="1"/>
  <c r="BQ618" s="1"/>
  <c r="CS618" s="1"/>
  <c r="T552"/>
  <c r="AV552" s="1"/>
  <c r="BX552" s="1"/>
  <c r="CZ552" s="1"/>
  <c r="P552"/>
  <c r="AR552" s="1"/>
  <c r="BT552" s="1"/>
  <c r="CV552" s="1"/>
  <c r="L552"/>
  <c r="AN552" s="1"/>
  <c r="BP552" s="1"/>
  <c r="CR552" s="1"/>
  <c r="R486"/>
  <c r="AT486" s="1"/>
  <c r="BV486" s="1"/>
  <c r="CX486" s="1"/>
  <c r="T684"/>
  <c r="AV684" s="1"/>
  <c r="BX684" s="1"/>
  <c r="CZ684" s="1"/>
  <c r="P684"/>
  <c r="AR684" s="1"/>
  <c r="BT684" s="1"/>
  <c r="CV684" s="1"/>
  <c r="L684"/>
  <c r="AN684" s="1"/>
  <c r="BP684" s="1"/>
  <c r="CR684" s="1"/>
  <c r="T618"/>
  <c r="AV618" s="1"/>
  <c r="BX618" s="1"/>
  <c r="CZ618" s="1"/>
  <c r="P618"/>
  <c r="AR618" s="1"/>
  <c r="BT618" s="1"/>
  <c r="CV618" s="1"/>
  <c r="L618"/>
  <c r="AN618" s="1"/>
  <c r="BP618" s="1"/>
  <c r="CR618" s="1"/>
  <c r="U552"/>
  <c r="AW552" s="1"/>
  <c r="BY552" s="1"/>
  <c r="DA552" s="1"/>
  <c r="Q552"/>
  <c r="AS552" s="1"/>
  <c r="BU552" s="1"/>
  <c r="CW552" s="1"/>
  <c r="M552"/>
  <c r="AO552" s="1"/>
  <c r="BQ552" s="1"/>
  <c r="CS552" s="1"/>
  <c r="N486"/>
  <c r="AP486" s="1"/>
  <c r="BR486" s="1"/>
  <c r="CT486" s="1"/>
  <c r="P486"/>
  <c r="AR486" s="1"/>
  <c r="BT486" s="1"/>
  <c r="CV486" s="1"/>
  <c r="U420"/>
  <c r="AW420" s="1"/>
  <c r="BY420" s="1"/>
  <c r="DA420" s="1"/>
  <c r="Q420"/>
  <c r="AS420" s="1"/>
  <c r="BU420" s="1"/>
  <c r="CW420" s="1"/>
  <c r="M420"/>
  <c r="AO420" s="1"/>
  <c r="BQ420" s="1"/>
  <c r="CS420" s="1"/>
  <c r="T354"/>
  <c r="AV354" s="1"/>
  <c r="BX354" s="1"/>
  <c r="CZ354" s="1"/>
  <c r="P354"/>
  <c r="AR354" s="1"/>
  <c r="BT354" s="1"/>
  <c r="CV354" s="1"/>
  <c r="L354"/>
  <c r="AN354" s="1"/>
  <c r="BP354" s="1"/>
  <c r="CR354" s="1"/>
  <c r="T288"/>
  <c r="AV288" s="1"/>
  <c r="BX288" s="1"/>
  <c r="CZ288" s="1"/>
  <c r="P288"/>
  <c r="AR288" s="1"/>
  <c r="BT288" s="1"/>
  <c r="CV288" s="1"/>
  <c r="L288"/>
  <c r="AN288" s="1"/>
  <c r="BP288" s="1"/>
  <c r="CR288" s="1"/>
  <c r="U486"/>
  <c r="AW486" s="1"/>
  <c r="BY486" s="1"/>
  <c r="DA486" s="1"/>
  <c r="Q486"/>
  <c r="AS486" s="1"/>
  <c r="BU486" s="1"/>
  <c r="CW486" s="1"/>
  <c r="M486"/>
  <c r="AO486" s="1"/>
  <c r="BQ486" s="1"/>
  <c r="CS486" s="1"/>
  <c r="T420"/>
  <c r="AV420" s="1"/>
  <c r="BX420" s="1"/>
  <c r="CZ420" s="1"/>
  <c r="P420"/>
  <c r="AR420" s="1"/>
  <c r="BT420" s="1"/>
  <c r="CV420" s="1"/>
  <c r="L420"/>
  <c r="AN420" s="1"/>
  <c r="BP420" s="1"/>
  <c r="CR420" s="1"/>
  <c r="U354"/>
  <c r="AW354" s="1"/>
  <c r="BY354" s="1"/>
  <c r="DA354" s="1"/>
  <c r="Q354"/>
  <c r="AS354" s="1"/>
  <c r="BU354" s="1"/>
  <c r="CW354" s="1"/>
  <c r="M354"/>
  <c r="AO354" s="1"/>
  <c r="BQ354" s="1"/>
  <c r="CS354" s="1"/>
  <c r="Q288"/>
  <c r="AS288" s="1"/>
  <c r="BU288" s="1"/>
  <c r="CW288" s="1"/>
  <c r="M288"/>
  <c r="AO288" s="1"/>
  <c r="BQ288" s="1"/>
  <c r="CS288" s="1"/>
  <c r="T222"/>
  <c r="AV222" s="1"/>
  <c r="BX222" s="1"/>
  <c r="CZ222" s="1"/>
  <c r="N222"/>
  <c r="AP222" s="1"/>
  <c r="BR222" s="1"/>
  <c r="CT222" s="1"/>
  <c r="J222"/>
  <c r="AL222" s="1"/>
  <c r="BN222" s="1"/>
  <c r="CP222" s="1"/>
  <c r="Q156"/>
  <c r="AS156" s="1"/>
  <c r="BU156" s="1"/>
  <c r="CW156" s="1"/>
  <c r="K156"/>
  <c r="AM156" s="1"/>
  <c r="BO156" s="1"/>
  <c r="CQ156" s="1"/>
  <c r="Q222"/>
  <c r="AS222" s="1"/>
  <c r="BU222" s="1"/>
  <c r="CW222" s="1"/>
  <c r="K222"/>
  <c r="AM222" s="1"/>
  <c r="BO222" s="1"/>
  <c r="CQ222" s="1"/>
  <c r="P156"/>
  <c r="AR156" s="1"/>
  <c r="BT156" s="1"/>
  <c r="CV156" s="1"/>
  <c r="L156"/>
  <c r="AN156" s="1"/>
  <c r="BP156" s="1"/>
  <c r="CR156" s="1"/>
  <c r="U90"/>
  <c r="AW90" s="1"/>
  <c r="BY90" s="1"/>
  <c r="DA90" s="1"/>
  <c r="M90"/>
  <c r="AO90" s="1"/>
  <c r="BQ90" s="1"/>
  <c r="CS90" s="1"/>
  <c r="T90"/>
  <c r="AV90" s="1"/>
  <c r="BX90" s="1"/>
  <c r="CZ90" s="1"/>
  <c r="P90"/>
  <c r="AR90" s="1"/>
  <c r="BT90" s="1"/>
  <c r="CV90" s="1"/>
  <c r="J90"/>
  <c r="AL90" s="1"/>
  <c r="BN90" s="1"/>
  <c r="CP90" s="1"/>
  <c r="L24"/>
  <c r="S24"/>
  <c r="S222"/>
  <c r="AU222" s="1"/>
  <c r="BW222" s="1"/>
  <c r="CY222" s="1"/>
  <c r="S156"/>
  <c r="AU156" s="1"/>
  <c r="BW156" s="1"/>
  <c r="CY156" s="1"/>
  <c r="T24"/>
  <c r="U24"/>
  <c r="Q24"/>
  <c r="R156"/>
  <c r="AT156" s="1"/>
  <c r="BV156" s="1"/>
  <c r="CX156" s="1"/>
  <c r="N24"/>
  <c r="L90"/>
  <c r="AN90" s="1"/>
  <c r="BP90" s="1"/>
  <c r="CR90" s="1"/>
  <c r="R90"/>
  <c r="AT90" s="1"/>
  <c r="BV90" s="1"/>
  <c r="CX90" s="1"/>
  <c r="K90"/>
  <c r="AM90" s="1"/>
  <c r="BO90" s="1"/>
  <c r="CQ90" s="1"/>
  <c r="Q90"/>
  <c r="AS90" s="1"/>
  <c r="BU90" s="1"/>
  <c r="CW90" s="1"/>
  <c r="J156"/>
  <c r="AL156" s="1"/>
  <c r="BN156" s="1"/>
  <c r="CP156" s="1"/>
  <c r="N156"/>
  <c r="AP156" s="1"/>
  <c r="BR156" s="1"/>
  <c r="CT156" s="1"/>
  <c r="T156"/>
  <c r="AV156" s="1"/>
  <c r="BX156" s="1"/>
  <c r="CZ156" s="1"/>
  <c r="M222"/>
  <c r="AO222" s="1"/>
  <c r="BQ222" s="1"/>
  <c r="CS222" s="1"/>
  <c r="U222"/>
  <c r="AW222" s="1"/>
  <c r="BY222" s="1"/>
  <c r="DA222" s="1"/>
  <c r="M156"/>
  <c r="AO156" s="1"/>
  <c r="BQ156" s="1"/>
  <c r="CS156" s="1"/>
  <c r="U156"/>
  <c r="AW156" s="1"/>
  <c r="BY156" s="1"/>
  <c r="DA156" s="1"/>
  <c r="L222"/>
  <c r="AN222" s="1"/>
  <c r="BP222" s="1"/>
  <c r="CR222" s="1"/>
  <c r="P222"/>
  <c r="AR222" s="1"/>
  <c r="BT222" s="1"/>
  <c r="CV222" s="1"/>
  <c r="K288"/>
  <c r="AM288" s="1"/>
  <c r="BO288" s="1"/>
  <c r="CQ288" s="1"/>
  <c r="O288"/>
  <c r="AQ288" s="1"/>
  <c r="BS288" s="1"/>
  <c r="CU288" s="1"/>
  <c r="K354"/>
  <c r="AM354" s="1"/>
  <c r="BO354" s="1"/>
  <c r="CQ354" s="1"/>
  <c r="O354"/>
  <c r="AQ354" s="1"/>
  <c r="BS354" s="1"/>
  <c r="CU354" s="1"/>
  <c r="S354"/>
  <c r="AU354" s="1"/>
  <c r="BW354" s="1"/>
  <c r="CY354" s="1"/>
  <c r="J420"/>
  <c r="AL420" s="1"/>
  <c r="BN420" s="1"/>
  <c r="CP420" s="1"/>
  <c r="N420"/>
  <c r="AP420" s="1"/>
  <c r="BR420" s="1"/>
  <c r="CT420" s="1"/>
  <c r="R420"/>
  <c r="AT420" s="1"/>
  <c r="BV420" s="1"/>
  <c r="CX420" s="1"/>
  <c r="K486"/>
  <c r="AM486" s="1"/>
  <c r="BO486" s="1"/>
  <c r="CQ486" s="1"/>
  <c r="O486"/>
  <c r="AQ486" s="1"/>
  <c r="BS486" s="1"/>
  <c r="CU486" s="1"/>
  <c r="S486"/>
  <c r="AU486" s="1"/>
  <c r="BW486" s="1"/>
  <c r="CY486" s="1"/>
  <c r="J288"/>
  <c r="AL288" s="1"/>
  <c r="BN288" s="1"/>
  <c r="CP288" s="1"/>
  <c r="N288"/>
  <c r="AP288" s="1"/>
  <c r="BR288" s="1"/>
  <c r="CT288" s="1"/>
  <c r="R288"/>
  <c r="AT288" s="1"/>
  <c r="BV288" s="1"/>
  <c r="CX288" s="1"/>
  <c r="J354"/>
  <c r="AL354" s="1"/>
  <c r="BN354" s="1"/>
  <c r="CP354" s="1"/>
  <c r="N354"/>
  <c r="AP354" s="1"/>
  <c r="BR354" s="1"/>
  <c r="CT354" s="1"/>
  <c r="R354"/>
  <c r="AT354" s="1"/>
  <c r="BV354" s="1"/>
  <c r="CX354" s="1"/>
  <c r="K420"/>
  <c r="AM420" s="1"/>
  <c r="BO420" s="1"/>
  <c r="CQ420" s="1"/>
  <c r="O420"/>
  <c r="AQ420" s="1"/>
  <c r="BS420" s="1"/>
  <c r="CU420" s="1"/>
  <c r="S420"/>
  <c r="AU420" s="1"/>
  <c r="BW420" s="1"/>
  <c r="CY420" s="1"/>
  <c r="L486"/>
  <c r="AN486" s="1"/>
  <c r="BP486" s="1"/>
  <c r="CR486" s="1"/>
  <c r="T486"/>
  <c r="AV486" s="1"/>
  <c r="BX486" s="1"/>
  <c r="CZ486" s="1"/>
  <c r="K552"/>
  <c r="AM552" s="1"/>
  <c r="BO552" s="1"/>
  <c r="CQ552" s="1"/>
  <c r="O552"/>
  <c r="AQ552" s="1"/>
  <c r="BS552" s="1"/>
  <c r="CU552" s="1"/>
  <c r="S552"/>
  <c r="AU552" s="1"/>
  <c r="BW552" s="1"/>
  <c r="CY552" s="1"/>
  <c r="J618"/>
  <c r="AL618" s="1"/>
  <c r="BN618" s="1"/>
  <c r="CP618" s="1"/>
  <c r="N618"/>
  <c r="AP618" s="1"/>
  <c r="BR618" s="1"/>
  <c r="CT618" s="1"/>
  <c r="R618"/>
  <c r="AT618" s="1"/>
  <c r="BV618" s="1"/>
  <c r="CX618" s="1"/>
  <c r="J684"/>
  <c r="AL684" s="1"/>
  <c r="BN684" s="1"/>
  <c r="CP684" s="1"/>
  <c r="N684"/>
  <c r="AP684" s="1"/>
  <c r="BR684" s="1"/>
  <c r="CT684" s="1"/>
  <c r="R684"/>
  <c r="AT684" s="1"/>
  <c r="BV684" s="1"/>
  <c r="CX684" s="1"/>
  <c r="J486"/>
  <c r="AL486" s="1"/>
  <c r="BN486" s="1"/>
  <c r="CP486" s="1"/>
  <c r="J552"/>
  <c r="AL552" s="1"/>
  <c r="BN552" s="1"/>
  <c r="CP552" s="1"/>
  <c r="N552"/>
  <c r="AP552" s="1"/>
  <c r="BR552" s="1"/>
  <c r="CT552" s="1"/>
  <c r="R552"/>
  <c r="AT552" s="1"/>
  <c r="BV552" s="1"/>
  <c r="CX552" s="1"/>
  <c r="K618"/>
  <c r="AM618" s="1"/>
  <c r="BO618" s="1"/>
  <c r="CQ618" s="1"/>
  <c r="O618"/>
  <c r="AQ618" s="1"/>
  <c r="BS618" s="1"/>
  <c r="CU618" s="1"/>
  <c r="S618"/>
  <c r="AU618" s="1"/>
  <c r="BW618" s="1"/>
  <c r="CY618" s="1"/>
  <c r="K684"/>
  <c r="AM684" s="1"/>
  <c r="BO684" s="1"/>
  <c r="CQ684" s="1"/>
  <c r="O684"/>
  <c r="AQ684" s="1"/>
  <c r="BS684" s="1"/>
  <c r="CU684" s="1"/>
  <c r="S684"/>
  <c r="AU684" s="1"/>
  <c r="BW684" s="1"/>
  <c r="CY684" s="1"/>
  <c r="U288"/>
  <c r="AW288" s="1"/>
  <c r="BY288" s="1"/>
  <c r="DA288" s="1"/>
  <c r="S90"/>
  <c r="AU90" s="1"/>
  <c r="BW90" s="1"/>
  <c r="CY90" s="1"/>
  <c r="O24"/>
  <c r="R222"/>
  <c r="AT222" s="1"/>
  <c r="BV222" s="1"/>
  <c r="CX222" s="1"/>
  <c r="M24"/>
  <c r="R24"/>
  <c r="O222"/>
  <c r="AQ222" s="1"/>
  <c r="BS222" s="1"/>
  <c r="CU222" s="1"/>
  <c r="CD217"/>
  <c r="CC217"/>
  <c r="DN283"/>
  <c r="DO283" s="1"/>
  <c r="DP283" s="1"/>
  <c r="EB283"/>
  <c r="EG283" s="1"/>
  <c r="BQ767"/>
  <c r="BR767"/>
  <c r="CG767"/>
  <c r="CF767"/>
  <c r="BQ742"/>
  <c r="BR742"/>
  <c r="FD77"/>
  <c r="EB77"/>
  <c r="EG77" s="1"/>
  <c r="EN102" s="1"/>
  <c r="ES102" s="1"/>
  <c r="FC85"/>
  <c r="EA85"/>
  <c r="FD76"/>
  <c r="EB76"/>
  <c r="AC538"/>
  <c r="BD538"/>
  <c r="CA740"/>
  <c r="CA783" s="1"/>
  <c r="BZ740"/>
  <c r="BZ783" s="1"/>
  <c r="CB783"/>
  <c r="EB17"/>
  <c r="EG17" s="1"/>
  <c r="EN42" s="1"/>
  <c r="ES42" s="1"/>
  <c r="FD17"/>
  <c r="DD78"/>
  <c r="DC121"/>
  <c r="AK82" i="3"/>
  <c r="DC316" i="1"/>
  <c r="DD273"/>
  <c r="EA353"/>
  <c r="DB83"/>
  <c r="DC83" s="1"/>
  <c r="DD83" s="1"/>
  <c r="DE83" s="1"/>
  <c r="DF83" s="1"/>
  <c r="DG83" s="1"/>
  <c r="DH83" s="1"/>
  <c r="DI83" s="1"/>
  <c r="DJ83" s="1"/>
  <c r="DK83" s="1"/>
  <c r="DL83" s="1"/>
  <c r="DM83" s="1"/>
  <c r="CB83"/>
  <c r="CE72"/>
  <c r="DE72"/>
  <c r="BY211"/>
  <c r="AW253"/>
  <c r="CZ147"/>
  <c r="AV189"/>
  <c r="BY147"/>
  <c r="BW146"/>
  <c r="BX146"/>
  <c r="DD136"/>
  <c r="EA136" s="1"/>
  <c r="CB136"/>
  <c r="CD70"/>
  <c r="CC70"/>
  <c r="DM560"/>
  <c r="DL588"/>
  <c r="DL590"/>
  <c r="CC17"/>
  <c r="CD17"/>
  <c r="DB215"/>
  <c r="DC215" s="1"/>
  <c r="DD215" s="1"/>
  <c r="DE215" s="1"/>
  <c r="DF215" s="1"/>
  <c r="DG215" s="1"/>
  <c r="DH215" s="1"/>
  <c r="DI215" s="1"/>
  <c r="DJ215" s="1"/>
  <c r="DK215" s="1"/>
  <c r="DL215" s="1"/>
  <c r="DM215" s="1"/>
  <c r="EB215" s="1"/>
  <c r="EG215" s="1"/>
  <c r="EN240" s="1"/>
  <c r="ES240" s="1"/>
  <c r="CB215"/>
  <c r="BB6"/>
  <c r="DF6" s="1"/>
  <c r="Y732"/>
  <c r="BA6"/>
  <c r="CY129"/>
  <c r="CZ113"/>
  <c r="CC16"/>
  <c r="CD16"/>
  <c r="CF70"/>
  <c r="CG70"/>
  <c r="AV80"/>
  <c r="T81"/>
  <c r="U80"/>
  <c r="T740"/>
  <c r="AV740" s="1"/>
  <c r="DA5"/>
  <c r="BY5"/>
  <c r="CD83"/>
  <c r="CC83"/>
  <c r="CC281"/>
  <c r="CD281"/>
  <c r="BW22"/>
  <c r="BW56" s="1"/>
  <c r="BY56"/>
  <c r="BX22"/>
  <c r="BX56" s="1"/>
  <c r="CH6"/>
  <c r="DI6"/>
  <c r="AV730"/>
  <c r="DA730"/>
  <c r="BQ606"/>
  <c r="BQ649" s="1"/>
  <c r="BR606"/>
  <c r="BR649" s="1"/>
  <c r="BS649"/>
  <c r="BT748"/>
  <c r="BU748" s="1"/>
  <c r="AR782"/>
  <c r="CF215"/>
  <c r="CG215"/>
  <c r="AQ740"/>
  <c r="O783"/>
  <c r="BR80"/>
  <c r="BR123" s="1"/>
  <c r="BS123"/>
  <c r="BQ80"/>
  <c r="AT278" i="3"/>
  <c r="EN510" i="1"/>
  <c r="ES510" s="1"/>
  <c r="CE665"/>
  <c r="CK671"/>
  <c r="CE730"/>
  <c r="CK145"/>
  <c r="BY743"/>
  <c r="BY742"/>
  <c r="BV743"/>
  <c r="BT782"/>
  <c r="CI731"/>
  <c r="CJ731"/>
  <c r="BX83"/>
  <c r="BW83"/>
  <c r="DD205"/>
  <c r="CB205"/>
  <c r="BA53"/>
  <c r="CE10"/>
  <c r="DE10"/>
  <c r="DE53" s="1"/>
  <c r="AM14" i="3" s="1"/>
  <c r="EB613" i="1"/>
  <c r="EG613" s="1"/>
  <c r="DN613"/>
  <c r="DO613" s="1"/>
  <c r="DP613" s="1"/>
  <c r="FC82"/>
  <c r="EA82"/>
  <c r="EB5"/>
  <c r="EG5" s="1"/>
  <c r="Q7" i="3" s="1"/>
  <c r="FD5" i="1"/>
  <c r="EB217"/>
  <c r="EG217" s="1"/>
  <c r="EN242" s="1"/>
  <c r="ES242" s="1"/>
  <c r="DN217"/>
  <c r="DO217" s="1"/>
  <c r="DP217" s="1"/>
  <c r="DC734"/>
  <c r="AK735" i="3" s="1"/>
  <c r="CB734" i="1"/>
  <c r="DD732"/>
  <c r="EA732" s="1"/>
  <c r="CB732"/>
  <c r="AL207" i="3"/>
  <c r="EA206" i="1"/>
  <c r="K738"/>
  <c r="CQ751"/>
  <c r="CQ57"/>
  <c r="CR14"/>
  <c r="BQ307"/>
  <c r="BR307"/>
  <c r="BW82"/>
  <c r="BX82"/>
  <c r="DO374"/>
  <c r="DP374" s="1"/>
  <c r="EJ374"/>
  <c r="EN374" s="1"/>
  <c r="ES374" s="1"/>
  <c r="EJ44"/>
  <c r="DO44"/>
  <c r="DP44" s="1"/>
  <c r="CS566"/>
  <c r="CR591"/>
  <c r="DO572"/>
  <c r="DP572" s="1"/>
  <c r="EJ572"/>
  <c r="CQ651"/>
  <c r="CR609"/>
  <c r="CR606"/>
  <c r="CR649" s="1"/>
  <c r="CS619"/>
  <c r="CR717"/>
  <c r="CS674"/>
  <c r="DO704"/>
  <c r="DP704" s="1"/>
  <c r="EJ704"/>
  <c r="DF789"/>
  <c r="DF787"/>
  <c r="AW319"/>
  <c r="DA286"/>
  <c r="BY286"/>
  <c r="AW317"/>
  <c r="EE665"/>
  <c r="E667" i="3" s="1"/>
  <c r="CN665" i="1"/>
  <c r="DN665"/>
  <c r="CG744"/>
  <c r="CF744"/>
  <c r="AA316"/>
  <c r="BC274"/>
  <c r="AB274"/>
  <c r="DC782"/>
  <c r="DD739"/>
  <c r="Z585"/>
  <c r="Z740"/>
  <c r="AA542"/>
  <c r="Z916"/>
  <c r="BB542"/>
  <c r="EG353"/>
  <c r="EB383"/>
  <c r="EA273"/>
  <c r="EA316" s="1"/>
  <c r="DA316"/>
  <c r="CA16"/>
  <c r="BZ16"/>
  <c r="AL7" i="3"/>
  <c r="FC5" i="1"/>
  <c r="EA5"/>
  <c r="BX212"/>
  <c r="BY254"/>
  <c r="BW212"/>
  <c r="CZ519"/>
  <c r="DA477"/>
  <c r="AZ23"/>
  <c r="X54"/>
  <c r="X749"/>
  <c r="FC8"/>
  <c r="AL9" i="3"/>
  <c r="EA8" i="1"/>
  <c r="DH732"/>
  <c r="CA17"/>
  <c r="BZ17"/>
  <c r="BA185"/>
  <c r="DE142"/>
  <c r="BT146"/>
  <c r="BU146"/>
  <c r="BU189" s="1"/>
  <c r="CC215"/>
  <c r="CD215"/>
  <c r="CW254"/>
  <c r="CX212"/>
  <c r="BE732"/>
  <c r="DI732" s="1"/>
  <c r="CU253"/>
  <c r="CV211"/>
  <c r="DA4"/>
  <c r="BY4"/>
  <c r="BU136"/>
  <c r="BT136"/>
  <c r="AU154"/>
  <c r="S188"/>
  <c r="S748"/>
  <c r="CG17"/>
  <c r="CF17"/>
  <c r="AR740"/>
  <c r="P783"/>
  <c r="CF16"/>
  <c r="CG16"/>
  <c r="CF83"/>
  <c r="CG83"/>
  <c r="BS254"/>
  <c r="BQ212"/>
  <c r="BQ254" s="1"/>
  <c r="BR212"/>
  <c r="BR254" s="1"/>
  <c r="CU146"/>
  <c r="CT189"/>
  <c r="DK6"/>
  <c r="CK6"/>
  <c r="CH273"/>
  <c r="BD318"/>
  <c r="EO753"/>
  <c r="DA53"/>
  <c r="DM123"/>
  <c r="DM909"/>
  <c r="U289"/>
  <c r="DA230"/>
  <c r="AV275"/>
  <c r="DK193"/>
  <c r="DL123"/>
  <c r="U487"/>
  <c r="DA656"/>
  <c r="CZ789"/>
  <c r="DF665"/>
  <c r="AN667" i="3" s="1"/>
  <c r="AQ213"/>
  <c r="CX275" i="1"/>
  <c r="Y683"/>
  <c r="DE665"/>
  <c r="AM667" i="3" s="1"/>
  <c r="BV276" i="1"/>
  <c r="DE11"/>
  <c r="DF11" s="1"/>
  <c r="DG11" s="1"/>
  <c r="CW721"/>
  <c r="CB12"/>
  <c r="AQ675" i="3"/>
  <c r="DJ707" i="1"/>
  <c r="CZ54"/>
  <c r="BD11"/>
  <c r="T487"/>
  <c r="T751" s="1"/>
  <c r="T738" s="1"/>
  <c r="T517"/>
  <c r="T715"/>
  <c r="CW657"/>
  <c r="DH258"/>
  <c r="AP212" i="3" s="1"/>
  <c r="AP213"/>
  <c r="BG518" i="1"/>
  <c r="Z731"/>
  <c r="BA742"/>
  <c r="AZ214"/>
  <c r="CB214" s="1"/>
  <c r="AZ55"/>
  <c r="DA251"/>
  <c r="S487"/>
  <c r="CV516"/>
  <c r="BV671"/>
  <c r="CH731"/>
  <c r="DJ475"/>
  <c r="CU326"/>
  <c r="DH665"/>
  <c r="AP667" i="3" s="1"/>
  <c r="BD782" i="1"/>
  <c r="CU740"/>
  <c r="CV740" s="1"/>
  <c r="CW740" s="1"/>
  <c r="CX740" s="1"/>
  <c r="CY740" s="1"/>
  <c r="CZ740" s="1"/>
  <c r="BX254"/>
  <c r="BQ123"/>
  <c r="CL323"/>
  <c r="EI297"/>
  <c r="CL257"/>
  <c r="EI231"/>
  <c r="CN466"/>
  <c r="EE466"/>
  <c r="EE270"/>
  <c r="EE470"/>
  <c r="CN470"/>
  <c r="CI730"/>
  <c r="CJ730"/>
  <c r="CG142"/>
  <c r="CF142"/>
  <c r="CN601"/>
  <c r="EE601"/>
  <c r="CN666"/>
  <c r="EE666"/>
  <c r="CR12"/>
  <c r="CR55" s="1"/>
  <c r="CS25"/>
  <c r="BV385"/>
  <c r="BV383"/>
  <c r="BN588"/>
  <c r="BN590"/>
  <c r="BP717"/>
  <c r="BN675"/>
  <c r="BN717" s="1"/>
  <c r="BO675"/>
  <c r="BO717" s="1"/>
  <c r="BX766"/>
  <c r="BX790" s="1"/>
  <c r="BW766"/>
  <c r="BW790" s="1"/>
  <c r="BU767"/>
  <c r="BT767"/>
  <c r="BU769"/>
  <c r="BT769"/>
  <c r="FE81"/>
  <c r="FF81" s="1"/>
  <c r="DL104"/>
  <c r="DF115"/>
  <c r="DE103"/>
  <c r="DE128" s="1"/>
  <c r="BT145"/>
  <c r="BT188" s="1"/>
  <c r="BU145"/>
  <c r="BU188" s="1"/>
  <c r="DE170"/>
  <c r="DD195"/>
  <c r="AP744"/>
  <c r="AQ744"/>
  <c r="DF211"/>
  <c r="DE253"/>
  <c r="BX654"/>
  <c r="BX656"/>
  <c r="EE485"/>
  <c r="EO510" s="1"/>
  <c r="CL485"/>
  <c r="DN485"/>
  <c r="BR144"/>
  <c r="BR187" s="1"/>
  <c r="BQ144"/>
  <c r="BQ187" s="1"/>
  <c r="CB390"/>
  <c r="CB392"/>
  <c r="CR386"/>
  <c r="CS344"/>
  <c r="CQ525"/>
  <c r="CR500"/>
  <c r="BP245"/>
  <c r="BO258"/>
  <c r="BO260"/>
  <c r="BY377"/>
  <c r="BX392"/>
  <c r="BX390"/>
  <c r="CS592"/>
  <c r="CT567"/>
  <c r="BF788"/>
  <c r="BF775"/>
  <c r="CH775" s="1"/>
  <c r="CH763" s="1"/>
  <c r="CH788" s="1"/>
  <c r="BW912"/>
  <c r="BW895"/>
  <c r="BW911"/>
  <c r="AL273" i="3"/>
  <c r="EA272" i="1"/>
  <c r="BT215"/>
  <c r="BU215"/>
  <c r="BT278"/>
  <c r="BT320" s="1"/>
  <c r="BU278"/>
  <c r="BU320" s="1"/>
  <c r="BV320"/>
  <c r="CN600"/>
  <c r="DN600"/>
  <c r="EE600"/>
  <c r="EO623" s="1"/>
  <c r="BT83"/>
  <c r="BU83"/>
  <c r="BD915"/>
  <c r="BD519"/>
  <c r="DH476"/>
  <c r="BG617"/>
  <c r="DI494"/>
  <c r="CH494"/>
  <c r="BF494"/>
  <c r="BE524"/>
  <c r="BC608"/>
  <c r="AB608"/>
  <c r="BR83"/>
  <c r="BQ83"/>
  <c r="AC545"/>
  <c r="BD545"/>
  <c r="DH545" s="1"/>
  <c r="CD677"/>
  <c r="CC677"/>
  <c r="BN149"/>
  <c r="BO149"/>
  <c r="CG9"/>
  <c r="CF9"/>
  <c r="BU286"/>
  <c r="BU319" s="1"/>
  <c r="BT317"/>
  <c r="DK74"/>
  <c r="CK74"/>
  <c r="CD524"/>
  <c r="DF510"/>
  <c r="DE523"/>
  <c r="BD909"/>
  <c r="BD123"/>
  <c r="BP743"/>
  <c r="CQ743"/>
  <c r="CR743" s="1"/>
  <c r="CS743" s="1"/>
  <c r="CT743" s="1"/>
  <c r="CU743" s="1"/>
  <c r="CV743" s="1"/>
  <c r="CW743" s="1"/>
  <c r="CX743" s="1"/>
  <c r="CY743" s="1"/>
  <c r="CZ743" s="1"/>
  <c r="DA743" s="1"/>
  <c r="EA743" s="1"/>
  <c r="BN148"/>
  <c r="BO148"/>
  <c r="CR742"/>
  <c r="CS742" s="1"/>
  <c r="CT742" s="1"/>
  <c r="CU742" s="1"/>
  <c r="CV742" s="1"/>
  <c r="CW742" s="1"/>
  <c r="CX742" s="1"/>
  <c r="CY742" s="1"/>
  <c r="CZ742" s="1"/>
  <c r="DA742" s="1"/>
  <c r="EA742" s="1"/>
  <c r="BP742"/>
  <c r="CH475"/>
  <c r="EF715"/>
  <c r="EM722" s="1"/>
  <c r="CH671"/>
  <c r="EF384"/>
  <c r="CK345"/>
  <c r="CK277"/>
  <c r="EF318"/>
  <c r="ER325" s="1"/>
  <c r="CE739"/>
  <c r="CK603"/>
  <c r="DE204"/>
  <c r="CE671"/>
  <c r="AS735" i="3"/>
  <c r="CE605" i="1"/>
  <c r="CL723"/>
  <c r="CK539"/>
  <c r="EP100"/>
  <c r="EL31"/>
  <c r="EQ31" s="1"/>
  <c r="BP14"/>
  <c r="DE138"/>
  <c r="DE402"/>
  <c r="EJ638"/>
  <c r="DO506"/>
  <c r="DP506" s="1"/>
  <c r="AH683"/>
  <c r="DE734"/>
  <c r="AM735" i="3" s="1"/>
  <c r="CC402" i="1"/>
  <c r="CC734"/>
  <c r="K346" i="3"/>
  <c r="CK140" i="1"/>
  <c r="CH670"/>
  <c r="BB713"/>
  <c r="AB208"/>
  <c r="AB406"/>
  <c r="AB472"/>
  <c r="DH538"/>
  <c r="DD916"/>
  <c r="DD919" s="1"/>
  <c r="CH140"/>
  <c r="BA250"/>
  <c r="BB274"/>
  <c r="DB782"/>
  <c r="X919"/>
  <c r="AZ740"/>
  <c r="CE670"/>
  <c r="CE274"/>
  <c r="CE472"/>
  <c r="Y916"/>
  <c r="EB452"/>
  <c r="EB385"/>
  <c r="EA342"/>
  <c r="EA384" s="1"/>
  <c r="DB342"/>
  <c r="DB121"/>
  <c r="BW213"/>
  <c r="BW254" s="1"/>
  <c r="EG220"/>
  <c r="EG911" s="1"/>
  <c r="DM452"/>
  <c r="DB16"/>
  <c r="DC16" s="1"/>
  <c r="DD16" s="1"/>
  <c r="DE16" s="1"/>
  <c r="DF16" s="1"/>
  <c r="DG16" s="1"/>
  <c r="DH16" s="1"/>
  <c r="DI16" s="1"/>
  <c r="DJ16" s="1"/>
  <c r="DK16" s="1"/>
  <c r="DL16" s="1"/>
  <c r="DM16" s="1"/>
  <c r="BY606"/>
  <c r="EA78"/>
  <c r="EA71"/>
  <c r="DD89"/>
  <c r="CA71"/>
  <c r="CZ196"/>
  <c r="DA452"/>
  <c r="T189"/>
  <c r="CB8"/>
  <c r="V743"/>
  <c r="BV189"/>
  <c r="BT147"/>
  <c r="BT189" s="1"/>
  <c r="DE733"/>
  <c r="AM734" i="3" s="1"/>
  <c r="U253" i="1"/>
  <c r="DA391"/>
  <c r="CE534"/>
  <c r="DA515"/>
  <c r="V142"/>
  <c r="AX141"/>
  <c r="CC733"/>
  <c r="EF23"/>
  <c r="EB79"/>
  <c r="DH534"/>
  <c r="CH733"/>
  <c r="U23"/>
  <c r="AU80"/>
  <c r="CE141"/>
  <c r="V4"/>
  <c r="AJ353"/>
  <c r="CN404"/>
  <c r="BV732"/>
  <c r="Z142"/>
  <c r="DN73"/>
  <c r="AD732"/>
  <c r="CK609"/>
  <c r="CK673"/>
  <c r="EI257"/>
  <c r="N212" i="3" s="1"/>
  <c r="EP95" i="1"/>
  <c r="BS553"/>
  <c r="BX860"/>
  <c r="BN860"/>
  <c r="BR860"/>
  <c r="CI665"/>
  <c r="CJ665"/>
  <c r="CD204"/>
  <c r="CC204"/>
  <c r="CL64"/>
  <c r="EI39"/>
  <c r="EI64" s="1"/>
  <c r="ER64" s="1"/>
  <c r="CN205"/>
  <c r="EE205"/>
  <c r="EL228" s="1"/>
  <c r="EQ228" s="1"/>
  <c r="CD138"/>
  <c r="CC138"/>
  <c r="CN598"/>
  <c r="EE598"/>
  <c r="CG534"/>
  <c r="CF534"/>
  <c r="CN403"/>
  <c r="EE403"/>
  <c r="CN335"/>
  <c r="EE335"/>
  <c r="CN136"/>
  <c r="EE136"/>
  <c r="EL159" s="1"/>
  <c r="EQ159" s="1"/>
  <c r="CN338"/>
  <c r="EE338"/>
  <c r="E339" i="3" s="1"/>
  <c r="CN400" i="1"/>
  <c r="EE400"/>
  <c r="CI667"/>
  <c r="CJ667"/>
  <c r="BT283"/>
  <c r="BU283"/>
  <c r="N610" i="3"/>
  <c r="EM631" i="1"/>
  <c r="ER631" s="1"/>
  <c r="BO540"/>
  <c r="BO583" s="1"/>
  <c r="BN540"/>
  <c r="BN583" s="1"/>
  <c r="CS758"/>
  <c r="CR786"/>
  <c r="CR788"/>
  <c r="BN767"/>
  <c r="BO767"/>
  <c r="BZ767"/>
  <c r="CA767"/>
  <c r="CG769"/>
  <c r="CF769"/>
  <c r="BX770"/>
  <c r="BW770"/>
  <c r="BR145"/>
  <c r="BR188" s="1"/>
  <c r="BQ145"/>
  <c r="BQ188" s="1"/>
  <c r="CQ250"/>
  <c r="CR207"/>
  <c r="EB547"/>
  <c r="EG547" s="1"/>
  <c r="DN547"/>
  <c r="DO547" s="1"/>
  <c r="DP547" s="1"/>
  <c r="BO654"/>
  <c r="BO656"/>
  <c r="BS509"/>
  <c r="BR523"/>
  <c r="BR525"/>
  <c r="BU770"/>
  <c r="BT770"/>
  <c r="AD607"/>
  <c r="BG289"/>
  <c r="BH275"/>
  <c r="BG318"/>
  <c r="FD19"/>
  <c r="EB19"/>
  <c r="EG19" s="1"/>
  <c r="DN19"/>
  <c r="DO19" s="1"/>
  <c r="DP19" s="1"/>
  <c r="CR145"/>
  <c r="CQ188"/>
  <c r="BQ235"/>
  <c r="BQ259" s="1"/>
  <c r="BR235"/>
  <c r="BR259" s="1"/>
  <c r="BS259"/>
  <c r="CC902"/>
  <c r="CC906" s="1"/>
  <c r="CD902"/>
  <c r="CD906" s="1"/>
  <c r="CB657"/>
  <c r="CB655"/>
  <c r="CS246"/>
  <c r="CR258"/>
  <c r="CT542"/>
  <c r="CS585"/>
  <c r="CS553"/>
  <c r="CR540"/>
  <c r="FE87"/>
  <c r="FF87" s="1"/>
  <c r="DL110"/>
  <c r="DM110" s="1"/>
  <c r="DN110" s="1"/>
  <c r="DD72"/>
  <c r="CB72"/>
  <c r="BK270"/>
  <c r="DO270" s="1"/>
  <c r="AJ270"/>
  <c r="DJ445"/>
  <c r="DI433"/>
  <c r="DI458" s="1"/>
  <c r="BU214"/>
  <c r="BT214"/>
  <c r="DI194"/>
  <c r="DJ164"/>
  <c r="DI192"/>
  <c r="DL18"/>
  <c r="DM18" s="1"/>
  <c r="AI24"/>
  <c r="AI90"/>
  <c r="BK90" s="1"/>
  <c r="CM90" s="1"/>
  <c r="DO90" s="1"/>
  <c r="AI156"/>
  <c r="BK156" s="1"/>
  <c r="CM156" s="1"/>
  <c r="DO156" s="1"/>
  <c r="AJ222"/>
  <c r="BL222" s="1"/>
  <c r="CN222" s="1"/>
  <c r="DP222" s="1"/>
  <c r="AJ288"/>
  <c r="BL288" s="1"/>
  <c r="CN288" s="1"/>
  <c r="DP288" s="1"/>
  <c r="AI354"/>
  <c r="BK354" s="1"/>
  <c r="CM354" s="1"/>
  <c r="DO354" s="1"/>
  <c r="AJ420"/>
  <c r="BL420" s="1"/>
  <c r="CN420" s="1"/>
  <c r="DP420" s="1"/>
  <c r="AJ486"/>
  <c r="BL486" s="1"/>
  <c r="CN486" s="1"/>
  <c r="DP486" s="1"/>
  <c r="AI552"/>
  <c r="BK552" s="1"/>
  <c r="CM552" s="1"/>
  <c r="DO552" s="1"/>
  <c r="AI618"/>
  <c r="BK618" s="1"/>
  <c r="CM618" s="1"/>
  <c r="DO618" s="1"/>
  <c r="AI684"/>
  <c r="BK684" s="1"/>
  <c r="CM684" s="1"/>
  <c r="DO684" s="1"/>
  <c r="W24"/>
  <c r="AJ90"/>
  <c r="BL90" s="1"/>
  <c r="CN90" s="1"/>
  <c r="DP90" s="1"/>
  <c r="AJ156"/>
  <c r="BL156" s="1"/>
  <c r="CN156" s="1"/>
  <c r="DP156" s="1"/>
  <c r="AI222"/>
  <c r="BK222" s="1"/>
  <c r="CM222" s="1"/>
  <c r="DO222" s="1"/>
  <c r="AI288"/>
  <c r="BK288" s="1"/>
  <c r="CM288" s="1"/>
  <c r="DO288" s="1"/>
  <c r="AJ354"/>
  <c r="BL354" s="1"/>
  <c r="CN354" s="1"/>
  <c r="DP354" s="1"/>
  <c r="AI420"/>
  <c r="BK420" s="1"/>
  <c r="CM420" s="1"/>
  <c r="DO420" s="1"/>
  <c r="AI486"/>
  <c r="BK486" s="1"/>
  <c r="CM486" s="1"/>
  <c r="DO486" s="1"/>
  <c r="AJ552"/>
  <c r="BL552" s="1"/>
  <c r="CN552" s="1"/>
  <c r="DP552" s="1"/>
  <c r="AJ618"/>
  <c r="BL618" s="1"/>
  <c r="CN618" s="1"/>
  <c r="DP618" s="1"/>
  <c r="AJ684"/>
  <c r="BL684" s="1"/>
  <c r="CN684" s="1"/>
  <c r="DP684" s="1"/>
  <c r="AJ24"/>
  <c r="W90"/>
  <c r="AY90" s="1"/>
  <c r="CA90" s="1"/>
  <c r="DC90" s="1"/>
  <c r="W156"/>
  <c r="AY156" s="1"/>
  <c r="CA156" s="1"/>
  <c r="DC156" s="1"/>
  <c r="V222"/>
  <c r="AX222" s="1"/>
  <c r="BZ222" s="1"/>
  <c r="DB222" s="1"/>
  <c r="V288"/>
  <c r="AX288" s="1"/>
  <c r="BZ288" s="1"/>
  <c r="DB288" s="1"/>
  <c r="W354"/>
  <c r="AY354" s="1"/>
  <c r="CA354" s="1"/>
  <c r="DC354" s="1"/>
  <c r="V420"/>
  <c r="AX420" s="1"/>
  <c r="BZ420" s="1"/>
  <c r="DB420" s="1"/>
  <c r="V486"/>
  <c r="AX486" s="1"/>
  <c r="BZ486" s="1"/>
  <c r="DB486" s="1"/>
  <c r="W552"/>
  <c r="AY552" s="1"/>
  <c r="CA552" s="1"/>
  <c r="DC552" s="1"/>
  <c r="W618"/>
  <c r="AY618" s="1"/>
  <c r="CA618" s="1"/>
  <c r="DC618" s="1"/>
  <c r="W684"/>
  <c r="AY684" s="1"/>
  <c r="CA684" s="1"/>
  <c r="DC684" s="1"/>
  <c r="V90"/>
  <c r="AX90" s="1"/>
  <c r="BZ90" s="1"/>
  <c r="DB90" s="1"/>
  <c r="V156"/>
  <c r="AX156" s="1"/>
  <c r="BZ156" s="1"/>
  <c r="DB156" s="1"/>
  <c r="W222"/>
  <c r="AY222" s="1"/>
  <c r="CA222" s="1"/>
  <c r="DC222" s="1"/>
  <c r="W288"/>
  <c r="AY288" s="1"/>
  <c r="CA288" s="1"/>
  <c r="DC288" s="1"/>
  <c r="V354"/>
  <c r="AX354" s="1"/>
  <c r="BZ354" s="1"/>
  <c r="DB354" s="1"/>
  <c r="W420"/>
  <c r="AY420" s="1"/>
  <c r="CA420" s="1"/>
  <c r="DC420" s="1"/>
  <c r="W486"/>
  <c r="AY486" s="1"/>
  <c r="CA486" s="1"/>
  <c r="DC486" s="1"/>
  <c r="V552"/>
  <c r="AX552" s="1"/>
  <c r="BZ552" s="1"/>
  <c r="DB552" s="1"/>
  <c r="V618"/>
  <c r="AX618" s="1"/>
  <c r="BZ618" s="1"/>
  <c r="DB618" s="1"/>
  <c r="V684"/>
  <c r="AX684" s="1"/>
  <c r="BZ684" s="1"/>
  <c r="DB684" s="1"/>
  <c r="V24"/>
  <c r="CH207"/>
  <c r="BD252"/>
  <c r="CK402"/>
  <c r="DK402"/>
  <c r="DA784"/>
  <c r="EA746"/>
  <c r="EA784" s="1"/>
  <c r="AD605"/>
  <c r="AC619"/>
  <c r="AC649"/>
  <c r="CH10"/>
  <c r="BF53"/>
  <c r="DJ10"/>
  <c r="CK138"/>
  <c r="DK138"/>
  <c r="CK469"/>
  <c r="DK469"/>
  <c r="BU217"/>
  <c r="BT217"/>
  <c r="DE304"/>
  <c r="DD327"/>
  <c r="BF665"/>
  <c r="DJ665" s="1"/>
  <c r="AR667" i="3" s="1"/>
  <c r="AG908" i="1"/>
  <c r="CH145"/>
  <c r="BH341"/>
  <c r="EN29"/>
  <c r="ES29" s="1"/>
  <c r="CK669"/>
  <c r="CE475"/>
  <c r="CK209"/>
  <c r="EO31"/>
  <c r="EJ176"/>
  <c r="CK207"/>
  <c r="CN140"/>
  <c r="CK604"/>
  <c r="CK670"/>
  <c r="CK734"/>
  <c r="EE140"/>
  <c r="CH604"/>
  <c r="CH734"/>
  <c r="CE604"/>
  <c r="CE208"/>
  <c r="DM565"/>
  <c r="CH667"/>
  <c r="CK733"/>
  <c r="CK477"/>
  <c r="CK411"/>
  <c r="EP364"/>
  <c r="DK676"/>
  <c r="DL676" s="1"/>
  <c r="DM676" s="1"/>
  <c r="EB676" s="1"/>
  <c r="EG676" s="1"/>
  <c r="EN701" s="1"/>
  <c r="ES701" s="1"/>
  <c r="BU860"/>
  <c r="BO860"/>
  <c r="BY88"/>
  <c r="BS743"/>
  <c r="CX280"/>
  <c r="CY280" s="1"/>
  <c r="CZ280" s="1"/>
  <c r="DA280" s="1"/>
  <c r="EA280" s="1"/>
  <c r="CI273"/>
  <c r="CJ273"/>
  <c r="CI141"/>
  <c r="CJ141"/>
  <c r="CN668"/>
  <c r="EE668"/>
  <c r="CN532"/>
  <c r="EE532"/>
  <c r="CJ204"/>
  <c r="CI204"/>
  <c r="CN271"/>
  <c r="EE271"/>
  <c r="AD541"/>
  <c r="AC584"/>
  <c r="BZ143"/>
  <c r="CA143"/>
  <c r="DB758"/>
  <c r="AX786"/>
  <c r="BZ744"/>
  <c r="CA744"/>
  <c r="AO657"/>
  <c r="BQ641"/>
  <c r="CG622"/>
  <c r="CF622"/>
  <c r="CC621"/>
  <c r="CD621"/>
  <c r="BW621"/>
  <c r="BX621"/>
  <c r="BR621"/>
  <c r="BQ621"/>
  <c r="DC647"/>
  <c r="AK608" i="3" s="1"/>
  <c r="DD603" i="1"/>
  <c r="DE603" s="1"/>
  <c r="DF603" s="1"/>
  <c r="DG603" s="1"/>
  <c r="DH603" s="1"/>
  <c r="DI603" s="1"/>
  <c r="DJ603" s="1"/>
  <c r="BZ598"/>
  <c r="CA598"/>
  <c r="BL591"/>
  <c r="BL589"/>
  <c r="DC567"/>
  <c r="DB592"/>
  <c r="DE566"/>
  <c r="DF566" s="1"/>
  <c r="DG566" s="1"/>
  <c r="DH566" s="1"/>
  <c r="DI566" s="1"/>
  <c r="DJ566" s="1"/>
  <c r="DK566" s="1"/>
  <c r="DL566" s="1"/>
  <c r="DM566" s="1"/>
  <c r="DD591"/>
  <c r="DH548"/>
  <c r="DH586" s="1"/>
  <c r="AC548"/>
  <c r="BT541"/>
  <c r="BT584" s="1"/>
  <c r="BU541"/>
  <c r="BU584" s="1"/>
  <c r="BN541"/>
  <c r="BN584" s="1"/>
  <c r="BO541"/>
  <c r="BO584" s="1"/>
  <c r="CA540"/>
  <c r="BZ540"/>
  <c r="BR537"/>
  <c r="BR581" s="1"/>
  <c r="BQ537"/>
  <c r="BQ583" s="1"/>
  <c r="CQ537"/>
  <c r="CP581"/>
  <c r="BT510"/>
  <c r="AR523"/>
  <c r="CG505"/>
  <c r="CF505"/>
  <c r="BU504"/>
  <c r="BT504"/>
  <c r="BO504"/>
  <c r="BN504"/>
  <c r="CQ502"/>
  <c r="CP526"/>
  <c r="CD490"/>
  <c r="CC490"/>
  <c r="DN486"/>
  <c r="EF486"/>
  <c r="DH483"/>
  <c r="DH520" s="1"/>
  <c r="AC483"/>
  <c r="AY487"/>
  <c r="AY517"/>
  <c r="BV515"/>
  <c r="BT472"/>
  <c r="BU472"/>
  <c r="CK404"/>
  <c r="CK213"/>
  <c r="CK543"/>
  <c r="CN667"/>
  <c r="CK335"/>
  <c r="CK338"/>
  <c r="EM28"/>
  <c r="ER28" s="1"/>
  <c r="CL57"/>
  <c r="CK601"/>
  <c r="CE741"/>
  <c r="CN401"/>
  <c r="CK666"/>
  <c r="CK400"/>
  <c r="CI142"/>
  <c r="CI185" s="1"/>
  <c r="CJ142"/>
  <c r="CJ185" s="1"/>
  <c r="CH209"/>
  <c r="EE584"/>
  <c r="EQ591" s="1"/>
  <c r="CS912"/>
  <c r="DM499"/>
  <c r="BJ599"/>
  <c r="AI599"/>
  <c r="BK268"/>
  <c r="DO268" s="1"/>
  <c r="AY149"/>
  <c r="CB149" s="1"/>
  <c r="CZ10"/>
  <c r="CZ53" s="1"/>
  <c r="AF517"/>
  <c r="CN272"/>
  <c r="AE911"/>
  <c r="CH402"/>
  <c r="CK599"/>
  <c r="CK272"/>
  <c r="CK268"/>
  <c r="DH138"/>
  <c r="BT269"/>
  <c r="CH603"/>
  <c r="CH471"/>
  <c r="CK467"/>
  <c r="CH473"/>
  <c r="CH341"/>
  <c r="CN139"/>
  <c r="CH599"/>
  <c r="CH466"/>
  <c r="CH268"/>
  <c r="CH270"/>
  <c r="CK206"/>
  <c r="EE139"/>
  <c r="CH211"/>
  <c r="CK535"/>
  <c r="CK137"/>
  <c r="CK202"/>
  <c r="CH470"/>
  <c r="CE207"/>
  <c r="CE341"/>
  <c r="CH598"/>
  <c r="CE209"/>
  <c r="CE539"/>
  <c r="CE471"/>
  <c r="CE473"/>
  <c r="DE591"/>
  <c r="BD790"/>
  <c r="AS790"/>
  <c r="AT602" i="3"/>
  <c r="AS601"/>
  <c r="AP589" i="1"/>
  <c r="BO577"/>
  <c r="BP577" s="1"/>
  <c r="AS536" i="3"/>
  <c r="AO471"/>
  <c r="AS470"/>
  <c r="AU469"/>
  <c r="AS469"/>
  <c r="BS484" i="1"/>
  <c r="BS518" s="1"/>
  <c r="CE474"/>
  <c r="CN334"/>
  <c r="EE334"/>
  <c r="EI168"/>
  <c r="CL37"/>
  <c r="EI36"/>
  <c r="EE137"/>
  <c r="E139" i="3" s="1"/>
  <c r="CN137" i="1"/>
  <c r="CN337"/>
  <c r="EE337"/>
  <c r="CL402"/>
  <c r="EF402" s="1"/>
  <c r="CM402"/>
  <c r="CK664"/>
  <c r="DK664"/>
  <c r="CH404"/>
  <c r="DH404"/>
  <c r="AP405" i="3" s="1"/>
  <c r="CH668" i="1"/>
  <c r="DH668"/>
  <c r="AP669" i="3" s="1"/>
  <c r="CD79" i="1"/>
  <c r="CD122" s="1"/>
  <c r="CC79"/>
  <c r="CC122" s="1"/>
  <c r="BC721"/>
  <c r="BC723"/>
  <c r="AQ706"/>
  <c r="CT706"/>
  <c r="CT725" s="1"/>
  <c r="N772"/>
  <c r="CD702"/>
  <c r="CC702"/>
  <c r="BQ691"/>
  <c r="BR691"/>
  <c r="BZ683"/>
  <c r="AX714"/>
  <c r="AU714"/>
  <c r="AU716"/>
  <c r="BW682"/>
  <c r="BQ682"/>
  <c r="AO716"/>
  <c r="BT674"/>
  <c r="BT717" s="1"/>
  <c r="BU674"/>
  <c r="BU717" s="1"/>
  <c r="BZ672"/>
  <c r="BZ715" s="1"/>
  <c r="CA672"/>
  <c r="CA715" s="1"/>
  <c r="DC641"/>
  <c r="DB657"/>
  <c r="AJ607" i="3"/>
  <c r="AJ609"/>
  <c r="BE655" i="1"/>
  <c r="BE657"/>
  <c r="AT655"/>
  <c r="AT657"/>
  <c r="CL622"/>
  <c r="EI622" s="1"/>
  <c r="CM622"/>
  <c r="CL618"/>
  <c r="EE618"/>
  <c r="BZ617"/>
  <c r="AX648"/>
  <c r="CL612"/>
  <c r="EF612" s="1"/>
  <c r="EM637" s="1"/>
  <c r="ER637" s="1"/>
  <c r="CM612"/>
  <c r="CF612"/>
  <c r="CG612"/>
  <c r="BW611"/>
  <c r="BX611"/>
  <c r="BQ611"/>
  <c r="BR611"/>
  <c r="BX651"/>
  <c r="BW651"/>
  <c r="EA602"/>
  <c r="AL603" i="3"/>
  <c r="BW601" i="1"/>
  <c r="BX601"/>
  <c r="BQ599"/>
  <c r="BR599"/>
  <c r="BW570"/>
  <c r="BX570"/>
  <c r="BR569"/>
  <c r="BQ569"/>
  <c r="BQ551"/>
  <c r="AO582"/>
  <c r="CL546"/>
  <c r="EF546" s="1"/>
  <c r="EP571" s="1"/>
  <c r="CM546"/>
  <c r="CJ540"/>
  <c r="CI540"/>
  <c r="AD537"/>
  <c r="BH537"/>
  <c r="BH583" s="1"/>
  <c r="BZ535"/>
  <c r="CA535"/>
  <c r="CR511"/>
  <c r="CQ499"/>
  <c r="CQ524" s="1"/>
  <c r="BL523"/>
  <c r="BL525"/>
  <c r="EI506"/>
  <c r="EP506" s="1"/>
  <c r="CA506"/>
  <c r="BZ506"/>
  <c r="BU506"/>
  <c r="BT506"/>
  <c r="BT501"/>
  <c r="BT526" s="1"/>
  <c r="BU501"/>
  <c r="BU526" s="1"/>
  <c r="BQ496"/>
  <c r="BR496"/>
  <c r="AZ495"/>
  <c r="DC495"/>
  <c r="DC522" s="1"/>
  <c r="AK476" i="3" s="1"/>
  <c r="AY522" i="1"/>
  <c r="CA495"/>
  <c r="CA522" s="1"/>
  <c r="CB495"/>
  <c r="CB522" s="1"/>
  <c r="BR490"/>
  <c r="BQ490"/>
  <c r="CC485"/>
  <c r="BA516"/>
  <c r="CJ474"/>
  <c r="CI474"/>
  <c r="BZ474"/>
  <c r="BZ517" s="1"/>
  <c r="CA474"/>
  <c r="CA517" s="1"/>
  <c r="BU471"/>
  <c r="BT471"/>
  <c r="BO471"/>
  <c r="BO515" s="1"/>
  <c r="BN471"/>
  <c r="BN515" s="1"/>
  <c r="CK534"/>
  <c r="CH141"/>
  <c r="CH185" s="1"/>
  <c r="CH741"/>
  <c r="CE538"/>
  <c r="CN602"/>
  <c r="CK403"/>
  <c r="CK136"/>
  <c r="DK335"/>
  <c r="AS337" i="3" s="1"/>
  <c r="EI657" i="1"/>
  <c r="EI327"/>
  <c r="EM174"/>
  <c r="ER174" s="1"/>
  <c r="EI106"/>
  <c r="EI130" s="1"/>
  <c r="ER130" s="1"/>
  <c r="CN468"/>
  <c r="CN664"/>
  <c r="CH477"/>
  <c r="EP694"/>
  <c r="EI165"/>
  <c r="EP165" s="1"/>
  <c r="CH411"/>
  <c r="CH609"/>
  <c r="CH673"/>
  <c r="EE401"/>
  <c r="EE468"/>
  <c r="EL491" s="1"/>
  <c r="EQ491" s="1"/>
  <c r="AS344" i="3"/>
  <c r="DN532" i="1"/>
  <c r="CE469"/>
  <c r="AT668" i="3"/>
  <c r="EF582" i="1"/>
  <c r="EM589" s="1"/>
  <c r="CN203"/>
  <c r="CJ851"/>
  <c r="BT849"/>
  <c r="BT860" s="1"/>
  <c r="BW852"/>
  <c r="BW860" s="1"/>
  <c r="CG853"/>
  <c r="CG860" s="1"/>
  <c r="CJ855"/>
  <c r="CG29"/>
  <c r="CF28"/>
  <c r="AD831"/>
  <c r="CF762"/>
  <c r="CF763" s="1"/>
  <c r="CF788" s="1"/>
  <c r="CD852"/>
  <c r="CD860" s="1"/>
  <c r="CA876"/>
  <c r="EI656"/>
  <c r="CK473"/>
  <c r="CN268"/>
  <c r="CN467"/>
  <c r="CK471"/>
  <c r="CH204"/>
  <c r="EE272"/>
  <c r="CH469"/>
  <c r="CK270"/>
  <c r="CK466"/>
  <c r="CN206"/>
  <c r="CH148"/>
  <c r="CK598"/>
  <c r="CK470"/>
  <c r="CN535"/>
  <c r="CH539"/>
  <c r="CK211"/>
  <c r="CG138"/>
  <c r="CK279"/>
  <c r="CK600"/>
  <c r="CH669"/>
  <c r="CN202"/>
  <c r="DN139"/>
  <c r="CH275"/>
  <c r="CH272"/>
  <c r="CK343"/>
  <c r="CN336"/>
  <c r="EE206"/>
  <c r="CK139"/>
  <c r="CH279"/>
  <c r="EE535"/>
  <c r="CH467"/>
  <c r="CN533"/>
  <c r="EE202"/>
  <c r="EO225" s="1"/>
  <c r="CH600"/>
  <c r="CE603"/>
  <c r="CE669"/>
  <c r="AN250"/>
  <c r="CE275"/>
  <c r="CK148"/>
  <c r="CE411"/>
  <c r="CE609"/>
  <c r="AT667" i="3"/>
  <c r="CH672" i="1"/>
  <c r="AS602" i="3"/>
  <c r="BY577" i="1"/>
  <c r="AU537" i="3"/>
  <c r="AU536"/>
  <c r="AT536"/>
  <c r="AS535"/>
  <c r="EJ527" i="1"/>
  <c r="AS471" i="3"/>
  <c r="AT470"/>
  <c r="AT469"/>
  <c r="DN692" i="1"/>
  <c r="EJ692" s="1"/>
  <c r="EJ720" s="1"/>
  <c r="S674" i="3" s="1"/>
  <c r="P674" s="1"/>
  <c r="M16" i="4" s="1"/>
  <c r="EH692" i="1"/>
  <c r="CE466"/>
  <c r="DE466"/>
  <c r="BQ443"/>
  <c r="BR443" s="1"/>
  <c r="BS443" s="1"/>
  <c r="AO459"/>
  <c r="BR430"/>
  <c r="BS457"/>
  <c r="CP377"/>
  <c r="BN377"/>
  <c r="AL392"/>
  <c r="CQ370"/>
  <c r="CP393"/>
  <c r="DD362"/>
  <c r="DC389"/>
  <c r="BW353"/>
  <c r="AU383"/>
  <c r="BN352"/>
  <c r="CP352"/>
  <c r="AL385"/>
  <c r="BR296"/>
  <c r="BS323"/>
  <c r="AS75" i="3"/>
  <c r="AS339"/>
  <c r="CN204" i="1"/>
  <c r="CN469"/>
  <c r="CK668"/>
  <c r="CH675"/>
  <c r="CH468"/>
  <c r="CH601"/>
  <c r="CH664"/>
  <c r="CE673"/>
  <c r="CH401"/>
  <c r="CE675"/>
  <c r="CK205"/>
  <c r="CH213"/>
  <c r="CH277"/>
  <c r="CK203"/>
  <c r="CK334"/>
  <c r="CK336"/>
  <c r="CK337"/>
  <c r="CK533"/>
  <c r="CH136"/>
  <c r="CH137"/>
  <c r="CH139"/>
  <c r="CE147"/>
  <c r="CH202"/>
  <c r="CH205"/>
  <c r="CE277"/>
  <c r="CE279"/>
  <c r="CH336"/>
  <c r="CH337"/>
  <c r="CE345"/>
  <c r="CH532"/>
  <c r="CH533"/>
  <c r="CH206"/>
  <c r="DF575"/>
  <c r="EJ772"/>
  <c r="AM770"/>
  <c r="BP770" s="1"/>
  <c r="AL769"/>
  <c r="AQ761"/>
  <c r="AS756"/>
  <c r="BJ756"/>
  <c r="EH756" s="1"/>
  <c r="EL756" s="1"/>
  <c r="EQ756" s="1"/>
  <c r="DP755"/>
  <c r="AV755"/>
  <c r="BJ755"/>
  <c r="EH755" s="1"/>
  <c r="CN737"/>
  <c r="EH709"/>
  <c r="EO709" s="1"/>
  <c r="X721"/>
  <c r="T721"/>
  <c r="J721"/>
  <c r="DN703"/>
  <c r="BS697"/>
  <c r="BS722" s="1"/>
  <c r="BQ697"/>
  <c r="BQ722" s="1"/>
  <c r="BY695"/>
  <c r="BF905"/>
  <c r="BE905"/>
  <c r="BD905"/>
  <c r="BB905"/>
  <c r="CS693"/>
  <c r="CS720" s="1"/>
  <c r="CS689"/>
  <c r="CH689"/>
  <c r="CM685"/>
  <c r="BB679"/>
  <c r="CE679" s="1"/>
  <c r="CN675"/>
  <c r="CN673"/>
  <c r="AM671"/>
  <c r="CE668"/>
  <c r="BS666"/>
  <c r="EJ664"/>
  <c r="AH655"/>
  <c r="AF655"/>
  <c r="AB655"/>
  <c r="Z655"/>
  <c r="W655"/>
  <c r="J655"/>
  <c r="CM643"/>
  <c r="CN643" s="1"/>
  <c r="EH643"/>
  <c r="DN632"/>
  <c r="DN628"/>
  <c r="EJ628" s="1"/>
  <c r="EJ655" s="1"/>
  <c r="DI628"/>
  <c r="DI904" s="1"/>
  <c r="BD904"/>
  <c r="BC904"/>
  <c r="EH624"/>
  <c r="CE624"/>
  <c r="BP624"/>
  <c r="DN622"/>
  <c r="EJ622" s="1"/>
  <c r="S601" i="3" s="1"/>
  <c r="DH622" i="1"/>
  <c r="AP601" i="3" s="1"/>
  <c r="CV622" i="1"/>
  <c r="CB622"/>
  <c r="BP622"/>
  <c r="DG622"/>
  <c r="AO601" i="3" s="1"/>
  <c r="DN619" i="1"/>
  <c r="DO619" s="1"/>
  <c r="DP619" s="1"/>
  <c r="BJ619"/>
  <c r="EE619" s="1"/>
  <c r="EO643" s="1"/>
  <c r="X619"/>
  <c r="CB619" s="1"/>
  <c r="V619"/>
  <c r="AZ618"/>
  <c r="CN609"/>
  <c r="CN607"/>
  <c r="BA606"/>
  <c r="BH606"/>
  <c r="BE606"/>
  <c r="BD606"/>
  <c r="CE602"/>
  <c r="CE600"/>
  <c r="BA591"/>
  <c r="AY591"/>
  <c r="AH591"/>
  <c r="P591"/>
  <c r="N591"/>
  <c r="L591"/>
  <c r="AJ589"/>
  <c r="AG589"/>
  <c r="T589"/>
  <c r="Q589"/>
  <c r="N589"/>
  <c r="EH577"/>
  <c r="EO577" s="1"/>
  <c r="AZ577"/>
  <c r="CB577" s="1"/>
  <c r="AM576"/>
  <c r="EH569"/>
  <c r="CH565"/>
  <c r="DB562"/>
  <c r="DB903" s="1"/>
  <c r="DB906" s="1"/>
  <c r="CT562"/>
  <c r="BF903"/>
  <c r="BD903"/>
  <c r="BB903"/>
  <c r="EH556"/>
  <c r="F535" i="3" s="1"/>
  <c r="DB553" i="1"/>
  <c r="DC553" s="1"/>
  <c r="CL553"/>
  <c r="X553"/>
  <c r="DG549"/>
  <c r="DG586" s="1"/>
  <c r="AZ540"/>
  <c r="DN538"/>
  <c r="DD535"/>
  <c r="EA535" s="1"/>
  <c r="CE535"/>
  <c r="BY535"/>
  <c r="DP534"/>
  <c r="EB534" s="1"/>
  <c r="EG534" s="1"/>
  <c r="EN557" s="1"/>
  <c r="ES557" s="1"/>
  <c r="BL534"/>
  <c r="CN534" s="1"/>
  <c r="DO510"/>
  <c r="DP510" s="1"/>
  <c r="DN504"/>
  <c r="DB502"/>
  <c r="DN501"/>
  <c r="DO500"/>
  <c r="DP500" s="1"/>
  <c r="DK497"/>
  <c r="CI497"/>
  <c r="DJ496"/>
  <c r="DJ902" s="1"/>
  <c r="DH496"/>
  <c r="DH902" s="1"/>
  <c r="BV496"/>
  <c r="DN496"/>
  <c r="BG902"/>
  <c r="BE902"/>
  <c r="BC902"/>
  <c r="DF490"/>
  <c r="AN469" i="3" s="1"/>
  <c r="CT490" i="1"/>
  <c r="X487"/>
  <c r="V487"/>
  <c r="BA481"/>
  <c r="CE481" s="1"/>
  <c r="CN477"/>
  <c r="AM473"/>
  <c r="CE470"/>
  <c r="AT410" i="3"/>
  <c r="AN404"/>
  <c r="AS403"/>
  <c r="CK408" i="1"/>
  <c r="AT339" i="3"/>
  <c r="CE342" i="1"/>
  <c r="AU207" i="3"/>
  <c r="DN699" i="1"/>
  <c r="EJ699" s="1"/>
  <c r="EJ724" s="1"/>
  <c r="EH699"/>
  <c r="DN694"/>
  <c r="EJ694" s="1"/>
  <c r="EJ723" s="1"/>
  <c r="EH694"/>
  <c r="DN688"/>
  <c r="EJ688" s="1"/>
  <c r="S667" i="3" s="1"/>
  <c r="T667" s="1"/>
  <c r="EH688" i="1"/>
  <c r="EO688" s="1"/>
  <c r="D667" i="3" s="1"/>
  <c r="EE674" i="1"/>
  <c r="EE717" s="1"/>
  <c r="DN567"/>
  <c r="EJ567" s="1"/>
  <c r="EJ592" s="1"/>
  <c r="EH567"/>
  <c r="EH903" s="1"/>
  <c r="EE542"/>
  <c r="EE585" s="1"/>
  <c r="DN493"/>
  <c r="EJ493" s="1"/>
  <c r="EN493" s="1"/>
  <c r="ES493" s="1"/>
  <c r="CN476"/>
  <c r="EE476"/>
  <c r="CF474"/>
  <c r="CG474"/>
  <c r="CE467"/>
  <c r="DE467"/>
  <c r="AM469" i="3" s="1"/>
  <c r="BX430" i="1"/>
  <c r="BY457"/>
  <c r="BQ419"/>
  <c r="AO450"/>
  <c r="BF392"/>
  <c r="BF390"/>
  <c r="CF377"/>
  <c r="BD392"/>
  <c r="AQ383"/>
  <c r="AQ385"/>
  <c r="CI276"/>
  <c r="CJ276"/>
  <c r="BE260"/>
  <c r="BE258"/>
  <c r="CW219"/>
  <c r="CW255" s="1"/>
  <c r="Q255"/>
  <c r="CI210"/>
  <c r="CJ210"/>
  <c r="BP209"/>
  <c r="AL223"/>
  <c r="BN223" s="1"/>
  <c r="BO223" s="1"/>
  <c r="BP223" s="1"/>
  <c r="CP209"/>
  <c r="AL252"/>
  <c r="FE74"/>
  <c r="FF74" s="1"/>
  <c r="CE150"/>
  <c r="AT206" i="3"/>
  <c r="CN138" i="1"/>
  <c r="DN204"/>
  <c r="DG171"/>
  <c r="BK536"/>
  <c r="CK675"/>
  <c r="CK602"/>
  <c r="CK401"/>
  <c r="CK468"/>
  <c r="DK668"/>
  <c r="CH400"/>
  <c r="CH403"/>
  <c r="CH602"/>
  <c r="CH666"/>
  <c r="DH401"/>
  <c r="AP403" i="3" s="1"/>
  <c r="CH147" i="1"/>
  <c r="CK271"/>
  <c r="BD319"/>
  <c r="CH343"/>
  <c r="CH345"/>
  <c r="CK532"/>
  <c r="CH543"/>
  <c r="DK203"/>
  <c r="AS205" i="3" s="1"/>
  <c r="DK334" i="1"/>
  <c r="DK337"/>
  <c r="AS338" i="3" s="1"/>
  <c r="CE145" i="1"/>
  <c r="CH203"/>
  <c r="CE211"/>
  <c r="CE213"/>
  <c r="CH271"/>
  <c r="CH334"/>
  <c r="CH335"/>
  <c r="CH338"/>
  <c r="CE343"/>
  <c r="CH535"/>
  <c r="CE543"/>
  <c r="DH206"/>
  <c r="AP207" i="3" s="1"/>
  <c r="DP767" i="1"/>
  <c r="AI906"/>
  <c r="CN741"/>
  <c r="CN739"/>
  <c r="CN709"/>
  <c r="DP702"/>
  <c r="EH702"/>
  <c r="EL702" s="1"/>
  <c r="EQ702" s="1"/>
  <c r="DP700"/>
  <c r="BR697"/>
  <c r="BR722" s="1"/>
  <c r="CN691"/>
  <c r="AS669" i="3"/>
  <c r="AS668"/>
  <c r="CK672" i="1"/>
  <c r="CE666"/>
  <c r="CE664"/>
  <c r="DN657"/>
  <c r="DP635"/>
  <c r="EH635"/>
  <c r="BF904"/>
  <c r="CN621"/>
  <c r="CE601"/>
  <c r="CE599"/>
  <c r="CE598"/>
  <c r="CN577"/>
  <c r="DP569"/>
  <c r="AS537" i="3"/>
  <c r="AT537"/>
  <c r="DP553" i="1"/>
  <c r="CN543"/>
  <c r="CN541"/>
  <c r="CH540"/>
  <c r="CE533"/>
  <c r="CE532"/>
  <c r="BD902"/>
  <c r="BB902"/>
  <c r="AU471" i="3"/>
  <c r="AT471"/>
  <c r="DP487" i="1"/>
  <c r="CN475"/>
  <c r="EE474"/>
  <c r="CN472"/>
  <c r="CN471"/>
  <c r="AU410" i="3"/>
  <c r="AT405"/>
  <c r="AS404"/>
  <c r="AU403"/>
  <c r="AU339"/>
  <c r="AU338"/>
  <c r="CH342" i="1"/>
  <c r="AS273" i="3"/>
  <c r="CE276" i="1"/>
  <c r="AU206" i="3"/>
  <c r="AU205"/>
  <c r="CE210" i="1"/>
  <c r="CL246"/>
  <c r="EI246" s="1"/>
  <c r="EP246" s="1"/>
  <c r="EH246"/>
  <c r="CL245"/>
  <c r="EH245"/>
  <c r="Y143"/>
  <c r="X157"/>
  <c r="CE468"/>
  <c r="BK457"/>
  <c r="DB437"/>
  <c r="DC437" s="1"/>
  <c r="DD437" s="1"/>
  <c r="DE437" s="1"/>
  <c r="DF437" s="1"/>
  <c r="DG437" s="1"/>
  <c r="DH437" s="1"/>
  <c r="DI437" s="1"/>
  <c r="DJ437" s="1"/>
  <c r="DK437" s="1"/>
  <c r="DL437" s="1"/>
  <c r="DM437" s="1"/>
  <c r="CP437"/>
  <c r="CQ437" s="1"/>
  <c r="CR437" s="1"/>
  <c r="CS437" s="1"/>
  <c r="CT437" s="1"/>
  <c r="CU437" s="1"/>
  <c r="CV437" s="1"/>
  <c r="CW437" s="1"/>
  <c r="CX437" s="1"/>
  <c r="CY437" s="1"/>
  <c r="CZ437" s="1"/>
  <c r="DA437" s="1"/>
  <c r="CP435"/>
  <c r="CJ458"/>
  <c r="DI430"/>
  <c r="DE430"/>
  <c r="CS430"/>
  <c r="CH430"/>
  <c r="BF901"/>
  <c r="BC901"/>
  <c r="BB901"/>
  <c r="DN428"/>
  <c r="AS405" i="3"/>
  <c r="CZ423" i="1"/>
  <c r="BA415"/>
  <c r="CN414"/>
  <c r="CN413"/>
  <c r="CE404"/>
  <c r="BS403"/>
  <c r="CQ401"/>
  <c r="CB401"/>
  <c r="CE400"/>
  <c r="AF390"/>
  <c r="AT344" i="3" s="1"/>
  <c r="U390" i="1"/>
  <c r="M390"/>
  <c r="K390"/>
  <c r="BI378"/>
  <c r="AT345" i="3"/>
  <c r="EH374" i="1"/>
  <c r="EL374" s="1"/>
  <c r="CH365"/>
  <c r="DI364"/>
  <c r="DI900" s="1"/>
  <c r="BF900"/>
  <c r="BD900"/>
  <c r="BB900"/>
  <c r="DM363"/>
  <c r="CM355"/>
  <c r="BP346"/>
  <c r="BS340"/>
  <c r="CE338"/>
  <c r="EJ337"/>
  <c r="CE334"/>
  <c r="AU279" i="3"/>
  <c r="EJ310" i="1"/>
  <c r="DO306"/>
  <c r="DP306" s="1"/>
  <c r="DO304"/>
  <c r="DP304" s="1"/>
  <c r="EH304"/>
  <c r="BJ313"/>
  <c r="DA295"/>
  <c r="AS272" i="3"/>
  <c r="AT271"/>
  <c r="CN279" i="1"/>
  <c r="CH276"/>
  <c r="CM247"/>
  <c r="CQ244"/>
  <c r="CQ262" s="1"/>
  <c r="EJ243"/>
  <c r="EJ262" s="1"/>
  <c r="BP242"/>
  <c r="CY233"/>
  <c r="BE898"/>
  <c r="BB898"/>
  <c r="EH231"/>
  <c r="DN230"/>
  <c r="DN229"/>
  <c r="EJ229" s="1"/>
  <c r="S207" i="3" s="1"/>
  <c r="T207" s="1"/>
  <c r="CV226" i="1"/>
  <c r="CT226"/>
  <c r="CW225"/>
  <c r="DO223"/>
  <c r="DP223" s="1"/>
  <c r="CM223"/>
  <c r="EF223" s="1"/>
  <c r="CY219"/>
  <c r="CY255" s="1"/>
  <c r="CV219"/>
  <c r="CV255" s="1"/>
  <c r="CS219"/>
  <c r="CS255" s="1"/>
  <c r="CS218"/>
  <c r="CN216"/>
  <c r="AL215"/>
  <c r="AL214"/>
  <c r="DN212"/>
  <c r="CN211"/>
  <c r="CE206"/>
  <c r="CE205"/>
  <c r="CH144"/>
  <c r="AT74" i="3"/>
  <c r="AT9"/>
  <c r="AT7"/>
  <c r="CF408" i="1"/>
  <c r="CG408"/>
  <c r="DN369"/>
  <c r="EJ369" s="1"/>
  <c r="EJ393" s="1"/>
  <c r="EH369"/>
  <c r="EO369" s="1"/>
  <c r="DN364"/>
  <c r="EJ364" s="1"/>
  <c r="EJ392" s="1"/>
  <c r="EH364"/>
  <c r="EH900" s="1"/>
  <c r="EQ900" s="1"/>
  <c r="CE203"/>
  <c r="DE203"/>
  <c r="AM205" i="3" s="1"/>
  <c r="CE202" i="1"/>
  <c r="DE202"/>
  <c r="DC145"/>
  <c r="DB188"/>
  <c r="O137"/>
  <c r="N155"/>
  <c r="M75"/>
  <c r="L121"/>
  <c r="Y155"/>
  <c r="AZ155"/>
  <c r="AZ186" s="1"/>
  <c r="X186"/>
  <c r="CN445"/>
  <c r="BD901"/>
  <c r="AT404" i="3"/>
  <c r="CN423" i="1"/>
  <c r="CN411"/>
  <c r="CN409"/>
  <c r="CE408"/>
  <c r="CE403"/>
  <c r="CE401"/>
  <c r="AS345" i="3"/>
  <c r="DP372" i="1"/>
  <c r="DP371"/>
  <c r="DP370"/>
  <c r="EH368"/>
  <c r="CN345"/>
  <c r="CN344"/>
  <c r="CN343"/>
  <c r="CK342"/>
  <c r="CE337"/>
  <c r="CE336"/>
  <c r="CE335"/>
  <c r="BG899"/>
  <c r="BF899"/>
  <c r="BE899"/>
  <c r="BD899"/>
  <c r="BC899"/>
  <c r="BB899"/>
  <c r="AT272" i="3"/>
  <c r="BP293" i="1"/>
  <c r="CN277"/>
  <c r="CE272"/>
  <c r="CE271"/>
  <c r="CE270"/>
  <c r="DP240"/>
  <c r="BG898"/>
  <c r="BF898"/>
  <c r="BD898"/>
  <c r="BC898"/>
  <c r="AS207" i="3"/>
  <c r="AS206"/>
  <c r="CH210" i="1"/>
  <c r="CE144"/>
  <c r="AU75" i="3"/>
  <c r="AU74"/>
  <c r="AS74"/>
  <c r="AT73"/>
  <c r="AW61" i="1"/>
  <c r="AS9" i="3"/>
  <c r="AT145"/>
  <c r="AS145"/>
  <c r="DO175" i="1"/>
  <c r="DP175" s="1"/>
  <c r="CN173"/>
  <c r="CN169"/>
  <c r="BF897"/>
  <c r="BD897"/>
  <c r="AT141" i="3"/>
  <c r="DN155" i="1"/>
  <c r="BA151"/>
  <c r="AR151"/>
  <c r="CE140"/>
  <c r="CE137"/>
  <c r="CE136"/>
  <c r="CM115"/>
  <c r="CN115" s="1"/>
  <c r="BE896"/>
  <c r="BC896"/>
  <c r="EJ45"/>
  <c r="EJ65" s="1"/>
  <c r="AQ45"/>
  <c r="DN43"/>
  <c r="BY35"/>
  <c r="BF895"/>
  <c r="BD895"/>
  <c r="BB895"/>
  <c r="AS8" i="3"/>
  <c r="BP29" i="1"/>
  <c r="AM10"/>
  <c r="DN9"/>
  <c r="DN53" s="1"/>
  <c r="BI9"/>
  <c r="AP7"/>
  <c r="AP4"/>
  <c r="CE268"/>
  <c r="CK407"/>
  <c r="CE407"/>
  <c r="CK409"/>
  <c r="CE409"/>
  <c r="CK607"/>
  <c r="CE607"/>
  <c r="AU145" i="3"/>
  <c r="DN166" i="1"/>
  <c r="EJ166" s="1"/>
  <c r="EH166"/>
  <c r="DN160"/>
  <c r="EJ160" s="1"/>
  <c r="S139" i="3" s="1"/>
  <c r="EH160" i="1"/>
  <c r="CN181"/>
  <c r="BG897"/>
  <c r="BE897"/>
  <c r="BC897"/>
  <c r="BB897"/>
  <c r="AU140" i="3"/>
  <c r="CK144" i="1"/>
  <c r="CE139"/>
  <c r="EJ111"/>
  <c r="BG896"/>
  <c r="BF896"/>
  <c r="BD896"/>
  <c r="BB896"/>
  <c r="DN98"/>
  <c r="DO49"/>
  <c r="BG895"/>
  <c r="BG906" s="1"/>
  <c r="BE895"/>
  <c r="BE906" s="1"/>
  <c r="AT8" i="3"/>
  <c r="EH29" i="1"/>
  <c r="BL22"/>
  <c r="Q673" i="3"/>
  <c r="X339" i="1"/>
  <c r="CH407"/>
  <c r="CH409"/>
  <c r="CH607"/>
  <c r="Y616"/>
  <c r="CQ911"/>
  <c r="CH536"/>
  <c r="BK860"/>
  <c r="CL849"/>
  <c r="CK536"/>
  <c r="CE536"/>
  <c r="BD876"/>
  <c r="CL850"/>
  <c r="CL851"/>
  <c r="EI851" s="1"/>
  <c r="N149" i="3" s="1"/>
  <c r="CL853" i="1"/>
  <c r="EI853" s="1"/>
  <c r="N281" i="3" s="1"/>
  <c r="CL854" i="1"/>
  <c r="EI854" s="1"/>
  <c r="EM854" s="1"/>
  <c r="ER854" s="1"/>
  <c r="CL855"/>
  <c r="EI855" s="1"/>
  <c r="CL856"/>
  <c r="EI856" s="1"/>
  <c r="EM856" s="1"/>
  <c r="ER856" s="1"/>
  <c r="CN857"/>
  <c r="AF763"/>
  <c r="CF541"/>
  <c r="CF584" s="1"/>
  <c r="CI541"/>
  <c r="CI584" s="1"/>
  <c r="CL216"/>
  <c r="EF216" s="1"/>
  <c r="EP241" s="1"/>
  <c r="CM216"/>
  <c r="CM211"/>
  <c r="CM253" s="1"/>
  <c r="CN253"/>
  <c r="CL211"/>
  <c r="CM213"/>
  <c r="CL213"/>
  <c r="EF213" s="1"/>
  <c r="EM238" s="1"/>
  <c r="ER238" s="1"/>
  <c r="F279" i="3"/>
  <c r="M79"/>
  <c r="EP93" i="1"/>
  <c r="K79" i="3" s="1"/>
  <c r="N213"/>
  <c r="EP235" i="1"/>
  <c r="K214" i="3" s="1"/>
  <c r="EP232" i="1"/>
  <c r="CN223"/>
  <c r="N147" i="3"/>
  <c r="N139"/>
  <c r="CM157" i="1"/>
  <c r="EI654"/>
  <c r="EN895"/>
  <c r="EH786"/>
  <c r="EP96"/>
  <c r="K74" i="3" s="1"/>
  <c r="F14"/>
  <c r="C14" s="1"/>
  <c r="EO60" i="1"/>
  <c r="D14" i="3" s="1"/>
  <c r="F15"/>
  <c r="EO94" i="1"/>
  <c r="D73" i="3" s="1"/>
  <c r="EI871" i="1"/>
  <c r="N414" i="3" s="1"/>
  <c r="EI869" i="1"/>
  <c r="N282" i="3" s="1"/>
  <c r="EI874" i="1"/>
  <c r="N612" i="3" s="1"/>
  <c r="N18"/>
  <c r="EL443" i="1"/>
  <c r="EQ443" s="1"/>
  <c r="EM94"/>
  <c r="ER94" s="1"/>
  <c r="BZ876"/>
  <c r="EM859"/>
  <c r="ER859" s="1"/>
  <c r="N677" i="3"/>
  <c r="EP859" i="1"/>
  <c r="N611" i="3"/>
  <c r="EM858" i="1"/>
  <c r="ER858" s="1"/>
  <c r="EP858"/>
  <c r="EP852"/>
  <c r="N215" i="3"/>
  <c r="EM852" i="1"/>
  <c r="ER852" s="1"/>
  <c r="EI850"/>
  <c r="EJ593"/>
  <c r="EN370"/>
  <c r="ES370" s="1"/>
  <c r="EP437"/>
  <c r="EM305"/>
  <c r="ER305" s="1"/>
  <c r="EM41"/>
  <c r="ER41" s="1"/>
  <c r="EM701"/>
  <c r="ER701" s="1"/>
  <c r="EM374"/>
  <c r="EM506"/>
  <c r="EM635"/>
  <c r="ER635" s="1"/>
  <c r="EP373"/>
  <c r="EI720"/>
  <c r="N674" i="3" s="1"/>
  <c r="EN555" i="1"/>
  <c r="ES555" s="1"/>
  <c r="EP300"/>
  <c r="EP168"/>
  <c r="EG584"/>
  <c r="EP503"/>
  <c r="EM498"/>
  <c r="ER498" s="1"/>
  <c r="L603" i="3"/>
  <c r="M603" s="1"/>
  <c r="J603" s="1"/>
  <c r="R603"/>
  <c r="EM576" i="1"/>
  <c r="ER576" s="1"/>
  <c r="T339" i="3"/>
  <c r="EN625" i="1"/>
  <c r="ES625" s="1"/>
  <c r="EN444"/>
  <c r="ES444" s="1"/>
  <c r="EM444"/>
  <c r="ER444" s="1"/>
  <c r="EN180"/>
  <c r="ES180" s="1"/>
  <c r="EM108"/>
  <c r="ER108" s="1"/>
  <c r="EM440"/>
  <c r="L405" i="3"/>
  <c r="M405" s="1"/>
  <c r="J405" s="1"/>
  <c r="R141"/>
  <c r="T141" s="1"/>
  <c r="L602"/>
  <c r="M602" s="1"/>
  <c r="J602" s="1"/>
  <c r="L273"/>
  <c r="M273" s="1"/>
  <c r="N339"/>
  <c r="J339" s="1"/>
  <c r="EN228" i="1"/>
  <c r="ES228" s="1"/>
  <c r="EP38"/>
  <c r="EI392"/>
  <c r="EI721"/>
  <c r="EM49"/>
  <c r="EM171"/>
  <c r="ER171" s="1"/>
  <c r="EG386"/>
  <c r="ES393" s="1"/>
  <c r="EN30"/>
  <c r="ES30" s="1"/>
  <c r="EP635"/>
  <c r="EP305"/>
  <c r="EP298"/>
  <c r="EP175"/>
  <c r="EI896"/>
  <c r="N272" i="3"/>
  <c r="EN238" i="1"/>
  <c r="ES238" s="1"/>
  <c r="EG57"/>
  <c r="EG910"/>
  <c r="EM504"/>
  <c r="ER504" s="1"/>
  <c r="EP301"/>
  <c r="K280" i="3" s="1"/>
  <c r="EM372" i="1"/>
  <c r="ER372" s="1"/>
  <c r="EF648"/>
  <c r="ER655" s="1"/>
  <c r="EN568"/>
  <c r="ES568" s="1"/>
  <c r="EP101"/>
  <c r="ES130"/>
  <c r="EI900"/>
  <c r="N140" i="3"/>
  <c r="EP511" i="1"/>
  <c r="EP505"/>
  <c r="EF187"/>
  <c r="EN437"/>
  <c r="ES437" s="1"/>
  <c r="EN234"/>
  <c r="ES234" s="1"/>
  <c r="EN161"/>
  <c r="ES161" s="1"/>
  <c r="EN225"/>
  <c r="ES225" s="1"/>
  <c r="EN566"/>
  <c r="ES566" s="1"/>
  <c r="EN425"/>
  <c r="ES425" s="1"/>
  <c r="EN359"/>
  <c r="ES359" s="1"/>
  <c r="EN178"/>
  <c r="ES178" s="1"/>
  <c r="EN93"/>
  <c r="ES93" s="1"/>
  <c r="EN31"/>
  <c r="ES31" s="1"/>
  <c r="EN27"/>
  <c r="ES27" s="1"/>
  <c r="S9" i="3"/>
  <c r="EJ196" i="1"/>
  <c r="EJ64"/>
  <c r="EN859"/>
  <c r="ES859" s="1"/>
  <c r="EJ591"/>
  <c r="EJ389"/>
  <c r="S344" i="3" s="1"/>
  <c r="EN706" i="1"/>
  <c r="ES706" s="1"/>
  <c r="EN508"/>
  <c r="ES508" s="1"/>
  <c r="S607" i="3"/>
  <c r="EN105" i="1"/>
  <c r="ES105" s="1"/>
  <c r="EN565"/>
  <c r="ES565" s="1"/>
  <c r="EN94"/>
  <c r="ES94" s="1"/>
  <c r="EN376"/>
  <c r="ES376" s="1"/>
  <c r="EN372"/>
  <c r="ES372" s="1"/>
  <c r="EN294"/>
  <c r="ES294" s="1"/>
  <c r="EO47"/>
  <c r="D13" i="3" s="1"/>
  <c r="S15"/>
  <c r="DO382" i="1"/>
  <c r="EE384"/>
  <c r="EL391" s="1"/>
  <c r="EE252"/>
  <c r="EQ259" s="1"/>
  <c r="CL119"/>
  <c r="DN119"/>
  <c r="DO119"/>
  <c r="EL693"/>
  <c r="EQ693" s="1"/>
  <c r="EO693"/>
  <c r="DN670"/>
  <c r="DN713" s="1"/>
  <c r="DO669"/>
  <c r="EG909"/>
  <c r="EE669"/>
  <c r="EE713" s="1"/>
  <c r="CM603"/>
  <c r="CN647"/>
  <c r="CL603"/>
  <c r="CN649"/>
  <c r="CM649"/>
  <c r="DN603"/>
  <c r="CL649"/>
  <c r="CL538"/>
  <c r="CM538"/>
  <c r="CM537"/>
  <c r="CN583"/>
  <c r="CL537"/>
  <c r="CN581"/>
  <c r="DN537"/>
  <c r="CL472"/>
  <c r="CM472"/>
  <c r="DN472"/>
  <c r="CM471"/>
  <c r="CM515" s="1"/>
  <c r="CN517"/>
  <c r="CL471"/>
  <c r="CN515"/>
  <c r="CL517"/>
  <c r="DN471"/>
  <c r="CM517"/>
  <c r="EO433"/>
  <c r="K412" i="3"/>
  <c r="EE451" i="1"/>
  <c r="CL406"/>
  <c r="EF406" s="1"/>
  <c r="CM406"/>
  <c r="DN406"/>
  <c r="CL405"/>
  <c r="CN451"/>
  <c r="CM405"/>
  <c r="CN449"/>
  <c r="CL451"/>
  <c r="DN405"/>
  <c r="CM340"/>
  <c r="CL340"/>
  <c r="EF340" s="1"/>
  <c r="EP363" s="1"/>
  <c r="CL339"/>
  <c r="CL384" s="1"/>
  <c r="CN382"/>
  <c r="CM339"/>
  <c r="CM382" s="1"/>
  <c r="CN384"/>
  <c r="CM384"/>
  <c r="CM274"/>
  <c r="CL274"/>
  <c r="E80" i="3"/>
  <c r="C80" s="1"/>
  <c r="EE651" i="1"/>
  <c r="EO658" s="1"/>
  <c r="EL196"/>
  <c r="AH779"/>
  <c r="C537" i="3"/>
  <c r="EO506" i="1"/>
  <c r="BK316"/>
  <c r="EM129"/>
  <c r="EM704"/>
  <c r="R403" i="3"/>
  <c r="L403"/>
  <c r="M403" s="1"/>
  <c r="R139"/>
  <c r="T139" s="1"/>
  <c r="L139"/>
  <c r="M139" s="1"/>
  <c r="DP316" i="1"/>
  <c r="CL273"/>
  <c r="CN316"/>
  <c r="CN318"/>
  <c r="CM273"/>
  <c r="CM316" s="1"/>
  <c r="C470" i="3"/>
  <c r="EL261" i="1"/>
  <c r="EO576"/>
  <c r="EQ657"/>
  <c r="EL765"/>
  <c r="EQ765" s="1"/>
  <c r="EL722"/>
  <c r="EP497"/>
  <c r="EI261"/>
  <c r="N273" i="3"/>
  <c r="EO702" i="1"/>
  <c r="EJ129"/>
  <c r="EP259"/>
  <c r="EM511"/>
  <c r="EJ590"/>
  <c r="EE518"/>
  <c r="EO525" s="1"/>
  <c r="CM318"/>
  <c r="EM27"/>
  <c r="ER27" s="1"/>
  <c r="EP504"/>
  <c r="EI723"/>
  <c r="ER129"/>
  <c r="EE316"/>
  <c r="EE781"/>
  <c r="EP643"/>
  <c r="F601" i="3"/>
  <c r="EN244" i="1"/>
  <c r="ES244" s="1"/>
  <c r="EO853"/>
  <c r="F479" i="3"/>
  <c r="EN627" i="1"/>
  <c r="ES627" s="1"/>
  <c r="EO358"/>
  <c r="D337" i="3" s="1"/>
  <c r="EN371" i="1"/>
  <c r="ES371" s="1"/>
  <c r="EP371"/>
  <c r="EL850"/>
  <c r="EQ850" s="1"/>
  <c r="F413" i="3"/>
  <c r="EN106" i="1"/>
  <c r="ES106" s="1"/>
  <c r="EI724"/>
  <c r="EN368"/>
  <c r="ES368" s="1"/>
  <c r="EO159"/>
  <c r="EL494"/>
  <c r="EQ494" s="1"/>
  <c r="EE185"/>
  <c r="EO192" s="1"/>
  <c r="D146" i="3" s="1"/>
  <c r="EO378" i="1"/>
  <c r="EP106"/>
  <c r="EO93"/>
  <c r="EL557"/>
  <c r="EQ557" s="1"/>
  <c r="EM165"/>
  <c r="ER165" s="1"/>
  <c r="EO306"/>
  <c r="EP166"/>
  <c r="EP167"/>
  <c r="EM95"/>
  <c r="ER95" s="1"/>
  <c r="EL172"/>
  <c r="EQ172" s="1"/>
  <c r="EN854"/>
  <c r="ES854" s="1"/>
  <c r="K478" i="3"/>
  <c r="EO445" i="1"/>
  <c r="EL623"/>
  <c r="EQ623" s="1"/>
  <c r="EL559"/>
  <c r="EQ559" s="1"/>
  <c r="EF451"/>
  <c r="ER458" s="1"/>
  <c r="BJ781"/>
  <c r="BK318"/>
  <c r="CL208"/>
  <c r="EF208" s="1"/>
  <c r="CM208"/>
  <c r="DN208"/>
  <c r="CL207"/>
  <c r="CM207"/>
  <c r="CN250"/>
  <c r="CN252"/>
  <c r="DN207"/>
  <c r="DN185"/>
  <c r="DO141"/>
  <c r="EP99"/>
  <c r="EM99"/>
  <c r="ER99" s="1"/>
  <c r="EO363"/>
  <c r="CM119"/>
  <c r="CM121"/>
  <c r="EM98"/>
  <c r="ER98" s="1"/>
  <c r="EP98"/>
  <c r="CN736"/>
  <c r="DN736"/>
  <c r="EE736"/>
  <c r="EE779" s="1"/>
  <c r="BJ779"/>
  <c r="EM33"/>
  <c r="ER33" s="1"/>
  <c r="EP33"/>
  <c r="EJ197"/>
  <c r="DN779"/>
  <c r="DO735"/>
  <c r="CL9"/>
  <c r="CN55"/>
  <c r="CM9"/>
  <c r="CN53"/>
  <c r="CN735"/>
  <c r="R343" i="3"/>
  <c r="R79"/>
  <c r="R13"/>
  <c r="L673"/>
  <c r="M673" s="1"/>
  <c r="J673" s="1"/>
  <c r="R673"/>
  <c r="T673" s="1"/>
  <c r="EN707" i="1"/>
  <c r="ES707" s="1"/>
  <c r="EG286"/>
  <c r="EG918"/>
  <c r="Q675" i="3" s="1"/>
  <c r="EL769" i="1"/>
  <c r="EP638"/>
  <c r="EP572"/>
  <c r="EP44"/>
  <c r="EG278"/>
  <c r="EO758"/>
  <c r="EO435"/>
  <c r="EO564"/>
  <c r="EO234"/>
  <c r="EJ260"/>
  <c r="DO918"/>
  <c r="DP674"/>
  <c r="DO717"/>
  <c r="CL674"/>
  <c r="CN717"/>
  <c r="CM674"/>
  <c r="S273" i="3"/>
  <c r="T273" s="1"/>
  <c r="EO108" i="1"/>
  <c r="EL630"/>
  <c r="EQ630" s="1"/>
  <c r="EE250"/>
  <c r="J471" i="3"/>
  <c r="EL168" i="1"/>
  <c r="EQ168" s="1"/>
  <c r="EL303"/>
  <c r="EQ303" s="1"/>
  <c r="E535" i="3"/>
  <c r="EL853" i="1"/>
  <c r="EQ853" s="1"/>
  <c r="EE122"/>
  <c r="CM608"/>
  <c r="CL608"/>
  <c r="CN651"/>
  <c r="DN608"/>
  <c r="CL542"/>
  <c r="CN585"/>
  <c r="CM542"/>
  <c r="DN542"/>
  <c r="CL476"/>
  <c r="CN519"/>
  <c r="CM476"/>
  <c r="DN476"/>
  <c r="CM410"/>
  <c r="CL410"/>
  <c r="CN453"/>
  <c r="CM344"/>
  <c r="CN386"/>
  <c r="CL344"/>
  <c r="CL278"/>
  <c r="CN320"/>
  <c r="CM278"/>
  <c r="CL212"/>
  <c r="CN254"/>
  <c r="CM212"/>
  <c r="CM254" s="1"/>
  <c r="DO909"/>
  <c r="DO123"/>
  <c r="EN691"/>
  <c r="ES691" s="1"/>
  <c r="EO459"/>
  <c r="CN745"/>
  <c r="CN740"/>
  <c r="BJ783"/>
  <c r="DN740"/>
  <c r="EL226"/>
  <c r="EQ226" s="1"/>
  <c r="CN769"/>
  <c r="DN769"/>
  <c r="DN784"/>
  <c r="DN791"/>
  <c r="EN28"/>
  <c r="ES28" s="1"/>
  <c r="EN426"/>
  <c r="ES426" s="1"/>
  <c r="EN624"/>
  <c r="ES624" s="1"/>
  <c r="N607" i="3"/>
  <c r="N151"/>
  <c r="EP49" i="1"/>
  <c r="EE581"/>
  <c r="E542" i="3" s="1"/>
  <c r="C542" s="1"/>
  <c r="CL260" i="1"/>
  <c r="CM130"/>
  <c r="DP658"/>
  <c r="BK324"/>
  <c r="DO654"/>
  <c r="DO494"/>
  <c r="DN522"/>
  <c r="F7" i="3"/>
  <c r="EO589" i="1"/>
  <c r="EP444"/>
  <c r="EL591"/>
  <c r="EP707"/>
  <c r="K673" i="3" s="1"/>
  <c r="N668"/>
  <c r="P536"/>
  <c r="K9" i="4" s="1"/>
  <c r="CL391" i="1"/>
  <c r="DP389"/>
  <c r="S471" i="3"/>
  <c r="S603"/>
  <c r="EN494" i="1"/>
  <c r="ES494" s="1"/>
  <c r="EO232"/>
  <c r="EM767"/>
  <c r="ER767" s="1"/>
  <c r="F607" i="3"/>
  <c r="C607" s="1"/>
  <c r="S205"/>
  <c r="T205" s="1"/>
  <c r="EO377" i="1"/>
  <c r="D343" i="3" s="1"/>
  <c r="R272"/>
  <c r="T272" s="1"/>
  <c r="CN62" i="1"/>
  <c r="CM60"/>
  <c r="CL62"/>
  <c r="DP62"/>
  <c r="DO60"/>
  <c r="DN192"/>
  <c r="DO164"/>
  <c r="DN194"/>
  <c r="CM458"/>
  <c r="EH905"/>
  <c r="DN590"/>
  <c r="DN323"/>
  <c r="DO323"/>
  <c r="EE320"/>
  <c r="DP434"/>
  <c r="DP459" s="1"/>
  <c r="DO459"/>
  <c r="BK891"/>
  <c r="CL886"/>
  <c r="EI886" s="1"/>
  <c r="N415" i="3" s="1"/>
  <c r="CM886" i="1"/>
  <c r="DN708"/>
  <c r="EJ708" s="1"/>
  <c r="EJ721" s="1"/>
  <c r="CL708"/>
  <c r="BJ721"/>
  <c r="CM444"/>
  <c r="CN444" s="1"/>
  <c r="DO444"/>
  <c r="DP444" s="1"/>
  <c r="DN378"/>
  <c r="CL378"/>
  <c r="CM48"/>
  <c r="CN48" s="1"/>
  <c r="L409" i="3"/>
  <c r="M409" s="1"/>
  <c r="R409"/>
  <c r="EL707" i="1"/>
  <c r="EQ707" s="1"/>
  <c r="EL370"/>
  <c r="EQ370" s="1"/>
  <c r="EL435"/>
  <c r="EQ435" s="1"/>
  <c r="EO366"/>
  <c r="EO101"/>
  <c r="EO563"/>
  <c r="EO303"/>
  <c r="EN163"/>
  <c r="ES163" s="1"/>
  <c r="EL33"/>
  <c r="EQ33" s="1"/>
  <c r="EO854"/>
  <c r="EL858"/>
  <c r="EQ858" s="1"/>
  <c r="EO850"/>
  <c r="EN637"/>
  <c r="ES637" s="1"/>
  <c r="EN306"/>
  <c r="ES306" s="1"/>
  <c r="EL436"/>
  <c r="EQ436" s="1"/>
  <c r="EE123"/>
  <c r="EP704"/>
  <c r="EO27"/>
  <c r="EL225"/>
  <c r="EQ225" s="1"/>
  <c r="EL638"/>
  <c r="EN292"/>
  <c r="ES292" s="1"/>
  <c r="EN361"/>
  <c r="ES361" s="1"/>
  <c r="EJ60"/>
  <c r="S14" i="3" s="1"/>
  <c r="F13"/>
  <c r="EJ900" i="1"/>
  <c r="S345" i="3" s="1"/>
  <c r="EH898" i="1"/>
  <c r="EQ898" s="1"/>
  <c r="EO114"/>
  <c r="EP108"/>
  <c r="EF583"/>
  <c r="EL754"/>
  <c r="EQ754" s="1"/>
  <c r="EN436"/>
  <c r="ES436" s="1"/>
  <c r="EF910"/>
  <c r="N535" i="3"/>
  <c r="EN767" i="1"/>
  <c r="ES767" s="1"/>
  <c r="L205" i="3"/>
  <c r="M205" s="1"/>
  <c r="EN461" i="1"/>
  <c r="EP695"/>
  <c r="EM234"/>
  <c r="ER234" s="1"/>
  <c r="EP564"/>
  <c r="EM643"/>
  <c r="EG254"/>
  <c r="EF909"/>
  <c r="EP702"/>
  <c r="EM457"/>
  <c r="EP372"/>
  <c r="EP239"/>
  <c r="EG914"/>
  <c r="EM105"/>
  <c r="ER105" s="1"/>
  <c r="EL39"/>
  <c r="EQ39" s="1"/>
  <c r="EQ194"/>
  <c r="CM438"/>
  <c r="CL438"/>
  <c r="EI438" s="1"/>
  <c r="EQ325"/>
  <c r="EO768"/>
  <c r="EN369"/>
  <c r="ES369" s="1"/>
  <c r="EH860"/>
  <c r="F743" i="3" s="1"/>
  <c r="EP701" i="1"/>
  <c r="EI456"/>
  <c r="N410" i="3" s="1"/>
  <c r="EP299" i="1"/>
  <c r="EF185"/>
  <c r="S19" i="3"/>
  <c r="EJ891" i="1"/>
  <c r="S745" i="3" s="1"/>
  <c r="EJ860" i="1"/>
  <c r="EN860" s="1"/>
  <c r="ES860" s="1"/>
  <c r="EN850"/>
  <c r="ES850" s="1"/>
  <c r="EO63"/>
  <c r="EQ63"/>
  <c r="N347" i="3"/>
  <c r="EJ62" i="1"/>
  <c r="S16" i="3"/>
  <c r="L541"/>
  <c r="M541" s="1"/>
  <c r="R541"/>
  <c r="L537"/>
  <c r="M537" s="1"/>
  <c r="J537" s="1"/>
  <c r="R537"/>
  <c r="P537" s="1"/>
  <c r="K10" i="4" s="1"/>
  <c r="N14" i="3"/>
  <c r="R337"/>
  <c r="T337" s="1"/>
  <c r="L337"/>
  <c r="M337" s="1"/>
  <c r="J337" s="1"/>
  <c r="EL438" i="1"/>
  <c r="EQ438" s="1"/>
  <c r="EO438"/>
  <c r="EN304"/>
  <c r="ES304" s="1"/>
  <c r="EJ194"/>
  <c r="EN169"/>
  <c r="ES169" s="1"/>
  <c r="EM259"/>
  <c r="ER259"/>
  <c r="L9" i="3"/>
  <c r="R9"/>
  <c r="EF55" i="1"/>
  <c r="EP34"/>
  <c r="EP35"/>
  <c r="EM36"/>
  <c r="ER36" s="1"/>
  <c r="EL36"/>
  <c r="EQ36" s="1"/>
  <c r="EE55"/>
  <c r="EO62" s="1"/>
  <c r="EP170"/>
  <c r="EM170"/>
  <c r="ER170" s="1"/>
  <c r="L206" i="3"/>
  <c r="M206" s="1"/>
  <c r="R206"/>
  <c r="T206" s="1"/>
  <c r="T404"/>
  <c r="T602"/>
  <c r="EO765" i="1"/>
  <c r="EO766"/>
  <c r="EP233"/>
  <c r="EL764"/>
  <c r="EQ764" s="1"/>
  <c r="EL768"/>
  <c r="EQ768" s="1"/>
  <c r="EM240"/>
  <c r="ER240" s="1"/>
  <c r="EL767"/>
  <c r="EQ767" s="1"/>
  <c r="EN107"/>
  <c r="ES107" s="1"/>
  <c r="EM102"/>
  <c r="ER102" s="1"/>
  <c r="EL325"/>
  <c r="EP105"/>
  <c r="EF517"/>
  <c r="EM524" s="1"/>
  <c r="EP696"/>
  <c r="EI260"/>
  <c r="ER457"/>
  <c r="EN130"/>
  <c r="EM696"/>
  <c r="ER696" s="1"/>
  <c r="EE386"/>
  <c r="EO429"/>
  <c r="EO39"/>
  <c r="EO365"/>
  <c r="EE121"/>
  <c r="EQ128" s="1"/>
  <c r="EO194"/>
  <c r="EL495"/>
  <c r="EQ495" s="1"/>
  <c r="EL571"/>
  <c r="EE647"/>
  <c r="EL654" s="1"/>
  <c r="EM29"/>
  <c r="ER29" s="1"/>
  <c r="EO168"/>
  <c r="EO633"/>
  <c r="EO427"/>
  <c r="D405" i="3" s="1"/>
  <c r="EI526" i="1"/>
  <c r="F678" i="3"/>
  <c r="EO858" i="1"/>
  <c r="EO851"/>
  <c r="EM367"/>
  <c r="ER367" s="1"/>
  <c r="EN173"/>
  <c r="ES173" s="1"/>
  <c r="EN635"/>
  <c r="ES635" s="1"/>
  <c r="EO96"/>
  <c r="D74" i="3" s="1"/>
  <c r="EM176" i="1"/>
  <c r="EO371"/>
  <c r="EO165"/>
  <c r="EL164"/>
  <c r="EQ164" s="1"/>
  <c r="EO95"/>
  <c r="EM572"/>
  <c r="EO172"/>
  <c r="E404" i="3"/>
  <c r="C404" s="1"/>
  <c r="N338"/>
  <c r="EN175" i="1"/>
  <c r="ES175" s="1"/>
  <c r="EP97"/>
  <c r="K75" i="3" s="1"/>
  <c r="EP576" i="1"/>
  <c r="DN768"/>
  <c r="CN768"/>
  <c r="EP391"/>
  <c r="EE783"/>
  <c r="EO754"/>
  <c r="D733" i="3" s="1"/>
  <c r="EN160" i="1"/>
  <c r="ES160" s="1"/>
  <c r="EN358"/>
  <c r="ES358" s="1"/>
  <c r="EN559"/>
  <c r="ES559" s="1"/>
  <c r="EN427"/>
  <c r="ES427" s="1"/>
  <c r="N206" i="3"/>
  <c r="EJ192" i="1"/>
  <c r="S146" i="3" s="1"/>
  <c r="EL99" i="1"/>
  <c r="EQ99" s="1"/>
  <c r="EH193"/>
  <c r="EP40"/>
  <c r="EL48"/>
  <c r="EQ48" s="1"/>
  <c r="R73" i="3"/>
  <c r="EO180" i="1"/>
  <c r="EH127"/>
  <c r="EQ127" s="1"/>
  <c r="EO764"/>
  <c r="T271" i="3"/>
  <c r="EJ326" i="1"/>
  <c r="EH789"/>
  <c r="EL789" s="1"/>
  <c r="EN171"/>
  <c r="ES171" s="1"/>
  <c r="EN39"/>
  <c r="ES39" s="1"/>
  <c r="EJ261"/>
  <c r="EJ63"/>
  <c r="EN63" s="1"/>
  <c r="EJ876"/>
  <c r="S744" i="3" s="1"/>
  <c r="N608"/>
  <c r="EP240" i="1"/>
  <c r="EN556"/>
  <c r="ES556" s="1"/>
  <c r="EO763"/>
  <c r="R669" i="3"/>
  <c r="T669" s="1"/>
  <c r="R471"/>
  <c r="EO170" i="1"/>
  <c r="EE649"/>
  <c r="EL656" s="1"/>
  <c r="EL170"/>
  <c r="EQ170" s="1"/>
  <c r="EG189"/>
  <c r="EP365"/>
  <c r="EG449"/>
  <c r="Q410" i="3" s="1"/>
  <c r="R410" s="1"/>
  <c r="EO629" i="1"/>
  <c r="EL302"/>
  <c r="EQ302" s="1"/>
  <c r="EL231"/>
  <c r="EQ231" s="1"/>
  <c r="EE453"/>
  <c r="CM722"/>
  <c r="DP696"/>
  <c r="DO697"/>
  <c r="DP697"/>
  <c r="DO643"/>
  <c r="DN631"/>
  <c r="DO565"/>
  <c r="DO590" s="1"/>
  <c r="DP564"/>
  <c r="DP565"/>
  <c r="DP590" s="1"/>
  <c r="DO511"/>
  <c r="EJ511" s="1"/>
  <c r="DN499"/>
  <c r="DO445"/>
  <c r="DN433"/>
  <c r="DN458" s="1"/>
  <c r="DN367"/>
  <c r="DO366"/>
  <c r="CM325"/>
  <c r="DN301"/>
  <c r="DO313"/>
  <c r="DN235"/>
  <c r="DO247"/>
  <c r="DP168"/>
  <c r="DO181"/>
  <c r="DP181" s="1"/>
  <c r="EO373"/>
  <c r="BJ128"/>
  <c r="DN103"/>
  <c r="DO115"/>
  <c r="CL103"/>
  <c r="CN128"/>
  <c r="CM103"/>
  <c r="CM128" s="1"/>
  <c r="DO775"/>
  <c r="EJ775" s="1"/>
  <c r="DN762"/>
  <c r="CN762"/>
  <c r="CM36"/>
  <c r="CM37" s="1"/>
  <c r="CM62" s="1"/>
  <c r="CM724"/>
  <c r="CL724"/>
  <c r="DO699"/>
  <c r="DN724"/>
  <c r="CL658"/>
  <c r="CM658"/>
  <c r="BK657"/>
  <c r="BK655"/>
  <c r="DO641"/>
  <c r="CM641"/>
  <c r="DO567"/>
  <c r="DN592"/>
  <c r="BJ591"/>
  <c r="BJ589"/>
  <c r="CL575"/>
  <c r="EI575" s="1"/>
  <c r="DN575"/>
  <c r="EJ575" s="1"/>
  <c r="S541" i="3" s="1"/>
  <c r="BK575" i="1"/>
  <c r="BK591" s="1"/>
  <c r="DP502"/>
  <c r="CN460"/>
  <c r="CM436"/>
  <c r="CL436"/>
  <c r="EI436" s="1"/>
  <c r="EI460" s="1"/>
  <c r="CL460"/>
  <c r="CM460"/>
  <c r="BJ457"/>
  <c r="DN443"/>
  <c r="BJ459"/>
  <c r="DN393"/>
  <c r="DO369"/>
  <c r="DN377"/>
  <c r="EJ377" s="1"/>
  <c r="S343" i="3" s="1"/>
  <c r="CL377" i="1"/>
  <c r="EI377" s="1"/>
  <c r="EP377" s="1"/>
  <c r="BJ392"/>
  <c r="BJ390"/>
  <c r="CL327"/>
  <c r="CM327"/>
  <c r="DN327"/>
  <c r="DO303"/>
  <c r="DO906" s="1"/>
  <c r="BJ326"/>
  <c r="DN311"/>
  <c r="EJ311" s="1"/>
  <c r="CL311"/>
  <c r="EI311" s="1"/>
  <c r="DP238"/>
  <c r="DP261" s="1"/>
  <c r="DO172"/>
  <c r="DN196"/>
  <c r="CM196"/>
  <c r="CL179"/>
  <c r="EI179" s="1"/>
  <c r="EM179" s="1"/>
  <c r="ER179" s="1"/>
  <c r="DN179"/>
  <c r="EJ179" s="1"/>
  <c r="EN179" s="1"/>
  <c r="ES179" s="1"/>
  <c r="BJ195"/>
  <c r="BJ193"/>
  <c r="CL195"/>
  <c r="DO105"/>
  <c r="DN130"/>
  <c r="BJ129"/>
  <c r="CL113"/>
  <c r="EI113" s="1"/>
  <c r="DN113"/>
  <c r="DO760"/>
  <c r="DO787" s="1"/>
  <c r="BK127"/>
  <c r="CN766"/>
  <c r="DN766"/>
  <c r="BJ790"/>
  <c r="DN765"/>
  <c r="EJ765" s="1"/>
  <c r="CN765"/>
  <c r="DN64"/>
  <c r="DO39"/>
  <c r="DN773"/>
  <c r="CL773"/>
  <c r="BJ787"/>
  <c r="BK61"/>
  <c r="BK63"/>
  <c r="DN47"/>
  <c r="EJ47" s="1"/>
  <c r="S13" i="3" s="1"/>
  <c r="BJ63" i="1"/>
  <c r="BJ61"/>
  <c r="EI47"/>
  <c r="EH787"/>
  <c r="EL312"/>
  <c r="EQ312" s="1"/>
  <c r="AH789"/>
  <c r="AH787"/>
  <c r="BK787"/>
  <c r="DN787"/>
  <c r="AH906"/>
  <c r="CL621"/>
  <c r="EI621" s="1"/>
  <c r="CM621"/>
  <c r="CL423"/>
  <c r="EI423" s="1"/>
  <c r="CM423"/>
  <c r="DN753"/>
  <c r="EJ753" s="1"/>
  <c r="EN753" s="1"/>
  <c r="ES753" s="1"/>
  <c r="CN753"/>
  <c r="CM227"/>
  <c r="CL227"/>
  <c r="EI227" s="1"/>
  <c r="EJ323"/>
  <c r="DO755"/>
  <c r="EI590"/>
  <c r="S476" i="3"/>
  <c r="DN755" i="1"/>
  <c r="EJ755" s="1"/>
  <c r="CN755"/>
  <c r="EJ901"/>
  <c r="ES901" s="1"/>
  <c r="EL28"/>
  <c r="EQ28" s="1"/>
  <c r="N205" i="3"/>
  <c r="EQ60" i="1"/>
  <c r="EH790"/>
  <c r="EO443"/>
  <c r="D409" i="3" s="1"/>
  <c r="P15"/>
  <c r="C17" i="4" s="1"/>
  <c r="EM180" i="1"/>
  <c r="ER180" s="1"/>
  <c r="S83" i="3"/>
  <c r="T405"/>
  <c r="EN237" i="1"/>
  <c r="ES237" s="1"/>
  <c r="J73" i="3"/>
  <c r="EH721" i="1"/>
  <c r="EL63"/>
  <c r="EO767"/>
  <c r="F343" i="3"/>
  <c r="C343" s="1"/>
  <c r="EM564" i="1"/>
  <c r="ER564" s="1"/>
  <c r="P668" i="3"/>
  <c r="EP565" i="1"/>
  <c r="K544" i="3" s="1"/>
  <c r="DN720" i="1"/>
  <c r="DO692"/>
  <c r="DN722"/>
  <c r="CM654"/>
  <c r="CM656"/>
  <c r="DO522"/>
  <c r="DP494"/>
  <c r="CL458"/>
  <c r="CL456"/>
  <c r="DN759"/>
  <c r="BJ786"/>
  <c r="CN759"/>
  <c r="DO759"/>
  <c r="DO758"/>
  <c r="DO246"/>
  <c r="DP246" s="1"/>
  <c r="P141" i="3"/>
  <c r="EP171" i="1"/>
  <c r="EP129"/>
  <c r="T668" i="3"/>
  <c r="EH891" i="1"/>
  <c r="F745" i="3" s="1"/>
  <c r="EM391" i="1"/>
  <c r="P667" i="3"/>
  <c r="T674"/>
  <c r="EQ260" i="1"/>
  <c r="EO260"/>
  <c r="EL260"/>
  <c r="S213" i="3"/>
  <c r="EH906" i="1"/>
  <c r="EH324"/>
  <c r="EO324" s="1"/>
  <c r="D278" i="3" s="1"/>
  <c r="EL758" i="1"/>
  <c r="EQ758" s="1"/>
  <c r="EO99"/>
  <c r="EO179"/>
  <c r="D145" i="3" s="1"/>
  <c r="EQ525" i="1"/>
  <c r="EJ258"/>
  <c r="EO591"/>
  <c r="EM707"/>
  <c r="ER707" s="1"/>
  <c r="EM641"/>
  <c r="ER641" s="1"/>
  <c r="T536" i="3"/>
  <c r="EF189" i="1"/>
  <c r="EP196" s="1"/>
  <c r="EL641"/>
  <c r="EQ641" s="1"/>
  <c r="F673" i="3"/>
  <c r="C673" s="1"/>
  <c r="S140"/>
  <c r="P140" s="1"/>
  <c r="E9" i="4" s="1"/>
  <c r="S75" i="3"/>
  <c r="P75" s="1"/>
  <c r="N469"/>
  <c r="EL377" i="1"/>
  <c r="EQ377" s="1"/>
  <c r="EM565"/>
  <c r="ER565" s="1"/>
  <c r="EM195"/>
  <c r="L16" i="3"/>
  <c r="M16" s="1"/>
  <c r="ER391" i="1"/>
  <c r="DO566"/>
  <c r="DP566" s="1"/>
  <c r="DN591"/>
  <c r="DN392"/>
  <c r="DO368"/>
  <c r="DP368" s="1"/>
  <c r="DN129"/>
  <c r="DO104"/>
  <c r="DN764"/>
  <c r="EJ764" s="1"/>
  <c r="EJ789" s="1"/>
  <c r="BJ789"/>
  <c r="CN764"/>
  <c r="CL890"/>
  <c r="EI890" s="1"/>
  <c r="N679" i="3" s="1"/>
  <c r="CM890" i="1"/>
  <c r="CN891"/>
  <c r="CM887"/>
  <c r="CM891"/>
  <c r="EI592"/>
  <c r="EL60"/>
  <c r="EH61"/>
  <c r="EO61" s="1"/>
  <c r="EL576"/>
  <c r="EQ576" s="1"/>
  <c r="EH655"/>
  <c r="EO657"/>
  <c r="EE382"/>
  <c r="EL895"/>
  <c r="D15" i="3"/>
  <c r="EP195" i="1"/>
  <c r="EE449"/>
  <c r="EO456" s="1"/>
  <c r="D410" i="3" s="1"/>
  <c r="EE57" i="1"/>
  <c r="EO226"/>
  <c r="D205" i="3" s="1"/>
  <c r="CM876" i="1"/>
  <c r="BK721"/>
  <c r="CM708"/>
  <c r="CN708" s="1"/>
  <c r="DN721"/>
  <c r="DO708"/>
  <c r="DP708" s="1"/>
  <c r="CL258"/>
  <c r="CM246"/>
  <c r="CN246" s="1"/>
  <c r="BJ258"/>
  <c r="CL114"/>
  <c r="EI114" s="1"/>
  <c r="EM114" s="1"/>
  <c r="ER114" s="1"/>
  <c r="BJ127"/>
  <c r="DN114"/>
  <c r="EJ114" s="1"/>
  <c r="DO48"/>
  <c r="DN61"/>
  <c r="EQ522"/>
  <c r="DN642"/>
  <c r="EJ642" s="1"/>
  <c r="BJ655"/>
  <c r="CL642"/>
  <c r="EI642" s="1"/>
  <c r="EP642" s="1"/>
  <c r="DO576"/>
  <c r="DP576" s="1"/>
  <c r="DN589"/>
  <c r="DO774"/>
  <c r="DP774" s="1"/>
  <c r="CL774"/>
  <c r="EI774" s="1"/>
  <c r="CL312"/>
  <c r="EI312" s="1"/>
  <c r="EM312" s="1"/>
  <c r="ER312" s="1"/>
  <c r="DN312"/>
  <c r="EJ312" s="1"/>
  <c r="BJ324"/>
  <c r="F740" i="3"/>
  <c r="P271"/>
  <c r="P404"/>
  <c r="P602"/>
  <c r="EL773" i="1"/>
  <c r="EQ773" s="1"/>
  <c r="T470" i="3"/>
  <c r="EI393" i="1"/>
  <c r="P405" i="3"/>
  <c r="I10" i="4" s="1"/>
  <c r="P339" i="3"/>
  <c r="DN754" i="1"/>
  <c r="EJ754" s="1"/>
  <c r="CN754"/>
  <c r="CN733"/>
  <c r="CL733" s="1"/>
  <c r="EF733" s="1"/>
  <c r="EL899"/>
  <c r="FD73"/>
  <c r="EB73"/>
  <c r="EG73" s="1"/>
  <c r="CM733"/>
  <c r="CL691"/>
  <c r="CM691"/>
  <c r="CL163"/>
  <c r="EI163" s="1"/>
  <c r="N141" i="3" s="1"/>
  <c r="CM163" i="1"/>
  <c r="DN757"/>
  <c r="EJ757" s="1"/>
  <c r="CN757"/>
  <c r="EI126"/>
  <c r="N80" i="3" s="1"/>
  <c r="CN756" i="1"/>
  <c r="DN756"/>
  <c r="EJ756" s="1"/>
  <c r="EM325"/>
  <c r="DO756"/>
  <c r="F81" i="3"/>
  <c r="C81" s="1"/>
  <c r="EP440" i="1"/>
  <c r="N476" i="3"/>
  <c r="EP589" i="1"/>
  <c r="EL572"/>
  <c r="EP94"/>
  <c r="K73" i="3" s="1"/>
  <c r="EF119" i="1"/>
  <c r="EF251"/>
  <c r="EH902"/>
  <c r="EO430"/>
  <c r="EO704"/>
  <c r="S403" i="3"/>
  <c r="EP172" i="1"/>
  <c r="EL704"/>
  <c r="EO374"/>
  <c r="DN440"/>
  <c r="DN308"/>
  <c r="EO242"/>
  <c r="EN457"/>
  <c r="EJ459"/>
  <c r="EL242"/>
  <c r="CJ110"/>
  <c r="CI110"/>
  <c r="EI110"/>
  <c r="DN770"/>
  <c r="EH110"/>
  <c r="EO110" s="1"/>
  <c r="J668" i="3"/>
  <c r="EJ131" i="1"/>
  <c r="EN112"/>
  <c r="ES112" s="1"/>
  <c r="T535" i="3"/>
  <c r="P535"/>
  <c r="P207"/>
  <c r="F10" i="4" s="1"/>
  <c r="EO325" i="1"/>
  <c r="EN772"/>
  <c r="ES772" s="1"/>
  <c r="DM791"/>
  <c r="EJ771"/>
  <c r="EJ791" s="1"/>
  <c r="EE251"/>
  <c r="EH258"/>
  <c r="DH20"/>
  <c r="AC20"/>
  <c r="AB746"/>
  <c r="DH746" s="1"/>
  <c r="EB20"/>
  <c r="AC21"/>
  <c r="AC747" s="1"/>
  <c r="DH21"/>
  <c r="DH58" s="1"/>
  <c r="AB58"/>
  <c r="AB747"/>
  <c r="AD21"/>
  <c r="DI21"/>
  <c r="EB784"/>
  <c r="DG784"/>
  <c r="ES392"/>
  <c r="EN392"/>
  <c r="R338" i="3"/>
  <c r="L338"/>
  <c r="M338" s="1"/>
  <c r="CK762" i="1"/>
  <c r="EH762"/>
  <c r="BI788"/>
  <c r="C609" i="3"/>
  <c r="C469"/>
  <c r="BI775" i="1"/>
  <c r="EE910"/>
  <c r="EH897"/>
  <c r="EH720"/>
  <c r="F674" i="3" s="1"/>
  <c r="ES591" i="1"/>
  <c r="N344" i="3"/>
  <c r="R8"/>
  <c r="L8"/>
  <c r="EM655" i="1"/>
  <c r="L145" i="3"/>
  <c r="M145" s="1"/>
  <c r="R145"/>
  <c r="EQ62" i="1"/>
  <c r="EL444"/>
  <c r="EQ444" s="1"/>
  <c r="EE915"/>
  <c r="ER722"/>
  <c r="EL390"/>
  <c r="EQ390"/>
  <c r="EO390"/>
  <c r="D344" i="3" s="1"/>
  <c r="EQ326" i="1"/>
  <c r="L7" i="3"/>
  <c r="R7"/>
  <c r="EJ445" i="1"/>
  <c r="DM763"/>
  <c r="EQ786" l="1"/>
  <c r="EP637"/>
  <c r="EO160"/>
  <c r="D139" i="3" s="1"/>
  <c r="EO773" i="1"/>
  <c r="D739" i="3" s="1"/>
  <c r="EL901" i="1"/>
  <c r="EO522"/>
  <c r="D476" i="3" s="1"/>
  <c r="EF538" i="1"/>
  <c r="EM561" s="1"/>
  <c r="ER561" s="1"/>
  <c r="EQ261"/>
  <c r="ES457"/>
  <c r="EQ906"/>
  <c r="BK782"/>
  <c r="DO748"/>
  <c r="DO782" s="1"/>
  <c r="CM748"/>
  <c r="EF748" s="1"/>
  <c r="EO326"/>
  <c r="EP722"/>
  <c r="EE916"/>
  <c r="EG648"/>
  <c r="EN655" s="1"/>
  <c r="EL896"/>
  <c r="J141" i="3"/>
  <c r="EL589" i="1"/>
  <c r="EJ903"/>
  <c r="S543" i="3" s="1"/>
  <c r="R469"/>
  <c r="EN245" i="1"/>
  <c r="ES245" s="1"/>
  <c r="EL193"/>
  <c r="EO722"/>
  <c r="EM571"/>
  <c r="ER571" s="1"/>
  <c r="EO491"/>
  <c r="EP457"/>
  <c r="EM897"/>
  <c r="EL361"/>
  <c r="EQ361" s="1"/>
  <c r="EP164"/>
  <c r="EE583"/>
  <c r="EF472"/>
  <c r="EP495" s="1"/>
  <c r="EQ457"/>
  <c r="EL457"/>
  <c r="EJ303"/>
  <c r="EF274"/>
  <c r="EM297" s="1"/>
  <c r="ER297" s="1"/>
  <c r="EI326"/>
  <c r="CN247"/>
  <c r="EI247"/>
  <c r="EP247" s="1"/>
  <c r="EO261"/>
  <c r="EQ897"/>
  <c r="EJ72"/>
  <c r="EJ49"/>
  <c r="EJ534"/>
  <c r="EJ402"/>
  <c r="EJ468"/>
  <c r="EJ204"/>
  <c r="EJ336"/>
  <c r="EJ600"/>
  <c r="EJ666"/>
  <c r="EJ270"/>
  <c r="EJ138"/>
  <c r="EJ732"/>
  <c r="EL37"/>
  <c r="EQ37" s="1"/>
  <c r="EO37"/>
  <c r="AH831"/>
  <c r="AH788"/>
  <c r="BJ763"/>
  <c r="EI37"/>
  <c r="N16" i="3" s="1"/>
  <c r="J16" s="1"/>
  <c r="CN685" i="1"/>
  <c r="EF685"/>
  <c r="CN421"/>
  <c r="EF421"/>
  <c r="CN355"/>
  <c r="EF355"/>
  <c r="EN377"/>
  <c r="ES377" s="1"/>
  <c r="CN157"/>
  <c r="EF157"/>
  <c r="CM751"/>
  <c r="EE751"/>
  <c r="EQ902"/>
  <c r="EM106"/>
  <c r="ER106" s="1"/>
  <c r="EI62"/>
  <c r="EM62" s="1"/>
  <c r="EP297"/>
  <c r="J205" i="3"/>
  <c r="F675"/>
  <c r="EL902" i="1"/>
  <c r="EL903"/>
  <c r="T406" i="3"/>
  <c r="EK440" i="1"/>
  <c r="CL876"/>
  <c r="EI867"/>
  <c r="N150" i="3" s="1"/>
  <c r="EN591" i="1"/>
  <c r="ES64"/>
  <c r="EP42"/>
  <c r="EM42"/>
  <c r="ER42" s="1"/>
  <c r="J403" i="3"/>
  <c r="EP655" i="1"/>
  <c r="EE918"/>
  <c r="EO905" s="1"/>
  <c r="D675" i="3" s="1"/>
  <c r="EJ905" i="1"/>
  <c r="ES905" s="1"/>
  <c r="P675" i="3" s="1"/>
  <c r="P272"/>
  <c r="EL522" i="1"/>
  <c r="F476" i="3"/>
  <c r="C476" s="1"/>
  <c r="EO759" i="1"/>
  <c r="EP130"/>
  <c r="J469" i="3"/>
  <c r="EN720" i="1"/>
  <c r="C741" i="3"/>
  <c r="EO756" i="1"/>
  <c r="D734" i="3" s="1"/>
  <c r="EM130" i="1"/>
  <c r="EP854"/>
  <c r="J535" i="3"/>
  <c r="ES720" i="1"/>
  <c r="EN688"/>
  <c r="ES688" s="1"/>
  <c r="C535" i="3"/>
  <c r="J140"/>
  <c r="J272"/>
  <c r="CL761" i="1"/>
  <c r="EI761" s="1"/>
  <c r="CM761"/>
  <c r="CM721"/>
  <c r="CN707"/>
  <c r="CM723"/>
  <c r="DP707"/>
  <c r="DO723"/>
  <c r="DO721"/>
  <c r="DO460"/>
  <c r="DP435"/>
  <c r="DP460" s="1"/>
  <c r="BK390"/>
  <c r="BK260"/>
  <c r="BK258"/>
  <c r="DO245"/>
  <c r="CL758"/>
  <c r="EI758" s="1"/>
  <c r="CM758"/>
  <c r="E146" i="3"/>
  <c r="C146" s="1"/>
  <c r="P603"/>
  <c r="L10" i="4" s="1"/>
  <c r="EL556" i="1"/>
  <c r="EQ556" s="1"/>
  <c r="EN692"/>
  <c r="ES692" s="1"/>
  <c r="S733" i="3"/>
  <c r="M7"/>
  <c r="P7"/>
  <c r="M8"/>
  <c r="EO897" i="1"/>
  <c r="D147" i="3" s="1"/>
  <c r="F477"/>
  <c r="EO902" i="1"/>
  <c r="D477" i="3" s="1"/>
  <c r="P13"/>
  <c r="N477"/>
  <c r="T9"/>
  <c r="R735"/>
  <c r="ES900" i="1"/>
  <c r="P345" i="3" s="1"/>
  <c r="H17" i="4" s="1"/>
  <c r="ER896" i="1"/>
  <c r="EP896"/>
  <c r="K81" i="3" s="1"/>
  <c r="EO896" i="1"/>
  <c r="D81" i="3" s="1"/>
  <c r="EP897" i="1"/>
  <c r="ER897"/>
  <c r="J147" i="3" s="1"/>
  <c r="S81"/>
  <c r="ES896" i="1"/>
  <c r="S735" i="3"/>
  <c r="S734"/>
  <c r="EO900" i="1"/>
  <c r="EO903"/>
  <c r="M9" i="3"/>
  <c r="L735"/>
  <c r="EO898" i="1"/>
  <c r="D213" i="3" s="1"/>
  <c r="C13"/>
  <c r="C7"/>
  <c r="N734"/>
  <c r="ES898" i="1"/>
  <c r="P213" i="3" s="1"/>
  <c r="F17" i="4" s="1"/>
  <c r="EJ496" i="1"/>
  <c r="DN902"/>
  <c r="DN906" s="1"/>
  <c r="DN509"/>
  <c r="BJ525"/>
  <c r="BJ523"/>
  <c r="EH509"/>
  <c r="CL523"/>
  <c r="EI509"/>
  <c r="CL525"/>
  <c r="EP28"/>
  <c r="K7" i="3" s="1"/>
  <c r="N7"/>
  <c r="EN393" i="1"/>
  <c r="E669" i="3"/>
  <c r="C669" s="1"/>
  <c r="EO691" i="1"/>
  <c r="EN572"/>
  <c r="ES572" s="1"/>
  <c r="EJ61"/>
  <c r="EN896"/>
  <c r="EN898"/>
  <c r="EI323"/>
  <c r="N278" i="3" s="1"/>
  <c r="J139"/>
  <c r="F543"/>
  <c r="EN229" i="1"/>
  <c r="ES229" s="1"/>
  <c r="DP748"/>
  <c r="DP782" s="1"/>
  <c r="E471" i="3"/>
  <c r="EO493" i="1"/>
  <c r="D471" i="3" s="1"/>
  <c r="CS780" i="1"/>
  <c r="CS782"/>
  <c r="CT748"/>
  <c r="BR748"/>
  <c r="EN901"/>
  <c r="EP561"/>
  <c r="DP410"/>
  <c r="DO453"/>
  <c r="DO914"/>
  <c r="EO361"/>
  <c r="D339" i="3" s="1"/>
  <c r="EL900" i="1"/>
  <c r="EM377"/>
  <c r="ER377" s="1"/>
  <c r="N345" i="3"/>
  <c r="N479"/>
  <c r="EP856" i="1"/>
  <c r="EP851"/>
  <c r="EM851"/>
  <c r="ER851" s="1"/>
  <c r="EL323"/>
  <c r="C278" i="3"/>
  <c r="J273"/>
  <c r="EO757" i="1"/>
  <c r="D735" i="3" s="1"/>
  <c r="EM896" i="1"/>
  <c r="EP179"/>
  <c r="K145" i="3" s="1"/>
  <c r="EP325" i="1"/>
  <c r="ER589"/>
  <c r="EN460"/>
  <c r="EM241"/>
  <c r="ER241" s="1"/>
  <c r="EI192"/>
  <c r="N146" i="3" s="1"/>
  <c r="EM246" i="1"/>
  <c r="ER246" s="1"/>
  <c r="EI193"/>
  <c r="ER193" s="1"/>
  <c r="N343" i="3"/>
  <c r="J343" s="1"/>
  <c r="N145"/>
  <c r="J145" s="1"/>
  <c r="EP238" i="1"/>
  <c r="CM217"/>
  <c r="CL217"/>
  <c r="EF217" s="1"/>
  <c r="EJ324"/>
  <c r="EN324" s="1"/>
  <c r="EG912"/>
  <c r="DO770"/>
  <c r="DP770" s="1"/>
  <c r="EJ770"/>
  <c r="EN770" s="1"/>
  <c r="ES770" s="1"/>
  <c r="DO440"/>
  <c r="DP440" s="1"/>
  <c r="EJ440"/>
  <c r="N669" i="3"/>
  <c r="J669" s="1"/>
  <c r="DN786" i="1"/>
  <c r="EJ759"/>
  <c r="DO773"/>
  <c r="DP773" s="1"/>
  <c r="EJ773"/>
  <c r="DO766"/>
  <c r="DP766" s="1"/>
  <c r="EJ766"/>
  <c r="DO113"/>
  <c r="EJ113"/>
  <c r="EM311"/>
  <c r="ER311" s="1"/>
  <c r="N277" i="3"/>
  <c r="N541"/>
  <c r="J541" s="1"/>
  <c r="EM575" i="1"/>
  <c r="ER575" s="1"/>
  <c r="EP575"/>
  <c r="K541" i="3" s="1"/>
  <c r="DO762" i="1"/>
  <c r="DP762" s="1"/>
  <c r="EJ762"/>
  <c r="CL128"/>
  <c r="EI103"/>
  <c r="DN128"/>
  <c r="EJ103"/>
  <c r="DN391"/>
  <c r="EJ367"/>
  <c r="DN656"/>
  <c r="EJ631"/>
  <c r="DO768"/>
  <c r="DP768" s="1"/>
  <c r="EJ768"/>
  <c r="DO378"/>
  <c r="DP378" s="1"/>
  <c r="EJ378"/>
  <c r="CL721"/>
  <c r="EI708"/>
  <c r="EF344"/>
  <c r="EF410"/>
  <c r="EF608"/>
  <c r="BH763"/>
  <c r="AF788"/>
  <c r="AF831"/>
  <c r="CM857"/>
  <c r="CM860" s="1"/>
  <c r="CN860"/>
  <c r="N413" i="3"/>
  <c r="EP855" i="1"/>
  <c r="EM855"/>
  <c r="ER855" s="1"/>
  <c r="EP853"/>
  <c r="EM853"/>
  <c r="ER853" s="1"/>
  <c r="CD536"/>
  <c r="CC536"/>
  <c r="EI849"/>
  <c r="CL860"/>
  <c r="CG607"/>
  <c r="CG650" s="1"/>
  <c r="CF607"/>
  <c r="CF650" s="1"/>
  <c r="CH650"/>
  <c r="CF407"/>
  <c r="CG407"/>
  <c r="CH451"/>
  <c r="EO29"/>
  <c r="D8" i="3" s="1"/>
  <c r="EL29" i="1"/>
  <c r="EQ29" s="1"/>
  <c r="DO98"/>
  <c r="EJ98"/>
  <c r="DN126"/>
  <c r="CJ144"/>
  <c r="CI144"/>
  <c r="EJ897"/>
  <c r="EJ195"/>
  <c r="CI607"/>
  <c r="CI650" s="1"/>
  <c r="CJ607"/>
  <c r="CJ650" s="1"/>
  <c r="CK650"/>
  <c r="CK410"/>
  <c r="CI409"/>
  <c r="CI452" s="1"/>
  <c r="CJ409"/>
  <c r="CJ452" s="1"/>
  <c r="CK452"/>
  <c r="CJ407"/>
  <c r="CI407"/>
  <c r="CT4"/>
  <c r="BS4"/>
  <c r="CK9"/>
  <c r="BI53"/>
  <c r="CQ10"/>
  <c r="CQ53" s="1"/>
  <c r="BP10"/>
  <c r="AM53"/>
  <c r="BX35"/>
  <c r="BW35"/>
  <c r="CC137"/>
  <c r="CD137"/>
  <c r="BV151"/>
  <c r="CV151"/>
  <c r="CW151" s="1"/>
  <c r="CX151" s="1"/>
  <c r="CY151" s="1"/>
  <c r="CZ151" s="1"/>
  <c r="DA151" s="1"/>
  <c r="EA151" s="1"/>
  <c r="DO155"/>
  <c r="DN186"/>
  <c r="CM169"/>
  <c r="CM194" s="1"/>
  <c r="CL169"/>
  <c r="CN194"/>
  <c r="CD270"/>
  <c r="CC270"/>
  <c r="CC272"/>
  <c r="CD272"/>
  <c r="CC336"/>
  <c r="CD336"/>
  <c r="CI342"/>
  <c r="CJ342"/>
  <c r="EO368"/>
  <c r="EL368"/>
  <c r="EQ368" s="1"/>
  <c r="CD403"/>
  <c r="CC403"/>
  <c r="CM409"/>
  <c r="CM452" s="1"/>
  <c r="CL409"/>
  <c r="CN452"/>
  <c r="BA155"/>
  <c r="BA186" s="1"/>
  <c r="Z155"/>
  <c r="Y186"/>
  <c r="Y749"/>
  <c r="M121"/>
  <c r="N75"/>
  <c r="AO75"/>
  <c r="M119"/>
  <c r="M735"/>
  <c r="O155"/>
  <c r="P137"/>
  <c r="AQ137"/>
  <c r="O731"/>
  <c r="DD145"/>
  <c r="DC188"/>
  <c r="CD202"/>
  <c r="CC202"/>
  <c r="CC203"/>
  <c r="CD203"/>
  <c r="CG144"/>
  <c r="CF144"/>
  <c r="CC206"/>
  <c r="CD206"/>
  <c r="DN254"/>
  <c r="DN911"/>
  <c r="DO212"/>
  <c r="CP215"/>
  <c r="CQ215" s="1"/>
  <c r="CR215" s="1"/>
  <c r="CS215" s="1"/>
  <c r="CT215" s="1"/>
  <c r="CU215" s="1"/>
  <c r="CV215" s="1"/>
  <c r="CW215" s="1"/>
  <c r="CX215" s="1"/>
  <c r="CY215" s="1"/>
  <c r="CZ215" s="1"/>
  <c r="DA215" s="1"/>
  <c r="EA215" s="1"/>
  <c r="BP215"/>
  <c r="DO230"/>
  <c r="DN257"/>
  <c r="EJ230"/>
  <c r="CG276"/>
  <c r="CF276"/>
  <c r="CH318"/>
  <c r="EL304"/>
  <c r="EQ304" s="1"/>
  <c r="EH327"/>
  <c r="EL327" s="1"/>
  <c r="EO304"/>
  <c r="BR340"/>
  <c r="BR382" s="1"/>
  <c r="BQ340"/>
  <c r="BQ382" s="1"/>
  <c r="BS382"/>
  <c r="CF365"/>
  <c r="CG365"/>
  <c r="BI390"/>
  <c r="DM378"/>
  <c r="DM390" s="1"/>
  <c r="CK378"/>
  <c r="CK390" s="1"/>
  <c r="CA401"/>
  <c r="BZ401"/>
  <c r="BR403"/>
  <c r="BQ403"/>
  <c r="CM414"/>
  <c r="CL414"/>
  <c r="EF414" s="1"/>
  <c r="DN456"/>
  <c r="DO428"/>
  <c r="EJ428"/>
  <c r="CF430"/>
  <c r="CG430"/>
  <c r="CH457"/>
  <c r="CH901"/>
  <c r="CH459"/>
  <c r="DE457"/>
  <c r="DE459"/>
  <c r="DE901"/>
  <c r="X751"/>
  <c r="X738" s="1"/>
  <c r="DD157"/>
  <c r="EL245"/>
  <c r="EQ245" s="1"/>
  <c r="F211" i="3"/>
  <c r="C211" s="1"/>
  <c r="EO245" i="1"/>
  <c r="D211" i="3" s="1"/>
  <c r="EL246" i="1"/>
  <c r="EQ246" s="1"/>
  <c r="EO246"/>
  <c r="CC210"/>
  <c r="CD210"/>
  <c r="CE252"/>
  <c r="EE517"/>
  <c r="EO499"/>
  <c r="EO496"/>
  <c r="CC532"/>
  <c r="CD532"/>
  <c r="CM541"/>
  <c r="CM584" s="1"/>
  <c r="CL541"/>
  <c r="CN584"/>
  <c r="CD599"/>
  <c r="CC599"/>
  <c r="CC664"/>
  <c r="CD664"/>
  <c r="CJ672"/>
  <c r="CI672"/>
  <c r="CK715"/>
  <c r="CM741"/>
  <c r="CL741"/>
  <c r="CG535"/>
  <c r="CF535"/>
  <c r="CF338"/>
  <c r="CG338"/>
  <c r="CF334"/>
  <c r="CG334"/>
  <c r="CD213"/>
  <c r="CC213"/>
  <c r="CF203"/>
  <c r="CG203"/>
  <c r="CI532"/>
  <c r="CJ532"/>
  <c r="CG343"/>
  <c r="CG385" s="1"/>
  <c r="CF343"/>
  <c r="CF385" s="1"/>
  <c r="CH385"/>
  <c r="CH344"/>
  <c r="CI271"/>
  <c r="CJ271"/>
  <c r="CG602"/>
  <c r="CF602"/>
  <c r="CF400"/>
  <c r="CG400"/>
  <c r="CI468"/>
  <c r="CJ468"/>
  <c r="CI602"/>
  <c r="CJ602"/>
  <c r="BL536"/>
  <c r="CN536" s="1"/>
  <c r="CM138"/>
  <c r="CL138"/>
  <c r="EF138" s="1"/>
  <c r="CD150"/>
  <c r="CC150"/>
  <c r="EE519"/>
  <c r="EO501"/>
  <c r="EL493"/>
  <c r="EQ493" s="1"/>
  <c r="F471" i="3"/>
  <c r="EO567" i="1"/>
  <c r="EL567"/>
  <c r="EQ567" s="1"/>
  <c r="EH592"/>
  <c r="CJ408"/>
  <c r="CJ451" s="1"/>
  <c r="CI408"/>
  <c r="CI451" s="1"/>
  <c r="CK451"/>
  <c r="BZ214"/>
  <c r="CA214"/>
  <c r="EI324"/>
  <c r="EP324" s="1"/>
  <c r="K278" i="3" s="1"/>
  <c r="EI127" i="1"/>
  <c r="ER127" s="1"/>
  <c r="EM642"/>
  <c r="ER642" s="1"/>
  <c r="EI61"/>
  <c r="EN47"/>
  <c r="ES47" s="1"/>
  <c r="EN757"/>
  <c r="ES757" s="1"/>
  <c r="EP114"/>
  <c r="EN311"/>
  <c r="ES311" s="1"/>
  <c r="P343" i="3"/>
  <c r="H15" i="4" s="1"/>
  <c r="EN575" i="1"/>
  <c r="ES575" s="1"/>
  <c r="EP311"/>
  <c r="K277" i="3" s="1"/>
  <c r="BD906" i="1"/>
  <c r="BC906"/>
  <c r="CF451"/>
  <c r="DO308"/>
  <c r="DP308" s="1"/>
  <c r="EJ308"/>
  <c r="EN308" s="1"/>
  <c r="ES308" s="1"/>
  <c r="CM773"/>
  <c r="EI773"/>
  <c r="EM113"/>
  <c r="ER113" s="1"/>
  <c r="N79" i="3"/>
  <c r="J79" s="1"/>
  <c r="EP113" i="1"/>
  <c r="EI443"/>
  <c r="EP443" s="1"/>
  <c r="DO443"/>
  <c r="DP443" s="1"/>
  <c r="EJ443"/>
  <c r="DN259"/>
  <c r="EJ235"/>
  <c r="DN325"/>
  <c r="EJ301"/>
  <c r="DN524"/>
  <c r="CM378"/>
  <c r="CN378" s="1"/>
  <c r="EI378"/>
  <c r="EI390" s="1"/>
  <c r="EP390" s="1"/>
  <c r="DO769"/>
  <c r="DP769" s="1"/>
  <c r="EJ769"/>
  <c r="EN769" s="1"/>
  <c r="ES769" s="1"/>
  <c r="EF278"/>
  <c r="EP303" s="1"/>
  <c r="EF476"/>
  <c r="EF542"/>
  <c r="EF674"/>
  <c r="CI536"/>
  <c r="CJ536"/>
  <c r="CG536"/>
  <c r="CF536"/>
  <c r="Z616"/>
  <c r="Y650"/>
  <c r="Y648"/>
  <c r="Y748"/>
  <c r="Y917"/>
  <c r="CG409"/>
  <c r="CG452" s="1"/>
  <c r="CF409"/>
  <c r="CF452" s="1"/>
  <c r="CH452"/>
  <c r="CH410"/>
  <c r="X340"/>
  <c r="X384"/>
  <c r="AZ339"/>
  <c r="Y339"/>
  <c r="CB339"/>
  <c r="BL56"/>
  <c r="DP22"/>
  <c r="BL54"/>
  <c r="CC139"/>
  <c r="CD139"/>
  <c r="F139" i="3"/>
  <c r="C139" s="1"/>
  <c r="EL160" i="1"/>
  <c r="EQ160" s="1"/>
  <c r="EH195"/>
  <c r="EO166"/>
  <c r="CE650"/>
  <c r="CE410"/>
  <c r="CE452"/>
  <c r="CD409"/>
  <c r="CD452" s="1"/>
  <c r="CC409"/>
  <c r="CC452" s="1"/>
  <c r="CC268"/>
  <c r="CD268"/>
  <c r="CT7"/>
  <c r="BS7"/>
  <c r="BO29"/>
  <c r="BN29"/>
  <c r="DO43"/>
  <c r="EJ43"/>
  <c r="CD136"/>
  <c r="CC136"/>
  <c r="CC140"/>
  <c r="CD140"/>
  <c r="CE151"/>
  <c r="DE151"/>
  <c r="DF151" s="1"/>
  <c r="DG151" s="1"/>
  <c r="DH151" s="1"/>
  <c r="DI151" s="1"/>
  <c r="DJ151" s="1"/>
  <c r="DK151" s="1"/>
  <c r="DL151" s="1"/>
  <c r="DM151" s="1"/>
  <c r="CM173"/>
  <c r="CL173"/>
  <c r="EI173" s="1"/>
  <c r="CD144"/>
  <c r="CC144"/>
  <c r="CG210"/>
  <c r="CF210"/>
  <c r="CH252"/>
  <c r="CD271"/>
  <c r="CC271"/>
  <c r="CM277"/>
  <c r="CM319" s="1"/>
  <c r="CL277"/>
  <c r="CN319"/>
  <c r="BO293"/>
  <c r="BN293"/>
  <c r="CC335"/>
  <c r="CD335"/>
  <c r="CC337"/>
  <c r="CD337"/>
  <c r="CM343"/>
  <c r="CM385" s="1"/>
  <c r="CL343"/>
  <c r="CN385"/>
  <c r="CL345"/>
  <c r="EF345" s="1"/>
  <c r="CM345"/>
  <c r="CM386" s="1"/>
  <c r="CC401"/>
  <c r="CD401"/>
  <c r="CC408"/>
  <c r="CC451" s="1"/>
  <c r="CD408"/>
  <c r="CD451" s="1"/>
  <c r="CE451"/>
  <c r="CM411"/>
  <c r="CL411"/>
  <c r="EF411" s="1"/>
  <c r="EP436" s="1"/>
  <c r="AP155"/>
  <c r="N749"/>
  <c r="N186"/>
  <c r="EH393"/>
  <c r="EL393" s="1"/>
  <c r="EL369"/>
  <c r="EQ369" s="1"/>
  <c r="CC205"/>
  <c r="CD205"/>
  <c r="CP214"/>
  <c r="CQ214" s="1"/>
  <c r="CR214" s="1"/>
  <c r="CS214" s="1"/>
  <c r="CT214" s="1"/>
  <c r="CU214" s="1"/>
  <c r="CV214" s="1"/>
  <c r="CW214" s="1"/>
  <c r="CX214" s="1"/>
  <c r="CY214" s="1"/>
  <c r="CZ214" s="1"/>
  <c r="DA214" s="1"/>
  <c r="EA214" s="1"/>
  <c r="BP214"/>
  <c r="EH257"/>
  <c r="F212" i="3" s="1"/>
  <c r="C212" s="1"/>
  <c r="EO231" i="1"/>
  <c r="BN242"/>
  <c r="BO242"/>
  <c r="CL279"/>
  <c r="EF279" s="1"/>
  <c r="CM279"/>
  <c r="CL313"/>
  <c r="EH313"/>
  <c r="EO313" s="1"/>
  <c r="EJ328"/>
  <c r="EN310"/>
  <c r="ES310" s="1"/>
  <c r="CD334"/>
  <c r="CC334"/>
  <c r="CC338"/>
  <c r="CD338"/>
  <c r="BO346"/>
  <c r="BN346"/>
  <c r="CC400"/>
  <c r="CD400"/>
  <c r="CD404"/>
  <c r="CC404"/>
  <c r="CM413"/>
  <c r="CL413"/>
  <c r="EF413" s="1"/>
  <c r="EM438" s="1"/>
  <c r="ER438" s="1"/>
  <c r="CE415"/>
  <c r="DE415"/>
  <c r="DF415" s="1"/>
  <c r="DG415" s="1"/>
  <c r="DH415" s="1"/>
  <c r="DI415" s="1"/>
  <c r="DJ415" s="1"/>
  <c r="DK415" s="1"/>
  <c r="DL415" s="1"/>
  <c r="DM415" s="1"/>
  <c r="CS457"/>
  <c r="CS459"/>
  <c r="DI457"/>
  <c r="DI901"/>
  <c r="DI459"/>
  <c r="CQ435"/>
  <c r="CP460"/>
  <c r="CD468"/>
  <c r="CC468"/>
  <c r="Y157"/>
  <c r="Z143"/>
  <c r="BA143"/>
  <c r="Y737"/>
  <c r="BA737" s="1"/>
  <c r="Y187"/>
  <c r="CM245"/>
  <c r="EI245"/>
  <c r="CD276"/>
  <c r="CC276"/>
  <c r="CE318"/>
  <c r="CG342"/>
  <c r="CF342"/>
  <c r="CM475"/>
  <c r="CM518" s="1"/>
  <c r="CL475"/>
  <c r="CN518"/>
  <c r="CD533"/>
  <c r="CC533"/>
  <c r="CF540"/>
  <c r="CG540"/>
  <c r="CM543"/>
  <c r="CL543"/>
  <c r="EF543" s="1"/>
  <c r="CC598"/>
  <c r="CD598"/>
  <c r="CC601"/>
  <c r="CD601"/>
  <c r="EO635"/>
  <c r="EL635"/>
  <c r="EQ635" s="1"/>
  <c r="CD666"/>
  <c r="CC666"/>
  <c r="CM739"/>
  <c r="CM782" s="1"/>
  <c r="CL739"/>
  <c r="CD543"/>
  <c r="CC543"/>
  <c r="CE344"/>
  <c r="CC343"/>
  <c r="CC385" s="1"/>
  <c r="CD343"/>
  <c r="CD385" s="1"/>
  <c r="CE385"/>
  <c r="CF335"/>
  <c r="CG335"/>
  <c r="CG271"/>
  <c r="CF271"/>
  <c r="CE212"/>
  <c r="CE253"/>
  <c r="CC211"/>
  <c r="CC253" s="1"/>
  <c r="CD211"/>
  <c r="CD253" s="1"/>
  <c r="CE146"/>
  <c r="CD145"/>
  <c r="CD188" s="1"/>
  <c r="CC145"/>
  <c r="CC188" s="1"/>
  <c r="CE188"/>
  <c r="CG543"/>
  <c r="CF543"/>
  <c r="CF345"/>
  <c r="CG345"/>
  <c r="CH386"/>
  <c r="CF147"/>
  <c r="CG147"/>
  <c r="CG666"/>
  <c r="CF666"/>
  <c r="CF403"/>
  <c r="CG403"/>
  <c r="CJ401"/>
  <c r="CI401"/>
  <c r="CI675"/>
  <c r="CJ675"/>
  <c r="DH171"/>
  <c r="DG897"/>
  <c r="DG196"/>
  <c r="AO147" i="3"/>
  <c r="CQ209" i="1"/>
  <c r="CP210"/>
  <c r="CP252" s="1"/>
  <c r="BN209"/>
  <c r="BO209"/>
  <c r="BP210"/>
  <c r="CF390"/>
  <c r="CG377"/>
  <c r="CF392"/>
  <c r="BQ450"/>
  <c r="BR419"/>
  <c r="BX459"/>
  <c r="BX457"/>
  <c r="CC467"/>
  <c r="CD467"/>
  <c r="CC342"/>
  <c r="CD342"/>
  <c r="CM534"/>
  <c r="CL534"/>
  <c r="EF534" s="1"/>
  <c r="AV738"/>
  <c r="EN756"/>
  <c r="ES756" s="1"/>
  <c r="CL891"/>
  <c r="EP312"/>
  <c r="K343" i="3"/>
  <c r="S277"/>
  <c r="S145"/>
  <c r="P145" s="1"/>
  <c r="EJ193" i="1"/>
  <c r="EN193" s="1"/>
  <c r="EJ589"/>
  <c r="CM320"/>
  <c r="CM453"/>
  <c r="CM585"/>
  <c r="T13" i="3"/>
  <c r="BB906" i="1"/>
  <c r="BF906"/>
  <c r="EH392"/>
  <c r="CG451"/>
  <c r="EO364"/>
  <c r="F667" i="3"/>
  <c r="C667" s="1"/>
  <c r="EL688" i="1"/>
  <c r="EQ688" s="1"/>
  <c r="EH723"/>
  <c r="EO694"/>
  <c r="EL699"/>
  <c r="EQ699" s="1"/>
  <c r="EO699"/>
  <c r="AM487"/>
  <c r="BO487" s="1"/>
  <c r="BP487" s="1"/>
  <c r="AM517"/>
  <c r="CQ473"/>
  <c r="BP473"/>
  <c r="CD481"/>
  <c r="CC481"/>
  <c r="DC502"/>
  <c r="DB526"/>
  <c r="BW535"/>
  <c r="BX535"/>
  <c r="AZ553"/>
  <c r="CB553" s="1"/>
  <c r="EL569"/>
  <c r="EQ569" s="1"/>
  <c r="EO569"/>
  <c r="CC602"/>
  <c r="CD602"/>
  <c r="BE619"/>
  <c r="CG619" s="1"/>
  <c r="BE649"/>
  <c r="BA649"/>
  <c r="BA619"/>
  <c r="BO622"/>
  <c r="BN622"/>
  <c r="CC624"/>
  <c r="CD624"/>
  <c r="DO632"/>
  <c r="DP632" s="1"/>
  <c r="EJ632"/>
  <c r="EN632" s="1"/>
  <c r="ES632" s="1"/>
  <c r="BQ666"/>
  <c r="BR666"/>
  <c r="AM715"/>
  <c r="AM685"/>
  <c r="BO685" s="1"/>
  <c r="BP685" s="1"/>
  <c r="BP671"/>
  <c r="CM675"/>
  <c r="CM717" s="1"/>
  <c r="CL675"/>
  <c r="EF675" s="1"/>
  <c r="EJ703"/>
  <c r="EN703" s="1"/>
  <c r="ES703" s="1"/>
  <c r="DO703"/>
  <c r="DP703" s="1"/>
  <c r="EL755"/>
  <c r="EQ755" s="1"/>
  <c r="EO755"/>
  <c r="BV756"/>
  <c r="CW756"/>
  <c r="CP769"/>
  <c r="CQ769" s="1"/>
  <c r="CR769" s="1"/>
  <c r="CS769" s="1"/>
  <c r="CT769" s="1"/>
  <c r="CU769" s="1"/>
  <c r="CV769" s="1"/>
  <c r="CW769" s="1"/>
  <c r="CX769" s="1"/>
  <c r="CY769" s="1"/>
  <c r="CZ769" s="1"/>
  <c r="DA769" s="1"/>
  <c r="BP769"/>
  <c r="CG206"/>
  <c r="CF206"/>
  <c r="CG532"/>
  <c r="CF532"/>
  <c r="CF337"/>
  <c r="CG337"/>
  <c r="CD279"/>
  <c r="CC279"/>
  <c r="CG205"/>
  <c r="CF205"/>
  <c r="CD147"/>
  <c r="CC147"/>
  <c r="CE189"/>
  <c r="CF137"/>
  <c r="CG137"/>
  <c r="CI533"/>
  <c r="CJ533"/>
  <c r="CJ336"/>
  <c r="CI336"/>
  <c r="CJ203"/>
  <c r="CI203"/>
  <c r="CF213"/>
  <c r="CG213"/>
  <c r="CC675"/>
  <c r="CD675"/>
  <c r="CE674"/>
  <c r="CD673"/>
  <c r="CD716" s="1"/>
  <c r="CC673"/>
  <c r="CC716" s="1"/>
  <c r="CE716"/>
  <c r="CG601"/>
  <c r="CF601"/>
  <c r="CG675"/>
  <c r="CF675"/>
  <c r="CL204"/>
  <c r="EF204" s="1"/>
  <c r="EP227" s="1"/>
  <c r="CM204"/>
  <c r="BR323"/>
  <c r="BR325"/>
  <c r="CQ352"/>
  <c r="CP385"/>
  <c r="CP383"/>
  <c r="CP390"/>
  <c r="CP392"/>
  <c r="CQ377"/>
  <c r="BR459"/>
  <c r="BR457"/>
  <c r="CD466"/>
  <c r="CC466"/>
  <c r="CI148"/>
  <c r="CJ148"/>
  <c r="CC275"/>
  <c r="CD275"/>
  <c r="CC669"/>
  <c r="CD669"/>
  <c r="CG600"/>
  <c r="CF600"/>
  <c r="CM533"/>
  <c r="CL533"/>
  <c r="EF533" s="1"/>
  <c r="EP556" s="1"/>
  <c r="E536" i="3"/>
  <c r="C536" s="1"/>
  <c r="EO558" i="1"/>
  <c r="D536" i="3" s="1"/>
  <c r="EL558" i="1"/>
  <c r="EQ558" s="1"/>
  <c r="CI139"/>
  <c r="CJ139"/>
  <c r="CL336"/>
  <c r="EF336" s="1"/>
  <c r="EP359" s="1"/>
  <c r="CM336"/>
  <c r="CG272"/>
  <c r="CF272"/>
  <c r="CG669"/>
  <c r="CF669"/>
  <c r="CJ279"/>
  <c r="CI279"/>
  <c r="CJ211"/>
  <c r="CJ253" s="1"/>
  <c r="CK212"/>
  <c r="CI211"/>
  <c r="CI253" s="1"/>
  <c r="CK253"/>
  <c r="CM535"/>
  <c r="CL535"/>
  <c r="EF535" s="1"/>
  <c r="EP558" s="1"/>
  <c r="CI598"/>
  <c r="CJ598"/>
  <c r="CM206"/>
  <c r="CL206"/>
  <c r="EF206" s="1"/>
  <c r="CI270"/>
  <c r="CJ270"/>
  <c r="E273" i="3"/>
  <c r="C273" s="1"/>
  <c r="EL295" i="1"/>
  <c r="EQ295" s="1"/>
  <c r="EO295"/>
  <c r="D273" i="3" s="1"/>
  <c r="CI471" i="1"/>
  <c r="CJ471"/>
  <c r="CM268"/>
  <c r="CL268"/>
  <c r="EF268" s="1"/>
  <c r="CL203"/>
  <c r="EF203" s="1"/>
  <c r="CM203"/>
  <c r="CD469"/>
  <c r="CC469"/>
  <c r="CG673"/>
  <c r="CG716" s="1"/>
  <c r="CF673"/>
  <c r="CF716" s="1"/>
  <c r="CH716"/>
  <c r="CH674"/>
  <c r="CH717" s="1"/>
  <c r="CG411"/>
  <c r="CF411"/>
  <c r="CH453"/>
  <c r="CM664"/>
  <c r="CL664"/>
  <c r="EF664" s="1"/>
  <c r="CI136"/>
  <c r="CJ136"/>
  <c r="CM602"/>
  <c r="CL602"/>
  <c r="EF602" s="1"/>
  <c r="EP625" s="1"/>
  <c r="CF741"/>
  <c r="CG741"/>
  <c r="CI534"/>
  <c r="CJ534"/>
  <c r="CC516"/>
  <c r="CD485"/>
  <c r="BW716"/>
  <c r="BX682"/>
  <c r="BZ714"/>
  <c r="CA683"/>
  <c r="E338" i="3"/>
  <c r="C338" s="1"/>
  <c r="EL360" i="1"/>
  <c r="EQ360" s="1"/>
  <c r="EO360"/>
  <c r="D338" i="3" s="1"/>
  <c r="CM137" i="1"/>
  <c r="CL137"/>
  <c r="EF137" s="1"/>
  <c r="EM168"/>
  <c r="ER168" s="1"/>
  <c r="EL357"/>
  <c r="EQ357" s="1"/>
  <c r="EO357"/>
  <c r="CD474"/>
  <c r="CC474"/>
  <c r="CE517"/>
  <c r="CC471"/>
  <c r="CD471"/>
  <c r="CC209"/>
  <c r="CD209"/>
  <c r="CC341"/>
  <c r="CD341"/>
  <c r="CG470"/>
  <c r="CF470"/>
  <c r="CI137"/>
  <c r="CJ137"/>
  <c r="CG211"/>
  <c r="CG253" s="1"/>
  <c r="CF211"/>
  <c r="CF253" s="1"/>
  <c r="CH253"/>
  <c r="CH212"/>
  <c r="CH254" s="1"/>
  <c r="CI206"/>
  <c r="CJ206"/>
  <c r="CG268"/>
  <c r="CF268"/>
  <c r="CG599"/>
  <c r="CF599"/>
  <c r="CG341"/>
  <c r="CF341"/>
  <c r="CI467"/>
  <c r="CJ467"/>
  <c r="CG603"/>
  <c r="CF603"/>
  <c r="CI272"/>
  <c r="CJ272"/>
  <c r="CF402"/>
  <c r="CG402"/>
  <c r="CM272"/>
  <c r="CL272"/>
  <c r="EF272" s="1"/>
  <c r="EE599"/>
  <c r="DN599"/>
  <c r="CG209"/>
  <c r="CF209"/>
  <c r="CJ400"/>
  <c r="CI400"/>
  <c r="CL401"/>
  <c r="EF401" s="1"/>
  <c r="EP424" s="1"/>
  <c r="CM401"/>
  <c r="CI601"/>
  <c r="CJ601"/>
  <c r="CJ335"/>
  <c r="CI335"/>
  <c r="CM667"/>
  <c r="CL667"/>
  <c r="EF667" s="1"/>
  <c r="CJ213"/>
  <c r="CI213"/>
  <c r="CK254"/>
  <c r="CR502"/>
  <c r="CQ526"/>
  <c r="BT523"/>
  <c r="BU510"/>
  <c r="CR537"/>
  <c r="CQ581"/>
  <c r="DD567"/>
  <c r="DC903"/>
  <c r="DC906" s="1"/>
  <c r="DC592"/>
  <c r="AK543" i="3"/>
  <c r="DB786" i="1"/>
  <c r="DC758"/>
  <c r="DB788"/>
  <c r="AE541"/>
  <c r="AD584"/>
  <c r="AD739"/>
  <c r="CM271"/>
  <c r="CL271"/>
  <c r="EF271" s="1"/>
  <c r="CM532"/>
  <c r="CL532"/>
  <c r="EF532" s="1"/>
  <c r="CM668"/>
  <c r="CL668"/>
  <c r="EF668" s="1"/>
  <c r="EM691" s="1"/>
  <c r="ER691" s="1"/>
  <c r="BR743"/>
  <c r="BQ743"/>
  <c r="BY120"/>
  <c r="BY122"/>
  <c r="CI411"/>
  <c r="CJ411"/>
  <c r="CK453"/>
  <c r="CI733"/>
  <c r="CJ733"/>
  <c r="CG667"/>
  <c r="CF667"/>
  <c r="CC208"/>
  <c r="CE250"/>
  <c r="CD208"/>
  <c r="CF734"/>
  <c r="CG734"/>
  <c r="E141" i="3"/>
  <c r="EL163" i="1"/>
  <c r="EQ163" s="1"/>
  <c r="EO163"/>
  <c r="D141" i="3" s="1"/>
  <c r="CJ670" i="1"/>
  <c r="CI670"/>
  <c r="CK713"/>
  <c r="CL140"/>
  <c r="EF140" s="1"/>
  <c r="EM163" s="1"/>
  <c r="ER163" s="1"/>
  <c r="CM140"/>
  <c r="CI207"/>
  <c r="CJ207"/>
  <c r="CI209"/>
  <c r="CI252" s="1"/>
  <c r="CJ209"/>
  <c r="CJ252" s="1"/>
  <c r="CK252"/>
  <c r="CI669"/>
  <c r="CJ669"/>
  <c r="BH355"/>
  <c r="CJ355" s="1"/>
  <c r="BI341"/>
  <c r="DL341"/>
  <c r="DM341" s="1"/>
  <c r="EB341" s="1"/>
  <c r="EG341" s="1"/>
  <c r="CG10"/>
  <c r="CG53" s="1"/>
  <c r="CF10"/>
  <c r="CF53" s="1"/>
  <c r="CH53"/>
  <c r="V750"/>
  <c r="AX750" s="1"/>
  <c r="BZ750" s="1"/>
  <c r="DB750" s="1"/>
  <c r="AX24"/>
  <c r="BZ24" s="1"/>
  <c r="DB24" s="1"/>
  <c r="W750"/>
  <c r="AY750" s="1"/>
  <c r="CA750" s="1"/>
  <c r="DC750" s="1"/>
  <c r="AY24"/>
  <c r="CA24" s="1"/>
  <c r="DC24" s="1"/>
  <c r="FD18"/>
  <c r="EB18"/>
  <c r="EG18" s="1"/>
  <c r="DJ192"/>
  <c r="DK164"/>
  <c r="DJ194"/>
  <c r="BL270"/>
  <c r="DP270" s="1"/>
  <c r="EB270" s="1"/>
  <c r="EG270" s="1"/>
  <c r="EN293" s="1"/>
  <c r="ES293" s="1"/>
  <c r="AJ732"/>
  <c r="BL732" s="1"/>
  <c r="FC72"/>
  <c r="EA72"/>
  <c r="CT553"/>
  <c r="CS540"/>
  <c r="CU542"/>
  <c r="CT585"/>
  <c r="CT246"/>
  <c r="CS258"/>
  <c r="BH318"/>
  <c r="BH289"/>
  <c r="CJ289" s="1"/>
  <c r="AE607"/>
  <c r="CR250"/>
  <c r="CS207"/>
  <c r="CS786"/>
  <c r="CS788"/>
  <c r="CT758"/>
  <c r="CL400"/>
  <c r="EF400" s="1"/>
  <c r="EP423" s="1"/>
  <c r="CM400"/>
  <c r="CL338"/>
  <c r="EF338" s="1"/>
  <c r="EP361" s="1"/>
  <c r="CM338"/>
  <c r="CM136"/>
  <c r="CL136"/>
  <c r="EF136" s="1"/>
  <c r="CL335"/>
  <c r="EF335" s="1"/>
  <c r="EP358" s="1"/>
  <c r="CM335"/>
  <c r="CL403"/>
  <c r="EF403" s="1"/>
  <c r="EP426" s="1"/>
  <c r="CM403"/>
  <c r="CM598"/>
  <c r="CL598"/>
  <c r="EF598" s="1"/>
  <c r="EM621" s="1"/>
  <c r="ER621" s="1"/>
  <c r="CM205"/>
  <c r="CL205"/>
  <c r="EF205" s="1"/>
  <c r="CI609"/>
  <c r="CJ609"/>
  <c r="BU732"/>
  <c r="BT732"/>
  <c r="BL353"/>
  <c r="AJ383"/>
  <c r="CD141"/>
  <c r="CC141"/>
  <c r="AW23"/>
  <c r="U54"/>
  <c r="EM48"/>
  <c r="ER48" s="1"/>
  <c r="DB141"/>
  <c r="DC141" s="1"/>
  <c r="DD141" s="1"/>
  <c r="AX187"/>
  <c r="CB141"/>
  <c r="CA8"/>
  <c r="BZ8"/>
  <c r="BX606"/>
  <c r="BX649" s="1"/>
  <c r="BW606"/>
  <c r="BW649" s="1"/>
  <c r="BY649"/>
  <c r="CE515"/>
  <c r="CC472"/>
  <c r="CC515" s="1"/>
  <c r="CD472"/>
  <c r="CD515" s="1"/>
  <c r="CC670"/>
  <c r="CC713" s="1"/>
  <c r="CD670"/>
  <c r="CD713" s="1"/>
  <c r="CE713"/>
  <c r="BD472"/>
  <c r="AC472"/>
  <c r="AB515"/>
  <c r="AC208"/>
  <c r="BD208"/>
  <c r="AB250"/>
  <c r="CF670"/>
  <c r="CF713" s="1"/>
  <c r="CG670"/>
  <c r="CG713" s="1"/>
  <c r="CH713"/>
  <c r="CD605"/>
  <c r="CC605"/>
  <c r="CE649"/>
  <c r="CC671"/>
  <c r="CC715" s="1"/>
  <c r="CD671"/>
  <c r="CD715" s="1"/>
  <c r="CE715"/>
  <c r="CD739"/>
  <c r="CD782" s="1"/>
  <c r="CC739"/>
  <c r="CC782" s="1"/>
  <c r="CE782"/>
  <c r="CJ345"/>
  <c r="CI345"/>
  <c r="BO742"/>
  <c r="BN742"/>
  <c r="CI74"/>
  <c r="CJ74"/>
  <c r="BC651"/>
  <c r="BC917"/>
  <c r="DG608"/>
  <c r="BG494"/>
  <c r="DJ494"/>
  <c r="BF524"/>
  <c r="DI524"/>
  <c r="DH915"/>
  <c r="DI476"/>
  <c r="AP477" i="3"/>
  <c r="DH519" i="1"/>
  <c r="CU567"/>
  <c r="CT592"/>
  <c r="BY392"/>
  <c r="BY390"/>
  <c r="CS500"/>
  <c r="CR525"/>
  <c r="CT344"/>
  <c r="CS386"/>
  <c r="DO485"/>
  <c r="DN516"/>
  <c r="EL510"/>
  <c r="EQ510" s="1"/>
  <c r="EE516"/>
  <c r="DG211"/>
  <c r="DF253"/>
  <c r="BS744"/>
  <c r="CT744"/>
  <c r="CU744" s="1"/>
  <c r="CV744" s="1"/>
  <c r="CW744" s="1"/>
  <c r="CX744" s="1"/>
  <c r="CY744" s="1"/>
  <c r="CZ744" s="1"/>
  <c r="DA744" s="1"/>
  <c r="EA744" s="1"/>
  <c r="DF170"/>
  <c r="DE195"/>
  <c r="DF103"/>
  <c r="DF128" s="1"/>
  <c r="DG115"/>
  <c r="CT25"/>
  <c r="CS12"/>
  <c r="CS55" s="1"/>
  <c r="EO689"/>
  <c r="EL689"/>
  <c r="EQ689" s="1"/>
  <c r="EO624"/>
  <c r="D602" i="3" s="1"/>
  <c r="E602"/>
  <c r="CM466" i="1"/>
  <c r="CL466"/>
  <c r="EF466" s="1"/>
  <c r="DJ518"/>
  <c r="DK475"/>
  <c r="BU671"/>
  <c r="BV672"/>
  <c r="BT671"/>
  <c r="S751"/>
  <c r="CY487"/>
  <c r="BW487"/>
  <c r="BX487" s="1"/>
  <c r="BY487" s="1"/>
  <c r="BD55"/>
  <c r="BD25"/>
  <c r="DK707"/>
  <c r="DJ723"/>
  <c r="AR673" i="3"/>
  <c r="BZ12" i="1"/>
  <c r="BZ55" s="1"/>
  <c r="CA12"/>
  <c r="CA55" s="1"/>
  <c r="CB55"/>
  <c r="BT276"/>
  <c r="BT318" s="1"/>
  <c r="BU276"/>
  <c r="BU318" s="1"/>
  <c r="BV318"/>
  <c r="BA683"/>
  <c r="Y714"/>
  <c r="DA259"/>
  <c r="DA257"/>
  <c r="CJ6"/>
  <c r="CI6"/>
  <c r="AR783"/>
  <c r="BV740"/>
  <c r="BW4"/>
  <c r="BX4"/>
  <c r="CV253"/>
  <c r="CW211"/>
  <c r="CY212"/>
  <c r="CX254"/>
  <c r="X780"/>
  <c r="AZ749"/>
  <c r="CB23"/>
  <c r="DD23"/>
  <c r="AZ54"/>
  <c r="BB740"/>
  <c r="BB783" s="1"/>
  <c r="Z783"/>
  <c r="DE739"/>
  <c r="DD782"/>
  <c r="AC274"/>
  <c r="AB316"/>
  <c r="BD274"/>
  <c r="BC316"/>
  <c r="DG274"/>
  <c r="BY319"/>
  <c r="BY317"/>
  <c r="CT566"/>
  <c r="CS591"/>
  <c r="AM738"/>
  <c r="K781"/>
  <c r="CC10"/>
  <c r="CC53" s="1"/>
  <c r="CD10"/>
  <c r="CD53" s="1"/>
  <c r="CE53"/>
  <c r="CA205"/>
  <c r="BZ205"/>
  <c r="BW742"/>
  <c r="BX742"/>
  <c r="CD730"/>
  <c r="CC730"/>
  <c r="CJ671"/>
  <c r="CI671"/>
  <c r="BV748"/>
  <c r="BV782" s="1"/>
  <c r="BU782"/>
  <c r="AW80"/>
  <c r="U81"/>
  <c r="U740"/>
  <c r="AW740" s="1"/>
  <c r="CE6"/>
  <c r="DE6"/>
  <c r="CA136"/>
  <c r="BZ136"/>
  <c r="BW147"/>
  <c r="BW189" s="1"/>
  <c r="BX147"/>
  <c r="BX189" s="1"/>
  <c r="BY189"/>
  <c r="BZ83"/>
  <c r="CA83"/>
  <c r="DE273"/>
  <c r="DD316"/>
  <c r="DE78"/>
  <c r="DD121"/>
  <c r="AL82" i="3"/>
  <c r="EB119" i="1"/>
  <c r="M750"/>
  <c r="AO750" s="1"/>
  <c r="BQ750" s="1"/>
  <c r="CS750" s="1"/>
  <c r="AO24"/>
  <c r="BQ24" s="1"/>
  <c r="CS24" s="1"/>
  <c r="AQ24"/>
  <c r="BS24" s="1"/>
  <c r="CU24" s="1"/>
  <c r="O750"/>
  <c r="AQ750" s="1"/>
  <c r="BS750" s="1"/>
  <c r="CU750" s="1"/>
  <c r="U750"/>
  <c r="AW750" s="1"/>
  <c r="BY750" s="1"/>
  <c r="DA750" s="1"/>
  <c r="AW24"/>
  <c r="BY24" s="1"/>
  <c r="DA24" s="1"/>
  <c r="S750"/>
  <c r="AU750" s="1"/>
  <c r="BW750" s="1"/>
  <c r="CY750" s="1"/>
  <c r="AU24"/>
  <c r="BW24" s="1"/>
  <c r="CY24" s="1"/>
  <c r="P750"/>
  <c r="AR750" s="1"/>
  <c r="BT750" s="1"/>
  <c r="CV750" s="1"/>
  <c r="AR24"/>
  <c r="BT24" s="1"/>
  <c r="CV24" s="1"/>
  <c r="CM730"/>
  <c r="CL730"/>
  <c r="EF730" s="1"/>
  <c r="CG730"/>
  <c r="CF730"/>
  <c r="L610" i="3"/>
  <c r="M610" s="1"/>
  <c r="J610" s="1"/>
  <c r="EF649" i="1"/>
  <c r="EP631"/>
  <c r="K610" i="3" s="1"/>
  <c r="BU737" i="1"/>
  <c r="BT737"/>
  <c r="BW474"/>
  <c r="BX474"/>
  <c r="BX517" s="1"/>
  <c r="BY517"/>
  <c r="BW473"/>
  <c r="BX473"/>
  <c r="CX518"/>
  <c r="CY484"/>
  <c r="CX516"/>
  <c r="CX15"/>
  <c r="CZ575"/>
  <c r="DA421"/>
  <c r="DA408" s="1"/>
  <c r="CZ408"/>
  <c r="CZ451" s="1"/>
  <c r="EA551"/>
  <c r="EA582" s="1"/>
  <c r="DA582"/>
  <c r="DA38"/>
  <c r="DA63" s="1"/>
  <c r="CZ63"/>
  <c r="DG53"/>
  <c r="AO14" i="3" s="1"/>
  <c r="DH9" i="1"/>
  <c r="BW672"/>
  <c r="BW715" s="1"/>
  <c r="BY715"/>
  <c r="BX672"/>
  <c r="BW671"/>
  <c r="BX671"/>
  <c r="DK260"/>
  <c r="AS213" i="3"/>
  <c r="AS211"/>
  <c r="DK258" i="1"/>
  <c r="AS212" i="3" s="1"/>
  <c r="DL245" i="1"/>
  <c r="EB716"/>
  <c r="EG673"/>
  <c r="DF606"/>
  <c r="AM610" i="3"/>
  <c r="DE649" i="1"/>
  <c r="BR737"/>
  <c r="BQ737"/>
  <c r="CU783"/>
  <c r="CV741"/>
  <c r="CZ675"/>
  <c r="EA411"/>
  <c r="EA453" s="1"/>
  <c r="DA453"/>
  <c r="CZ700"/>
  <c r="CY724"/>
  <c r="DM699"/>
  <c r="DL905"/>
  <c r="DL724"/>
  <c r="DD553"/>
  <c r="DE553" s="1"/>
  <c r="DF553" s="1"/>
  <c r="DG553" s="1"/>
  <c r="DH553" s="1"/>
  <c r="DI553" s="1"/>
  <c r="DJ553" s="1"/>
  <c r="DK553" s="1"/>
  <c r="DL553" s="1"/>
  <c r="DM553" s="1"/>
  <c r="CQ671"/>
  <c r="CE651"/>
  <c r="EH724"/>
  <c r="CJ860"/>
  <c r="BW714"/>
  <c r="BU515"/>
  <c r="BI275"/>
  <c r="CK275" s="1"/>
  <c r="DL275"/>
  <c r="BS516"/>
  <c r="EO556"/>
  <c r="D535" i="3" s="1"/>
  <c r="CN270" i="1"/>
  <c r="DE647"/>
  <c r="AM608" i="3" s="1"/>
  <c r="DI647" i="1"/>
  <c r="AQ608" i="3" s="1"/>
  <c r="BQ581" i="1"/>
  <c r="DH11"/>
  <c r="EP48"/>
  <c r="EN44"/>
  <c r="ES44" s="1"/>
  <c r="EN638"/>
  <c r="ES638" s="1"/>
  <c r="BR583"/>
  <c r="DD647"/>
  <c r="AL608" i="3" s="1"/>
  <c r="DF647" i="1"/>
  <c r="AN608" i="3" s="1"/>
  <c r="EP36" i="1"/>
  <c r="DD214"/>
  <c r="DE214" s="1"/>
  <c r="DF214" s="1"/>
  <c r="DG214" s="1"/>
  <c r="DH214" s="1"/>
  <c r="DI214" s="1"/>
  <c r="DJ214" s="1"/>
  <c r="DK214" s="1"/>
  <c r="DL214" s="1"/>
  <c r="DM214" s="1"/>
  <c r="EB214" s="1"/>
  <c r="EG214" s="1"/>
  <c r="EN239" s="1"/>
  <c r="ES239" s="1"/>
  <c r="CC470"/>
  <c r="CD470"/>
  <c r="CM477"/>
  <c r="CM519" s="1"/>
  <c r="CL477"/>
  <c r="EF477" s="1"/>
  <c r="BZ487"/>
  <c r="CA487" s="1"/>
  <c r="CB487" s="1"/>
  <c r="DB487"/>
  <c r="DC487" s="1"/>
  <c r="DD487" s="1"/>
  <c r="DE487" s="1"/>
  <c r="DF487" s="1"/>
  <c r="DG487" s="1"/>
  <c r="DH487" s="1"/>
  <c r="DI487" s="1"/>
  <c r="DJ487" s="1"/>
  <c r="DK487" s="1"/>
  <c r="DL487" s="1"/>
  <c r="DM487" s="1"/>
  <c r="V751"/>
  <c r="BT496"/>
  <c r="BU496"/>
  <c r="EJ501"/>
  <c r="EJ526" s="1"/>
  <c r="DN526"/>
  <c r="DO501"/>
  <c r="DO504"/>
  <c r="DP504" s="1"/>
  <c r="EJ504"/>
  <c r="EN504" s="1"/>
  <c r="ES504" s="1"/>
  <c r="CD535"/>
  <c r="CC535"/>
  <c r="CM553"/>
  <c r="CN553" s="1"/>
  <c r="EF553"/>
  <c r="CH590"/>
  <c r="CG565"/>
  <c r="CG590" s="1"/>
  <c r="CF565"/>
  <c r="CF590" s="1"/>
  <c r="AM589"/>
  <c r="BO576"/>
  <c r="CQ576"/>
  <c r="CD600"/>
  <c r="CC600"/>
  <c r="BD619"/>
  <c r="BD649"/>
  <c r="CM607"/>
  <c r="CM650" s="1"/>
  <c r="CL607"/>
  <c r="CN650"/>
  <c r="CM609"/>
  <c r="CM651" s="1"/>
  <c r="CL609"/>
  <c r="EF609" s="1"/>
  <c r="DB619"/>
  <c r="DC619" s="1"/>
  <c r="DD619" s="1"/>
  <c r="DE619" s="1"/>
  <c r="DF619" s="1"/>
  <c r="DG619" s="1"/>
  <c r="DH619" s="1"/>
  <c r="DI619" s="1"/>
  <c r="BZ619"/>
  <c r="CA619" s="1"/>
  <c r="CA622"/>
  <c r="BZ622"/>
  <c r="BN624"/>
  <c r="BO624"/>
  <c r="F602" i="3"/>
  <c r="EL624" i="1"/>
  <c r="EQ624" s="1"/>
  <c r="EJ657"/>
  <c r="EJ904"/>
  <c r="CD668"/>
  <c r="CC668"/>
  <c r="CM673"/>
  <c r="CM716" s="1"/>
  <c r="CL673"/>
  <c r="CN716"/>
  <c r="CD679"/>
  <c r="CC679"/>
  <c r="CF689"/>
  <c r="CG689"/>
  <c r="EL691"/>
  <c r="EQ691" s="1"/>
  <c r="D669" i="3"/>
  <c r="BW695" i="1"/>
  <c r="BX695"/>
  <c r="CM737"/>
  <c r="CL737"/>
  <c r="EF737" s="1"/>
  <c r="EP761" s="1"/>
  <c r="CN738"/>
  <c r="CZ755"/>
  <c r="BY755"/>
  <c r="CU761"/>
  <c r="CU787" s="1"/>
  <c r="BS761"/>
  <c r="BN770"/>
  <c r="BO770"/>
  <c r="DG575"/>
  <c r="DF591"/>
  <c r="AN541" i="3"/>
  <c r="DF589" i="1"/>
  <c r="CG533"/>
  <c r="CF533"/>
  <c r="CC345"/>
  <c r="CD345"/>
  <c r="CE386"/>
  <c r="CF336"/>
  <c r="CG336"/>
  <c r="CE278"/>
  <c r="CC277"/>
  <c r="CC319" s="1"/>
  <c r="CD277"/>
  <c r="CD319" s="1"/>
  <c r="CE319"/>
  <c r="CF202"/>
  <c r="CG202"/>
  <c r="CG139"/>
  <c r="CF139"/>
  <c r="CG136"/>
  <c r="CF136"/>
  <c r="CJ337"/>
  <c r="CI337"/>
  <c r="CJ334"/>
  <c r="CI334"/>
  <c r="CG277"/>
  <c r="CG319" s="1"/>
  <c r="CF277"/>
  <c r="CF319" s="1"/>
  <c r="CH319"/>
  <c r="CH278"/>
  <c r="CI205"/>
  <c r="CJ205"/>
  <c r="CF401"/>
  <c r="CG401"/>
  <c r="CG664"/>
  <c r="CF664"/>
  <c r="CG468"/>
  <c r="CF468"/>
  <c r="CI668"/>
  <c r="CJ668"/>
  <c r="CM469"/>
  <c r="CL469"/>
  <c r="EF469" s="1"/>
  <c r="BN383"/>
  <c r="BO352"/>
  <c r="BN385"/>
  <c r="BW383"/>
  <c r="BX353"/>
  <c r="DE362"/>
  <c r="DD389"/>
  <c r="DD391"/>
  <c r="CR370"/>
  <c r="CQ393"/>
  <c r="BO377"/>
  <c r="BN392"/>
  <c r="BN390"/>
  <c r="CF672"/>
  <c r="CG672"/>
  <c r="CH715"/>
  <c r="CD411"/>
  <c r="CC411"/>
  <c r="CE453"/>
  <c r="CC603"/>
  <c r="CD603"/>
  <c r="CG467"/>
  <c r="CF467"/>
  <c r="CF279"/>
  <c r="CG279"/>
  <c r="CH320"/>
  <c r="E207" i="3"/>
  <c r="C207" s="1"/>
  <c r="EL229" i="1"/>
  <c r="EQ229" s="1"/>
  <c r="EO229"/>
  <c r="CJ343"/>
  <c r="CJ385" s="1"/>
  <c r="CK344"/>
  <c r="CI343"/>
  <c r="CI385" s="1"/>
  <c r="CK385"/>
  <c r="CG275"/>
  <c r="CF275"/>
  <c r="CL202"/>
  <c r="EF202" s="1"/>
  <c r="CM202"/>
  <c r="CI600"/>
  <c r="CJ600"/>
  <c r="CF539"/>
  <c r="CG539"/>
  <c r="CI470"/>
  <c r="CJ470"/>
  <c r="CG148"/>
  <c r="CF148"/>
  <c r="CI466"/>
  <c r="CJ466"/>
  <c r="CG469"/>
  <c r="CF469"/>
  <c r="CF204"/>
  <c r="CG204"/>
  <c r="CM467"/>
  <c r="CL467"/>
  <c r="EF467" s="1"/>
  <c r="CJ473"/>
  <c r="CJ517" s="1"/>
  <c r="CI473"/>
  <c r="CK517"/>
  <c r="E403" i="3"/>
  <c r="C403" s="1"/>
  <c r="EL424" i="1"/>
  <c r="EQ424" s="1"/>
  <c r="EO424"/>
  <c r="D403" i="3" s="1"/>
  <c r="CG609" i="1"/>
  <c r="CF609"/>
  <c r="CG477"/>
  <c r="CF477"/>
  <c r="CM468"/>
  <c r="CL468"/>
  <c r="EF468" s="1"/>
  <c r="CJ403"/>
  <c r="CI403"/>
  <c r="CD538"/>
  <c r="CC538"/>
  <c r="CF141"/>
  <c r="CG141"/>
  <c r="CG185" s="1"/>
  <c r="AZ522"/>
  <c r="BA495"/>
  <c r="DD495"/>
  <c r="DD522" s="1"/>
  <c r="AL476" i="3" s="1"/>
  <c r="CS511" i="1"/>
  <c r="CR499"/>
  <c r="CR524" s="1"/>
  <c r="AC537"/>
  <c r="BG537"/>
  <c r="BF537"/>
  <c r="BF583" s="1"/>
  <c r="AD583"/>
  <c r="BR551"/>
  <c r="BQ582"/>
  <c r="CA617"/>
  <c r="CA648" s="1"/>
  <c r="BZ648"/>
  <c r="DN618"/>
  <c r="EF618"/>
  <c r="N601" i="3"/>
  <c r="DD641" i="1"/>
  <c r="AK609" i="3"/>
  <c r="DC655" i="1"/>
  <c r="DC657"/>
  <c r="AK607" i="3"/>
  <c r="BR682" i="1"/>
  <c r="BQ714"/>
  <c r="AQ772"/>
  <c r="N840"/>
  <c r="CT772"/>
  <c r="CT791" s="1"/>
  <c r="N791"/>
  <c r="CG668"/>
  <c r="CF668"/>
  <c r="CF404"/>
  <c r="CG404"/>
  <c r="CI664"/>
  <c r="CJ664"/>
  <c r="EP425"/>
  <c r="EM425"/>
  <c r="ER425" s="1"/>
  <c r="CL337"/>
  <c r="EF337" s="1"/>
  <c r="EP360" s="1"/>
  <c r="CM337"/>
  <c r="CL334"/>
  <c r="EF334" s="1"/>
  <c r="CM334"/>
  <c r="CD473"/>
  <c r="CC473"/>
  <c r="CC539"/>
  <c r="CD539"/>
  <c r="CG598"/>
  <c r="CF598"/>
  <c r="CC207"/>
  <c r="CD207"/>
  <c r="CJ202"/>
  <c r="CI202"/>
  <c r="CI535"/>
  <c r="CJ535"/>
  <c r="E140" i="3"/>
  <c r="EO162" i="1"/>
  <c r="D140" i="3" s="1"/>
  <c r="EL162" i="1"/>
  <c r="EQ162" s="1"/>
  <c r="CG270"/>
  <c r="CF270"/>
  <c r="CG466"/>
  <c r="CF466"/>
  <c r="CL139"/>
  <c r="EF139" s="1"/>
  <c r="CM139"/>
  <c r="CF473"/>
  <c r="CF517" s="1"/>
  <c r="CG473"/>
  <c r="CG517" s="1"/>
  <c r="CH517"/>
  <c r="CG471"/>
  <c r="CF471"/>
  <c r="CI268"/>
  <c r="CJ268"/>
  <c r="CI599"/>
  <c r="CJ599"/>
  <c r="CA149"/>
  <c r="BZ149"/>
  <c r="AJ599"/>
  <c r="BK599"/>
  <c r="DO599" s="1"/>
  <c r="AI731"/>
  <c r="AI617"/>
  <c r="CI666"/>
  <c r="CJ666"/>
  <c r="CC741"/>
  <c r="CD741"/>
  <c r="CJ338"/>
  <c r="CI338"/>
  <c r="CI543"/>
  <c r="CJ543"/>
  <c r="CJ404"/>
  <c r="CI404"/>
  <c r="DI483"/>
  <c r="DI520" s="1"/>
  <c r="AD483"/>
  <c r="AC520"/>
  <c r="DI548"/>
  <c r="DI586" s="1"/>
  <c r="AD548"/>
  <c r="AC586"/>
  <c r="DJ647"/>
  <c r="AR608" i="3" s="1"/>
  <c r="DK603" i="1"/>
  <c r="BR641"/>
  <c r="BQ657"/>
  <c r="BQ655"/>
  <c r="E272" i="3"/>
  <c r="C272" s="1"/>
  <c r="EO294" i="1"/>
  <c r="D272" i="3" s="1"/>
  <c r="EL294" i="1"/>
  <c r="EQ294" s="1"/>
  <c r="EO555"/>
  <c r="EL555"/>
  <c r="EQ555" s="1"/>
  <c r="CI477"/>
  <c r="CJ477"/>
  <c r="CD604"/>
  <c r="CD647" s="1"/>
  <c r="CC604"/>
  <c r="CC647" s="1"/>
  <c r="CE647"/>
  <c r="CF604"/>
  <c r="CF647" s="1"/>
  <c r="CG604"/>
  <c r="CG647" s="1"/>
  <c r="CH647"/>
  <c r="CJ734"/>
  <c r="CI734"/>
  <c r="CJ604"/>
  <c r="CI604"/>
  <c r="CK647"/>
  <c r="CE476"/>
  <c r="CE518"/>
  <c r="CH146"/>
  <c r="CG145"/>
  <c r="CG188" s="1"/>
  <c r="CF145"/>
  <c r="CF188" s="1"/>
  <c r="CH188"/>
  <c r="DE327"/>
  <c r="DF304"/>
  <c r="CI469"/>
  <c r="CJ469"/>
  <c r="CJ138"/>
  <c r="CI138"/>
  <c r="AD649"/>
  <c r="AD619"/>
  <c r="AE605"/>
  <c r="BF605"/>
  <c r="CJ402"/>
  <c r="CI402"/>
  <c r="CG207"/>
  <c r="CF207"/>
  <c r="AJ750"/>
  <c r="BL750" s="1"/>
  <c r="CN750" s="1"/>
  <c r="DP750" s="1"/>
  <c r="BL24"/>
  <c r="CN24" s="1"/>
  <c r="DP24" s="1"/>
  <c r="BK24"/>
  <c r="CM24" s="1"/>
  <c r="DO24" s="1"/>
  <c r="AI750"/>
  <c r="BK750" s="1"/>
  <c r="CM750" s="1"/>
  <c r="DO750" s="1"/>
  <c r="DJ433"/>
  <c r="DJ458" s="1"/>
  <c r="DK445"/>
  <c r="CA72"/>
  <c r="BZ72"/>
  <c r="DO110"/>
  <c r="EJ110"/>
  <c r="EN110" s="1"/>
  <c r="ES110" s="1"/>
  <c r="CS145"/>
  <c r="CR188"/>
  <c r="BS525"/>
  <c r="BS523"/>
  <c r="EL423"/>
  <c r="EQ423" s="1"/>
  <c r="EO423"/>
  <c r="E337" i="3"/>
  <c r="C337" s="1"/>
  <c r="EL358" i="1"/>
  <c r="EQ358" s="1"/>
  <c r="EO426"/>
  <c r="D404" i="3" s="1"/>
  <c r="EL426" i="1"/>
  <c r="EQ426" s="1"/>
  <c r="EL621"/>
  <c r="EQ621" s="1"/>
  <c r="EO621"/>
  <c r="E206" i="3"/>
  <c r="C206" s="1"/>
  <c r="EO228" i="1"/>
  <c r="D206" i="3" s="1"/>
  <c r="EM39" i="1"/>
  <c r="ER39" s="1"/>
  <c r="EP39"/>
  <c r="CK674"/>
  <c r="CI673"/>
  <c r="CI716" s="1"/>
  <c r="CJ673"/>
  <c r="CJ716" s="1"/>
  <c r="CK716"/>
  <c r="BG732"/>
  <c r="CK732" s="1"/>
  <c r="BF732"/>
  <c r="Z185"/>
  <c r="BB142"/>
  <c r="BC142"/>
  <c r="BC185" s="1"/>
  <c r="DG142"/>
  <c r="CL404"/>
  <c r="EF404" s="1"/>
  <c r="CM404"/>
  <c r="W4"/>
  <c r="AX4"/>
  <c r="V730"/>
  <c r="AU123"/>
  <c r="BY80"/>
  <c r="CY80"/>
  <c r="CG733"/>
  <c r="CF733"/>
  <c r="EB122"/>
  <c r="EG79"/>
  <c r="AY142"/>
  <c r="AY185" s="1"/>
  <c r="AX142"/>
  <c r="V185"/>
  <c r="DC142"/>
  <c r="DC185" s="1"/>
  <c r="AK146" i="3" s="1"/>
  <c r="V736" i="1"/>
  <c r="CD534"/>
  <c r="CC534"/>
  <c r="AX743"/>
  <c r="DB743" s="1"/>
  <c r="DC743" s="1"/>
  <c r="DD743" s="1"/>
  <c r="DE743" s="1"/>
  <c r="DF743" s="1"/>
  <c r="DG743" s="1"/>
  <c r="DH743" s="1"/>
  <c r="AY743"/>
  <c r="DE89"/>
  <c r="DD120"/>
  <c r="FD16"/>
  <c r="EB16"/>
  <c r="EG16" s="1"/>
  <c r="EN41" s="1"/>
  <c r="ES41" s="1"/>
  <c r="Q211" i="3"/>
  <c r="EG251" i="1"/>
  <c r="R212" i="3" s="1"/>
  <c r="DB384" i="1"/>
  <c r="DC342"/>
  <c r="AJ346" i="3"/>
  <c r="CC274" i="1"/>
  <c r="CC316" s="1"/>
  <c r="CD274"/>
  <c r="CD316" s="1"/>
  <c r="CE316"/>
  <c r="DD740"/>
  <c r="AZ783"/>
  <c r="DF274"/>
  <c r="BB316"/>
  <c r="CG140"/>
  <c r="CF140"/>
  <c r="AC406"/>
  <c r="AB449"/>
  <c r="CJ140"/>
  <c r="CI140"/>
  <c r="BJ683"/>
  <c r="AH714"/>
  <c r="AH749"/>
  <c r="BO14"/>
  <c r="BO57" s="1"/>
  <c r="BP57"/>
  <c r="BN14"/>
  <c r="BN57" s="1"/>
  <c r="CJ539"/>
  <c r="CI539"/>
  <c r="CI603"/>
  <c r="CJ603"/>
  <c r="CJ277"/>
  <c r="CJ319" s="1"/>
  <c r="CK278"/>
  <c r="CI277"/>
  <c r="CI319" s="1"/>
  <c r="CK319"/>
  <c r="CF671"/>
  <c r="CG671"/>
  <c r="CG475"/>
  <c r="CG518" s="1"/>
  <c r="CF475"/>
  <c r="CF518" s="1"/>
  <c r="CH518"/>
  <c r="CH476"/>
  <c r="BN743"/>
  <c r="BO743"/>
  <c r="DG510"/>
  <c r="DF523"/>
  <c r="BU317"/>
  <c r="BV286"/>
  <c r="AD545"/>
  <c r="BE545"/>
  <c r="DI545" s="1"/>
  <c r="AC743"/>
  <c r="BE743" s="1"/>
  <c r="AC608"/>
  <c r="BD608"/>
  <c r="CG494"/>
  <c r="CH524"/>
  <c r="BG648"/>
  <c r="CI617"/>
  <c r="DK617"/>
  <c r="CM600"/>
  <c r="CL600"/>
  <c r="EF600" s="1"/>
  <c r="BP258"/>
  <c r="BP260"/>
  <c r="EF485"/>
  <c r="CM485"/>
  <c r="CL516"/>
  <c r="DL129"/>
  <c r="DM104"/>
  <c r="DM129" s="1"/>
  <c r="CM666"/>
  <c r="CL666"/>
  <c r="EF666" s="1"/>
  <c r="CM601"/>
  <c r="CL601"/>
  <c r="EF601" s="1"/>
  <c r="EP624" s="1"/>
  <c r="CM470"/>
  <c r="CL470"/>
  <c r="EF470" s="1"/>
  <c r="EO293"/>
  <c r="EL293"/>
  <c r="EQ293" s="1"/>
  <c r="EL489"/>
  <c r="EQ489" s="1"/>
  <c r="EO489"/>
  <c r="CG731"/>
  <c r="CF731"/>
  <c r="BC731"/>
  <c r="BB731"/>
  <c r="DF731" s="1"/>
  <c r="AN733" i="3" s="1"/>
  <c r="DG731" i="1"/>
  <c r="AO733" i="3" s="1"/>
  <c r="CY275" i="1"/>
  <c r="CX276"/>
  <c r="CX318" s="1"/>
  <c r="AV289"/>
  <c r="BX289" s="1"/>
  <c r="BY289" s="1"/>
  <c r="AV318"/>
  <c r="BY275"/>
  <c r="CG273"/>
  <c r="CF273"/>
  <c r="CU189"/>
  <c r="CV146"/>
  <c r="AU748"/>
  <c r="S782"/>
  <c r="AU188"/>
  <c r="CY154"/>
  <c r="CZ154" s="1"/>
  <c r="DA154" s="1"/>
  <c r="EA154" s="1"/>
  <c r="BW154"/>
  <c r="EA477"/>
  <c r="EA519" s="1"/>
  <c r="DA519"/>
  <c r="BB916"/>
  <c r="BB919" s="1"/>
  <c r="BB585"/>
  <c r="DF542"/>
  <c r="AB542"/>
  <c r="AA916"/>
  <c r="AA585"/>
  <c r="BC542"/>
  <c r="AA740"/>
  <c r="CM665"/>
  <c r="CL665"/>
  <c r="EF665" s="1"/>
  <c r="DA319"/>
  <c r="EA286"/>
  <c r="CT674"/>
  <c r="CS717"/>
  <c r="CT619"/>
  <c r="CS606"/>
  <c r="CS649" s="1"/>
  <c r="CS609"/>
  <c r="CR651"/>
  <c r="CS14"/>
  <c r="CR57"/>
  <c r="CQ738"/>
  <c r="CQ781" s="1"/>
  <c r="CR751"/>
  <c r="BZ732"/>
  <c r="CA732"/>
  <c r="BZ734"/>
  <c r="CA734"/>
  <c r="EA205"/>
  <c r="AL206" i="3"/>
  <c r="BU743" i="1"/>
  <c r="BT743"/>
  <c r="BW743"/>
  <c r="BX743"/>
  <c r="CK146"/>
  <c r="CJ145"/>
  <c r="CJ188" s="1"/>
  <c r="CI145"/>
  <c r="CI188" s="1"/>
  <c r="CK188"/>
  <c r="CD665"/>
  <c r="CC665"/>
  <c r="BS740"/>
  <c r="AQ783"/>
  <c r="CZ730"/>
  <c r="BY730"/>
  <c r="CF6"/>
  <c r="CG6"/>
  <c r="BX5"/>
  <c r="BW5"/>
  <c r="AV81"/>
  <c r="T123"/>
  <c r="T741"/>
  <c r="DA113"/>
  <c r="CZ129"/>
  <c r="CZ127"/>
  <c r="BA732"/>
  <c r="BB732"/>
  <c r="DF732" s="1"/>
  <c r="BZ215"/>
  <c r="CA215"/>
  <c r="DM590"/>
  <c r="DM588"/>
  <c r="DA147"/>
  <c r="BW211"/>
  <c r="BW253" s="1"/>
  <c r="BX211"/>
  <c r="BX253" s="1"/>
  <c r="BY253"/>
  <c r="CC72"/>
  <c r="CD72"/>
  <c r="FD83"/>
  <c r="EB83"/>
  <c r="EG83" s="1"/>
  <c r="EN108" s="1"/>
  <c r="ES108" s="1"/>
  <c r="AD538"/>
  <c r="BE538"/>
  <c r="AC581"/>
  <c r="R750"/>
  <c r="AT750" s="1"/>
  <c r="BV750" s="1"/>
  <c r="CX750" s="1"/>
  <c r="AT24"/>
  <c r="BV24" s="1"/>
  <c r="CX24" s="1"/>
  <c r="N750"/>
  <c r="AP750" s="1"/>
  <c r="BR750" s="1"/>
  <c r="CT750" s="1"/>
  <c r="AP24"/>
  <c r="BR24" s="1"/>
  <c r="CT24" s="1"/>
  <c r="Q750"/>
  <c r="AS750" s="1"/>
  <c r="BU750" s="1"/>
  <c r="CW750" s="1"/>
  <c r="AS24"/>
  <c r="BU24" s="1"/>
  <c r="CW24" s="1"/>
  <c r="AV24"/>
  <c r="BX24" s="1"/>
  <c r="CZ24" s="1"/>
  <c r="T750"/>
  <c r="AV750" s="1"/>
  <c r="BX750" s="1"/>
  <c r="CZ750" s="1"/>
  <c r="L750"/>
  <c r="AN750" s="1"/>
  <c r="BP750" s="1"/>
  <c r="CR750" s="1"/>
  <c r="AN24"/>
  <c r="BP24" s="1"/>
  <c r="CR24" s="1"/>
  <c r="K750"/>
  <c r="AM750" s="1"/>
  <c r="BO750" s="1"/>
  <c r="CQ750" s="1"/>
  <c r="AM24"/>
  <c r="BO24" s="1"/>
  <c r="CQ24" s="1"/>
  <c r="J750"/>
  <c r="AL750" s="1"/>
  <c r="BN750" s="1"/>
  <c r="CP750" s="1"/>
  <c r="AL24"/>
  <c r="BN24" s="1"/>
  <c r="CP24" s="1"/>
  <c r="CT685"/>
  <c r="DD721"/>
  <c r="DE708"/>
  <c r="CG4"/>
  <c r="CF4"/>
  <c r="DB280"/>
  <c r="DC280" s="1"/>
  <c r="DD280" s="1"/>
  <c r="DE280" s="1"/>
  <c r="DF280" s="1"/>
  <c r="DG280" s="1"/>
  <c r="DH280" s="1"/>
  <c r="DI280" s="1"/>
  <c r="DJ280" s="1"/>
  <c r="DK280" s="1"/>
  <c r="DL280" s="1"/>
  <c r="DM280" s="1"/>
  <c r="EB280" s="1"/>
  <c r="EG280" s="1"/>
  <c r="EN305" s="1"/>
  <c r="ES305" s="1"/>
  <c r="CB280"/>
  <c r="CL734"/>
  <c r="EF734" s="1"/>
  <c r="CM734"/>
  <c r="BI475"/>
  <c r="AG518"/>
  <c r="BU474"/>
  <c r="BU517" s="1"/>
  <c r="BT474"/>
  <c r="BT517" s="1"/>
  <c r="BV517"/>
  <c r="CX714"/>
  <c r="CY683"/>
  <c r="DK261"/>
  <c r="DL238"/>
  <c r="DM650"/>
  <c r="EB616"/>
  <c r="CZ739"/>
  <c r="CY721"/>
  <c r="CY723"/>
  <c r="CZ707"/>
  <c r="CE731"/>
  <c r="DE731"/>
  <c r="AM733" i="3" s="1"/>
  <c r="AJ148"/>
  <c r="DB187" i="1"/>
  <c r="DC144"/>
  <c r="CX320"/>
  <c r="CY279"/>
  <c r="BW737"/>
  <c r="BX737"/>
  <c r="DM317"/>
  <c r="AU278" i="3" s="1"/>
  <c r="EB287" i="1"/>
  <c r="CW326"/>
  <c r="CW324"/>
  <c r="CX311"/>
  <c r="DL790"/>
  <c r="DM766"/>
  <c r="DM790" s="1"/>
  <c r="CZ641"/>
  <c r="CY655"/>
  <c r="CY657"/>
  <c r="CI517"/>
  <c r="DE481"/>
  <c r="DF481" s="1"/>
  <c r="DG481" s="1"/>
  <c r="DH481" s="1"/>
  <c r="DI481" s="1"/>
  <c r="DJ481" s="1"/>
  <c r="DK481" s="1"/>
  <c r="DL481" s="1"/>
  <c r="DM481" s="1"/>
  <c r="AL536" i="3"/>
  <c r="BT515" i="1"/>
  <c r="CR583"/>
  <c r="DF679"/>
  <c r="DG679" s="1"/>
  <c r="DH679" s="1"/>
  <c r="DI679" s="1"/>
  <c r="DJ679" s="1"/>
  <c r="DK679" s="1"/>
  <c r="DL679" s="1"/>
  <c r="DM679" s="1"/>
  <c r="BQ716"/>
  <c r="CQ583"/>
  <c r="EI895"/>
  <c r="CK341"/>
  <c r="CF185"/>
  <c r="DH647"/>
  <c r="AP608" i="3" s="1"/>
  <c r="DA740" i="1"/>
  <c r="EA740" s="1"/>
  <c r="BE11"/>
  <c r="AR675" i="3"/>
  <c r="U751" i="1"/>
  <c r="U738" s="1"/>
  <c r="DG647"/>
  <c r="AO608" i="3" s="1"/>
  <c r="CQ770" i="1"/>
  <c r="CR770" s="1"/>
  <c r="CS770" s="1"/>
  <c r="CT770" s="1"/>
  <c r="CU770" s="1"/>
  <c r="CV770" s="1"/>
  <c r="CW770" s="1"/>
  <c r="CX770" s="1"/>
  <c r="CY770" s="1"/>
  <c r="CZ770" s="1"/>
  <c r="DA770" s="1"/>
  <c r="DC149"/>
  <c r="DD149" s="1"/>
  <c r="DE149" s="1"/>
  <c r="DF149" s="1"/>
  <c r="DG149" s="1"/>
  <c r="DH149" s="1"/>
  <c r="DI149" s="1"/>
  <c r="DJ149" s="1"/>
  <c r="DK149" s="1"/>
  <c r="DL149" s="1"/>
  <c r="DM149" s="1"/>
  <c r="EB149" s="1"/>
  <c r="EG149" s="1"/>
  <c r="EN174" s="1"/>
  <c r="ES174" s="1"/>
  <c r="CH665"/>
  <c r="BY740"/>
  <c r="DE737"/>
  <c r="BV738"/>
  <c r="DA317"/>
  <c r="DA289"/>
  <c r="DD649"/>
  <c r="BV751"/>
  <c r="BS738"/>
  <c r="F213" i="3"/>
  <c r="CL253" i="1"/>
  <c r="EF211"/>
  <c r="CL254"/>
  <c r="EF212"/>
  <c r="EO790"/>
  <c r="J206" i="3"/>
  <c r="EP192" i="1"/>
  <c r="K146" i="3" s="1"/>
  <c r="F147"/>
  <c r="K147"/>
  <c r="N81"/>
  <c r="J81" s="1"/>
  <c r="EI876" i="1"/>
  <c r="N744" i="3" s="1"/>
  <c r="EI891" i="1"/>
  <c r="N745" i="3" s="1"/>
  <c r="N83"/>
  <c r="EM850" i="1"/>
  <c r="ER850" s="1"/>
  <c r="EP850"/>
  <c r="EN64"/>
  <c r="T343" i="3"/>
  <c r="S743"/>
  <c r="EN196" i="1"/>
  <c r="T15" i="3"/>
  <c r="P205"/>
  <c r="EL62" i="1"/>
  <c r="J338" i="3"/>
  <c r="ES324" i="1"/>
  <c r="T603" i="3"/>
  <c r="P673"/>
  <c r="M15" i="4" s="1"/>
  <c r="EO127" i="1"/>
  <c r="EO259"/>
  <c r="EQ257"/>
  <c r="EQ126"/>
  <c r="EO654"/>
  <c r="D608" i="3" s="1"/>
  <c r="EL259" i="1"/>
  <c r="EO257"/>
  <c r="EL126"/>
  <c r="EN900"/>
  <c r="P139" i="3"/>
  <c r="E8" i="4" s="1"/>
  <c r="T213" i="3"/>
  <c r="EL786" i="1"/>
  <c r="EL658"/>
  <c r="EL759"/>
  <c r="EQ759" s="1"/>
  <c r="EL588"/>
  <c r="T537" i="3"/>
  <c r="EQ658" i="1"/>
  <c r="EQ391"/>
  <c r="EO391"/>
  <c r="EP458"/>
  <c r="P81" i="3"/>
  <c r="D17" i="4" s="1"/>
  <c r="T81" i="3"/>
  <c r="P273"/>
  <c r="CM670" i="1"/>
  <c r="CL670"/>
  <c r="EF670" s="1"/>
  <c r="EO692"/>
  <c r="EL692"/>
  <c r="EQ692" s="1"/>
  <c r="CM669"/>
  <c r="CN715"/>
  <c r="CL669"/>
  <c r="CN713"/>
  <c r="DO713"/>
  <c r="DP669"/>
  <c r="CM604"/>
  <c r="CL604"/>
  <c r="EF604" s="1"/>
  <c r="CM647"/>
  <c r="EF603"/>
  <c r="DN647"/>
  <c r="DO603"/>
  <c r="DN581"/>
  <c r="DO537"/>
  <c r="EF537"/>
  <c r="CL581"/>
  <c r="CL583"/>
  <c r="CM581"/>
  <c r="CM583"/>
  <c r="EM495"/>
  <c r="ER495" s="1"/>
  <c r="DO471"/>
  <c r="DN515"/>
  <c r="CL515"/>
  <c r="EF471"/>
  <c r="EQ458"/>
  <c r="EO458"/>
  <c r="EL458"/>
  <c r="EM429"/>
  <c r="ER429" s="1"/>
  <c r="EP429"/>
  <c r="CM449"/>
  <c r="CM451"/>
  <c r="CL449"/>
  <c r="EF405"/>
  <c r="DO405"/>
  <c r="DN449"/>
  <c r="EM363"/>
  <c r="ER363" s="1"/>
  <c r="EO786"/>
  <c r="D740" i="3" s="1"/>
  <c r="C740"/>
  <c r="EL525" i="1"/>
  <c r="EP62"/>
  <c r="P669" i="3"/>
  <c r="M10" i="4" s="1"/>
  <c r="ER590" i="1"/>
  <c r="P471" i="3"/>
  <c r="J10" i="4" s="1"/>
  <c r="EQ327" i="1"/>
  <c r="EM458"/>
  <c r="EO126"/>
  <c r="D80" i="3" s="1"/>
  <c r="CL382" i="1"/>
  <c r="EF339"/>
  <c r="EQ192"/>
  <c r="EL192"/>
  <c r="EO323"/>
  <c r="EQ323"/>
  <c r="CL316"/>
  <c r="EF273"/>
  <c r="EP296" s="1"/>
  <c r="CL318"/>
  <c r="EP231"/>
  <c r="EM231"/>
  <c r="ER231" s="1"/>
  <c r="DO207"/>
  <c r="DN250"/>
  <c r="CL250"/>
  <c r="EF207"/>
  <c r="CL252"/>
  <c r="CM252"/>
  <c r="CM250"/>
  <c r="DP141"/>
  <c r="DO185"/>
  <c r="CL736"/>
  <c r="CM736"/>
  <c r="CM735"/>
  <c r="CN781"/>
  <c r="CL735"/>
  <c r="CN779"/>
  <c r="DP735"/>
  <c r="DO779"/>
  <c r="CM53"/>
  <c r="CM55"/>
  <c r="EF9"/>
  <c r="CL55"/>
  <c r="CL53"/>
  <c r="EG320"/>
  <c r="EN303"/>
  <c r="ES303" s="1"/>
  <c r="Q475" i="3"/>
  <c r="EG717" i="1"/>
  <c r="EN699"/>
  <c r="ES699" s="1"/>
  <c r="Q277" i="3"/>
  <c r="EG319" i="1"/>
  <c r="EN326" s="1"/>
  <c r="T345" i="3"/>
  <c r="P9"/>
  <c r="EL129" i="1"/>
  <c r="EO129"/>
  <c r="EQ129"/>
  <c r="DP918"/>
  <c r="DP717"/>
  <c r="DO608"/>
  <c r="DN651"/>
  <c r="DN917"/>
  <c r="DN916"/>
  <c r="DO542"/>
  <c r="DN585"/>
  <c r="DO476"/>
  <c r="DN519"/>
  <c r="DN915"/>
  <c r="DP123"/>
  <c r="DP909"/>
  <c r="DO745"/>
  <c r="DP745" s="1"/>
  <c r="CL745"/>
  <c r="EF745" s="1"/>
  <c r="CM745"/>
  <c r="DN783"/>
  <c r="DO740"/>
  <c r="CL740"/>
  <c r="CM740"/>
  <c r="CM783" s="1"/>
  <c r="CN783"/>
  <c r="CM769"/>
  <c r="CL769"/>
  <c r="EI769" s="1"/>
  <c r="ES261"/>
  <c r="M9" i="4"/>
  <c r="ER196" i="1"/>
  <c r="ER62"/>
  <c r="P337" i="3"/>
  <c r="T735"/>
  <c r="EN261" i="1"/>
  <c r="EO588"/>
  <c r="D542" i="3" s="1"/>
  <c r="EQ588" i="1"/>
  <c r="DP164"/>
  <c r="DP192" s="1"/>
  <c r="DO192"/>
  <c r="EO327"/>
  <c r="EL860"/>
  <c r="EQ860" s="1"/>
  <c r="EO860"/>
  <c r="EO789"/>
  <c r="EL127"/>
  <c r="T471" i="3"/>
  <c r="EP524" i="1"/>
  <c r="EQ789"/>
  <c r="EQ193"/>
  <c r="EL898"/>
  <c r="EO193"/>
  <c r="P206" i="3"/>
  <c r="F9" i="4" s="1"/>
  <c r="ES63" i="1"/>
  <c r="EM590"/>
  <c r="ER524"/>
  <c r="EL130"/>
  <c r="EQ130"/>
  <c r="EO130"/>
  <c r="L146" i="3"/>
  <c r="M146" s="1"/>
  <c r="E608"/>
  <c r="C608" s="1"/>
  <c r="EQ654" i="1"/>
  <c r="EL128"/>
  <c r="EO128"/>
  <c r="EQ393"/>
  <c r="P541" i="3"/>
  <c r="T541"/>
  <c r="CL768" i="1"/>
  <c r="EI768" s="1"/>
  <c r="CM768"/>
  <c r="EO460"/>
  <c r="EL460"/>
  <c r="EQ460"/>
  <c r="EQ656"/>
  <c r="EO656"/>
  <c r="ES196"/>
  <c r="P469" i="3"/>
  <c r="T469"/>
  <c r="T73"/>
  <c r="P73"/>
  <c r="D10" i="4"/>
  <c r="DP643" i="1"/>
  <c r="DP631" s="1"/>
  <c r="DP656" s="1"/>
  <c r="DO631"/>
  <c r="DO656" s="1"/>
  <c r="DP511"/>
  <c r="DP499" s="1"/>
  <c r="DO499"/>
  <c r="DO524" s="1"/>
  <c r="DP445"/>
  <c r="DP433" s="1"/>
  <c r="DO433"/>
  <c r="DO458" s="1"/>
  <c r="DP366"/>
  <c r="DP367" s="1"/>
  <c r="DP391" s="1"/>
  <c r="DO367"/>
  <c r="DO391" s="1"/>
  <c r="DP313"/>
  <c r="DP301" s="1"/>
  <c r="DP325" s="1"/>
  <c r="DO301"/>
  <c r="DO325" s="1"/>
  <c r="DP247"/>
  <c r="DP235" s="1"/>
  <c r="DO235"/>
  <c r="DO259" s="1"/>
  <c r="DP169"/>
  <c r="DP194" s="1"/>
  <c r="DO169"/>
  <c r="DO194" s="1"/>
  <c r="DO128"/>
  <c r="T140" i="3"/>
  <c r="DN763" i="1"/>
  <c r="DN788" s="1"/>
  <c r="CL762"/>
  <c r="CM762"/>
  <c r="DP775"/>
  <c r="DP763" s="1"/>
  <c r="DO763"/>
  <c r="DO788" s="1"/>
  <c r="DP699"/>
  <c r="DP724" s="1"/>
  <c r="DO724"/>
  <c r="DP641"/>
  <c r="DO657"/>
  <c r="CN641"/>
  <c r="CM657"/>
  <c r="DO592"/>
  <c r="DP567"/>
  <c r="DP592" s="1"/>
  <c r="CL591"/>
  <c r="CM575"/>
  <c r="CL589"/>
  <c r="BK589"/>
  <c r="DO575"/>
  <c r="DP369"/>
  <c r="DP393" s="1"/>
  <c r="DO393"/>
  <c r="DO377"/>
  <c r="DN390"/>
  <c r="CL390"/>
  <c r="CM377"/>
  <c r="CL392"/>
  <c r="DP303"/>
  <c r="DP327" s="1"/>
  <c r="DO327"/>
  <c r="CL326"/>
  <c r="CM311"/>
  <c r="DN326"/>
  <c r="DO311"/>
  <c r="DP172"/>
  <c r="DP196" s="1"/>
  <c r="DO196"/>
  <c r="CM179"/>
  <c r="CL193"/>
  <c r="DN195"/>
  <c r="DO179"/>
  <c r="DN193"/>
  <c r="DP130"/>
  <c r="DO130"/>
  <c r="DO129"/>
  <c r="CM113"/>
  <c r="CL129"/>
  <c r="CL766"/>
  <c r="EI766" s="1"/>
  <c r="CM766"/>
  <c r="DP64"/>
  <c r="DO64"/>
  <c r="CL765"/>
  <c r="CN790"/>
  <c r="CM765"/>
  <c r="DN790"/>
  <c r="DO765"/>
  <c r="CL61"/>
  <c r="CL63"/>
  <c r="DN63"/>
  <c r="DO47"/>
  <c r="CN773"/>
  <c r="EP590"/>
  <c r="CM753"/>
  <c r="CL753"/>
  <c r="EI753" s="1"/>
  <c r="EP64"/>
  <c r="EM64"/>
  <c r="EQ790"/>
  <c r="EL790"/>
  <c r="P411" i="3"/>
  <c r="S411"/>
  <c r="T411" s="1"/>
  <c r="CM755" i="1"/>
  <c r="CL755"/>
  <c r="EI755" s="1"/>
  <c r="DO722"/>
  <c r="DP692"/>
  <c r="DO720"/>
  <c r="DP524"/>
  <c r="DP522"/>
  <c r="EM196"/>
  <c r="EP193"/>
  <c r="T75" i="3"/>
  <c r="CN786" i="1"/>
  <c r="CM759"/>
  <c r="CM786" s="1"/>
  <c r="CL759"/>
  <c r="E10" i="4"/>
  <c r="DP758" i="1"/>
  <c r="DO786"/>
  <c r="M8" i="4"/>
  <c r="EQ324" i="1"/>
  <c r="EL324"/>
  <c r="F741" i="3"/>
  <c r="EO906" i="1"/>
  <c r="D741" i="3" s="1"/>
  <c r="CL764" i="1"/>
  <c r="CM764"/>
  <c r="CM789" s="1"/>
  <c r="DO764"/>
  <c r="DN789"/>
  <c r="EL389"/>
  <c r="E344" i="3"/>
  <c r="C344" s="1"/>
  <c r="EO389" i="1"/>
  <c r="EQ389"/>
  <c r="EL655"/>
  <c r="EQ655"/>
  <c r="EO655"/>
  <c r="EQ61"/>
  <c r="EL61"/>
  <c r="E410" i="3"/>
  <c r="C410" s="1"/>
  <c r="EL456" i="1"/>
  <c r="EQ456"/>
  <c r="EL64"/>
  <c r="EO64"/>
  <c r="EQ64"/>
  <c r="C477" i="3"/>
  <c r="D345"/>
  <c r="DO114" i="1"/>
  <c r="DN127"/>
  <c r="CM114"/>
  <c r="CN114" s="1"/>
  <c r="CL127"/>
  <c r="CM642"/>
  <c r="CN642" s="1"/>
  <c r="CL655"/>
  <c r="DO642"/>
  <c r="DP642" s="1"/>
  <c r="DN655"/>
  <c r="CM774"/>
  <c r="CN774" s="1"/>
  <c r="CL787"/>
  <c r="CL324"/>
  <c r="CM312"/>
  <c r="CN312" s="1"/>
  <c r="DO312"/>
  <c r="DP312" s="1"/>
  <c r="DN324"/>
  <c r="L9" i="4"/>
  <c r="G8"/>
  <c r="G9"/>
  <c r="I9"/>
  <c r="C345" i="3"/>
  <c r="EL897" i="1"/>
  <c r="H10" i="4"/>
  <c r="CL754" i="1"/>
  <c r="EI754" s="1"/>
  <c r="CM754"/>
  <c r="Q74" i="3"/>
  <c r="Q734" s="1"/>
  <c r="EN96" i="1"/>
  <c r="ES96" s="1"/>
  <c r="CM757"/>
  <c r="CL757"/>
  <c r="EI757" s="1"/>
  <c r="CL756"/>
  <c r="EI756" s="1"/>
  <c r="CM756"/>
  <c r="EP126"/>
  <c r="K80" i="3" s="1"/>
  <c r="L80"/>
  <c r="M80" s="1"/>
  <c r="J80" s="1"/>
  <c r="EM126" i="1"/>
  <c r="ER126"/>
  <c r="T403" i="3"/>
  <c r="P403"/>
  <c r="C15" i="4"/>
  <c r="EO258" i="1"/>
  <c r="F345" i="3"/>
  <c r="EN459" i="1"/>
  <c r="ES459"/>
  <c r="EL110"/>
  <c r="EM110"/>
  <c r="EP110"/>
  <c r="K8" i="4"/>
  <c r="EQ258" i="1"/>
  <c r="EL258"/>
  <c r="EG20"/>
  <c r="EG86"/>
  <c r="EG152"/>
  <c r="EG284"/>
  <c r="EG350"/>
  <c r="EG548"/>
  <c r="EG614"/>
  <c r="EG680"/>
  <c r="EG746"/>
  <c r="EG218"/>
  <c r="EG416"/>
  <c r="EN441" s="1"/>
  <c r="ES441" s="1"/>
  <c r="EG482"/>
  <c r="EB58"/>
  <c r="AD20"/>
  <c r="DI20"/>
  <c r="DI58" s="1"/>
  <c r="AC746"/>
  <c r="DI746" s="1"/>
  <c r="EN905"/>
  <c r="DH747"/>
  <c r="DH784" s="1"/>
  <c r="AB784"/>
  <c r="AC58"/>
  <c r="DJ21"/>
  <c r="AD747"/>
  <c r="AE21"/>
  <c r="AD58"/>
  <c r="DI747"/>
  <c r="AC784"/>
  <c r="P338" i="3"/>
  <c r="T338"/>
  <c r="EH775" i="1"/>
  <c r="EO775" s="1"/>
  <c r="K742" i="3" s="1"/>
  <c r="EO762" i="1"/>
  <c r="EH788"/>
  <c r="EL762"/>
  <c r="EQ762" s="1"/>
  <c r="CI762"/>
  <c r="CI763" s="1"/>
  <c r="CI788" s="1"/>
  <c r="EI762"/>
  <c r="CJ762"/>
  <c r="P8" i="3"/>
  <c r="T8"/>
  <c r="EO720" i="1"/>
  <c r="D674" i="3" s="1"/>
  <c r="E674"/>
  <c r="C674" s="1"/>
  <c r="D543"/>
  <c r="ES655" i="1"/>
  <c r="EQ720"/>
  <c r="EL720"/>
  <c r="C543" i="3"/>
  <c r="EJ763" i="1"/>
  <c r="EJ433"/>
  <c r="T7" i="3"/>
  <c r="C8" i="4"/>
  <c r="D212" i="3" l="1"/>
  <c r="D207"/>
  <c r="EO393" i="1"/>
  <c r="EF741"/>
  <c r="EP766" s="1"/>
  <c r="CL647"/>
  <c r="P735" i="3"/>
  <c r="V735" s="1"/>
  <c r="V537" s="1"/>
  <c r="EQ590" i="1"/>
  <c r="EL590"/>
  <c r="EO590"/>
  <c r="T145" i="3"/>
  <c r="EM127" i="1"/>
  <c r="EM192"/>
  <c r="CN748"/>
  <c r="CN782" s="1"/>
  <c r="S675" i="3"/>
  <c r="T675" s="1"/>
  <c r="EM37" i="1"/>
  <c r="ER37" s="1"/>
  <c r="EJ899"/>
  <c r="S279" i="3" s="1"/>
  <c r="EJ327" i="1"/>
  <c r="EN327" s="1"/>
  <c r="EN899"/>
  <c r="EM247"/>
  <c r="EF736"/>
  <c r="EP37"/>
  <c r="K16" i="3" s="1"/>
  <c r="EJ499" i="1"/>
  <c r="S478" i="3" s="1"/>
  <c r="BJ788" i="1"/>
  <c r="BJ775"/>
  <c r="CL775" s="1"/>
  <c r="CM775" s="1"/>
  <c r="CL763"/>
  <c r="CL788" s="1"/>
  <c r="EP709"/>
  <c r="EM709"/>
  <c r="EP445"/>
  <c r="EM445"/>
  <c r="EM379"/>
  <c r="EP379"/>
  <c r="EP181"/>
  <c r="EM181"/>
  <c r="EF751"/>
  <c r="CN751"/>
  <c r="EM242"/>
  <c r="EP242"/>
  <c r="EM770"/>
  <c r="EP770"/>
  <c r="EM304"/>
  <c r="ER304" s="1"/>
  <c r="EP304"/>
  <c r="EQ905"/>
  <c r="EL905"/>
  <c r="C675" i="3"/>
  <c r="J7"/>
  <c r="EN258" i="1"/>
  <c r="ES193"/>
  <c r="EL257"/>
  <c r="CM655"/>
  <c r="DO655"/>
  <c r="DO127"/>
  <c r="CM787"/>
  <c r="DP721"/>
  <c r="DP723"/>
  <c r="CN721"/>
  <c r="CN723"/>
  <c r="DO258"/>
  <c r="DP245"/>
  <c r="DO260"/>
  <c r="C602" i="3"/>
  <c r="F734"/>
  <c r="C471"/>
  <c r="F735"/>
  <c r="J9"/>
  <c r="M735"/>
  <c r="N735"/>
  <c r="C140"/>
  <c r="E734"/>
  <c r="S609"/>
  <c r="ES904" i="1"/>
  <c r="C141" i="3"/>
  <c r="E735"/>
  <c r="S147"/>
  <c r="ES897" i="1"/>
  <c r="P147" i="3" s="1"/>
  <c r="E17" i="4" s="1"/>
  <c r="J13" i="3"/>
  <c r="J8"/>
  <c r="N733"/>
  <c r="F733"/>
  <c r="V405"/>
  <c r="V603"/>
  <c r="V75"/>
  <c r="DO509" i="1"/>
  <c r="DN523"/>
  <c r="DN525"/>
  <c r="EJ509"/>
  <c r="EJ523"/>
  <c r="EJ525"/>
  <c r="N475" i="3"/>
  <c r="EM509" i="1"/>
  <c r="ER509" s="1"/>
  <c r="EP509"/>
  <c r="K475" i="3" s="1"/>
  <c r="F475"/>
  <c r="C475" s="1"/>
  <c r="EO509" i="1"/>
  <c r="D475" i="3" s="1"/>
  <c r="EL509" i="1"/>
  <c r="EQ509" s="1"/>
  <c r="EP691"/>
  <c r="K669" i="3" s="1"/>
  <c r="CU748" i="1"/>
  <c r="CT782"/>
  <c r="BS748"/>
  <c r="BS782" s="1"/>
  <c r="BR782"/>
  <c r="EM493"/>
  <c r="ER493" s="1"/>
  <c r="EP493"/>
  <c r="K471" i="3" s="1"/>
  <c r="EM324" i="1"/>
  <c r="ER324"/>
  <c r="EM193"/>
  <c r="ER192"/>
  <c r="T147" i="3"/>
  <c r="EN897" i="1"/>
  <c r="DP453"/>
  <c r="DP914"/>
  <c r="J146" i="3"/>
  <c r="C10" i="4"/>
  <c r="EP127" i="1"/>
  <c r="CI275"/>
  <c r="CI318" s="1"/>
  <c r="CJ275"/>
  <c r="CJ318" s="1"/>
  <c r="CK318"/>
  <c r="CM536"/>
  <c r="CL536"/>
  <c r="EF536" s="1"/>
  <c r="EM757"/>
  <c r="ER757" s="1"/>
  <c r="EP757"/>
  <c r="K735" i="3" s="1"/>
  <c r="CL789" i="1"/>
  <c r="EI764"/>
  <c r="CL786"/>
  <c r="EI759"/>
  <c r="EI786" s="1"/>
  <c r="N740" i="3" s="1"/>
  <c r="CL790" i="1"/>
  <c r="EI765"/>
  <c r="EM766"/>
  <c r="ER766" s="1"/>
  <c r="EP768"/>
  <c r="EM768"/>
  <c r="ER768" s="1"/>
  <c r="CL783"/>
  <c r="EF740"/>
  <c r="EF919" s="1"/>
  <c r="BU738"/>
  <c r="BT738"/>
  <c r="CG665"/>
  <c r="CF665"/>
  <c r="AW738"/>
  <c r="BE25"/>
  <c r="CG25" s="1"/>
  <c r="BE55"/>
  <c r="N15" i="3"/>
  <c r="CY311" i="1"/>
  <c r="CX326"/>
  <c r="CX324"/>
  <c r="DA707"/>
  <c r="CZ721"/>
  <c r="CZ723"/>
  <c r="DA739"/>
  <c r="BI518"/>
  <c r="CK475"/>
  <c r="AE538"/>
  <c r="BF538"/>
  <c r="AD581"/>
  <c r="AV741"/>
  <c r="T783"/>
  <c r="CZ81"/>
  <c r="AV123"/>
  <c r="BR740"/>
  <c r="BR783" s="1"/>
  <c r="BQ740"/>
  <c r="BQ783" s="1"/>
  <c r="BS783"/>
  <c r="CJ146"/>
  <c r="CJ189" s="1"/>
  <c r="CK189"/>
  <c r="CK910"/>
  <c r="CI146"/>
  <c r="CI189" s="1"/>
  <c r="CT14"/>
  <c r="CS57"/>
  <c r="CT609"/>
  <c r="CS651"/>
  <c r="CU619"/>
  <c r="CT606"/>
  <c r="CT649" s="1"/>
  <c r="CU674"/>
  <c r="CT717"/>
  <c r="BC916"/>
  <c r="BC919" s="1"/>
  <c r="BC585"/>
  <c r="CE542"/>
  <c r="DF585"/>
  <c r="DG542"/>
  <c r="DF916"/>
  <c r="DF919" s="1"/>
  <c r="CW146"/>
  <c r="CV189"/>
  <c r="BX275"/>
  <c r="BW275"/>
  <c r="CN485"/>
  <c r="CN516" s="1"/>
  <c r="CM516"/>
  <c r="EP623"/>
  <c r="EM623"/>
  <c r="ER623" s="1"/>
  <c r="DK648"/>
  <c r="DL617"/>
  <c r="BE608"/>
  <c r="AD608"/>
  <c r="BV317"/>
  <c r="BV319"/>
  <c r="CF476"/>
  <c r="CG476"/>
  <c r="CH915"/>
  <c r="CK912"/>
  <c r="CJ278"/>
  <c r="CI278"/>
  <c r="AH780"/>
  <c r="BJ749"/>
  <c r="DN683"/>
  <c r="CL683"/>
  <c r="BJ714"/>
  <c r="EE683"/>
  <c r="AD406"/>
  <c r="AC449"/>
  <c r="DD783"/>
  <c r="AL741" i="3"/>
  <c r="DE740" i="1"/>
  <c r="L211" i="3"/>
  <c r="R211"/>
  <c r="DF89" i="1"/>
  <c r="DE120"/>
  <c r="DB142"/>
  <c r="DB185" s="1"/>
  <c r="AJ146" i="3" s="1"/>
  <c r="AX185" i="1"/>
  <c r="CB142"/>
  <c r="EG122"/>
  <c r="EN104"/>
  <c r="ES104" s="1"/>
  <c r="CY123"/>
  <c r="CZ80"/>
  <c r="DA80" s="1"/>
  <c r="AY4"/>
  <c r="DC4" s="1"/>
  <c r="X4"/>
  <c r="W730"/>
  <c r="EP427"/>
  <c r="K405" i="3" s="1"/>
  <c r="EM427" i="1"/>
  <c r="ER427" s="1"/>
  <c r="DF142"/>
  <c r="BB185"/>
  <c r="CE142"/>
  <c r="CH732"/>
  <c r="DJ732"/>
  <c r="CI732"/>
  <c r="CJ732"/>
  <c r="CK918"/>
  <c r="CI674"/>
  <c r="CJ674"/>
  <c r="CT145"/>
  <c r="CS188"/>
  <c r="AF605"/>
  <c r="AE619"/>
  <c r="CI619" s="1"/>
  <c r="AE649"/>
  <c r="BG605"/>
  <c r="CH910"/>
  <c r="CG146"/>
  <c r="CF146"/>
  <c r="CC476"/>
  <c r="CC519" s="1"/>
  <c r="CD476"/>
  <c r="CD519" s="1"/>
  <c r="CE915"/>
  <c r="CE519"/>
  <c r="BS641"/>
  <c r="BR657"/>
  <c r="BR655"/>
  <c r="AE548"/>
  <c r="DJ548"/>
  <c r="DJ586" s="1"/>
  <c r="AD586"/>
  <c r="BK617"/>
  <c r="AI648"/>
  <c r="AI749"/>
  <c r="EP162"/>
  <c r="K140" i="3" s="1"/>
  <c r="EM162" i="1"/>
  <c r="ER162" s="1"/>
  <c r="EM357"/>
  <c r="ER357" s="1"/>
  <c r="EP357"/>
  <c r="K338" i="3"/>
  <c r="EM360" i="1"/>
  <c r="ER360" s="1"/>
  <c r="BS682"/>
  <c r="BR714"/>
  <c r="BR716"/>
  <c r="CK537"/>
  <c r="BG583"/>
  <c r="EP491"/>
  <c r="EM491"/>
  <c r="ER491" s="1"/>
  <c r="EM490"/>
  <c r="ER490" s="1"/>
  <c r="EP490"/>
  <c r="K469" i="3" s="1"/>
  <c r="CJ344" i="1"/>
  <c r="CK913"/>
  <c r="CI344"/>
  <c r="BP377"/>
  <c r="BO392"/>
  <c r="BO390"/>
  <c r="CS370"/>
  <c r="CR393"/>
  <c r="BY353"/>
  <c r="BY383" s="1"/>
  <c r="BX383"/>
  <c r="CD278"/>
  <c r="CC278"/>
  <c r="CE912"/>
  <c r="BR761"/>
  <c r="BQ761"/>
  <c r="BX755"/>
  <c r="BW755"/>
  <c r="CM738"/>
  <c r="CL738"/>
  <c r="EF738" s="1"/>
  <c r="CL650"/>
  <c r="EF607"/>
  <c r="CR576"/>
  <c r="CQ589"/>
  <c r="EM577"/>
  <c r="EP577"/>
  <c r="DP501"/>
  <c r="DP526" s="1"/>
  <c r="DO526"/>
  <c r="EN502"/>
  <c r="ES502" s="1"/>
  <c r="EJ902"/>
  <c r="ES902" s="1"/>
  <c r="EP502"/>
  <c r="EF519"/>
  <c r="EO724"/>
  <c r="EL724"/>
  <c r="EQ724"/>
  <c r="CQ672"/>
  <c r="CQ715" s="1"/>
  <c r="CR671"/>
  <c r="DM905"/>
  <c r="DM724"/>
  <c r="DA700"/>
  <c r="DA724" s="1"/>
  <c r="CZ724"/>
  <c r="EG716"/>
  <c r="EN698"/>
  <c r="ES698" s="1"/>
  <c r="AT213" i="3"/>
  <c r="DL260" i="1"/>
  <c r="DM245"/>
  <c r="DL258"/>
  <c r="AT212" i="3" s="1"/>
  <c r="AT211"/>
  <c r="DH53" i="1"/>
  <c r="AP14" i="3" s="1"/>
  <c r="DI9" i="1"/>
  <c r="DA575"/>
  <c r="CZ484"/>
  <c r="CY516"/>
  <c r="CY518"/>
  <c r="ER656"/>
  <c r="EM656"/>
  <c r="EP656"/>
  <c r="AM82" i="3"/>
  <c r="DF78" i="1"/>
  <c r="DE121"/>
  <c r="DE316"/>
  <c r="DF273"/>
  <c r="DG273" s="1"/>
  <c r="DH273" s="1"/>
  <c r="DI273" s="1"/>
  <c r="DJ273" s="1"/>
  <c r="DK273" s="1"/>
  <c r="DL273" s="1"/>
  <c r="DM273" s="1"/>
  <c r="EB273" s="1"/>
  <c r="EN296" s="1"/>
  <c r="ES296" s="1"/>
  <c r="BD316"/>
  <c r="DH274"/>
  <c r="BZ23"/>
  <c r="BZ54" s="1"/>
  <c r="CB54"/>
  <c r="CA23"/>
  <c r="CA54" s="1"/>
  <c r="CZ212"/>
  <c r="CY254"/>
  <c r="CC683"/>
  <c r="DE683"/>
  <c r="BA714"/>
  <c r="DK723"/>
  <c r="AS673" i="3"/>
  <c r="DL707" i="1"/>
  <c r="AS675" i="3"/>
  <c r="S738" i="1"/>
  <c r="BW751"/>
  <c r="BT672"/>
  <c r="BT715" s="1"/>
  <c r="BV715"/>
  <c r="BU672"/>
  <c r="BU715" s="1"/>
  <c r="DK518"/>
  <c r="DL475"/>
  <c r="EM489"/>
  <c r="ER489" s="1"/>
  <c r="EP489"/>
  <c r="DH115"/>
  <c r="DG103"/>
  <c r="DG128" s="1"/>
  <c r="EL523"/>
  <c r="EQ523"/>
  <c r="EO523"/>
  <c r="DI915"/>
  <c r="AQ477" i="3"/>
  <c r="DJ476" i="1"/>
  <c r="DI519"/>
  <c r="DJ524"/>
  <c r="DG917"/>
  <c r="DH608"/>
  <c r="DG651"/>
  <c r="DH208"/>
  <c r="DH250" s="1"/>
  <c r="BD250"/>
  <c r="BE472"/>
  <c r="AD472"/>
  <c r="AC515"/>
  <c r="BY23"/>
  <c r="DA23"/>
  <c r="AW54"/>
  <c r="K404" i="3"/>
  <c r="EM426" i="1"/>
  <c r="ER426" s="1"/>
  <c r="EM358"/>
  <c r="ER358" s="1"/>
  <c r="K337" i="3"/>
  <c r="EM361" i="1"/>
  <c r="ER361" s="1"/>
  <c r="K339" i="3"/>
  <c r="CT207" i="1"/>
  <c r="CS250"/>
  <c r="AF607"/>
  <c r="DP732"/>
  <c r="EB732" s="1"/>
  <c r="EG732" s="1"/>
  <c r="EN755" s="1"/>
  <c r="ES755" s="1"/>
  <c r="CN732"/>
  <c r="EN366"/>
  <c r="ES366" s="1"/>
  <c r="DD592"/>
  <c r="DD903"/>
  <c r="DD906" s="1"/>
  <c r="DE567"/>
  <c r="AL543" i="3"/>
  <c r="CS537" i="1"/>
  <c r="CR581"/>
  <c r="CS502"/>
  <c r="CR526"/>
  <c r="EM690"/>
  <c r="ER690" s="1"/>
  <c r="EP690"/>
  <c r="K668" i="3" s="1"/>
  <c r="EM160" i="1"/>
  <c r="ER160" s="1"/>
  <c r="EP160"/>
  <c r="K139" i="3" s="1"/>
  <c r="K603"/>
  <c r="EM625" i="1"/>
  <c r="ER625" s="1"/>
  <c r="EM687"/>
  <c r="ER687" s="1"/>
  <c r="EP687"/>
  <c r="EP226"/>
  <c r="K205" i="3" s="1"/>
  <c r="EM226" i="1"/>
  <c r="ER226" s="1"/>
  <c r="EM229"/>
  <c r="ER229" s="1"/>
  <c r="EP229"/>
  <c r="K207" i="3" s="1"/>
  <c r="K536"/>
  <c r="EM558" i="1"/>
  <c r="ER558" s="1"/>
  <c r="CK911"/>
  <c r="CJ212"/>
  <c r="CI212"/>
  <c r="EM359"/>
  <c r="ER359" s="1"/>
  <c r="EM556"/>
  <c r="ER556" s="1"/>
  <c r="K535" i="3"/>
  <c r="CQ392" i="1"/>
  <c r="CR377"/>
  <c r="CQ390"/>
  <c r="CE918"/>
  <c r="CD674"/>
  <c r="CC674"/>
  <c r="BU756"/>
  <c r="BT756"/>
  <c r="BO671"/>
  <c r="BN671"/>
  <c r="DC526"/>
  <c r="DD502"/>
  <c r="BO473"/>
  <c r="BN473"/>
  <c r="ER390"/>
  <c r="K344" i="3"/>
  <c r="EM390" i="1"/>
  <c r="AV751"/>
  <c r="EM557"/>
  <c r="ER557" s="1"/>
  <c r="EP557"/>
  <c r="CG390"/>
  <c r="CH377"/>
  <c r="CG392"/>
  <c r="BN210"/>
  <c r="BN252" s="1"/>
  <c r="BP252"/>
  <c r="BO210"/>
  <c r="BO252" s="1"/>
  <c r="CR209"/>
  <c r="CQ210"/>
  <c r="CQ252" s="1"/>
  <c r="DI171"/>
  <c r="DH897"/>
  <c r="AP147" i="3"/>
  <c r="DH196" i="1"/>
  <c r="CE910"/>
  <c r="CD146"/>
  <c r="CC146"/>
  <c r="CD212"/>
  <c r="CC212"/>
  <c r="CE911"/>
  <c r="CC344"/>
  <c r="CD344"/>
  <c r="CE913"/>
  <c r="CN245"/>
  <c r="CM260"/>
  <c r="CM258"/>
  <c r="AA143"/>
  <c r="Z157"/>
  <c r="Z751" s="1"/>
  <c r="Z738" s="1"/>
  <c r="BB143"/>
  <c r="Z187"/>
  <c r="Z737"/>
  <c r="BB737" s="1"/>
  <c r="CC415"/>
  <c r="CD415"/>
  <c r="CM313"/>
  <c r="CN313" s="1"/>
  <c r="EI313"/>
  <c r="N780"/>
  <c r="AP749"/>
  <c r="EM370"/>
  <c r="ER370" s="1"/>
  <c r="EP370"/>
  <c r="EF386"/>
  <c r="EF343"/>
  <c r="CL385"/>
  <c r="CC151"/>
  <c r="CD151"/>
  <c r="CD410"/>
  <c r="CC410"/>
  <c r="CE914"/>
  <c r="CD609"/>
  <c r="CD651" s="1"/>
  <c r="CC609"/>
  <c r="CC651" s="1"/>
  <c r="CE917"/>
  <c r="EQ195"/>
  <c r="EO195"/>
  <c r="EL195"/>
  <c r="DP908"/>
  <c r="DP56"/>
  <c r="DP54"/>
  <c r="CB384"/>
  <c r="BZ339"/>
  <c r="BZ384" s="1"/>
  <c r="CA339"/>
  <c r="CA384" s="1"/>
  <c r="DD339"/>
  <c r="AZ384"/>
  <c r="AZ340"/>
  <c r="X736"/>
  <c r="CB340"/>
  <c r="X382"/>
  <c r="Y782"/>
  <c r="Y919"/>
  <c r="EP699"/>
  <c r="EF918"/>
  <c r="EM699"/>
  <c r="ER699" s="1"/>
  <c r="EM567"/>
  <c r="ER567" s="1"/>
  <c r="EF916"/>
  <c r="EP567"/>
  <c r="EF915"/>
  <c r="ER902" s="1"/>
  <c r="EP501"/>
  <c r="EF320"/>
  <c r="EF912"/>
  <c r="EM303"/>
  <c r="ER303" s="1"/>
  <c r="EM378"/>
  <c r="ER378" s="1"/>
  <c r="EP378"/>
  <c r="EJ524"/>
  <c r="EN301"/>
  <c r="ES301" s="1"/>
  <c r="S280" i="3"/>
  <c r="EJ325" i="1"/>
  <c r="EN235"/>
  <c r="ES235" s="1"/>
  <c r="EJ259"/>
  <c r="S214" i="3"/>
  <c r="EN443" i="1"/>
  <c r="ES443" s="1"/>
  <c r="S409" i="3"/>
  <c r="N409"/>
  <c r="J409" s="1"/>
  <c r="EM443" i="1"/>
  <c r="ER443" s="1"/>
  <c r="K409" i="3"/>
  <c r="EO592" i="1"/>
  <c r="EQ592"/>
  <c r="EL592"/>
  <c r="EO526"/>
  <c r="EQ526"/>
  <c r="EL526"/>
  <c r="CL584"/>
  <c r="EF541"/>
  <c r="EO524"/>
  <c r="EL524"/>
  <c r="EQ524"/>
  <c r="AZ738"/>
  <c r="CB738"/>
  <c r="CF457"/>
  <c r="CF459"/>
  <c r="DP428"/>
  <c r="DP456" s="1"/>
  <c r="DO456"/>
  <c r="EP439"/>
  <c r="EM439"/>
  <c r="ER439" s="1"/>
  <c r="EJ257"/>
  <c r="EN230"/>
  <c r="ES230" s="1"/>
  <c r="DP230"/>
  <c r="DP257" s="1"/>
  <c r="DO257"/>
  <c r="DE145"/>
  <c r="DD188"/>
  <c r="AR137"/>
  <c r="Q137"/>
  <c r="P155"/>
  <c r="P731"/>
  <c r="AO735"/>
  <c r="M779"/>
  <c r="M781"/>
  <c r="AO121"/>
  <c r="AO119"/>
  <c r="CS75"/>
  <c r="CL452"/>
  <c r="EF409"/>
  <c r="EI169"/>
  <c r="CL194"/>
  <c r="CK53"/>
  <c r="CI9"/>
  <c r="CI53" s="1"/>
  <c r="CJ9"/>
  <c r="CJ53" s="1"/>
  <c r="CI410"/>
  <c r="CJ410"/>
  <c r="CK914"/>
  <c r="DP126"/>
  <c r="DO126"/>
  <c r="BH775"/>
  <c r="CJ775" s="1"/>
  <c r="CK775" s="1"/>
  <c r="BH788"/>
  <c r="S79" i="3"/>
  <c r="EJ127" i="1"/>
  <c r="EN113"/>
  <c r="ES113" s="1"/>
  <c r="EN766"/>
  <c r="ES766" s="1"/>
  <c r="EJ790"/>
  <c r="EN773"/>
  <c r="ES773" s="1"/>
  <c r="EJ906"/>
  <c r="EJ787"/>
  <c r="EJ786"/>
  <c r="S740" i="3" s="1"/>
  <c r="BY276" i="1"/>
  <c r="DF316"/>
  <c r="DI743"/>
  <c r="CI647"/>
  <c r="CH519"/>
  <c r="CG519"/>
  <c r="CD453"/>
  <c r="CG715"/>
  <c r="CD386"/>
  <c r="DJ619"/>
  <c r="DK619" s="1"/>
  <c r="BF11"/>
  <c r="DM275"/>
  <c r="EB275" s="1"/>
  <c r="EG275" s="1"/>
  <c r="BW517"/>
  <c r="DG316"/>
  <c r="BG11"/>
  <c r="CI386"/>
  <c r="CC649"/>
  <c r="CS583"/>
  <c r="CI713"/>
  <c r="CI453"/>
  <c r="CI254"/>
  <c r="CC517"/>
  <c r="CK320"/>
  <c r="CJ320"/>
  <c r="CD717"/>
  <c r="CC189"/>
  <c r="CE320"/>
  <c r="CD320"/>
  <c r="EP163"/>
  <c r="K141" i="3" s="1"/>
  <c r="CJ717" i="1"/>
  <c r="CH189"/>
  <c r="CF189"/>
  <c r="CD318"/>
  <c r="CF252"/>
  <c r="EM227"/>
  <c r="ER227" s="1"/>
  <c r="EM436"/>
  <c r="ER436" s="1"/>
  <c r="CC254"/>
  <c r="CJ715"/>
  <c r="CD252"/>
  <c r="CF318"/>
  <c r="CL651"/>
  <c r="CL453"/>
  <c r="CL386"/>
  <c r="EM423"/>
  <c r="ER423" s="1"/>
  <c r="EP438"/>
  <c r="EP756"/>
  <c r="K734" i="3" s="1"/>
  <c r="EM756" i="1"/>
  <c r="ER756" s="1"/>
  <c r="EM753"/>
  <c r="ER753" s="1"/>
  <c r="EP753"/>
  <c r="EM769"/>
  <c r="ER769" s="1"/>
  <c r="EP769"/>
  <c r="BQ738"/>
  <c r="BR738"/>
  <c r="BW740"/>
  <c r="BX740"/>
  <c r="CI341"/>
  <c r="CJ341"/>
  <c r="EB679"/>
  <c r="EG679" s="1"/>
  <c r="EN704" s="1"/>
  <c r="ES704" s="1"/>
  <c r="DN679"/>
  <c r="DO679" s="1"/>
  <c r="DP679" s="1"/>
  <c r="EB481"/>
  <c r="EG481" s="1"/>
  <c r="EN506" s="1"/>
  <c r="ES506" s="1"/>
  <c r="DN481"/>
  <c r="DO481" s="1"/>
  <c r="DP481" s="1"/>
  <c r="CZ657"/>
  <c r="DA641"/>
  <c r="CZ655"/>
  <c r="EB317"/>
  <c r="EG287"/>
  <c r="EN312" s="1"/>
  <c r="ES312" s="1"/>
  <c r="CY320"/>
  <c r="CZ279"/>
  <c r="DD144"/>
  <c r="AK148" i="3"/>
  <c r="DC187" i="1"/>
  <c r="CC731"/>
  <c r="CD731"/>
  <c r="EB650"/>
  <c r="DM238"/>
  <c r="DM261" s="1"/>
  <c r="DL261"/>
  <c r="CZ683"/>
  <c r="CY714"/>
  <c r="BZ280"/>
  <c r="CA280"/>
  <c r="DF708"/>
  <c r="DE721"/>
  <c r="CU685"/>
  <c r="DI538"/>
  <c r="EA147"/>
  <c r="CE732"/>
  <c r="DE732"/>
  <c r="DA129"/>
  <c r="DA127"/>
  <c r="BW730"/>
  <c r="BX730"/>
  <c r="CR738"/>
  <c r="CR781" s="1"/>
  <c r="CS751"/>
  <c r="EA319"/>
  <c r="EA912"/>
  <c r="EM688"/>
  <c r="ER688" s="1"/>
  <c r="EP688"/>
  <c r="K667" i="3" s="1"/>
  <c r="AA783" i="1"/>
  <c r="BC740"/>
  <c r="BC783" s="1"/>
  <c r="AB585"/>
  <c r="BD542"/>
  <c r="AB740"/>
  <c r="AC542"/>
  <c r="AB916"/>
  <c r="BW188"/>
  <c r="BX154"/>
  <c r="BW748"/>
  <c r="AU782"/>
  <c r="CZ275"/>
  <c r="CY276"/>
  <c r="CY318" s="1"/>
  <c r="K602" i="3"/>
  <c r="EM624" i="1"/>
  <c r="ER624" s="1"/>
  <c r="EP689"/>
  <c r="EM689"/>
  <c r="ER689" s="1"/>
  <c r="EF516"/>
  <c r="EM510"/>
  <c r="ER510" s="1"/>
  <c r="EP510"/>
  <c r="CJ617"/>
  <c r="CI648"/>
  <c r="CG524"/>
  <c r="BD917"/>
  <c r="BD651"/>
  <c r="CH545"/>
  <c r="AE545"/>
  <c r="BF545"/>
  <c r="DJ545" s="1"/>
  <c r="AD743"/>
  <c r="DH510"/>
  <c r="DG523"/>
  <c r="AK346" i="3"/>
  <c r="DD342" i="1"/>
  <c r="DC384"/>
  <c r="AX736"/>
  <c r="AY736"/>
  <c r="BW80"/>
  <c r="BX80"/>
  <c r="AX730"/>
  <c r="DB4"/>
  <c r="DL445"/>
  <c r="DK433"/>
  <c r="DK458" s="1"/>
  <c r="BF619"/>
  <c r="CH619" s="1"/>
  <c r="BF649"/>
  <c r="CH605"/>
  <c r="DJ605"/>
  <c r="DK605" s="1"/>
  <c r="DF327"/>
  <c r="DG304"/>
  <c r="DK647"/>
  <c r="AS608" i="3" s="1"/>
  <c r="DL603" i="1"/>
  <c r="DJ483"/>
  <c r="DJ520" s="1"/>
  <c r="AD520"/>
  <c r="AE483"/>
  <c r="BK731"/>
  <c r="BL599"/>
  <c r="DP599" s="1"/>
  <c r="EB599" s="1"/>
  <c r="EG599" s="1"/>
  <c r="AJ617"/>
  <c r="AJ731"/>
  <c r="BL731" s="1"/>
  <c r="DP731" s="1"/>
  <c r="EB731" s="1"/>
  <c r="EG731" s="1"/>
  <c r="DE641"/>
  <c r="DD655"/>
  <c r="AL609" i="3"/>
  <c r="DD657" i="1"/>
  <c r="AL607" i="3"/>
  <c r="BS551" i="1"/>
  <c r="BS582" s="1"/>
  <c r="BR582"/>
  <c r="AC583"/>
  <c r="AB537"/>
  <c r="BE537"/>
  <c r="BE583" s="1"/>
  <c r="CS499"/>
  <c r="CS524" s="1"/>
  <c r="CT511"/>
  <c r="BB495"/>
  <c r="CC495"/>
  <c r="CC522" s="1"/>
  <c r="BA522"/>
  <c r="CD495"/>
  <c r="CD522" s="1"/>
  <c r="DE495"/>
  <c r="DE522" s="1"/>
  <c r="AM476" i="3" s="1"/>
  <c r="EM225" i="1"/>
  <c r="ER225" s="1"/>
  <c r="EP225"/>
  <c r="DF362"/>
  <c r="DE389"/>
  <c r="DE391"/>
  <c r="BP352"/>
  <c r="BO383"/>
  <c r="BO385"/>
  <c r="EM492"/>
  <c r="ER492" s="1"/>
  <c r="EP492"/>
  <c r="K470" i="3" s="1"/>
  <c r="CF278" i="1"/>
  <c r="CH912"/>
  <c r="CG278"/>
  <c r="CG320" s="1"/>
  <c r="DG591"/>
  <c r="DH575"/>
  <c r="DG589"/>
  <c r="AO541" i="3"/>
  <c r="EF673" i="1"/>
  <c r="CL716"/>
  <c r="EM634"/>
  <c r="ER634" s="1"/>
  <c r="EF651"/>
  <c r="EP634"/>
  <c r="BO589"/>
  <c r="BP576"/>
  <c r="BP589" s="1"/>
  <c r="V738"/>
  <c r="DB751"/>
  <c r="DC751" s="1"/>
  <c r="DD751" s="1"/>
  <c r="BZ751"/>
  <c r="CA751" s="1"/>
  <c r="CM270"/>
  <c r="CL270"/>
  <c r="EF270" s="1"/>
  <c r="BI318"/>
  <c r="BI289"/>
  <c r="CK289" s="1"/>
  <c r="DA675"/>
  <c r="CW741"/>
  <c r="CV783"/>
  <c r="DG606"/>
  <c r="AN610" i="3"/>
  <c r="DF649" i="1"/>
  <c r="DB408"/>
  <c r="DA451"/>
  <c r="EA408"/>
  <c r="EA451" s="1"/>
  <c r="CY15"/>
  <c r="Q80" i="3"/>
  <c r="R80" s="1"/>
  <c r="EN99" i="1"/>
  <c r="ES99" s="1"/>
  <c r="CD6"/>
  <c r="CC6"/>
  <c r="U123"/>
  <c r="AW81"/>
  <c r="AW123" s="1"/>
  <c r="U741"/>
  <c r="AM781"/>
  <c r="AM751"/>
  <c r="BO751" s="1"/>
  <c r="BP751" s="1"/>
  <c r="BP738"/>
  <c r="CU566"/>
  <c r="CT591"/>
  <c r="BE274"/>
  <c r="AD274"/>
  <c r="AC316"/>
  <c r="DF739"/>
  <c r="DE782"/>
  <c r="DD54"/>
  <c r="DE23"/>
  <c r="AZ780"/>
  <c r="DD749"/>
  <c r="CB749"/>
  <c r="CB780" s="1"/>
  <c r="CX211"/>
  <c r="CW253"/>
  <c r="BT740"/>
  <c r="BT783" s="1"/>
  <c r="BU740"/>
  <c r="BU783" s="1"/>
  <c r="BV783"/>
  <c r="CZ487"/>
  <c r="CT12"/>
  <c r="CT55" s="1"/>
  <c r="CU25"/>
  <c r="DG170"/>
  <c r="DF195"/>
  <c r="BR744"/>
  <c r="BQ744"/>
  <c r="DH211"/>
  <c r="DG253"/>
  <c r="DP485"/>
  <c r="DP516" s="1"/>
  <c r="DO516"/>
  <c r="CU344"/>
  <c r="CT386"/>
  <c r="CT500"/>
  <c r="CS525"/>
  <c r="CV567"/>
  <c r="CU592"/>
  <c r="DK494"/>
  <c r="BH494"/>
  <c r="BG524"/>
  <c r="BE208"/>
  <c r="AD208"/>
  <c r="AC250"/>
  <c r="DH472"/>
  <c r="DH515" s="1"/>
  <c r="BD515"/>
  <c r="CA141"/>
  <c r="CA187" s="1"/>
  <c r="BZ141"/>
  <c r="BZ187" s="1"/>
  <c r="CB187"/>
  <c r="DD185"/>
  <c r="AL146" i="3" s="1"/>
  <c r="DE141" i="1"/>
  <c r="BL383"/>
  <c r="DP353"/>
  <c r="DP383" s="1"/>
  <c r="CN353"/>
  <c r="CN383" s="1"/>
  <c r="EP228"/>
  <c r="K206" i="3" s="1"/>
  <c r="EM228" i="1"/>
  <c r="ER228" s="1"/>
  <c r="EP159"/>
  <c r="EM159"/>
  <c r="ER159" s="1"/>
  <c r="CU758"/>
  <c r="CT786"/>
  <c r="CT788"/>
  <c r="CU246"/>
  <c r="CT258"/>
  <c r="CV542"/>
  <c r="CU585"/>
  <c r="CT540"/>
  <c r="CU553"/>
  <c r="DK192"/>
  <c r="DL164"/>
  <c r="DK194"/>
  <c r="BI355"/>
  <c r="EM555"/>
  <c r="ER555" s="1"/>
  <c r="EP555"/>
  <c r="EM294"/>
  <c r="ER294" s="1"/>
  <c r="EP294"/>
  <c r="K272" i="3" s="1"/>
  <c r="BF739" i="1"/>
  <c r="AF541"/>
  <c r="AE584"/>
  <c r="AE739"/>
  <c r="DD758"/>
  <c r="DC788"/>
  <c r="DC786"/>
  <c r="BV510"/>
  <c r="BV523" s="1"/>
  <c r="BU523"/>
  <c r="EM424"/>
  <c r="ER424" s="1"/>
  <c r="K403" i="3"/>
  <c r="E601"/>
  <c r="C601" s="1"/>
  <c r="EO622" i="1"/>
  <c r="D601" i="3" s="1"/>
  <c r="EL622" i="1"/>
  <c r="EQ622" s="1"/>
  <c r="EP295"/>
  <c r="K273" i="3" s="1"/>
  <c r="EM295" i="1"/>
  <c r="ER295" s="1"/>
  <c r="CF212"/>
  <c r="CF254" s="1"/>
  <c r="CH911"/>
  <c r="CG212"/>
  <c r="CB683"/>
  <c r="CB714" s="1"/>
  <c r="CA714"/>
  <c r="BX716"/>
  <c r="BX714"/>
  <c r="BY682"/>
  <c r="CE485"/>
  <c r="CE516" s="1"/>
  <c r="CD516"/>
  <c r="CG674"/>
  <c r="CG717" s="1"/>
  <c r="CH918"/>
  <c r="CF674"/>
  <c r="EP291"/>
  <c r="EM291"/>
  <c r="ER291" s="1"/>
  <c r="CR352"/>
  <c r="CQ385"/>
  <c r="CQ383"/>
  <c r="BN769"/>
  <c r="BO769"/>
  <c r="EM700"/>
  <c r="ER700" s="1"/>
  <c r="EP700"/>
  <c r="EF717"/>
  <c r="CR473"/>
  <c r="CQ474"/>
  <c r="CQ517" s="1"/>
  <c r="EO723"/>
  <c r="EL723"/>
  <c r="EQ723"/>
  <c r="EQ392"/>
  <c r="EO392"/>
  <c r="EL392"/>
  <c r="ES589"/>
  <c r="EN589"/>
  <c r="BS419"/>
  <c r="BS450" s="1"/>
  <c r="BR450"/>
  <c r="EF739"/>
  <c r="EF782" s="1"/>
  <c r="EG782" s="1"/>
  <c r="CL782"/>
  <c r="EP568"/>
  <c r="EF585"/>
  <c r="EM568"/>
  <c r="ER568" s="1"/>
  <c r="CL518"/>
  <c r="EF475"/>
  <c r="N211" i="3"/>
  <c r="EM245" i="1"/>
  <c r="ER245" s="1"/>
  <c r="EI258"/>
  <c r="EP245"/>
  <c r="K211" i="3" s="1"/>
  <c r="BA157" i="1"/>
  <c r="BA187"/>
  <c r="DE143"/>
  <c r="DF143" s="1"/>
  <c r="CC157"/>
  <c r="Y751"/>
  <c r="CR435"/>
  <c r="CQ460"/>
  <c r="EB415"/>
  <c r="EG415" s="1"/>
  <c r="EN440" s="1"/>
  <c r="ES440" s="1"/>
  <c r="DN415"/>
  <c r="DO415" s="1"/>
  <c r="DP415" s="1"/>
  <c r="BO214"/>
  <c r="BN214"/>
  <c r="AP186"/>
  <c r="CT155"/>
  <c r="BR155"/>
  <c r="CL319"/>
  <c r="EF277"/>
  <c r="EP302" s="1"/>
  <c r="EM173"/>
  <c r="ER173" s="1"/>
  <c r="EP173"/>
  <c r="EB151"/>
  <c r="EG151" s="1"/>
  <c r="EN176" s="1"/>
  <c r="ES176" s="1"/>
  <c r="DN151"/>
  <c r="DO151" s="1"/>
  <c r="DP151" s="1"/>
  <c r="BQ7"/>
  <c r="BR7"/>
  <c r="CM22"/>
  <c r="CN56"/>
  <c r="CL22"/>
  <c r="CN54"/>
  <c r="Y340"/>
  <c r="BA339"/>
  <c r="Y384"/>
  <c r="Z339"/>
  <c r="CF410"/>
  <c r="CG410"/>
  <c r="CG453" s="1"/>
  <c r="CH914"/>
  <c r="AA616"/>
  <c r="Z648"/>
  <c r="Z748"/>
  <c r="Z650"/>
  <c r="Z917"/>
  <c r="EP773"/>
  <c r="K739" i="3" s="1"/>
  <c r="EI787" i="1"/>
  <c r="EM773"/>
  <c r="ER773" s="1"/>
  <c r="EP161"/>
  <c r="EM161"/>
  <c r="ER161" s="1"/>
  <c r="CG344"/>
  <c r="CG386" s="1"/>
  <c r="CF344"/>
  <c r="CH913"/>
  <c r="CG901"/>
  <c r="CG906" s="1"/>
  <c r="CF901"/>
  <c r="CF906" s="1"/>
  <c r="CH906"/>
  <c r="CG457"/>
  <c r="CG459"/>
  <c r="EJ456"/>
  <c r="EN428"/>
  <c r="ES428" s="1"/>
  <c r="BN215"/>
  <c r="BO215"/>
  <c r="DP212"/>
  <c r="DO254"/>
  <c r="DO911"/>
  <c r="AQ731"/>
  <c r="CU137"/>
  <c r="BS137"/>
  <c r="AQ155"/>
  <c r="AQ186" s="1"/>
  <c r="O749"/>
  <c r="O186"/>
  <c r="AP75"/>
  <c r="O75"/>
  <c r="N119"/>
  <c r="N121"/>
  <c r="N735"/>
  <c r="BA749"/>
  <c r="Y780"/>
  <c r="AA155"/>
  <c r="BB155"/>
  <c r="BB186" s="1"/>
  <c r="Z186"/>
  <c r="Z749"/>
  <c r="DP155"/>
  <c r="DP186" s="1"/>
  <c r="DO186"/>
  <c r="BU151"/>
  <c r="BT151"/>
  <c r="BN10"/>
  <c r="BN53" s="1"/>
  <c r="BO10"/>
  <c r="BO53" s="1"/>
  <c r="BP53"/>
  <c r="BR4"/>
  <c r="BQ4"/>
  <c r="EJ126"/>
  <c r="EN98"/>
  <c r="ES98" s="1"/>
  <c r="N17" i="3"/>
  <c r="EM849" i="1"/>
  <c r="ER849" s="1"/>
  <c r="EP849"/>
  <c r="EI860"/>
  <c r="EF917"/>
  <c r="EP633"/>
  <c r="EM633"/>
  <c r="ER633" s="1"/>
  <c r="EF453"/>
  <c r="EP435"/>
  <c r="EM435"/>
  <c r="ER435" s="1"/>
  <c r="EF914"/>
  <c r="EM369"/>
  <c r="ER369" s="1"/>
  <c r="EP369"/>
  <c r="EF913"/>
  <c r="EN378"/>
  <c r="ES378" s="1"/>
  <c r="EJ390"/>
  <c r="EN631"/>
  <c r="ES631" s="1"/>
  <c r="S610" i="3"/>
  <c r="EJ656" i="1"/>
  <c r="EN367"/>
  <c r="ES367" s="1"/>
  <c r="S346" i="3"/>
  <c r="EJ391" i="1"/>
  <c r="EN103"/>
  <c r="ES103" s="1"/>
  <c r="S82" i="3"/>
  <c r="EJ128" i="1"/>
  <c r="EM103"/>
  <c r="ER103" s="1"/>
  <c r="EP103"/>
  <c r="K82" i="3" s="1"/>
  <c r="EI128" i="1"/>
  <c r="N82" i="3"/>
  <c r="J82" s="1"/>
  <c r="CJ763" i="1"/>
  <c r="CJ788" s="1"/>
  <c r="DP128"/>
  <c r="DP259"/>
  <c r="DP458"/>
  <c r="DF737"/>
  <c r="DK732"/>
  <c r="CJ647"/>
  <c r="CF519"/>
  <c r="CF320"/>
  <c r="CC453"/>
  <c r="CF715"/>
  <c r="CC386"/>
  <c r="EA317"/>
  <c r="DI11"/>
  <c r="DJ11" s="1"/>
  <c r="DK11" s="1"/>
  <c r="BX715"/>
  <c r="CH538"/>
  <c r="BH11"/>
  <c r="CH11"/>
  <c r="CK386"/>
  <c r="CJ386"/>
  <c r="CE740"/>
  <c r="CD649"/>
  <c r="CK355"/>
  <c r="CJ713"/>
  <c r="CD250"/>
  <c r="CC250"/>
  <c r="CJ453"/>
  <c r="CJ254"/>
  <c r="CD517"/>
  <c r="CF453"/>
  <c r="CI320"/>
  <c r="CF717"/>
  <c r="CE717"/>
  <c r="CC717"/>
  <c r="CG254"/>
  <c r="CD189"/>
  <c r="CC320"/>
  <c r="BP672"/>
  <c r="BP474"/>
  <c r="CK717"/>
  <c r="CI717"/>
  <c r="CG189"/>
  <c r="CF386"/>
  <c r="CC318"/>
  <c r="CG252"/>
  <c r="EN43"/>
  <c r="ES43" s="1"/>
  <c r="CL717"/>
  <c r="CL585"/>
  <c r="CL519"/>
  <c r="CL320"/>
  <c r="EP621"/>
  <c r="ES258"/>
  <c r="CE254"/>
  <c r="CD254"/>
  <c r="CI715"/>
  <c r="CC252"/>
  <c r="DE157"/>
  <c r="DF157" s="1"/>
  <c r="CG318"/>
  <c r="EF253"/>
  <c r="EP236"/>
  <c r="EM236"/>
  <c r="ER236" s="1"/>
  <c r="EF911"/>
  <c r="EF254"/>
  <c r="EM237"/>
  <c r="ER237" s="1"/>
  <c r="EP237"/>
  <c r="F8" i="4"/>
  <c r="G10"/>
  <c r="EM693" i="1"/>
  <c r="ER693" s="1"/>
  <c r="EP693"/>
  <c r="CL713"/>
  <c r="EF669"/>
  <c r="CL715"/>
  <c r="CM713"/>
  <c r="CM715"/>
  <c r="DP713"/>
  <c r="EP627"/>
  <c r="EM627"/>
  <c r="ER627" s="1"/>
  <c r="DP603"/>
  <c r="DO647"/>
  <c r="EM626"/>
  <c r="ER626" s="1"/>
  <c r="EP626"/>
  <c r="EF647"/>
  <c r="DP537"/>
  <c r="DO581"/>
  <c r="EP560"/>
  <c r="EF581"/>
  <c r="EM560"/>
  <c r="ER560" s="1"/>
  <c r="EP494"/>
  <c r="EM494"/>
  <c r="ER494" s="1"/>
  <c r="EF515"/>
  <c r="EP522" s="1"/>
  <c r="DP471"/>
  <c r="DO515"/>
  <c r="DO449"/>
  <c r="DP405"/>
  <c r="EP428"/>
  <c r="EM428"/>
  <c r="ER428" s="1"/>
  <c r="EF449"/>
  <c r="EM362"/>
  <c r="ER362" s="1"/>
  <c r="EP362"/>
  <c r="EF382"/>
  <c r="EM296"/>
  <c r="ER296" s="1"/>
  <c r="EF316"/>
  <c r="L278" i="3" s="1"/>
  <c r="M278" s="1"/>
  <c r="J278" s="1"/>
  <c r="EM230" i="1"/>
  <c r="ER230" s="1"/>
  <c r="EP230"/>
  <c r="EF250"/>
  <c r="L212" i="3" s="1"/>
  <c r="M212" s="1"/>
  <c r="J212" s="1"/>
  <c r="DO250" i="1"/>
  <c r="DP207"/>
  <c r="DP185"/>
  <c r="ES326"/>
  <c r="EP759"/>
  <c r="DP779"/>
  <c r="CL779"/>
  <c r="EF735"/>
  <c r="CL781"/>
  <c r="CM779"/>
  <c r="CM781"/>
  <c r="EP32"/>
  <c r="EF53"/>
  <c r="EP60" s="1"/>
  <c r="EM32"/>
  <c r="ER32" s="1"/>
  <c r="H8" i="4"/>
  <c r="L475" i="3"/>
  <c r="M475" s="1"/>
  <c r="R475"/>
  <c r="L277"/>
  <c r="M277" s="1"/>
  <c r="J277" s="1"/>
  <c r="R277"/>
  <c r="ES724" i="1"/>
  <c r="EN724"/>
  <c r="DO917"/>
  <c r="DO651"/>
  <c r="DP608"/>
  <c r="DP542"/>
  <c r="DO585"/>
  <c r="DO916"/>
  <c r="DP476"/>
  <c r="DO519"/>
  <c r="DO915"/>
  <c r="DP740"/>
  <c r="DP783" s="1"/>
  <c r="DO783"/>
  <c r="DP764"/>
  <c r="DP789" s="1"/>
  <c r="DO789"/>
  <c r="K15" i="4"/>
  <c r="J8"/>
  <c r="D8"/>
  <c r="CM763" i="1"/>
  <c r="CM788" s="1"/>
  <c r="CN775"/>
  <c r="CN763" s="1"/>
  <c r="CN788" s="1"/>
  <c r="DP657"/>
  <c r="DP655"/>
  <c r="CN655"/>
  <c r="CN657"/>
  <c r="DO591"/>
  <c r="DO589"/>
  <c r="DP575"/>
  <c r="CM589"/>
  <c r="CN575"/>
  <c r="CM591"/>
  <c r="DP377"/>
  <c r="DO390"/>
  <c r="DO392"/>
  <c r="CM392"/>
  <c r="CM390"/>
  <c r="CN377"/>
  <c r="DO324"/>
  <c r="DP311"/>
  <c r="DO326"/>
  <c r="CM324"/>
  <c r="CM326"/>
  <c r="CN311"/>
  <c r="CM193"/>
  <c r="CN179"/>
  <c r="CM195"/>
  <c r="DO193"/>
  <c r="DP179"/>
  <c r="DO195"/>
  <c r="CM790"/>
  <c r="DP129"/>
  <c r="DP127"/>
  <c r="CM127"/>
  <c r="CM129"/>
  <c r="CN113"/>
  <c r="DP765"/>
  <c r="DP790" s="1"/>
  <c r="DO790"/>
  <c r="DO63"/>
  <c r="DO61"/>
  <c r="CN787"/>
  <c r="CN789"/>
  <c r="CM61"/>
  <c r="CM63"/>
  <c r="I17" i="4"/>
  <c r="DP720" i="1"/>
  <c r="DP722"/>
  <c r="DP786"/>
  <c r="DP788"/>
  <c r="M17" i="4"/>
  <c r="R74" i="3"/>
  <c r="R734" s="1"/>
  <c r="L74"/>
  <c r="I8" i="4"/>
  <c r="T279" i="3"/>
  <c r="AE20" i="1"/>
  <c r="DJ20"/>
  <c r="AD746"/>
  <c r="DJ746" s="1"/>
  <c r="EG784"/>
  <c r="EN771"/>
  <c r="ES771" s="1"/>
  <c r="EN639"/>
  <c r="ES639" s="1"/>
  <c r="EG652"/>
  <c r="EN375"/>
  <c r="ES375" s="1"/>
  <c r="EG387"/>
  <c r="EN177"/>
  <c r="ES177" s="1"/>
  <c r="EG190"/>
  <c r="EG58"/>
  <c r="EN45"/>
  <c r="ES45" s="1"/>
  <c r="EN507"/>
  <c r="ES507" s="1"/>
  <c r="EG520"/>
  <c r="EN243"/>
  <c r="ES243" s="1"/>
  <c r="EG255"/>
  <c r="EN705"/>
  <c r="ES705" s="1"/>
  <c r="EG718"/>
  <c r="EG586"/>
  <c r="EN573"/>
  <c r="ES573" s="1"/>
  <c r="EN309"/>
  <c r="ES309" s="1"/>
  <c r="EG321"/>
  <c r="EN111"/>
  <c r="ES111" s="1"/>
  <c r="EG124"/>
  <c r="DI784"/>
  <c r="DJ58"/>
  <c r="AF21"/>
  <c r="AE58"/>
  <c r="DK21"/>
  <c r="AE747"/>
  <c r="AD784"/>
  <c r="DJ747"/>
  <c r="DJ784" s="1"/>
  <c r="H9" i="4"/>
  <c r="EP762" i="1"/>
  <c r="EM762"/>
  <c r="ER762" s="1"/>
  <c r="EO788"/>
  <c r="EQ788"/>
  <c r="EL788"/>
  <c r="EI775"/>
  <c r="CK763"/>
  <c r="C9" i="4"/>
  <c r="E15"/>
  <c r="EN763" i="1"/>
  <c r="ES763" s="1"/>
  <c r="EJ788"/>
  <c r="S742" i="3"/>
  <c r="EN433" i="1"/>
  <c r="ES433" s="1"/>
  <c r="S412" i="3"/>
  <c r="EJ458" i="1"/>
  <c r="V339" i="3" l="1"/>
  <c r="V141"/>
  <c r="V669"/>
  <c r="EN499" i="1"/>
  <c r="ES499" s="1"/>
  <c r="N10" i="4"/>
  <c r="V207" i="3"/>
  <c r="V471"/>
  <c r="V9"/>
  <c r="V273"/>
  <c r="ES899" i="1"/>
  <c r="P279" i="3" s="1"/>
  <c r="G17" i="4" s="1"/>
  <c r="J475" i="3"/>
  <c r="ES327" i="1"/>
  <c r="N739" i="3"/>
  <c r="DP260" i="1"/>
  <c r="DP258"/>
  <c r="J735" i="3"/>
  <c r="M74"/>
  <c r="L734"/>
  <c r="EP898" i="1"/>
  <c r="K213" i="3" s="1"/>
  <c r="ER898" i="1"/>
  <c r="J213" i="3" s="1"/>
  <c r="EP901" i="1"/>
  <c r="K411" i="3" s="1"/>
  <c r="ER901" i="1"/>
  <c r="J411" i="3" s="1"/>
  <c r="ER904" i="1"/>
  <c r="J609" i="3" s="1"/>
  <c r="EP904" i="1"/>
  <c r="K609" i="3" s="1"/>
  <c r="EP902" i="1"/>
  <c r="K477" i="3" s="1"/>
  <c r="ER903" i="1"/>
  <c r="EP903"/>
  <c r="K543" i="3" s="1"/>
  <c r="T734"/>
  <c r="P734"/>
  <c r="EP900" i="1"/>
  <c r="ER900"/>
  <c r="J345" i="3" s="1"/>
  <c r="ER899" i="1"/>
  <c r="J279" i="3" s="1"/>
  <c r="EP899" i="1"/>
  <c r="K279" i="3" s="1"/>
  <c r="EP905" i="1"/>
  <c r="K741" i="3" s="1"/>
  <c r="ER905" i="1"/>
  <c r="J675" i="3" s="1"/>
  <c r="M211"/>
  <c r="F739"/>
  <c r="C739" s="1"/>
  <c r="E733"/>
  <c r="C733" s="1"/>
  <c r="C735"/>
  <c r="C734"/>
  <c r="DO523" i="1"/>
  <c r="DO525"/>
  <c r="DP509"/>
  <c r="S475" i="3"/>
  <c r="S739" s="1"/>
  <c r="EN509" i="1"/>
  <c r="ES509" s="1"/>
  <c r="CU782"/>
  <c r="CV748"/>
  <c r="EM759"/>
  <c r="ER759" s="1"/>
  <c r="EF783"/>
  <c r="J211" i="3"/>
  <c r="EN754" i="1"/>
  <c r="ES754" s="1"/>
  <c r="BO474"/>
  <c r="BO517" s="1"/>
  <c r="BN474"/>
  <c r="BN517" s="1"/>
  <c r="BP517"/>
  <c r="CC740"/>
  <c r="CC783" s="1"/>
  <c r="CD740"/>
  <c r="CD783" s="1"/>
  <c r="CE783"/>
  <c r="CF11"/>
  <c r="CG11"/>
  <c r="BH25"/>
  <c r="CJ25" s="1"/>
  <c r="BH55"/>
  <c r="EM901"/>
  <c r="EM904"/>
  <c r="EN126"/>
  <c r="ES126"/>
  <c r="S80" i="3"/>
  <c r="Z780" i="1"/>
  <c r="BB749"/>
  <c r="BB780" s="1"/>
  <c r="N779"/>
  <c r="AP735"/>
  <c r="N781"/>
  <c r="AP119"/>
  <c r="AP121"/>
  <c r="AQ749"/>
  <c r="AQ780" s="1"/>
  <c r="O780"/>
  <c r="BR137"/>
  <c r="BQ137"/>
  <c r="DP254"/>
  <c r="DP911"/>
  <c r="S410" i="3"/>
  <c r="EN456" i="1"/>
  <c r="ES456"/>
  <c r="CF913"/>
  <c r="CG913"/>
  <c r="CG914"/>
  <c r="CF914"/>
  <c r="Z340"/>
  <c r="AA339"/>
  <c r="Z384"/>
  <c r="BB339"/>
  <c r="BB384" s="1"/>
  <c r="BA384"/>
  <c r="EF319"/>
  <c r="EM302"/>
  <c r="ER302" s="1"/>
  <c r="BS155"/>
  <c r="BS186" s="1"/>
  <c r="BR186"/>
  <c r="CS435"/>
  <c r="CR460"/>
  <c r="EM258"/>
  <c r="ER258"/>
  <c r="EP258"/>
  <c r="K212" i="3" s="1"/>
  <c r="EP592" i="1"/>
  <c r="EM592"/>
  <c r="ER592"/>
  <c r="EP724"/>
  <c r="EM724"/>
  <c r="ER724"/>
  <c r="DD786"/>
  <c r="DD788"/>
  <c r="DE758"/>
  <c r="CW542"/>
  <c r="CV585"/>
  <c r="CV246"/>
  <c r="CU258"/>
  <c r="DK524"/>
  <c r="CW567"/>
  <c r="CV592"/>
  <c r="CU500"/>
  <c r="CT525"/>
  <c r="CV344"/>
  <c r="CU386"/>
  <c r="DI211"/>
  <c r="DH253"/>
  <c r="DH170"/>
  <c r="DG195"/>
  <c r="DF782"/>
  <c r="DG739"/>
  <c r="BE316"/>
  <c r="DI274"/>
  <c r="DI316" s="1"/>
  <c r="CV566"/>
  <c r="CU591"/>
  <c r="AW741"/>
  <c r="AW783" s="1"/>
  <c r="U783"/>
  <c r="DH606"/>
  <c r="AO610" i="3"/>
  <c r="DG649" i="1"/>
  <c r="CX741"/>
  <c r="CW783"/>
  <c r="EF716"/>
  <c r="EP698"/>
  <c r="EM698"/>
  <c r="ER698" s="1"/>
  <c r="CG912"/>
  <c r="CF912"/>
  <c r="BP385"/>
  <c r="BP383"/>
  <c r="CU511"/>
  <c r="CT499"/>
  <c r="CT524" s="1"/>
  <c r="Q601" i="3"/>
  <c r="Q733" s="1"/>
  <c r="EN622" i="1"/>
  <c r="ES622" s="1"/>
  <c r="DO731"/>
  <c r="CN731"/>
  <c r="DL647"/>
  <c r="AT608" i="3" s="1"/>
  <c r="DM603" i="1"/>
  <c r="DG327"/>
  <c r="DH304"/>
  <c r="DI510"/>
  <c r="DH523"/>
  <c r="CG545"/>
  <c r="CF545"/>
  <c r="CK617"/>
  <c r="CK648" s="1"/>
  <c r="CJ648"/>
  <c r="BY154"/>
  <c r="BY188" s="1"/>
  <c r="BX188"/>
  <c r="BD740"/>
  <c r="BD783" s="1"/>
  <c r="AB783"/>
  <c r="CC732"/>
  <c r="CD732"/>
  <c r="DG708"/>
  <c r="DF721"/>
  <c r="CZ714"/>
  <c r="DA683"/>
  <c r="CZ320"/>
  <c r="DA279"/>
  <c r="BG55"/>
  <c r="BG25"/>
  <c r="EN300"/>
  <c r="ES300" s="1"/>
  <c r="S741" i="3"/>
  <c r="ES127" i="1"/>
  <c r="EN127"/>
  <c r="CJ914"/>
  <c r="CI914"/>
  <c r="EF452"/>
  <c r="EM434"/>
  <c r="ER434" s="1"/>
  <c r="EP434"/>
  <c r="CT75"/>
  <c r="CS121"/>
  <c r="CS119"/>
  <c r="AO779"/>
  <c r="CS735"/>
  <c r="AO781"/>
  <c r="AS137"/>
  <c r="CW137" s="1"/>
  <c r="Q155"/>
  <c r="R137"/>
  <c r="Q731"/>
  <c r="BZ738"/>
  <c r="CA738"/>
  <c r="AZ751"/>
  <c r="EF584"/>
  <c r="EM566"/>
  <c r="ER566" s="1"/>
  <c r="EP566"/>
  <c r="EP327"/>
  <c r="EM327"/>
  <c r="ER327"/>
  <c r="EM902"/>
  <c r="J477" i="3"/>
  <c r="EM903" i="1"/>
  <c r="J543" i="3"/>
  <c r="BZ340" i="1"/>
  <c r="BZ382" s="1"/>
  <c r="CA340"/>
  <c r="CA382" s="1"/>
  <c r="CB382"/>
  <c r="CB736"/>
  <c r="AZ736"/>
  <c r="CD914"/>
  <c r="CC914"/>
  <c r="EP368"/>
  <c r="EF385"/>
  <c r="EM368"/>
  <c r="ER368" s="1"/>
  <c r="CT749"/>
  <c r="AP780"/>
  <c r="BR749"/>
  <c r="EP313"/>
  <c r="EM313"/>
  <c r="BB157"/>
  <c r="BB187"/>
  <c r="AA157"/>
  <c r="AA751" s="1"/>
  <c r="BC143"/>
  <c r="AB143"/>
  <c r="AA737"/>
  <c r="BC737" s="1"/>
  <c r="AA187"/>
  <c r="CC913"/>
  <c r="CD913"/>
  <c r="CC910"/>
  <c r="CD910"/>
  <c r="DJ171"/>
  <c r="DI897"/>
  <c r="DI196"/>
  <c r="AQ147" i="3"/>
  <c r="CS209" i="1"/>
  <c r="CR210"/>
  <c r="CR252" s="1"/>
  <c r="DE502"/>
  <c r="DD526"/>
  <c r="CD918"/>
  <c r="CC918"/>
  <c r="CS377"/>
  <c r="CR390"/>
  <c r="CR392"/>
  <c r="CJ911"/>
  <c r="CI911"/>
  <c r="CT502"/>
  <c r="CS526"/>
  <c r="CS581"/>
  <c r="CT537"/>
  <c r="DF567"/>
  <c r="DE592"/>
  <c r="DE903"/>
  <c r="DE906" s="1"/>
  <c r="AM543" i="3"/>
  <c r="AG607" i="1"/>
  <c r="CT250"/>
  <c r="CU207"/>
  <c r="EA23"/>
  <c r="EA54" s="1"/>
  <c r="DA54"/>
  <c r="DJ915"/>
  <c r="AR477" i="3"/>
  <c r="DK476" i="1"/>
  <c r="DJ519"/>
  <c r="DM475"/>
  <c r="DL518"/>
  <c r="AU738"/>
  <c r="AT673" i="3"/>
  <c r="DM707" i="1"/>
  <c r="DL723"/>
  <c r="AT675" i="3"/>
  <c r="CD683" i="1"/>
  <c r="CC714"/>
  <c r="DA212"/>
  <c r="CZ254"/>
  <c r="AN82" i="3"/>
  <c r="DG78" i="1"/>
  <c r="DF121"/>
  <c r="EM526"/>
  <c r="ER526"/>
  <c r="EP526"/>
  <c r="S477" i="3"/>
  <c r="EF650" i="1"/>
  <c r="EP632"/>
  <c r="EM632"/>
  <c r="ER632" s="1"/>
  <c r="EF781"/>
  <c r="EP760"/>
  <c r="CD912"/>
  <c r="CC912"/>
  <c r="CT370"/>
  <c r="CS393"/>
  <c r="CI537"/>
  <c r="CI583" s="1"/>
  <c r="CJ537"/>
  <c r="CJ583" s="1"/>
  <c r="CK583"/>
  <c r="BK749"/>
  <c r="BK780" s="1"/>
  <c r="AI780"/>
  <c r="BK648"/>
  <c r="CM617"/>
  <c r="DO617"/>
  <c r="BS657"/>
  <c r="BS655"/>
  <c r="CC915"/>
  <c r="CD915"/>
  <c r="BG619"/>
  <c r="BG649"/>
  <c r="CJ918"/>
  <c r="CI918"/>
  <c r="CG732"/>
  <c r="CF732"/>
  <c r="AY730"/>
  <c r="DC730" s="1"/>
  <c r="AZ4"/>
  <c r="X730"/>
  <c r="AZ730" s="1"/>
  <c r="DD730" s="1"/>
  <c r="EA730" s="1"/>
  <c r="FC80"/>
  <c r="EA80"/>
  <c r="EA909" s="1"/>
  <c r="CA142"/>
  <c r="CA185" s="1"/>
  <c r="BZ142"/>
  <c r="BZ185" s="1"/>
  <c r="CB185"/>
  <c r="DF120"/>
  <c r="DG89"/>
  <c r="EL708"/>
  <c r="EQ708" s="1"/>
  <c r="EO708"/>
  <c r="CL714"/>
  <c r="CM683"/>
  <c r="EF683"/>
  <c r="BJ780"/>
  <c r="DN749"/>
  <c r="CL749"/>
  <c r="EE749"/>
  <c r="CI912"/>
  <c r="CJ912"/>
  <c r="AE608"/>
  <c r="BF608"/>
  <c r="CX146"/>
  <c r="CW189"/>
  <c r="BF581"/>
  <c r="DJ538"/>
  <c r="CK476"/>
  <c r="CI475"/>
  <c r="CI518" s="1"/>
  <c r="CJ475"/>
  <c r="CJ518" s="1"/>
  <c r="CK518"/>
  <c r="DA723"/>
  <c r="DA721"/>
  <c r="DG737"/>
  <c r="CD157"/>
  <c r="CT583"/>
  <c r="DE751"/>
  <c r="DF751" s="1"/>
  <c r="DG751" s="1"/>
  <c r="BE581"/>
  <c r="CE737"/>
  <c r="DH316"/>
  <c r="BY81"/>
  <c r="BO672"/>
  <c r="BO715" s="1"/>
  <c r="BP715"/>
  <c r="BN672"/>
  <c r="BN715" s="1"/>
  <c r="CG538"/>
  <c r="CF538"/>
  <c r="EM128"/>
  <c r="ER128"/>
  <c r="EP128"/>
  <c r="T610" i="3"/>
  <c r="P610"/>
  <c r="EN390" i="1"/>
  <c r="ES390"/>
  <c r="EM900"/>
  <c r="K345" i="3"/>
  <c r="EP460" i="1"/>
  <c r="EM460"/>
  <c r="ER460"/>
  <c r="EM860"/>
  <c r="ER860" s="1"/>
  <c r="EP860"/>
  <c r="N743" i="3"/>
  <c r="BC155" i="1"/>
  <c r="BC186" s="1"/>
  <c r="AB155"/>
  <c r="AA186"/>
  <c r="AA749"/>
  <c r="BA780"/>
  <c r="CC749"/>
  <c r="P75"/>
  <c r="AQ75"/>
  <c r="O121"/>
  <c r="O119"/>
  <c r="O735"/>
  <c r="CU731"/>
  <c r="BS731"/>
  <c r="Z782"/>
  <c r="Z919"/>
  <c r="AB616"/>
  <c r="AA648"/>
  <c r="AA650"/>
  <c r="AA748"/>
  <c r="AA917"/>
  <c r="Y736"/>
  <c r="BA340"/>
  <c r="Y382"/>
  <c r="EF22"/>
  <c r="EP47" s="1"/>
  <c r="CL54"/>
  <c r="CL56"/>
  <c r="CM56"/>
  <c r="CM54"/>
  <c r="CU155"/>
  <c r="CT186"/>
  <c r="Y738"/>
  <c r="CC751"/>
  <c r="EF518"/>
  <c r="EM500"/>
  <c r="ER500" s="1"/>
  <c r="EP500"/>
  <c r="ES789"/>
  <c r="EN789"/>
  <c r="CR474"/>
  <c r="CR517" s="1"/>
  <c r="CS473"/>
  <c r="CS352"/>
  <c r="CR383"/>
  <c r="CR385"/>
  <c r="CG918"/>
  <c r="CF918"/>
  <c r="BY716"/>
  <c r="BY714"/>
  <c r="CF911"/>
  <c r="CG911"/>
  <c r="BG739"/>
  <c r="AG541"/>
  <c r="AF584"/>
  <c r="AF739"/>
  <c r="BF782"/>
  <c r="CH739"/>
  <c r="DM164"/>
  <c r="DL192"/>
  <c r="DL194"/>
  <c r="CU540"/>
  <c r="CV553"/>
  <c r="CU788"/>
  <c r="CU786"/>
  <c r="CV758"/>
  <c r="DF141"/>
  <c r="DG141" s="1"/>
  <c r="DE185"/>
  <c r="AM146" i="3" s="1"/>
  <c r="AD250" i="1"/>
  <c r="BF208"/>
  <c r="AE208"/>
  <c r="BE250"/>
  <c r="DI208"/>
  <c r="DI250" s="1"/>
  <c r="DL494"/>
  <c r="BH524"/>
  <c r="BI494"/>
  <c r="CV25"/>
  <c r="CU12"/>
  <c r="CU55" s="1"/>
  <c r="DA487"/>
  <c r="CY211"/>
  <c r="CX253"/>
  <c r="DE749"/>
  <c r="DD780"/>
  <c r="DF23"/>
  <c r="DE54"/>
  <c r="AD316"/>
  <c r="BF274"/>
  <c r="CH274" s="1"/>
  <c r="AE274"/>
  <c r="BO738"/>
  <c r="BO781" s="1"/>
  <c r="BN738"/>
  <c r="BN781" s="1"/>
  <c r="BP781"/>
  <c r="CZ15"/>
  <c r="AJ412" i="3"/>
  <c r="DB451" i="1"/>
  <c r="DC408"/>
  <c r="EA675"/>
  <c r="EM293"/>
  <c r="ER293" s="1"/>
  <c r="EP293"/>
  <c r="AX738"/>
  <c r="DB738"/>
  <c r="EM658"/>
  <c r="ER658"/>
  <c r="EP658"/>
  <c r="AP541" i="3"/>
  <c r="DI575" i="1"/>
  <c r="DH591"/>
  <c r="DH589"/>
  <c r="DG362"/>
  <c r="DF389"/>
  <c r="DF391"/>
  <c r="BC495"/>
  <c r="BB522"/>
  <c r="DF495"/>
  <c r="DF522" s="1"/>
  <c r="AN476" i="3" s="1"/>
  <c r="AA537" i="1"/>
  <c r="AB583"/>
  <c r="AB581"/>
  <c r="DF641"/>
  <c r="AM609" i="3"/>
  <c r="DE657" i="1"/>
  <c r="DE655"/>
  <c r="AM607" i="3"/>
  <c r="AJ648" i="1"/>
  <c r="BL617"/>
  <c r="BL648" s="1"/>
  <c r="AJ749"/>
  <c r="AE520"/>
  <c r="DK483"/>
  <c r="DK520" s="1"/>
  <c r="AF483"/>
  <c r="CG605"/>
  <c r="CG649" s="1"/>
  <c r="CF605"/>
  <c r="CF649" s="1"/>
  <c r="CH649"/>
  <c r="DL433"/>
  <c r="DL458" s="1"/>
  <c r="DM445"/>
  <c r="DM433" s="1"/>
  <c r="DM458" s="1"/>
  <c r="CB730"/>
  <c r="DB730"/>
  <c r="DB736"/>
  <c r="DE342"/>
  <c r="AL346" i="3"/>
  <c r="DD384" i="1"/>
  <c r="BF743"/>
  <c r="CH743"/>
  <c r="BG545"/>
  <c r="DK545" s="1"/>
  <c r="AF545"/>
  <c r="AE743"/>
  <c r="BG743" s="1"/>
  <c r="EG516"/>
  <c r="EP523"/>
  <c r="EM523"/>
  <c r="ER523"/>
  <c r="DA275"/>
  <c r="CZ276"/>
  <c r="CZ318" s="1"/>
  <c r="BX748"/>
  <c r="BW782"/>
  <c r="AD542"/>
  <c r="AC740"/>
  <c r="BE542"/>
  <c r="AC916"/>
  <c r="AC585"/>
  <c r="BD916"/>
  <c r="BD919" s="1"/>
  <c r="BD585"/>
  <c r="CT751"/>
  <c r="CS738"/>
  <c r="CS781" s="1"/>
  <c r="CV685"/>
  <c r="EG650"/>
  <c r="Q607" i="3"/>
  <c r="Q739" s="1"/>
  <c r="EN641" i="1"/>
  <c r="ES641" s="1"/>
  <c r="AL148" i="3"/>
  <c r="DD187" i="1"/>
  <c r="DE144"/>
  <c r="DA655"/>
  <c r="DA657"/>
  <c r="BF25"/>
  <c r="BF55"/>
  <c r="BX276"/>
  <c r="BX318" s="1"/>
  <c r="BW276"/>
  <c r="BW318" s="1"/>
  <c r="BY318"/>
  <c r="T79" i="3"/>
  <c r="P79"/>
  <c r="EM169" i="1"/>
  <c r="ER169" s="1"/>
  <c r="N148" i="3"/>
  <c r="EP169" i="1"/>
  <c r="K148" i="3" s="1"/>
  <c r="EI194" i="1"/>
  <c r="AR731"/>
  <c r="AR155"/>
  <c r="P749"/>
  <c r="P186"/>
  <c r="CV137"/>
  <c r="DE188"/>
  <c r="DF145"/>
  <c r="S212" i="3"/>
  <c r="P409"/>
  <c r="T409"/>
  <c r="EM899" i="1"/>
  <c r="EM905"/>
  <c r="AZ382"/>
  <c r="DD340"/>
  <c r="DD382" s="1"/>
  <c r="CD917"/>
  <c r="CC917"/>
  <c r="EP393"/>
  <c r="ER393"/>
  <c r="EM393"/>
  <c r="BB738"/>
  <c r="BB751" s="1"/>
  <c r="CN260"/>
  <c r="CN258"/>
  <c r="CC911"/>
  <c r="CD911"/>
  <c r="CH392"/>
  <c r="CH390"/>
  <c r="CM732"/>
  <c r="CL732"/>
  <c r="EF732" s="1"/>
  <c r="BY54"/>
  <c r="BX23"/>
  <c r="BX54" s="1"/>
  <c r="BW23"/>
  <c r="BW54" s="1"/>
  <c r="AD515"/>
  <c r="BF472"/>
  <c r="AE472"/>
  <c r="BE515"/>
  <c r="DI472"/>
  <c r="DI515" s="1"/>
  <c r="DI608"/>
  <c r="DH917"/>
  <c r="DH651"/>
  <c r="DI115"/>
  <c r="DH103"/>
  <c r="DH128" s="1"/>
  <c r="DE714"/>
  <c r="DF683"/>
  <c r="DA484"/>
  <c r="CZ516"/>
  <c r="CZ518"/>
  <c r="DI53"/>
  <c r="AQ14" i="3" s="1"/>
  <c r="DJ9" i="1"/>
  <c r="DM258"/>
  <c r="AU211" i="3"/>
  <c r="DM260" i="1"/>
  <c r="EN723"/>
  <c r="ES723"/>
  <c r="CS671"/>
  <c r="CR672"/>
  <c r="CR715" s="1"/>
  <c r="CS576"/>
  <c r="CR589"/>
  <c r="BP392"/>
  <c r="BP390"/>
  <c r="CJ913"/>
  <c r="CI913"/>
  <c r="BS716"/>
  <c r="BS714"/>
  <c r="AF548"/>
  <c r="DK548"/>
  <c r="DK586" s="1"/>
  <c r="AE586"/>
  <c r="CF910"/>
  <c r="CG910"/>
  <c r="AG605"/>
  <c r="AF619"/>
  <c r="DL619" s="1"/>
  <c r="AF649"/>
  <c r="BH605"/>
  <c r="CT188"/>
  <c r="CU145"/>
  <c r="CD142"/>
  <c r="CD185" s="1"/>
  <c r="CC142"/>
  <c r="CC185" s="1"/>
  <c r="CE185"/>
  <c r="EN129"/>
  <c r="ES129"/>
  <c r="T211" i="3"/>
  <c r="P211"/>
  <c r="AM741"/>
  <c r="DE783" i="1"/>
  <c r="DF740"/>
  <c r="AD449"/>
  <c r="AE406"/>
  <c r="DN714"/>
  <c r="DO683"/>
  <c r="CF915"/>
  <c r="CG915"/>
  <c r="BE917"/>
  <c r="BE651"/>
  <c r="DM617"/>
  <c r="DL648"/>
  <c r="DG585"/>
  <c r="DH542"/>
  <c r="DG916"/>
  <c r="DG919" s="1"/>
  <c r="CD542"/>
  <c r="CD585" s="1"/>
  <c r="CC542"/>
  <c r="CC585" s="1"/>
  <c r="CE916"/>
  <c r="CE919" s="1"/>
  <c r="CE585"/>
  <c r="CV674"/>
  <c r="CU717"/>
  <c r="CV619"/>
  <c r="CU606"/>
  <c r="CU649" s="1"/>
  <c r="CU609"/>
  <c r="CT651"/>
  <c r="CU14"/>
  <c r="CT57"/>
  <c r="CI910"/>
  <c r="CJ910"/>
  <c r="DA81"/>
  <c r="CZ123"/>
  <c r="AV783"/>
  <c r="BY741"/>
  <c r="BG538"/>
  <c r="AE581"/>
  <c r="AF538"/>
  <c r="EA739"/>
  <c r="CZ311"/>
  <c r="CY326"/>
  <c r="CY324"/>
  <c r="AW751"/>
  <c r="EM765"/>
  <c r="ER765" s="1"/>
  <c r="EI906"/>
  <c r="EP906" s="1"/>
  <c r="EI790"/>
  <c r="EP765"/>
  <c r="EP764"/>
  <c r="EI789"/>
  <c r="EM764"/>
  <c r="ER764" s="1"/>
  <c r="EP559"/>
  <c r="K537" i="3" s="1"/>
  <c r="EM559" i="1"/>
  <c r="ER559" s="1"/>
  <c r="DG157"/>
  <c r="CH12"/>
  <c r="DL11"/>
  <c r="DG143"/>
  <c r="CB751"/>
  <c r="DC736"/>
  <c r="CN599"/>
  <c r="BI11"/>
  <c r="DJ743"/>
  <c r="DK743" s="1"/>
  <c r="BS75"/>
  <c r="DE339"/>
  <c r="DF339" s="1"/>
  <c r="BX751"/>
  <c r="DF185"/>
  <c r="AN146" i="3" s="1"/>
  <c r="CH25" i="1"/>
  <c r="EP260"/>
  <c r="ER260"/>
  <c r="EM260"/>
  <c r="EM898"/>
  <c r="EM261"/>
  <c r="ER261"/>
  <c r="EP261"/>
  <c r="EP692"/>
  <c r="EM692"/>
  <c r="ER692" s="1"/>
  <c r="EF713"/>
  <c r="DP647"/>
  <c r="EM654"/>
  <c r="L608" i="3"/>
  <c r="M608" s="1"/>
  <c r="J608" s="1"/>
  <c r="EP654" i="1"/>
  <c r="K608" i="3" s="1"/>
  <c r="ER654" i="1"/>
  <c r="L542" i="3"/>
  <c r="M542" s="1"/>
  <c r="J542" s="1"/>
  <c r="ER588" i="1"/>
  <c r="EP588"/>
  <c r="K542" i="3" s="1"/>
  <c r="EM588" i="1"/>
  <c r="DP581"/>
  <c r="EM522"/>
  <c r="L476" i="3"/>
  <c r="M476" s="1"/>
  <c r="J476" s="1"/>
  <c r="K476"/>
  <c r="ER522" i="1"/>
  <c r="DP515"/>
  <c r="DP449"/>
  <c r="L410" i="3"/>
  <c r="M410" s="1"/>
  <c r="J410" s="1"/>
  <c r="EM456" i="1"/>
  <c r="EP456"/>
  <c r="K410" i="3" s="1"/>
  <c r="ER456" i="1"/>
  <c r="L344" i="3"/>
  <c r="M344" s="1"/>
  <c r="J344" s="1"/>
  <c r="EM389" i="1"/>
  <c r="EP389"/>
  <c r="ER389"/>
  <c r="EP323"/>
  <c r="EG316"/>
  <c r="Q278" i="3" s="1"/>
  <c r="R278" s="1"/>
  <c r="EM323" i="1"/>
  <c r="ER323"/>
  <c r="ER257"/>
  <c r="EM257"/>
  <c r="EP257"/>
  <c r="DP250"/>
  <c r="L14" i="3"/>
  <c r="M14" s="1"/>
  <c r="J14" s="1"/>
  <c r="K14"/>
  <c r="ER60" i="1"/>
  <c r="EM60"/>
  <c r="EP758"/>
  <c r="EF779"/>
  <c r="EM758"/>
  <c r="ER758" s="1"/>
  <c r="ES593"/>
  <c r="EN593"/>
  <c r="ES328"/>
  <c r="EN328"/>
  <c r="ES725"/>
  <c r="EN725"/>
  <c r="ES197"/>
  <c r="EN197"/>
  <c r="ES394"/>
  <c r="EN394"/>
  <c r="ES659"/>
  <c r="EN659"/>
  <c r="T277" i="3"/>
  <c r="P277"/>
  <c r="DP917" i="1"/>
  <c r="DP651"/>
  <c r="DP585"/>
  <c r="DP916"/>
  <c r="DP519"/>
  <c r="DP915"/>
  <c r="CN589"/>
  <c r="CN591"/>
  <c r="DP591"/>
  <c r="DP589"/>
  <c r="DP390"/>
  <c r="DP392"/>
  <c r="CN390"/>
  <c r="CN392"/>
  <c r="CN324"/>
  <c r="CN326"/>
  <c r="DP326"/>
  <c r="DP324"/>
  <c r="DP195"/>
  <c r="DP193"/>
  <c r="CN195"/>
  <c r="CN193"/>
  <c r="CN129"/>
  <c r="CN127"/>
  <c r="CN63"/>
  <c r="CN61"/>
  <c r="DP61"/>
  <c r="DP63"/>
  <c r="P74" i="3"/>
  <c r="T74"/>
  <c r="ES131" i="1"/>
  <c r="EN131"/>
  <c r="ES262"/>
  <c r="EN262"/>
  <c r="ES791"/>
  <c r="EN791"/>
  <c r="ES527"/>
  <c r="EN527"/>
  <c r="AF20"/>
  <c r="AE746"/>
  <c r="DK746" s="1"/>
  <c r="DK20"/>
  <c r="DK58" s="1"/>
  <c r="EN65"/>
  <c r="ES65"/>
  <c r="DL21"/>
  <c r="AF58"/>
  <c r="AF747"/>
  <c r="DK747"/>
  <c r="AE784"/>
  <c r="CK788"/>
  <c r="EI763"/>
  <c r="EM775"/>
  <c r="EP775"/>
  <c r="EI788"/>
  <c r="T475" i="3" l="1"/>
  <c r="P475"/>
  <c r="J15" i="4" s="1"/>
  <c r="K675" i="3"/>
  <c r="N9" i="4"/>
  <c r="V734" i="3"/>
  <c r="J74"/>
  <c r="M734"/>
  <c r="J734" s="1"/>
  <c r="DP523" i="1"/>
  <c r="DP525"/>
  <c r="CV782"/>
  <c r="CW748"/>
  <c r="T278" i="3"/>
  <c r="P278"/>
  <c r="CF274" i="1"/>
  <c r="CF316" s="1"/>
  <c r="CG274"/>
  <c r="CG316" s="1"/>
  <c r="CH316"/>
  <c r="BQ75"/>
  <c r="BR75"/>
  <c r="BS119"/>
  <c r="BS121"/>
  <c r="BI25"/>
  <c r="BI55"/>
  <c r="EP789"/>
  <c r="ER789"/>
  <c r="EM789"/>
  <c r="N741" i="3"/>
  <c r="J741"/>
  <c r="CZ324" i="1"/>
  <c r="DA311"/>
  <c r="CZ326"/>
  <c r="AF581"/>
  <c r="BH538"/>
  <c r="AG538"/>
  <c r="BG581"/>
  <c r="DK538"/>
  <c r="FC81"/>
  <c r="EA81"/>
  <c r="EA123" s="1"/>
  <c r="DA123"/>
  <c r="DI542"/>
  <c r="DH585"/>
  <c r="DH916"/>
  <c r="DH919" s="1"/>
  <c r="DP683"/>
  <c r="DP714" s="1"/>
  <c r="DO714"/>
  <c r="AE449"/>
  <c r="AF406"/>
  <c r="DF783"/>
  <c r="DG740"/>
  <c r="AN741" i="3"/>
  <c r="CU188" i="1"/>
  <c r="CV145"/>
  <c r="BH619"/>
  <c r="CJ619" s="1"/>
  <c r="BH649"/>
  <c r="DK9"/>
  <c r="DJ53"/>
  <c r="AR14" i="3" s="1"/>
  <c r="EA484" i="1"/>
  <c r="DA516"/>
  <c r="DA518"/>
  <c r="DJ115"/>
  <c r="DI103"/>
  <c r="DI128" s="1"/>
  <c r="DJ608"/>
  <c r="DI917"/>
  <c r="DI651"/>
  <c r="AE515"/>
  <c r="BG472"/>
  <c r="AF472"/>
  <c r="EP755"/>
  <c r="EM755"/>
  <c r="ER755" s="1"/>
  <c r="I15" i="4"/>
  <c r="T212" i="3"/>
  <c r="P212"/>
  <c r="AR749" i="1"/>
  <c r="P780"/>
  <c r="EM194"/>
  <c r="EP194"/>
  <c r="ER194"/>
  <c r="D15" i="4"/>
  <c r="ES657" i="1"/>
  <c r="EN657"/>
  <c r="CT738"/>
  <c r="CU751"/>
  <c r="BE916"/>
  <c r="BE919" s="1"/>
  <c r="BE585"/>
  <c r="AD740"/>
  <c r="AE542"/>
  <c r="AD916"/>
  <c r="AD585"/>
  <c r="BF542"/>
  <c r="BY748"/>
  <c r="BY782" s="1"/>
  <c r="BX782"/>
  <c r="EA275"/>
  <c r="DA276"/>
  <c r="ES523"/>
  <c r="EN523"/>
  <c r="BH545"/>
  <c r="DL545" s="1"/>
  <c r="AG545"/>
  <c r="AF743"/>
  <c r="BH743" s="1"/>
  <c r="CG743"/>
  <c r="CF743"/>
  <c r="DF342"/>
  <c r="AM346" i="3"/>
  <c r="DE384" i="1"/>
  <c r="CA730"/>
  <c r="BZ730"/>
  <c r="AF520"/>
  <c r="DL483"/>
  <c r="DL520" s="1"/>
  <c r="DG641"/>
  <c r="DF655"/>
  <c r="AN609" i="3"/>
  <c r="AN607"/>
  <c r="DF657" i="1"/>
  <c r="AA583"/>
  <c r="Z537"/>
  <c r="BC537" s="1"/>
  <c r="AA581"/>
  <c r="DH362"/>
  <c r="DG389"/>
  <c r="DG391"/>
  <c r="AX751"/>
  <c r="BG274"/>
  <c r="AF274"/>
  <c r="AE316"/>
  <c r="DF54"/>
  <c r="DG23"/>
  <c r="DE780"/>
  <c r="DF749"/>
  <c r="CY253"/>
  <c r="CZ211"/>
  <c r="CW25"/>
  <c r="CV12"/>
  <c r="CV55" s="1"/>
  <c r="DL524"/>
  <c r="AF208"/>
  <c r="AE250"/>
  <c r="BG208"/>
  <c r="BF250"/>
  <c r="DJ208"/>
  <c r="DJ250" s="1"/>
  <c r="CW758"/>
  <c r="CV786"/>
  <c r="CV788"/>
  <c r="CG739"/>
  <c r="CG782" s="1"/>
  <c r="CF739"/>
  <c r="CF782" s="1"/>
  <c r="CH782"/>
  <c r="BH739"/>
  <c r="BH782" s="1"/>
  <c r="AG584"/>
  <c r="AG739"/>
  <c r="CT473"/>
  <c r="CS474"/>
  <c r="CS517" s="1"/>
  <c r="EM525"/>
  <c r="EP525"/>
  <c r="ER525"/>
  <c r="BA738"/>
  <c r="CV155"/>
  <c r="CU186"/>
  <c r="AB650"/>
  <c r="AB648"/>
  <c r="AC616"/>
  <c r="AB748"/>
  <c r="AB917"/>
  <c r="BQ731"/>
  <c r="BR731"/>
  <c r="AQ735"/>
  <c r="O779"/>
  <c r="O781"/>
  <c r="AR75"/>
  <c r="P121"/>
  <c r="Q75"/>
  <c r="P119"/>
  <c r="P735"/>
  <c r="L18" i="4"/>
  <c r="BY123" i="1"/>
  <c r="BX81"/>
  <c r="BX123" s="1"/>
  <c r="BW81"/>
  <c r="BW123" s="1"/>
  <c r="CK915"/>
  <c r="CJ476"/>
  <c r="CJ519" s="1"/>
  <c r="CI476"/>
  <c r="CI519" s="1"/>
  <c r="CK519"/>
  <c r="CX189"/>
  <c r="CY146"/>
  <c r="EE780"/>
  <c r="EO774"/>
  <c r="EL774"/>
  <c r="EQ774" s="1"/>
  <c r="DO749"/>
  <c r="DN780"/>
  <c r="EM708"/>
  <c r="ER708" s="1"/>
  <c r="EP708"/>
  <c r="CN617"/>
  <c r="CN648" s="1"/>
  <c r="CM648"/>
  <c r="CU370"/>
  <c r="CT393"/>
  <c r="DH78"/>
  <c r="DG121"/>
  <c r="AO82" i="3"/>
  <c r="BY738" i="1"/>
  <c r="AU751"/>
  <c r="DM518"/>
  <c r="EB475"/>
  <c r="DK915"/>
  <c r="DL476"/>
  <c r="AS477" i="3"/>
  <c r="DK519" i="1"/>
  <c r="DF903"/>
  <c r="DF906" s="1"/>
  <c r="DF592"/>
  <c r="DG567"/>
  <c r="AN543" i="3"/>
  <c r="CU502" i="1"/>
  <c r="CT526"/>
  <c r="BC157"/>
  <c r="BC187"/>
  <c r="CE143"/>
  <c r="BS749"/>
  <c r="BS780" s="1"/>
  <c r="BR780"/>
  <c r="CU749"/>
  <c r="CT780"/>
  <c r="ER392"/>
  <c r="EM392"/>
  <c r="EP392"/>
  <c r="DD736"/>
  <c r="EM591"/>
  <c r="ER591"/>
  <c r="EP591"/>
  <c r="AS731"/>
  <c r="CW731" s="1"/>
  <c r="CT735"/>
  <c r="CS779"/>
  <c r="ER459"/>
  <c r="EM459"/>
  <c r="EP459"/>
  <c r="DH708"/>
  <c r="DG721"/>
  <c r="DJ510"/>
  <c r="DI523"/>
  <c r="R601" i="3"/>
  <c r="R733" s="1"/>
  <c r="L601"/>
  <c r="CV511" i="1"/>
  <c r="CU499"/>
  <c r="CU524" s="1"/>
  <c r="AP610" i="3"/>
  <c r="DH649" i="1"/>
  <c r="DI606"/>
  <c r="CW566"/>
  <c r="CV591"/>
  <c r="DH195"/>
  <c r="DI170"/>
  <c r="DJ211"/>
  <c r="DI253"/>
  <c r="CW344"/>
  <c r="CV386"/>
  <c r="CV500"/>
  <c r="CU525"/>
  <c r="CX567"/>
  <c r="CW592"/>
  <c r="CW246"/>
  <c r="CV258"/>
  <c r="CX542"/>
  <c r="CW585"/>
  <c r="CT435"/>
  <c r="CS460"/>
  <c r="ER326"/>
  <c r="EM326"/>
  <c r="EP326"/>
  <c r="AA340"/>
  <c r="AA384"/>
  <c r="BC339"/>
  <c r="AB339"/>
  <c r="AA735"/>
  <c r="T410" i="3"/>
  <c r="P410"/>
  <c r="AP781" i="1"/>
  <c r="AP779"/>
  <c r="T80" i="3"/>
  <c r="P80"/>
  <c r="DM11" i="1"/>
  <c r="DL605"/>
  <c r="CK25"/>
  <c r="CH208"/>
  <c r="CM599"/>
  <c r="CL599"/>
  <c r="EF599" s="1"/>
  <c r="CG12"/>
  <c r="CG55" s="1"/>
  <c r="CF12"/>
  <c r="CF55" s="1"/>
  <c r="CH55"/>
  <c r="ER790"/>
  <c r="EP790"/>
  <c r="EM790"/>
  <c r="BX741"/>
  <c r="BX783" s="1"/>
  <c r="BY783"/>
  <c r="BW741"/>
  <c r="BW783" s="1"/>
  <c r="CV14"/>
  <c r="CU57"/>
  <c r="CV609"/>
  <c r="CU651"/>
  <c r="CV606"/>
  <c r="CV649" s="1"/>
  <c r="CW619"/>
  <c r="CW674"/>
  <c r="CV717"/>
  <c r="CD916"/>
  <c r="CC916"/>
  <c r="CC919" s="1"/>
  <c r="EB617"/>
  <c r="DM648"/>
  <c r="F15" i="4"/>
  <c r="AG619" i="1"/>
  <c r="DM619" s="1"/>
  <c r="AG649"/>
  <c r="BI605"/>
  <c r="DL548"/>
  <c r="DL586" s="1"/>
  <c r="AF586"/>
  <c r="CT576"/>
  <c r="CS589"/>
  <c r="CT671"/>
  <c r="CS672"/>
  <c r="CS715" s="1"/>
  <c r="DG683"/>
  <c r="DF714"/>
  <c r="BF515"/>
  <c r="DJ472"/>
  <c r="DJ515" s="1"/>
  <c r="CH472"/>
  <c r="DF188"/>
  <c r="DG145"/>
  <c r="BT155"/>
  <c r="AR186"/>
  <c r="CV731"/>
  <c r="DE187"/>
  <c r="DF144"/>
  <c r="AM148" i="3"/>
  <c r="R607"/>
  <c r="R739" s="1"/>
  <c r="P739" s="1"/>
  <c r="L607"/>
  <c r="CW685" i="1"/>
  <c r="BE740"/>
  <c r="BE783" s="1"/>
  <c r="AC783"/>
  <c r="BL749"/>
  <c r="BL780" s="1"/>
  <c r="AJ780"/>
  <c r="BC522"/>
  <c r="DG495"/>
  <c r="DG522" s="1"/>
  <c r="AO476" i="3" s="1"/>
  <c r="BD495" i="1"/>
  <c r="CE495"/>
  <c r="CE522" s="1"/>
  <c r="DI591"/>
  <c r="DJ575"/>
  <c r="AQ541" i="3"/>
  <c r="DI589" i="1"/>
  <c r="AJ742" i="3"/>
  <c r="DC738" i="1"/>
  <c r="AK412" i="3"/>
  <c r="DC451" i="1"/>
  <c r="DD408"/>
  <c r="DA15"/>
  <c r="BF316"/>
  <c r="DJ274"/>
  <c r="DJ316" s="1"/>
  <c r="DM494"/>
  <c r="BI524"/>
  <c r="CK494"/>
  <c r="DH141"/>
  <c r="DG185"/>
  <c r="AO146" i="3" s="1"/>
  <c r="CW553" i="1"/>
  <c r="CV540"/>
  <c r="DM194"/>
  <c r="DM192"/>
  <c r="BG782"/>
  <c r="CT352"/>
  <c r="CS385"/>
  <c r="CS383"/>
  <c r="EF908"/>
  <c r="EF56"/>
  <c r="K13" i="3"/>
  <c r="EF54" i="1"/>
  <c r="EM47"/>
  <c r="ER47" s="1"/>
  <c r="BA382"/>
  <c r="DE340"/>
  <c r="DE382" s="1"/>
  <c r="BA736"/>
  <c r="AA919"/>
  <c r="AA782"/>
  <c r="AQ119"/>
  <c r="AQ121"/>
  <c r="CD749"/>
  <c r="CC780"/>
  <c r="BC749"/>
  <c r="BC780" s="1"/>
  <c r="AA780"/>
  <c r="AC155"/>
  <c r="BD155"/>
  <c r="BD186" s="1"/>
  <c r="AB186"/>
  <c r="AB749"/>
  <c r="CC737"/>
  <c r="CD737"/>
  <c r="BF651"/>
  <c r="BF917"/>
  <c r="AF608"/>
  <c r="AE651"/>
  <c r="BG608"/>
  <c r="CL780"/>
  <c r="CM749"/>
  <c r="EF749"/>
  <c r="CN683"/>
  <c r="CN714" s="1"/>
  <c r="CM714"/>
  <c r="DG120"/>
  <c r="DH89"/>
  <c r="DD4"/>
  <c r="CB4"/>
  <c r="DO648"/>
  <c r="DP617"/>
  <c r="DP648" s="1"/>
  <c r="ER657"/>
  <c r="EP657"/>
  <c r="EM657"/>
  <c r="DA254"/>
  <c r="EA212"/>
  <c r="CE683"/>
  <c r="CE714" s="1"/>
  <c r="CD714"/>
  <c r="DM723"/>
  <c r="CV207"/>
  <c r="CU250"/>
  <c r="CU537"/>
  <c r="CT581"/>
  <c r="CT377"/>
  <c r="CS390"/>
  <c r="CS392"/>
  <c r="DF502"/>
  <c r="DE526"/>
  <c r="CT209"/>
  <c r="CS210"/>
  <c r="CS252" s="1"/>
  <c r="DJ897"/>
  <c r="DJ196"/>
  <c r="DK171"/>
  <c r="AC143"/>
  <c r="AB157"/>
  <c r="BD143"/>
  <c r="AB187"/>
  <c r="AB737"/>
  <c r="BD737" s="1"/>
  <c r="BZ736"/>
  <c r="CA736"/>
  <c r="S137"/>
  <c r="AT137"/>
  <c r="R155"/>
  <c r="R731"/>
  <c r="AS155"/>
  <c r="AS186" s="1"/>
  <c r="Q749"/>
  <c r="Q186"/>
  <c r="CT119"/>
  <c r="CU75"/>
  <c r="CT121"/>
  <c r="EA279"/>
  <c r="EA320" s="1"/>
  <c r="DA320"/>
  <c r="EA683"/>
  <c r="EA714" s="1"/>
  <c r="DA714"/>
  <c r="DI304"/>
  <c r="DH327"/>
  <c r="EB603"/>
  <c r="DM647"/>
  <c r="CM731"/>
  <c r="CL731"/>
  <c r="EF731" s="1"/>
  <c r="ER723"/>
  <c r="EM723"/>
  <c r="EP723"/>
  <c r="CY741"/>
  <c r="CX783"/>
  <c r="DH739"/>
  <c r="DG782"/>
  <c r="DE786"/>
  <c r="DF758"/>
  <c r="DE788"/>
  <c r="Z382"/>
  <c r="BB340"/>
  <c r="Z736"/>
  <c r="DK784"/>
  <c r="BY751"/>
  <c r="DG339"/>
  <c r="DL743"/>
  <c r="DH143"/>
  <c r="BD537"/>
  <c r="CD751"/>
  <c r="CE157"/>
  <c r="CD919"/>
  <c r="AA738"/>
  <c r="CK11"/>
  <c r="L674" i="3"/>
  <c r="M674" s="1"/>
  <c r="J674" s="1"/>
  <c r="EP720" i="1"/>
  <c r="K674" i="3" s="1"/>
  <c r="ER720" i="1"/>
  <c r="EM720"/>
  <c r="EN323"/>
  <c r="ES323"/>
  <c r="M740" i="3"/>
  <c r="J740" s="1"/>
  <c r="EG779" i="1"/>
  <c r="ER786"/>
  <c r="EP786"/>
  <c r="EM786"/>
  <c r="G15" i="4"/>
  <c r="D9"/>
  <c r="DL20" i="1"/>
  <c r="AF746"/>
  <c r="DL746" s="1"/>
  <c r="DL58"/>
  <c r="DL747"/>
  <c r="ER788"/>
  <c r="EP788"/>
  <c r="EM788"/>
  <c r="N742" i="3"/>
  <c r="EP763" i="1"/>
  <c r="EM763"/>
  <c r="ER763" s="1"/>
  <c r="N15" i="4" l="1"/>
  <c r="V739" i="3"/>
  <c r="V673" s="1"/>
  <c r="EP895" i="1"/>
  <c r="K15" i="3" s="1"/>
  <c r="ER895" i="1"/>
  <c r="J15" i="3" s="1"/>
  <c r="V668"/>
  <c r="V404"/>
  <c r="V140"/>
  <c r="V602"/>
  <c r="V338"/>
  <c r="V74"/>
  <c r="V536"/>
  <c r="V272"/>
  <c r="V8"/>
  <c r="V470"/>
  <c r="V206"/>
  <c r="T739"/>
  <c r="M607"/>
  <c r="L739"/>
  <c r="M601"/>
  <c r="L733"/>
  <c r="CX748" i="1"/>
  <c r="CW782"/>
  <c r="G16" i="4"/>
  <c r="BC583" i="1"/>
  <c r="BC581"/>
  <c r="CI11"/>
  <c r="CJ11"/>
  <c r="CH537"/>
  <c r="BD583"/>
  <c r="BD581"/>
  <c r="CY783"/>
  <c r="CZ741"/>
  <c r="EP754"/>
  <c r="K733" i="3" s="1"/>
  <c r="EM754" i="1"/>
  <c r="ER754" s="1"/>
  <c r="AS749"/>
  <c r="AS780" s="1"/>
  <c r="Q780"/>
  <c r="AT731"/>
  <c r="CX137"/>
  <c r="BV137"/>
  <c r="AU137"/>
  <c r="T137"/>
  <c r="S155"/>
  <c r="S731"/>
  <c r="BD157"/>
  <c r="BD187"/>
  <c r="AC157"/>
  <c r="AC751" s="1"/>
  <c r="AC738" s="1"/>
  <c r="BE143"/>
  <c r="AD143"/>
  <c r="AC737"/>
  <c r="BE737" s="1"/>
  <c r="AC187"/>
  <c r="CU209"/>
  <c r="CT210"/>
  <c r="CT252" s="1"/>
  <c r="DF526"/>
  <c r="DG502"/>
  <c r="EA254"/>
  <c r="EA911"/>
  <c r="EA4"/>
  <c r="FC4"/>
  <c r="CN749"/>
  <c r="CN780" s="1"/>
  <c r="CM780"/>
  <c r="BG917"/>
  <c r="BG651"/>
  <c r="AG608"/>
  <c r="AF651"/>
  <c r="BH608"/>
  <c r="BD749"/>
  <c r="AB780"/>
  <c r="DE736"/>
  <c r="EM895"/>
  <c r="CK524"/>
  <c r="CJ494"/>
  <c r="CI494"/>
  <c r="FC15"/>
  <c r="EA15"/>
  <c r="AL412" i="3"/>
  <c r="DD451" i="1"/>
  <c r="DE408"/>
  <c r="AK742" i="3"/>
  <c r="DD738" i="1"/>
  <c r="DJ591"/>
  <c r="DK575"/>
  <c r="AR541" i="3"/>
  <c r="DJ589" i="1"/>
  <c r="CX685"/>
  <c r="BU155"/>
  <c r="BT186"/>
  <c r="BI649"/>
  <c r="BI619"/>
  <c r="EG617"/>
  <c r="EN642" s="1"/>
  <c r="ES642" s="1"/>
  <c r="EB648"/>
  <c r="CX674"/>
  <c r="CW717"/>
  <c r="CW609"/>
  <c r="CV651"/>
  <c r="CW14"/>
  <c r="CV57"/>
  <c r="EM622"/>
  <c r="ER622" s="1"/>
  <c r="EP622"/>
  <c r="K601" i="3" s="1"/>
  <c r="CF208" i="1"/>
  <c r="CF250" s="1"/>
  <c r="CG208"/>
  <c r="CG250" s="1"/>
  <c r="CH250"/>
  <c r="EB11"/>
  <c r="EG11" s="1"/>
  <c r="FD11"/>
  <c r="D16" i="4"/>
  <c r="I16"/>
  <c r="BC384" i="1"/>
  <c r="CE339"/>
  <c r="AA382"/>
  <c r="BC340"/>
  <c r="AA736"/>
  <c r="DJ170"/>
  <c r="DI195"/>
  <c r="AQ610" i="3"/>
  <c r="DJ606" i="1"/>
  <c r="DI649"/>
  <c r="CW511"/>
  <c r="CV499"/>
  <c r="CV524" s="1"/>
  <c r="T601" i="3"/>
  <c r="P601"/>
  <c r="DJ523" i="1"/>
  <c r="DK510"/>
  <c r="DI708"/>
  <c r="DH721"/>
  <c r="CD143"/>
  <c r="CD187" s="1"/>
  <c r="CC143"/>
  <c r="CC187" s="1"/>
  <c r="CE187"/>
  <c r="CV502"/>
  <c r="CU526"/>
  <c r="DH567"/>
  <c r="DG903"/>
  <c r="DG906" s="1"/>
  <c r="DG592"/>
  <c r="AO543" i="3"/>
  <c r="DH121" i="1"/>
  <c r="DI78"/>
  <c r="AP82" i="3"/>
  <c r="CV370" i="1"/>
  <c r="CU393"/>
  <c r="DP749"/>
  <c r="DP780" s="1"/>
  <c r="DO780"/>
  <c r="CZ146"/>
  <c r="CY189"/>
  <c r="AQ779"/>
  <c r="AQ781"/>
  <c r="BS735"/>
  <c r="AB919"/>
  <c r="AB782"/>
  <c r="CU473"/>
  <c r="CT474"/>
  <c r="CT517" s="1"/>
  <c r="BG250"/>
  <c r="DK208"/>
  <c r="DK250" s="1"/>
  <c r="BH208"/>
  <c r="AF250"/>
  <c r="AG208"/>
  <c r="CX25"/>
  <c r="CW12"/>
  <c r="CW55" s="1"/>
  <c r="BG316"/>
  <c r="DK274"/>
  <c r="DK316" s="1"/>
  <c r="DH641"/>
  <c r="AO607" i="3"/>
  <c r="DG655" i="1"/>
  <c r="DG657"/>
  <c r="AO609" i="3"/>
  <c r="AF542" i="1"/>
  <c r="AE916"/>
  <c r="AE740"/>
  <c r="AE585"/>
  <c r="BG542"/>
  <c r="CU738"/>
  <c r="CV751"/>
  <c r="BT749"/>
  <c r="AR780"/>
  <c r="BG515"/>
  <c r="DK472"/>
  <c r="DK515" s="1"/>
  <c r="DK608"/>
  <c r="DJ917"/>
  <c r="DJ651"/>
  <c r="DK115"/>
  <c r="DJ103"/>
  <c r="DJ128" s="1"/>
  <c r="CV188"/>
  <c r="CW145"/>
  <c r="DI916"/>
  <c r="DI919" s="1"/>
  <c r="DJ542"/>
  <c r="DI585"/>
  <c r="BI538"/>
  <c r="AG581"/>
  <c r="DA324"/>
  <c r="DA326"/>
  <c r="BR121"/>
  <c r="BR119"/>
  <c r="DL784"/>
  <c r="DI143"/>
  <c r="CK12"/>
  <c r="DH737"/>
  <c r="DI737" s="1"/>
  <c r="AA781"/>
  <c r="BC738"/>
  <c r="BB736"/>
  <c r="DI739"/>
  <c r="DH782"/>
  <c r="CG651"/>
  <c r="CF651"/>
  <c r="CH917"/>
  <c r="CH651"/>
  <c r="BB382"/>
  <c r="DF340"/>
  <c r="DF382" s="1"/>
  <c r="DF788"/>
  <c r="DG758"/>
  <c r="DF786"/>
  <c r="EB647"/>
  <c r="DI327"/>
  <c r="DJ304"/>
  <c r="CV75"/>
  <c r="CU119"/>
  <c r="CU121"/>
  <c r="AT155"/>
  <c r="AT186" s="1"/>
  <c r="R749"/>
  <c r="R186"/>
  <c r="CF157"/>
  <c r="AB751"/>
  <c r="DK196"/>
  <c r="DL171"/>
  <c r="DK897"/>
  <c r="AS147" i="3"/>
  <c r="CU377" i="1"/>
  <c r="CT390"/>
  <c r="CT392"/>
  <c r="CU581"/>
  <c r="CV537"/>
  <c r="CV583" s="1"/>
  <c r="CW207"/>
  <c r="CV250"/>
  <c r="CA4"/>
  <c r="BZ4"/>
  <c r="DI89"/>
  <c r="DH120"/>
  <c r="EF780"/>
  <c r="EP774"/>
  <c r="K740" i="3" s="1"/>
  <c r="EM774" i="1"/>
  <c r="ER774" s="1"/>
  <c r="BE155"/>
  <c r="BE186" s="1"/>
  <c r="AD155"/>
  <c r="AC186"/>
  <c r="AC749"/>
  <c r="CE749"/>
  <c r="CE780" s="1"/>
  <c r="CD780"/>
  <c r="EG54"/>
  <c r="ER61"/>
  <c r="EP61"/>
  <c r="EM61"/>
  <c r="ER63"/>
  <c r="EM63"/>
  <c r="EP63"/>
  <c r="CU352"/>
  <c r="CT385"/>
  <c r="CT383"/>
  <c r="CX553"/>
  <c r="CW540"/>
  <c r="DH185"/>
  <c r="AP146" i="3" s="1"/>
  <c r="DI141" i="1"/>
  <c r="DM524"/>
  <c r="BE495"/>
  <c r="CG495" s="1"/>
  <c r="CG522" s="1"/>
  <c r="BD522"/>
  <c r="CF495"/>
  <c r="CF522" s="1"/>
  <c r="DH495"/>
  <c r="DH522" s="1"/>
  <c r="AP476" i="3" s="1"/>
  <c r="P607"/>
  <c r="T607"/>
  <c r="AN148"/>
  <c r="DF187" i="1"/>
  <c r="DG144"/>
  <c r="DH145"/>
  <c r="DG188"/>
  <c r="CF472"/>
  <c r="CF515" s="1"/>
  <c r="CG472"/>
  <c r="CG515" s="1"/>
  <c r="CH515"/>
  <c r="DH683"/>
  <c r="DG714"/>
  <c r="CU671"/>
  <c r="CT672"/>
  <c r="CT715" s="1"/>
  <c r="CU576"/>
  <c r="CT589"/>
  <c r="CX619"/>
  <c r="CW606"/>
  <c r="CW649" s="1"/>
  <c r="P733" i="3"/>
  <c r="T733"/>
  <c r="AB340" i="1"/>
  <c r="AB384"/>
  <c r="BD339"/>
  <c r="AC339"/>
  <c r="AB735"/>
  <c r="BD735" s="1"/>
  <c r="CU435"/>
  <c r="CT460"/>
  <c r="CY542"/>
  <c r="CX585"/>
  <c r="CX246"/>
  <c r="CW258"/>
  <c r="CY567"/>
  <c r="CX592"/>
  <c r="CW500"/>
  <c r="CV525"/>
  <c r="CX344"/>
  <c r="CW386"/>
  <c r="DK211"/>
  <c r="DJ253"/>
  <c r="CX566"/>
  <c r="CW591"/>
  <c r="CU735"/>
  <c r="CT779"/>
  <c r="CV749"/>
  <c r="CU780"/>
  <c r="DL915"/>
  <c r="DM476"/>
  <c r="DL519"/>
  <c r="AT477" i="3"/>
  <c r="EG475" i="1"/>
  <c r="EB518"/>
  <c r="BX738"/>
  <c r="BW738"/>
  <c r="EO787"/>
  <c r="EQ787"/>
  <c r="EL787"/>
  <c r="CJ915"/>
  <c r="CI915"/>
  <c r="AR735"/>
  <c r="P779"/>
  <c r="P781"/>
  <c r="Q121"/>
  <c r="R75"/>
  <c r="AS75"/>
  <c r="Q735"/>
  <c r="Q119"/>
  <c r="AR121"/>
  <c r="AR119"/>
  <c r="AD616"/>
  <c r="AC648"/>
  <c r="AC748"/>
  <c r="AC650"/>
  <c r="AC917"/>
  <c r="CW155"/>
  <c r="CV186"/>
  <c r="CE738"/>
  <c r="BA751"/>
  <c r="BI739"/>
  <c r="CX758"/>
  <c r="CW786"/>
  <c r="CW788"/>
  <c r="CZ253"/>
  <c r="DA211"/>
  <c r="DF780"/>
  <c r="DG749"/>
  <c r="DH23"/>
  <c r="DG54"/>
  <c r="AG274"/>
  <c r="AF316"/>
  <c r="BH274"/>
  <c r="DH391"/>
  <c r="DH389"/>
  <c r="DI362"/>
  <c r="Y537"/>
  <c r="Z583"/>
  <c r="BB537"/>
  <c r="Z581"/>
  <c r="Z735"/>
  <c r="AN346" i="3"/>
  <c r="DG342" i="1"/>
  <c r="DF384"/>
  <c r="CK545"/>
  <c r="BI545"/>
  <c r="DM545" s="1"/>
  <c r="EB545" s="1"/>
  <c r="EG545" s="1"/>
  <c r="EN570" s="1"/>
  <c r="ES570" s="1"/>
  <c r="AG743"/>
  <c r="DA318"/>
  <c r="DB276"/>
  <c r="EA276"/>
  <c r="EA318" s="1"/>
  <c r="BF916"/>
  <c r="BF919" s="1"/>
  <c r="BF585"/>
  <c r="CH542"/>
  <c r="AD783"/>
  <c r="BF740"/>
  <c r="BF783" s="1"/>
  <c r="F16" i="4"/>
  <c r="AG472" i="1"/>
  <c r="AF515"/>
  <c r="BH472"/>
  <c r="EA915"/>
  <c r="EA516"/>
  <c r="EA518"/>
  <c r="DK53"/>
  <c r="AS14" i="3" s="1"/>
  <c r="DL9" i="1"/>
  <c r="AO741" i="3"/>
  <c r="DH740" i="1"/>
  <c r="DG783"/>
  <c r="AF449"/>
  <c r="AG406"/>
  <c r="AG449" s="1"/>
  <c r="BH581"/>
  <c r="DL538"/>
  <c r="BQ121"/>
  <c r="BQ119"/>
  <c r="AF784"/>
  <c r="CE340"/>
  <c r="CK605"/>
  <c r="DM605"/>
  <c r="EB605" s="1"/>
  <c r="EG605" s="1"/>
  <c r="CU583"/>
  <c r="DH157"/>
  <c r="DI157" s="1"/>
  <c r="CT781"/>
  <c r="CK619"/>
  <c r="R740" i="3"/>
  <c r="EN786" i="1"/>
  <c r="ES786"/>
  <c r="V475" i="3" l="1"/>
  <c r="V277"/>
  <c r="V211"/>
  <c r="V13"/>
  <c r="V541"/>
  <c r="V79"/>
  <c r="V343"/>
  <c r="V607"/>
  <c r="V145"/>
  <c r="V409"/>
  <c r="J601"/>
  <c r="M733"/>
  <c r="J733" s="1"/>
  <c r="J607"/>
  <c r="M739"/>
  <c r="J739" s="1"/>
  <c r="CX782" i="1"/>
  <c r="CY748"/>
  <c r="EG649"/>
  <c r="EN630"/>
  <c r="ES630" s="1"/>
  <c r="CD340"/>
  <c r="CC340"/>
  <c r="CE382"/>
  <c r="CG542"/>
  <c r="CG585" s="1"/>
  <c r="CH916"/>
  <c r="CF542"/>
  <c r="CF585" s="1"/>
  <c r="CH585"/>
  <c r="DB318"/>
  <c r="DC276"/>
  <c r="AJ280" i="3"/>
  <c r="CK743" i="1"/>
  <c r="BI743"/>
  <c r="DM743" s="1"/>
  <c r="EB743" s="1"/>
  <c r="EG743" s="1"/>
  <c r="EN768" s="1"/>
  <c r="ES768" s="1"/>
  <c r="CI545"/>
  <c r="CJ545"/>
  <c r="DG384"/>
  <c r="AO346" i="3"/>
  <c r="DH342" i="1"/>
  <c r="Z781"/>
  <c r="BB583"/>
  <c r="BB581"/>
  <c r="Y583"/>
  <c r="X537"/>
  <c r="Y581"/>
  <c r="Y735"/>
  <c r="DG780"/>
  <c r="DH749"/>
  <c r="EA211"/>
  <c r="EA253" s="1"/>
  <c r="DA253"/>
  <c r="CY758"/>
  <c r="CX788"/>
  <c r="CX786"/>
  <c r="AC919"/>
  <c r="AC782"/>
  <c r="AD648"/>
  <c r="AE616"/>
  <c r="AD748"/>
  <c r="AD650"/>
  <c r="AD917"/>
  <c r="AS121"/>
  <c r="AS119"/>
  <c r="EN500"/>
  <c r="ES500" s="1"/>
  <c r="EG518"/>
  <c r="CV780"/>
  <c r="CW749"/>
  <c r="CU779"/>
  <c r="CV735"/>
  <c r="CY566"/>
  <c r="CX591"/>
  <c r="DL211"/>
  <c r="DK253"/>
  <c r="CY344"/>
  <c r="CX386"/>
  <c r="CX500"/>
  <c r="CW525"/>
  <c r="CZ567"/>
  <c r="CY592"/>
  <c r="CY246"/>
  <c r="CX258"/>
  <c r="CZ542"/>
  <c r="CY585"/>
  <c r="CV435"/>
  <c r="CU460"/>
  <c r="AC340"/>
  <c r="BE339"/>
  <c r="BE384" s="1"/>
  <c r="AC384"/>
  <c r="AC735"/>
  <c r="BE735" s="1"/>
  <c r="AD339"/>
  <c r="DI145"/>
  <c r="DH188"/>
  <c r="DI185"/>
  <c r="AQ146" i="3" s="1"/>
  <c r="DJ141" i="1"/>
  <c r="CV352"/>
  <c r="CU385"/>
  <c r="CU383"/>
  <c r="BE749"/>
  <c r="BE780" s="1"/>
  <c r="AC780"/>
  <c r="AE155"/>
  <c r="BF155"/>
  <c r="BF186" s="1"/>
  <c r="AD186"/>
  <c r="AD749"/>
  <c r="EG780"/>
  <c r="EM787"/>
  <c r="EP787"/>
  <c r="ER787"/>
  <c r="DJ89"/>
  <c r="DI120"/>
  <c r="CX207"/>
  <c r="CW250"/>
  <c r="DM171"/>
  <c r="DL196"/>
  <c r="DL897"/>
  <c r="AT147" i="3"/>
  <c r="CF751" i="1"/>
  <c r="AB738"/>
  <c r="DH751"/>
  <c r="DI751" s="1"/>
  <c r="DJ327"/>
  <c r="DK304"/>
  <c r="EG647"/>
  <c r="EN626"/>
  <c r="ES626" s="1"/>
  <c r="CG917"/>
  <c r="CF917"/>
  <c r="DI782"/>
  <c r="DJ739"/>
  <c r="DF736"/>
  <c r="BC751"/>
  <c r="CE751" s="1"/>
  <c r="CJ12"/>
  <c r="CJ55" s="1"/>
  <c r="CI12"/>
  <c r="CI55" s="1"/>
  <c r="CK55"/>
  <c r="CX145"/>
  <c r="CW188"/>
  <c r="BU749"/>
  <c r="BT780"/>
  <c r="DI641"/>
  <c r="DH655"/>
  <c r="AP607" i="3"/>
  <c r="DH657" i="1"/>
  <c r="AP609" i="3"/>
  <c r="BI208" i="1"/>
  <c r="AG250"/>
  <c r="BH250"/>
  <c r="DL208"/>
  <c r="DL250" s="1"/>
  <c r="BR735"/>
  <c r="BS779"/>
  <c r="BQ735"/>
  <c r="BS781"/>
  <c r="DA146"/>
  <c r="CZ189"/>
  <c r="CW370"/>
  <c r="CV393"/>
  <c r="DJ78"/>
  <c r="AQ82" i="3"/>
  <c r="DI121" i="1"/>
  <c r="DJ708"/>
  <c r="DI721"/>
  <c r="CW499"/>
  <c r="CW524" s="1"/>
  <c r="CX511"/>
  <c r="AR610" i="3"/>
  <c r="DK606" i="1"/>
  <c r="DJ649"/>
  <c r="BC382"/>
  <c r="DG340"/>
  <c r="DG382" s="1"/>
  <c r="CC339"/>
  <c r="CC384" s="1"/>
  <c r="CD339"/>
  <c r="CD384" s="1"/>
  <c r="CE384"/>
  <c r="CX14"/>
  <c r="CW57"/>
  <c r="CX609"/>
  <c r="CW651"/>
  <c r="CY674"/>
  <c r="CX717"/>
  <c r="BV155"/>
  <c r="BV186" s="1"/>
  <c r="BU186"/>
  <c r="DE738"/>
  <c r="AL742" i="3"/>
  <c r="AM412"/>
  <c r="DE451" i="1"/>
  <c r="DF408"/>
  <c r="CJ524"/>
  <c r="BH917"/>
  <c r="BH651"/>
  <c r="CV209"/>
  <c r="CU210"/>
  <c r="CU252" s="1"/>
  <c r="BE157"/>
  <c r="BE187"/>
  <c r="AV137"/>
  <c r="CZ137" s="1"/>
  <c r="T155"/>
  <c r="U137"/>
  <c r="T731"/>
  <c r="BU137"/>
  <c r="BT137"/>
  <c r="CX731"/>
  <c r="BV731"/>
  <c r="CZ783"/>
  <c r="DA741"/>
  <c r="CG537"/>
  <c r="CF537"/>
  <c r="CH583"/>
  <c r="CH581"/>
  <c r="BC735"/>
  <c r="BC781" s="1"/>
  <c r="CU781"/>
  <c r="CI605"/>
  <c r="CI649" s="1"/>
  <c r="CJ605"/>
  <c r="CJ649" s="1"/>
  <c r="CK649"/>
  <c r="AP741" i="3"/>
  <c r="DH783" i="1"/>
  <c r="DI740"/>
  <c r="DL53"/>
  <c r="AT14" i="3" s="1"/>
  <c r="DM9" i="1"/>
  <c r="BH515"/>
  <c r="DL472"/>
  <c r="DL515" s="1"/>
  <c r="BI472"/>
  <c r="AG515"/>
  <c r="DI389"/>
  <c r="DI391"/>
  <c r="DJ362"/>
  <c r="BH316"/>
  <c r="DL274"/>
  <c r="DL316" s="1"/>
  <c r="BI274"/>
  <c r="AG316"/>
  <c r="DH54"/>
  <c r="DI23"/>
  <c r="BI782"/>
  <c r="CK739"/>
  <c r="CC738"/>
  <c r="CD738"/>
  <c r="CX155"/>
  <c r="CW186"/>
  <c r="AS735"/>
  <c r="Q779"/>
  <c r="Q781"/>
  <c r="AT75"/>
  <c r="S75"/>
  <c r="R121"/>
  <c r="R735"/>
  <c r="R119"/>
  <c r="AR779"/>
  <c r="AR781"/>
  <c r="DM915"/>
  <c r="EB476"/>
  <c r="DM519"/>
  <c r="BD384"/>
  <c r="AB382"/>
  <c r="BD340"/>
  <c r="AB736"/>
  <c r="V733" i="3"/>
  <c r="N8" i="4"/>
  <c r="CX606" i="1"/>
  <c r="CX649" s="1"/>
  <c r="CY619"/>
  <c r="CV576"/>
  <c r="CU589"/>
  <c r="CV671"/>
  <c r="CU672"/>
  <c r="CU715" s="1"/>
  <c r="DH714"/>
  <c r="DI683"/>
  <c r="DH144"/>
  <c r="AO148" i="3"/>
  <c r="DG187" i="1"/>
  <c r="L15" i="4"/>
  <c r="BF495" i="1"/>
  <c r="DI495"/>
  <c r="DI522" s="1"/>
  <c r="AQ476" i="3" s="1"/>
  <c r="BE522" i="1"/>
  <c r="CX540"/>
  <c r="CY553"/>
  <c r="EN61"/>
  <c r="ES61"/>
  <c r="CV581"/>
  <c r="CW537"/>
  <c r="CU392"/>
  <c r="CV377"/>
  <c r="CU390"/>
  <c r="AT749"/>
  <c r="AT780" s="1"/>
  <c r="R780"/>
  <c r="CW75"/>
  <c r="CV121"/>
  <c r="CV119"/>
  <c r="DG786"/>
  <c r="DG788"/>
  <c r="DH758"/>
  <c r="BI581"/>
  <c r="DM538"/>
  <c r="DJ916"/>
  <c r="DJ919" s="1"/>
  <c r="DJ585"/>
  <c r="DK542"/>
  <c r="DK103"/>
  <c r="DL115"/>
  <c r="DL608"/>
  <c r="DK917"/>
  <c r="DK651"/>
  <c r="CV738"/>
  <c r="CV781" s="1"/>
  <c r="CW751"/>
  <c r="BG916"/>
  <c r="BG919" s="1"/>
  <c r="BG585"/>
  <c r="BG740"/>
  <c r="BG783" s="1"/>
  <c r="AE783"/>
  <c r="BH542"/>
  <c r="AF916"/>
  <c r="AG542"/>
  <c r="AF585"/>
  <c r="AF740"/>
  <c r="CX12"/>
  <c r="CX55" s="1"/>
  <c r="CY25"/>
  <c r="CV473"/>
  <c r="CU474"/>
  <c r="CU517" s="1"/>
  <c r="DH903"/>
  <c r="DH906" s="1"/>
  <c r="DI567"/>
  <c r="DH592"/>
  <c r="AP543" i="3"/>
  <c r="CW502" i="1"/>
  <c r="CV526"/>
  <c r="DL510"/>
  <c r="DK523"/>
  <c r="L8" i="4"/>
  <c r="DK170" i="1"/>
  <c r="DJ195"/>
  <c r="AA779"/>
  <c r="BC736"/>
  <c r="EN36"/>
  <c r="ES36" s="1"/>
  <c r="CY685"/>
  <c r="AS541" i="3"/>
  <c r="DL575" i="1"/>
  <c r="DK591"/>
  <c r="DK589"/>
  <c r="CI524"/>
  <c r="BD780"/>
  <c r="CF749"/>
  <c r="BI608"/>
  <c r="CK608" s="1"/>
  <c r="AG651"/>
  <c r="EG651" s="1"/>
  <c r="DG526"/>
  <c r="DH502"/>
  <c r="AE143"/>
  <c r="BF143"/>
  <c r="CH143" s="1"/>
  <c r="AD187"/>
  <c r="AD157"/>
  <c r="AD751" s="1"/>
  <c r="AD737"/>
  <c r="BF737" s="1"/>
  <c r="BE738"/>
  <c r="BE781" s="1"/>
  <c r="AC781"/>
  <c r="AU731"/>
  <c r="AU155"/>
  <c r="S749"/>
  <c r="S186"/>
  <c r="CY137"/>
  <c r="CG157"/>
  <c r="Z779"/>
  <c r="CH740"/>
  <c r="DH339"/>
  <c r="DI339" s="1"/>
  <c r="CK274"/>
  <c r="CK538"/>
  <c r="P740" i="3"/>
  <c r="T740"/>
  <c r="V601" l="1"/>
  <c r="V469"/>
  <c r="V337"/>
  <c r="V205"/>
  <c r="V73"/>
  <c r="V667"/>
  <c r="V535"/>
  <c r="V403"/>
  <c r="V271"/>
  <c r="V139"/>
  <c r="V7"/>
  <c r="CZ748" i="1"/>
  <c r="CY782"/>
  <c r="CI651"/>
  <c r="CJ651"/>
  <c r="CK917"/>
  <c r="CK651"/>
  <c r="CG143"/>
  <c r="CG187" s="1"/>
  <c r="CF143"/>
  <c r="CF187" s="1"/>
  <c r="CH187"/>
  <c r="CG740"/>
  <c r="CG783" s="1"/>
  <c r="CF740"/>
  <c r="CF783" s="1"/>
  <c r="CH783"/>
  <c r="CF780"/>
  <c r="CG749"/>
  <c r="CZ685"/>
  <c r="BC779"/>
  <c r="DG736"/>
  <c r="DL170"/>
  <c r="DK195"/>
  <c r="CX502"/>
  <c r="CW526"/>
  <c r="CW473"/>
  <c r="CV474"/>
  <c r="CV517" s="1"/>
  <c r="FE80"/>
  <c r="FF80" s="1"/>
  <c r="DK128"/>
  <c r="CX75"/>
  <c r="CW119"/>
  <c r="CW121"/>
  <c r="CV392"/>
  <c r="CW377"/>
  <c r="CV390"/>
  <c r="CW581"/>
  <c r="CX537"/>
  <c r="CZ553"/>
  <c r="CY540"/>
  <c r="BG495"/>
  <c r="DJ495"/>
  <c r="DJ522" s="1"/>
  <c r="AR476" i="3" s="1"/>
  <c r="BF522" i="1"/>
  <c r="DI714"/>
  <c r="DJ683"/>
  <c r="CZ619"/>
  <c r="CY606"/>
  <c r="CY649" s="1"/>
  <c r="AB779"/>
  <c r="BD736"/>
  <c r="BD382"/>
  <c r="DH340"/>
  <c r="DH382" s="1"/>
  <c r="AT735"/>
  <c r="R779"/>
  <c r="R781"/>
  <c r="S121"/>
  <c r="T75"/>
  <c r="AU75"/>
  <c r="S119"/>
  <c r="S735"/>
  <c r="AS779"/>
  <c r="AS781"/>
  <c r="CY155"/>
  <c r="CX186"/>
  <c r="CJ739"/>
  <c r="CJ782" s="1"/>
  <c r="CI739"/>
  <c r="CI782" s="1"/>
  <c r="CK782"/>
  <c r="DJ23"/>
  <c r="DI54"/>
  <c r="DK362"/>
  <c r="DJ389"/>
  <c r="DJ391"/>
  <c r="BI515"/>
  <c r="DM472"/>
  <c r="CF583"/>
  <c r="CF581"/>
  <c r="EA741"/>
  <c r="EA783" s="1"/>
  <c r="DA783"/>
  <c r="BT731"/>
  <c r="BU731"/>
  <c r="AV731"/>
  <c r="CZ731" s="1"/>
  <c r="CW209"/>
  <c r="CV210"/>
  <c r="CV252" s="1"/>
  <c r="DF738"/>
  <c r="AM742" i="3"/>
  <c r="CZ674" i="1"/>
  <c r="CY717"/>
  <c r="CY609"/>
  <c r="CX651"/>
  <c r="CY14"/>
  <c r="CX57"/>
  <c r="DK708"/>
  <c r="DJ721"/>
  <c r="BI250"/>
  <c r="CK208"/>
  <c r="DM208"/>
  <c r="EN654"/>
  <c r="Q608" i="3"/>
  <c r="R608" s="1"/>
  <c r="ES654" i="1"/>
  <c r="BD738"/>
  <c r="AB781"/>
  <c r="AD780"/>
  <c r="BF749"/>
  <c r="BF780" s="1"/>
  <c r="CW352"/>
  <c r="CV385"/>
  <c r="CV383"/>
  <c r="DJ145"/>
  <c r="DI188"/>
  <c r="CW735"/>
  <c r="CV779"/>
  <c r="CX749"/>
  <c r="CW780"/>
  <c r="EN525"/>
  <c r="ES525"/>
  <c r="AD919"/>
  <c r="AD782"/>
  <c r="DH780"/>
  <c r="DI749"/>
  <c r="Y781"/>
  <c r="Y779"/>
  <c r="X583"/>
  <c r="CB537"/>
  <c r="W537"/>
  <c r="AZ537" s="1"/>
  <c r="X581"/>
  <c r="X735"/>
  <c r="CH495"/>
  <c r="CH522" s="1"/>
  <c r="BA537"/>
  <c r="BB735"/>
  <c r="CC382"/>
  <c r="CK472"/>
  <c r="AU749"/>
  <c r="S780"/>
  <c r="AE187"/>
  <c r="AE157"/>
  <c r="AF143"/>
  <c r="BG143"/>
  <c r="AE737"/>
  <c r="BG737" s="1"/>
  <c r="BI651"/>
  <c r="BI917"/>
  <c r="DM575"/>
  <c r="AT541" i="3"/>
  <c r="DL591" i="1"/>
  <c r="DL589"/>
  <c r="DL523"/>
  <c r="DM510"/>
  <c r="DM523" s="1"/>
  <c r="CI538"/>
  <c r="CI581" s="1"/>
  <c r="CJ538"/>
  <c r="CJ581" s="1"/>
  <c r="CK581"/>
  <c r="CJ274"/>
  <c r="CJ316" s="1"/>
  <c r="CI274"/>
  <c r="CI316" s="1"/>
  <c r="CK316"/>
  <c r="BW155"/>
  <c r="AU186"/>
  <c r="CY731"/>
  <c r="BF157"/>
  <c r="BF187"/>
  <c r="DI502"/>
  <c r="DH526"/>
  <c r="ES658"/>
  <c r="EN658"/>
  <c r="DI592"/>
  <c r="DI903"/>
  <c r="DI906" s="1"/>
  <c r="DJ567"/>
  <c r="AQ543" i="3"/>
  <c r="CY12" i="1"/>
  <c r="CY55" s="1"/>
  <c r="CZ25"/>
  <c r="BH740"/>
  <c r="BH783" s="1"/>
  <c r="AF783"/>
  <c r="AG916"/>
  <c r="AG585"/>
  <c r="AG740"/>
  <c r="BI542"/>
  <c r="BH916"/>
  <c r="BH919" s="1"/>
  <c r="BH585"/>
  <c r="CX751"/>
  <c r="CW738"/>
  <c r="CW781" s="1"/>
  <c r="DM608"/>
  <c r="DL917"/>
  <c r="DL651"/>
  <c r="DM115"/>
  <c r="DM103" s="1"/>
  <c r="DM128" s="1"/>
  <c r="DL103"/>
  <c r="DL128" s="1"/>
  <c r="DL542"/>
  <c r="DK585"/>
  <c r="DK916"/>
  <c r="DK919" s="1"/>
  <c r="EB538"/>
  <c r="DI758"/>
  <c r="DH788"/>
  <c r="DH786"/>
  <c r="DH187"/>
  <c r="DI144"/>
  <c r="AP148" i="3"/>
  <c r="CW671" i="1"/>
  <c r="CV672"/>
  <c r="CV715" s="1"/>
  <c r="CW576"/>
  <c r="CV589"/>
  <c r="EB915"/>
  <c r="EB519"/>
  <c r="AT121"/>
  <c r="AT119"/>
  <c r="BV75"/>
  <c r="BI316"/>
  <c r="DM274"/>
  <c r="FD9"/>
  <c r="DM53"/>
  <c r="EB9"/>
  <c r="AQ741" i="3"/>
  <c r="DI783" i="1"/>
  <c r="DJ740"/>
  <c r="CG583"/>
  <c r="CG581"/>
  <c r="V137"/>
  <c r="AW137"/>
  <c r="U155"/>
  <c r="U731"/>
  <c r="AV155"/>
  <c r="AV186" s="1"/>
  <c r="T186"/>
  <c r="T749"/>
  <c r="AN412" i="3"/>
  <c r="DG408" i="1"/>
  <c r="DF451"/>
  <c r="DL606"/>
  <c r="AS610" i="3"/>
  <c r="DK649" i="1"/>
  <c r="CY511"/>
  <c r="CX499"/>
  <c r="CX524" s="1"/>
  <c r="AR82" i="3"/>
  <c r="DK78" i="1"/>
  <c r="DJ121"/>
  <c r="CX370"/>
  <c r="CW393"/>
  <c r="EA146"/>
  <c r="DA189"/>
  <c r="BQ779"/>
  <c r="BQ781"/>
  <c r="BR779"/>
  <c r="BR781"/>
  <c r="DJ641"/>
  <c r="DI655"/>
  <c r="AQ607" i="3"/>
  <c r="DI657" i="1"/>
  <c r="AQ609" i="3"/>
  <c r="BV749" i="1"/>
  <c r="BV780" s="1"/>
  <c r="BU780"/>
  <c r="CY145"/>
  <c r="CX188"/>
  <c r="DK739"/>
  <c r="DJ782"/>
  <c r="DL304"/>
  <c r="DK327"/>
  <c r="DM196"/>
  <c r="DM897"/>
  <c r="CX250"/>
  <c r="CY207"/>
  <c r="DK89"/>
  <c r="DJ120"/>
  <c r="EN787"/>
  <c r="ES787"/>
  <c r="AF155"/>
  <c r="BG155"/>
  <c r="BG186" s="1"/>
  <c r="AE186"/>
  <c r="AE749"/>
  <c r="DJ185"/>
  <c r="DK141"/>
  <c r="AD340"/>
  <c r="AD384"/>
  <c r="AE339"/>
  <c r="BF339"/>
  <c r="AD735"/>
  <c r="BF735" s="1"/>
  <c r="CH735" s="1"/>
  <c r="AC382"/>
  <c r="BE340"/>
  <c r="AC736"/>
  <c r="CV460"/>
  <c r="CW435"/>
  <c r="DA542"/>
  <c r="CZ585"/>
  <c r="CZ246"/>
  <c r="CY258"/>
  <c r="DA567"/>
  <c r="DA592" s="1"/>
  <c r="CZ592"/>
  <c r="CY500"/>
  <c r="CX525"/>
  <c r="CZ344"/>
  <c r="CY386"/>
  <c r="DL253"/>
  <c r="DM211"/>
  <c r="CZ566"/>
  <c r="CY591"/>
  <c r="AF616"/>
  <c r="AE748"/>
  <c r="AE648"/>
  <c r="AE650"/>
  <c r="AE917"/>
  <c r="CZ758"/>
  <c r="CY788"/>
  <c r="CY786"/>
  <c r="DH384"/>
  <c r="AP346" i="3"/>
  <c r="DI342" i="1"/>
  <c r="CI743"/>
  <c r="CJ743"/>
  <c r="DD276"/>
  <c r="DC318"/>
  <c r="AK280" i="3"/>
  <c r="CG916" i="1"/>
  <c r="CG919" s="1"/>
  <c r="CF916"/>
  <c r="CF919" s="1"/>
  <c r="CH919"/>
  <c r="EN656"/>
  <c r="ES656"/>
  <c r="DJ339"/>
  <c r="CH157"/>
  <c r="DJ737"/>
  <c r="DK737" s="1"/>
  <c r="AD738"/>
  <c r="CX583"/>
  <c r="CH737"/>
  <c r="BE751"/>
  <c r="CG751" s="1"/>
  <c r="CE736"/>
  <c r="DJ143"/>
  <c r="DK143" s="1"/>
  <c r="CW583"/>
  <c r="DJ157"/>
  <c r="DK157" s="1"/>
  <c r="DJ751"/>
  <c r="CD382"/>
  <c r="V740" i="3"/>
  <c r="N16" i="4"/>
  <c r="V608" i="3" l="1"/>
  <c r="V476"/>
  <c r="V344"/>
  <c r="V212"/>
  <c r="V80"/>
  <c r="V674"/>
  <c r="V542"/>
  <c r="V410"/>
  <c r="V278"/>
  <c r="V146"/>
  <c r="V14"/>
  <c r="DA748" i="1"/>
  <c r="CZ782"/>
  <c r="AZ581"/>
  <c r="AZ583"/>
  <c r="CD736"/>
  <c r="CC736"/>
  <c r="CG737"/>
  <c r="CF737"/>
  <c r="AD781"/>
  <c r="BF738"/>
  <c r="DI384"/>
  <c r="DJ342"/>
  <c r="AQ346" i="3"/>
  <c r="AF648" i="1"/>
  <c r="AG616"/>
  <c r="AF748"/>
  <c r="AF650"/>
  <c r="AF917"/>
  <c r="DA566"/>
  <c r="DA591" s="1"/>
  <c r="CZ591"/>
  <c r="DA344"/>
  <c r="CZ386"/>
  <c r="CZ500"/>
  <c r="CY525"/>
  <c r="DA246"/>
  <c r="DA258" s="1"/>
  <c r="CZ258"/>
  <c r="EA542"/>
  <c r="DA585"/>
  <c r="BE382"/>
  <c r="DI340"/>
  <c r="DI382" s="1"/>
  <c r="BF384"/>
  <c r="CH339"/>
  <c r="DK185"/>
  <c r="AS146" i="3" s="1"/>
  <c r="DL141" i="1"/>
  <c r="BG749"/>
  <c r="AE780"/>
  <c r="CY250"/>
  <c r="CZ207"/>
  <c r="DM304"/>
  <c r="DM327" s="1"/>
  <c r="DL327"/>
  <c r="DK782"/>
  <c r="DL739"/>
  <c r="CZ145"/>
  <c r="CY188"/>
  <c r="CZ511"/>
  <c r="CY499"/>
  <c r="CY524" s="1"/>
  <c r="AW731"/>
  <c r="DA137"/>
  <c r="BY137"/>
  <c r="AX137"/>
  <c r="W137"/>
  <c r="V731"/>
  <c r="EB53"/>
  <c r="EG519"/>
  <c r="EG915"/>
  <c r="CX576"/>
  <c r="CW589"/>
  <c r="CX671"/>
  <c r="CW672"/>
  <c r="CW715" s="1"/>
  <c r="DJ144"/>
  <c r="AQ148" i="3"/>
  <c r="DI187" i="1"/>
  <c r="DI788"/>
  <c r="DJ758"/>
  <c r="DI786"/>
  <c r="DM542"/>
  <c r="DL916"/>
  <c r="DL919" s="1"/>
  <c r="DL585"/>
  <c r="DM917"/>
  <c r="EB608"/>
  <c r="DM651"/>
  <c r="CX738"/>
  <c r="CY751"/>
  <c r="BI740"/>
  <c r="BI783" s="1"/>
  <c r="AG783"/>
  <c r="DJ903"/>
  <c r="DJ906" s="1"/>
  <c r="DK567"/>
  <c r="DJ592"/>
  <c r="AR543" i="3"/>
  <c r="DJ502" i="1"/>
  <c r="DI526"/>
  <c r="BX155"/>
  <c r="BW186"/>
  <c r="DM591"/>
  <c r="AU541" i="3"/>
  <c r="DM589" i="1"/>
  <c r="BG157"/>
  <c r="BG187"/>
  <c r="CI157"/>
  <c r="AE751"/>
  <c r="CJ472"/>
  <c r="CJ515" s="1"/>
  <c r="CI472"/>
  <c r="CI515" s="1"/>
  <c r="CK515"/>
  <c r="BB781"/>
  <c r="BB779"/>
  <c r="CB735"/>
  <c r="X781"/>
  <c r="X779"/>
  <c r="CA537"/>
  <c r="BZ537"/>
  <c r="CB583"/>
  <c r="CB581"/>
  <c r="CY749"/>
  <c r="CX780"/>
  <c r="CX735"/>
  <c r="CW779"/>
  <c r="DJ188"/>
  <c r="DK145"/>
  <c r="CJ208"/>
  <c r="CJ250" s="1"/>
  <c r="CI208"/>
  <c r="CI250" s="1"/>
  <c r="CK250"/>
  <c r="AN742" i="3"/>
  <c r="DG738" i="1"/>
  <c r="CX209"/>
  <c r="CW210"/>
  <c r="CW252" s="1"/>
  <c r="S779"/>
  <c r="AU735"/>
  <c r="S781"/>
  <c r="AU121"/>
  <c r="AU119"/>
  <c r="BD779"/>
  <c r="DH736"/>
  <c r="DJ714"/>
  <c r="DK683"/>
  <c r="BH495"/>
  <c r="CI495"/>
  <c r="CI522" s="1"/>
  <c r="DK495"/>
  <c r="DK522" s="1"/>
  <c r="AS476" i="3" s="1"/>
  <c r="CJ495" i="1"/>
  <c r="CJ522" s="1"/>
  <c r="BG522"/>
  <c r="DA553"/>
  <c r="DA540" s="1"/>
  <c r="CZ540"/>
  <c r="CX377"/>
  <c r="CW392"/>
  <c r="CW390"/>
  <c r="CX121"/>
  <c r="CY75"/>
  <c r="CX119"/>
  <c r="CX473"/>
  <c r="CW474"/>
  <c r="CW517" s="1"/>
  <c r="CY502"/>
  <c r="CX526"/>
  <c r="DM170"/>
  <c r="DM195" s="1"/>
  <c r="DL195"/>
  <c r="DA685"/>
  <c r="CJ917"/>
  <c r="CI917"/>
  <c r="BA735"/>
  <c r="CK740"/>
  <c r="DE276"/>
  <c r="DD318"/>
  <c r="AL280" i="3"/>
  <c r="DA758" i="1"/>
  <c r="CZ786"/>
  <c r="CZ788"/>
  <c r="AE919"/>
  <c r="AE782"/>
  <c r="EB211"/>
  <c r="DM253"/>
  <c r="CX435"/>
  <c r="CW460"/>
  <c r="AC779"/>
  <c r="BE736"/>
  <c r="CF735"/>
  <c r="CG735"/>
  <c r="AE340"/>
  <c r="BG339"/>
  <c r="AF339"/>
  <c r="AE384"/>
  <c r="AE735"/>
  <c r="BG735" s="1"/>
  <c r="AD382"/>
  <c r="BF340"/>
  <c r="AD736"/>
  <c r="AG155"/>
  <c r="BH155"/>
  <c r="BH186" s="1"/>
  <c r="AF186"/>
  <c r="AF749"/>
  <c r="DK120"/>
  <c r="DL89"/>
  <c r="DK641"/>
  <c r="DJ655"/>
  <c r="AR607" i="3"/>
  <c r="DJ657" i="1"/>
  <c r="AR609" i="3"/>
  <c r="EA910" i="1"/>
  <c r="EA189"/>
  <c r="CY370"/>
  <c r="CX393"/>
  <c r="AS82" i="3"/>
  <c r="DK121" i="1"/>
  <c r="DL78"/>
  <c r="AT610" i="3"/>
  <c r="DM606" i="1"/>
  <c r="DL649"/>
  <c r="DH408"/>
  <c r="DG451"/>
  <c r="AO412" i="3"/>
  <c r="AV749" i="1"/>
  <c r="AV780" s="1"/>
  <c r="T780"/>
  <c r="AW155"/>
  <c r="AW186" s="1"/>
  <c r="U186"/>
  <c r="U749"/>
  <c r="DK740"/>
  <c r="AR741" i="3"/>
  <c r="DJ783" i="1"/>
  <c r="EB274"/>
  <c r="DM316"/>
  <c r="BT75"/>
  <c r="BU75"/>
  <c r="BV121"/>
  <c r="BV119"/>
  <c r="BI916"/>
  <c r="BI919" s="1"/>
  <c r="BI585"/>
  <c r="CK542"/>
  <c r="DA25"/>
  <c r="DA12" s="1"/>
  <c r="CZ12"/>
  <c r="CZ55" s="1"/>
  <c r="AG143"/>
  <c r="AF157"/>
  <c r="AF751" s="1"/>
  <c r="AF738" s="1"/>
  <c r="AF187"/>
  <c r="AF737"/>
  <c r="BH737" s="1"/>
  <c r="BH143"/>
  <c r="BW749"/>
  <c r="AU780"/>
  <c r="CE537"/>
  <c r="BA583"/>
  <c r="BA581"/>
  <c r="W583"/>
  <c r="V537"/>
  <c r="W581"/>
  <c r="W735"/>
  <c r="DJ749"/>
  <c r="DI780"/>
  <c r="CW383"/>
  <c r="CX352"/>
  <c r="CW385"/>
  <c r="CH738"/>
  <c r="BD781"/>
  <c r="BD751"/>
  <c r="T608" i="3"/>
  <c r="P608"/>
  <c r="DM250" i="1"/>
  <c r="EB208"/>
  <c r="DL708"/>
  <c r="DK721"/>
  <c r="CZ14"/>
  <c r="CY57"/>
  <c r="CZ609"/>
  <c r="CY651"/>
  <c r="DA674"/>
  <c r="CZ717"/>
  <c r="DM515"/>
  <c r="EB472"/>
  <c r="DK389"/>
  <c r="DL362"/>
  <c r="DK391"/>
  <c r="DK23"/>
  <c r="DJ54"/>
  <c r="CZ155"/>
  <c r="CY186"/>
  <c r="U75"/>
  <c r="AV75"/>
  <c r="T121"/>
  <c r="T735"/>
  <c r="T119"/>
  <c r="AT779"/>
  <c r="AT781"/>
  <c r="BV735"/>
  <c r="DA619"/>
  <c r="DA606" s="1"/>
  <c r="CZ606"/>
  <c r="CZ649" s="1"/>
  <c r="CX581"/>
  <c r="CY537"/>
  <c r="CG780"/>
  <c r="CH749"/>
  <c r="CH780" s="1"/>
  <c r="DK751"/>
  <c r="DL143"/>
  <c r="CH340"/>
  <c r="CY583"/>
  <c r="DA782" l="1"/>
  <c r="EA748"/>
  <c r="EA782" s="1"/>
  <c r="CZ537"/>
  <c r="CY581"/>
  <c r="AV735"/>
  <c r="T779"/>
  <c r="T781"/>
  <c r="AV121"/>
  <c r="AV119"/>
  <c r="EA674"/>
  <c r="DA717"/>
  <c r="DA14"/>
  <c r="CZ57"/>
  <c r="V583"/>
  <c r="AX537"/>
  <c r="V581"/>
  <c r="V735"/>
  <c r="CC537"/>
  <c r="CD537"/>
  <c r="CE581"/>
  <c r="CE583"/>
  <c r="CF340"/>
  <c r="CH382"/>
  <c r="CG340"/>
  <c r="EA606"/>
  <c r="EA649" s="1"/>
  <c r="DA649"/>
  <c r="U735"/>
  <c r="AW75"/>
  <c r="U121"/>
  <c r="U119"/>
  <c r="CZ186"/>
  <c r="DA155"/>
  <c r="DL23"/>
  <c r="DK54"/>
  <c r="DM362"/>
  <c r="DL389"/>
  <c r="DL391"/>
  <c r="EB515"/>
  <c r="EB250"/>
  <c r="L16" i="4"/>
  <c r="CG738" i="1"/>
  <c r="CG781" s="1"/>
  <c r="CF738"/>
  <c r="CF781" s="1"/>
  <c r="CH781"/>
  <c r="CY352"/>
  <c r="CX385"/>
  <c r="CX383"/>
  <c r="W779"/>
  <c r="AY735"/>
  <c r="W781"/>
  <c r="BH157"/>
  <c r="BH187"/>
  <c r="AG157"/>
  <c r="AG751" s="1"/>
  <c r="AG187"/>
  <c r="BI143"/>
  <c r="AG737"/>
  <c r="BI737" s="1"/>
  <c r="FC12"/>
  <c r="EA12"/>
  <c r="EA55" s="1"/>
  <c r="DB12"/>
  <c r="DA55"/>
  <c r="BU121"/>
  <c r="BU119"/>
  <c r="DK783"/>
  <c r="DL740"/>
  <c r="AS741" i="3"/>
  <c r="DI408" i="1"/>
  <c r="AP412" i="3"/>
  <c r="DH451" i="1"/>
  <c r="EB606"/>
  <c r="EB649" s="1"/>
  <c r="DN606"/>
  <c r="DM649"/>
  <c r="DL121"/>
  <c r="AT82" i="3"/>
  <c r="DM78" i="1"/>
  <c r="CZ370"/>
  <c r="CY393"/>
  <c r="DM89"/>
  <c r="DL120"/>
  <c r="BH749"/>
  <c r="BH780" s="1"/>
  <c r="AF780"/>
  <c r="BF736"/>
  <c r="AD779"/>
  <c r="BF382"/>
  <c r="DJ340"/>
  <c r="DJ382" s="1"/>
  <c r="AF340"/>
  <c r="AG339"/>
  <c r="AF735"/>
  <c r="BH735" s="1"/>
  <c r="BH339"/>
  <c r="BH384" s="1"/>
  <c r="AF384"/>
  <c r="BG340"/>
  <c r="AE382"/>
  <c r="AE736"/>
  <c r="DA788"/>
  <c r="DA786"/>
  <c r="CJ740"/>
  <c r="CJ783" s="1"/>
  <c r="CI740"/>
  <c r="CI783" s="1"/>
  <c r="CK783"/>
  <c r="CZ502"/>
  <c r="CY526"/>
  <c r="CX474"/>
  <c r="CX517" s="1"/>
  <c r="CY473"/>
  <c r="CZ75"/>
  <c r="CY121"/>
  <c r="CY119"/>
  <c r="CX390"/>
  <c r="CY377"/>
  <c r="CX392"/>
  <c r="EA540"/>
  <c r="DB540"/>
  <c r="BI495"/>
  <c r="DL495"/>
  <c r="DL522" s="1"/>
  <c r="AT476" i="3" s="1"/>
  <c r="BH522" i="1"/>
  <c r="AU779"/>
  <c r="AU781"/>
  <c r="DL145"/>
  <c r="DK188"/>
  <c r="BZ581"/>
  <c r="BZ583"/>
  <c r="BY155"/>
  <c r="BY186" s="1"/>
  <c r="BX186"/>
  <c r="DK502"/>
  <c r="DJ526"/>
  <c r="EB542"/>
  <c r="DM916"/>
  <c r="DM919" s="1"/>
  <c r="DM585"/>
  <c r="DJ786"/>
  <c r="DJ788"/>
  <c r="DK758"/>
  <c r="DK144"/>
  <c r="DJ187"/>
  <c r="AR148" i="3"/>
  <c r="CY671" i="1"/>
  <c r="CX672"/>
  <c r="CX715" s="1"/>
  <c r="CY576"/>
  <c r="CX589"/>
  <c r="EN526"/>
  <c r="ES526"/>
  <c r="DB137"/>
  <c r="AJ139" i="3" s="1"/>
  <c r="DA731" i="1"/>
  <c r="BY731"/>
  <c r="DA511"/>
  <c r="DA499" s="1"/>
  <c r="DA524" s="1"/>
  <c r="CZ499"/>
  <c r="CZ524" s="1"/>
  <c r="CZ188"/>
  <c r="DA145"/>
  <c r="CI749"/>
  <c r="BG780"/>
  <c r="EA916"/>
  <c r="EA585"/>
  <c r="DA500"/>
  <c r="DA525" s="1"/>
  <c r="CZ525"/>
  <c r="EA344"/>
  <c r="DA386"/>
  <c r="AG648"/>
  <c r="AG748"/>
  <c r="AG650"/>
  <c r="AG917"/>
  <c r="DL737"/>
  <c r="DM737" s="1"/>
  <c r="EB737" s="1"/>
  <c r="EG737" s="1"/>
  <c r="DL751"/>
  <c r="DM751" s="1"/>
  <c r="AY537"/>
  <c r="CK737"/>
  <c r="DL157"/>
  <c r="DM157" s="1"/>
  <c r="AZ735"/>
  <c r="CJ157"/>
  <c r="CX781"/>
  <c r="BT735"/>
  <c r="BV779"/>
  <c r="BU735"/>
  <c r="BV781"/>
  <c r="DA609"/>
  <c r="CZ651"/>
  <c r="DM708"/>
  <c r="DM721" s="1"/>
  <c r="DL721"/>
  <c r="DK749"/>
  <c r="DJ780"/>
  <c r="BX749"/>
  <c r="BW780"/>
  <c r="BH738"/>
  <c r="BH781" s="1"/>
  <c r="AF781"/>
  <c r="CI542"/>
  <c r="CI585" s="1"/>
  <c r="CK916"/>
  <c r="CJ542"/>
  <c r="CJ585" s="1"/>
  <c r="CK585"/>
  <c r="EN561"/>
  <c r="ES561" s="1"/>
  <c r="BT121"/>
  <c r="BT119"/>
  <c r="EB316"/>
  <c r="EN297"/>
  <c r="ES297" s="1"/>
  <c r="AW749"/>
  <c r="AW780" s="1"/>
  <c r="U780"/>
  <c r="DK655"/>
  <c r="DL641"/>
  <c r="AS607" i="3"/>
  <c r="DK657" i="1"/>
  <c r="AS609" i="3"/>
  <c r="BI155" i="1"/>
  <c r="BI186" s="1"/>
  <c r="AG186"/>
  <c r="AG749"/>
  <c r="BG384"/>
  <c r="BE779"/>
  <c r="DI736"/>
  <c r="CY435"/>
  <c r="CX460"/>
  <c r="EB253"/>
  <c r="EG211"/>
  <c r="AM280" i="3"/>
  <c r="DF276" i="1"/>
  <c r="DE318"/>
  <c r="CE735"/>
  <c r="BA779"/>
  <c r="BA781"/>
  <c r="DK714"/>
  <c r="DL683"/>
  <c r="CY209"/>
  <c r="CX210"/>
  <c r="CX252" s="1"/>
  <c r="DH738"/>
  <c r="AO742" i="3"/>
  <c r="CY735" i="1"/>
  <c r="CX779"/>
  <c r="CZ749"/>
  <c r="CY780"/>
  <c r="CA581"/>
  <c r="CA583"/>
  <c r="CA735"/>
  <c r="BZ735"/>
  <c r="CB781"/>
  <c r="CB779"/>
  <c r="AE738"/>
  <c r="CI751"/>
  <c r="DL567"/>
  <c r="DK903"/>
  <c r="DK906" s="1"/>
  <c r="DK592"/>
  <c r="AS543" i="3"/>
  <c r="CZ751" i="1"/>
  <c r="CY738"/>
  <c r="EB917"/>
  <c r="EB651"/>
  <c r="EN902"/>
  <c r="Q477" i="3"/>
  <c r="EN32" i="1"/>
  <c r="ES32" s="1"/>
  <c r="EG53"/>
  <c r="AX731"/>
  <c r="X137"/>
  <c r="AY137"/>
  <c r="DC137" s="1"/>
  <c r="AK139" i="3" s="1"/>
  <c r="W731" i="1"/>
  <c r="BX137"/>
  <c r="BW137"/>
  <c r="DL782"/>
  <c r="DM739"/>
  <c r="DA207"/>
  <c r="CZ250"/>
  <c r="DL185"/>
  <c r="AT146" i="3" s="1"/>
  <c r="DM141" i="1"/>
  <c r="CF339"/>
  <c r="CF384" s="1"/>
  <c r="CG339"/>
  <c r="CG384" s="1"/>
  <c r="CH384"/>
  <c r="AF919"/>
  <c r="AF782"/>
  <c r="DK342"/>
  <c r="AR346" i="3"/>
  <c r="DJ384" i="1"/>
  <c r="BF781"/>
  <c r="BF751"/>
  <c r="CH751" s="1"/>
  <c r="DM143"/>
  <c r="EB143" s="1"/>
  <c r="EG143" s="1"/>
  <c r="DK339"/>
  <c r="DL339" s="1"/>
  <c r="CZ583"/>
  <c r="CH736"/>
  <c r="BY75"/>
  <c r="CK143"/>
  <c r="BW75" l="1"/>
  <c r="BX75"/>
  <c r="BY121"/>
  <c r="BY119"/>
  <c r="T477" i="3"/>
  <c r="CZ738" i="1"/>
  <c r="DA751"/>
  <c r="DA738" s="1"/>
  <c r="DL592"/>
  <c r="DM567"/>
  <c r="DL903"/>
  <c r="DL906" s="1"/>
  <c r="AT543" i="3"/>
  <c r="BG738" i="1"/>
  <c r="AE781"/>
  <c r="CA781"/>
  <c r="CA779"/>
  <c r="DA749"/>
  <c r="CZ780"/>
  <c r="CY779"/>
  <c r="CZ735"/>
  <c r="DM683"/>
  <c r="DL714"/>
  <c r="CD735"/>
  <c r="CC735"/>
  <c r="CE781"/>
  <c r="CE779"/>
  <c r="AN280" i="3"/>
  <c r="DG276" i="1"/>
  <c r="DF318"/>
  <c r="EG253"/>
  <c r="EN236"/>
  <c r="ES236" s="1"/>
  <c r="BI749"/>
  <c r="BI780" s="1"/>
  <c r="AG780"/>
  <c r="DM641"/>
  <c r="AT607" i="3"/>
  <c r="DL657" i="1"/>
  <c r="DL655"/>
  <c r="AT609" i="3"/>
  <c r="CI916" i="1"/>
  <c r="CI919" s="1"/>
  <c r="CJ916"/>
  <c r="CJ919" s="1"/>
  <c r="CK919"/>
  <c r="AY583"/>
  <c r="AY581"/>
  <c r="EN762"/>
  <c r="ES762" s="1"/>
  <c r="AG919"/>
  <c r="AG782"/>
  <c r="EA145"/>
  <c r="EA188" s="1"/>
  <c r="DA188"/>
  <c r="BX731"/>
  <c r="BW731"/>
  <c r="AS148" i="3"/>
  <c r="DL144" i="1"/>
  <c r="DK187"/>
  <c r="DC540"/>
  <c r="AJ544" i="3"/>
  <c r="CY390" i="1"/>
  <c r="CZ377"/>
  <c r="CY392"/>
  <c r="DA75"/>
  <c r="CZ121"/>
  <c r="CZ119"/>
  <c r="DA502"/>
  <c r="DA526" s="1"/>
  <c r="CZ526"/>
  <c r="BG736"/>
  <c r="AE779"/>
  <c r="AF382"/>
  <c r="BH340"/>
  <c r="AF736"/>
  <c r="AU82" i="3"/>
  <c r="EB78" i="1"/>
  <c r="DN78"/>
  <c r="FD78"/>
  <c r="DM121"/>
  <c r="DO606"/>
  <c r="DN649"/>
  <c r="DB55"/>
  <c r="DC12"/>
  <c r="AJ16" i="3"/>
  <c r="BI187" i="1"/>
  <c r="BI157"/>
  <c r="AY781"/>
  <c r="AY779"/>
  <c r="CY385"/>
  <c r="CZ352"/>
  <c r="CY383"/>
  <c r="EN231"/>
  <c r="ES231" s="1"/>
  <c r="EG250"/>
  <c r="DM389"/>
  <c r="DM391"/>
  <c r="DL54"/>
  <c r="DM23"/>
  <c r="AW735"/>
  <c r="U779"/>
  <c r="U781"/>
  <c r="CD581"/>
  <c r="CD583"/>
  <c r="AX735"/>
  <c r="V779"/>
  <c r="V781"/>
  <c r="DB537"/>
  <c r="AX583"/>
  <c r="AX581"/>
  <c r="AV779"/>
  <c r="AV781"/>
  <c r="DA537"/>
  <c r="CZ581"/>
  <c r="CK157"/>
  <c r="AG738"/>
  <c r="EN168"/>
  <c r="ES168" s="1"/>
  <c r="EA207"/>
  <c r="EA250" s="1"/>
  <c r="DA250"/>
  <c r="DB731"/>
  <c r="AJ733" i="3" s="1"/>
  <c r="EN633" i="1"/>
  <c r="ES633" s="1"/>
  <c r="EG917"/>
  <c r="CI143"/>
  <c r="CI187" s="1"/>
  <c r="CJ143"/>
  <c r="CJ187" s="1"/>
  <c r="CK187"/>
  <c r="CG736"/>
  <c r="CG779" s="1"/>
  <c r="CH779"/>
  <c r="CF736"/>
  <c r="CF779" s="1"/>
  <c r="AS346" i="3"/>
  <c r="DK384" i="1"/>
  <c r="DL342"/>
  <c r="EB141"/>
  <c r="DM185"/>
  <c r="EB739"/>
  <c r="DM782"/>
  <c r="AY731"/>
  <c r="DC731" s="1"/>
  <c r="AK733" i="3" s="1"/>
  <c r="AZ137" i="1"/>
  <c r="DD137" s="1"/>
  <c r="X731"/>
  <c r="AZ731" s="1"/>
  <c r="DD731" s="1"/>
  <c r="Q14" i="3"/>
  <c r="R14" s="1"/>
  <c r="EN60" i="1"/>
  <c r="ES60"/>
  <c r="J17" i="4"/>
  <c r="BZ781" i="1"/>
  <c r="BZ779"/>
  <c r="DI738"/>
  <c r="AP742" i="3"/>
  <c r="CZ209" i="1"/>
  <c r="CY210"/>
  <c r="CY252" s="1"/>
  <c r="CZ435"/>
  <c r="CY460"/>
  <c r="BY749"/>
  <c r="BY780" s="1"/>
  <c r="BX780"/>
  <c r="DK780"/>
  <c r="DL749"/>
  <c r="EA609"/>
  <c r="EA651" s="1"/>
  <c r="DA651"/>
  <c r="BU779"/>
  <c r="BU781"/>
  <c r="BT779"/>
  <c r="BT781"/>
  <c r="AZ781"/>
  <c r="AZ779"/>
  <c r="CI737"/>
  <c r="CJ737"/>
  <c r="EA386"/>
  <c r="CJ749"/>
  <c r="CI780"/>
  <c r="CZ576"/>
  <c r="CY589"/>
  <c r="CZ671"/>
  <c r="CY672"/>
  <c r="CY715" s="1"/>
  <c r="DL758"/>
  <c r="DK788"/>
  <c r="DK786"/>
  <c r="EB916"/>
  <c r="EB919" s="1"/>
  <c r="EB585"/>
  <c r="DK526"/>
  <c r="DL502"/>
  <c r="DL188"/>
  <c r="DM145"/>
  <c r="DM495"/>
  <c r="DM522" s="1"/>
  <c r="BI522"/>
  <c r="CK495"/>
  <c r="CK522" s="1"/>
  <c r="CZ473"/>
  <c r="CY474"/>
  <c r="CY517" s="1"/>
  <c r="BG382"/>
  <c r="DK340"/>
  <c r="DK382" s="1"/>
  <c r="AG340"/>
  <c r="AG384"/>
  <c r="BI339"/>
  <c r="DM339" s="1"/>
  <c r="EB339" s="1"/>
  <c r="EN362" s="1"/>
  <c r="ES362" s="1"/>
  <c r="AG735"/>
  <c r="BI735" s="1"/>
  <c r="CK735" s="1"/>
  <c r="BF779"/>
  <c r="DJ736"/>
  <c r="EB89"/>
  <c r="DM120"/>
  <c r="DA370"/>
  <c r="DA393" s="1"/>
  <c r="CZ393"/>
  <c r="AQ412" i="3"/>
  <c r="DI451" i="1"/>
  <c r="DJ408"/>
  <c r="DL783"/>
  <c r="AT741" i="3"/>
  <c r="DM740" i="1"/>
  <c r="EG515"/>
  <c r="EN495"/>
  <c r="ES495" s="1"/>
  <c r="DA186"/>
  <c r="EA155"/>
  <c r="EA186" s="1"/>
  <c r="AW119"/>
  <c r="AW121"/>
  <c r="CC583"/>
  <c r="CC581"/>
  <c r="EA14"/>
  <c r="FC14"/>
  <c r="DA57"/>
  <c r="EA918"/>
  <c r="EA717"/>
  <c r="CY781"/>
  <c r="CJ751"/>
  <c r="BH751"/>
  <c r="CB137"/>
  <c r="CG382"/>
  <c r="CF382"/>
  <c r="AL733" i="3" l="1"/>
  <c r="EA731" i="1"/>
  <c r="BZ137"/>
  <c r="CA137"/>
  <c r="EB740"/>
  <c r="DM783"/>
  <c r="CJ735"/>
  <c r="CI735"/>
  <c r="DA473"/>
  <c r="CZ474"/>
  <c r="CZ517" s="1"/>
  <c r="DM188"/>
  <c r="EB145"/>
  <c r="DM502"/>
  <c r="DM526" s="1"/>
  <c r="DL526"/>
  <c r="EG916"/>
  <c r="EG585"/>
  <c r="EN567"/>
  <c r="ES567" s="1"/>
  <c r="DL780"/>
  <c r="DM749"/>
  <c r="AQ742" i="3"/>
  <c r="DJ738" i="1"/>
  <c r="DM342"/>
  <c r="DL384"/>
  <c r="AT346" i="3"/>
  <c r="EA537" i="1"/>
  <c r="DA581"/>
  <c r="DA583"/>
  <c r="DB735"/>
  <c r="AX779"/>
  <c r="AX781"/>
  <c r="DM54"/>
  <c r="EB23"/>
  <c r="EN257"/>
  <c r="ES257"/>
  <c r="DD12"/>
  <c r="DC55"/>
  <c r="AK16" i="3"/>
  <c r="DO78" i="1"/>
  <c r="DN121"/>
  <c r="DA121"/>
  <c r="FC75"/>
  <c r="EA75"/>
  <c r="DA119"/>
  <c r="DA377"/>
  <c r="CZ392"/>
  <c r="CZ390"/>
  <c r="DD540"/>
  <c r="AK544" i="3"/>
  <c r="DM144" i="1"/>
  <c r="DL187"/>
  <c r="AT148" i="3"/>
  <c r="CD781" i="1"/>
  <c r="CD779"/>
  <c r="EB683"/>
  <c r="DM714"/>
  <c r="DA780"/>
  <c r="EA749"/>
  <c r="EA780" s="1"/>
  <c r="BG781"/>
  <c r="BG751"/>
  <c r="BW121"/>
  <c r="BW119"/>
  <c r="CB731"/>
  <c r="CZ781"/>
  <c r="EA908"/>
  <c r="EA57"/>
  <c r="Q476" i="3"/>
  <c r="R476" s="1"/>
  <c r="ES522" i="1"/>
  <c r="EN522"/>
  <c r="AR412" i="3"/>
  <c r="DK408" i="1"/>
  <c r="DJ451"/>
  <c r="EG89"/>
  <c r="EN114" s="1"/>
  <c r="ES114" s="1"/>
  <c r="EB120"/>
  <c r="BI384"/>
  <c r="CK339"/>
  <c r="AG382"/>
  <c r="BI340"/>
  <c r="AG736"/>
  <c r="DL788"/>
  <c r="DL786"/>
  <c r="DM758"/>
  <c r="DA671"/>
  <c r="CZ672"/>
  <c r="CZ715" s="1"/>
  <c r="DA576"/>
  <c r="DA589" s="1"/>
  <c r="CZ589"/>
  <c r="CJ780"/>
  <c r="CK749"/>
  <c r="CK780" s="1"/>
  <c r="DA435"/>
  <c r="DA460" s="1"/>
  <c r="CZ460"/>
  <c r="DA209"/>
  <c r="CZ210"/>
  <c r="CZ252" s="1"/>
  <c r="T14" i="3"/>
  <c r="P14"/>
  <c r="AL139"/>
  <c r="EA137" i="1"/>
  <c r="EG739"/>
  <c r="EN764" s="1"/>
  <c r="ES764" s="1"/>
  <c r="EB782"/>
  <c r="EB185"/>
  <c r="P609" i="3"/>
  <c r="EN904" i="1"/>
  <c r="AG781"/>
  <c r="BI738"/>
  <c r="CK738" s="1"/>
  <c r="DC537"/>
  <c r="DB581"/>
  <c r="AJ542" i="3" s="1"/>
  <c r="AW779" i="1"/>
  <c r="AW781"/>
  <c r="BY735"/>
  <c r="CZ383"/>
  <c r="DA352"/>
  <c r="CZ385"/>
  <c r="DP606"/>
  <c r="DP649" s="1"/>
  <c r="DO649"/>
  <c r="EG78"/>
  <c r="EB121"/>
  <c r="BH736"/>
  <c r="AF779"/>
  <c r="BH382"/>
  <c r="DL340"/>
  <c r="DL382" s="1"/>
  <c r="BG779"/>
  <c r="DK736"/>
  <c r="DM657"/>
  <c r="AU607" i="3"/>
  <c r="DM655" i="1"/>
  <c r="AU609" i="3"/>
  <c r="ES260" i="1"/>
  <c r="EN260"/>
  <c r="AO280" i="3"/>
  <c r="DH276" i="1"/>
  <c r="DG318"/>
  <c r="CC781"/>
  <c r="CC779"/>
  <c r="CZ779"/>
  <c r="DA735"/>
  <c r="DM903"/>
  <c r="DM906" s="1"/>
  <c r="DM592"/>
  <c r="DA781"/>
  <c r="EA738"/>
  <c r="BX121"/>
  <c r="BX119"/>
  <c r="DB583"/>
  <c r="CI738" l="1"/>
  <c r="CI781" s="1"/>
  <c r="CJ738"/>
  <c r="CJ781" s="1"/>
  <c r="CK781"/>
  <c r="EA735"/>
  <c r="EA779" s="1"/>
  <c r="DA779"/>
  <c r="BH779"/>
  <c r="DL736"/>
  <c r="Q82" i="3"/>
  <c r="R82" s="1"/>
  <c r="EG121" i="1"/>
  <c r="DA385"/>
  <c r="EA352"/>
  <c r="DA383"/>
  <c r="BX735"/>
  <c r="BW735"/>
  <c r="BY779"/>
  <c r="BY781"/>
  <c r="DD537"/>
  <c r="DC581"/>
  <c r="AK542" i="3" s="1"/>
  <c r="L17" i="4"/>
  <c r="EG185" i="1"/>
  <c r="EN164"/>
  <c r="ES164" s="1"/>
  <c r="C16" i="4"/>
  <c r="DM786" i="1"/>
  <c r="DM788"/>
  <c r="BI382"/>
  <c r="CK340"/>
  <c r="DM340"/>
  <c r="CJ339"/>
  <c r="CJ384" s="1"/>
  <c r="CI339"/>
  <c r="CI384" s="1"/>
  <c r="CK384"/>
  <c r="EB714"/>
  <c r="EG683"/>
  <c r="DE540"/>
  <c r="DD583"/>
  <c r="AL544" i="3"/>
  <c r="AL16"/>
  <c r="DD55" i="1"/>
  <c r="DE12"/>
  <c r="EA581"/>
  <c r="EA583"/>
  <c r="EN592"/>
  <c r="ES592"/>
  <c r="EB188"/>
  <c r="EG145"/>
  <c r="EB783"/>
  <c r="EG740"/>
  <c r="EA781"/>
  <c r="DH318"/>
  <c r="AP280" i="3"/>
  <c r="DI276" i="1"/>
  <c r="BI781"/>
  <c r="BI751"/>
  <c r="CK751" s="1"/>
  <c r="T609" i="3"/>
  <c r="EA209" i="1"/>
  <c r="DA210"/>
  <c r="EA671"/>
  <c r="DA672"/>
  <c r="BI736"/>
  <c r="AG779"/>
  <c r="AS412" i="3"/>
  <c r="DK451" i="1"/>
  <c r="DL408"/>
  <c r="P476" i="3"/>
  <c r="T476"/>
  <c r="CA731" i="1"/>
  <c r="BZ731"/>
  <c r="AU148" i="3"/>
  <c r="EB144" i="1"/>
  <c r="DN144"/>
  <c r="DM187"/>
  <c r="DA390"/>
  <c r="DA392"/>
  <c r="EA119"/>
  <c r="EA121"/>
  <c r="DP78"/>
  <c r="DP121" s="1"/>
  <c r="DO121"/>
  <c r="EB54"/>
  <c r="EG23"/>
  <c r="EN48" s="1"/>
  <c r="ES48" s="1"/>
  <c r="DC735"/>
  <c r="DB781"/>
  <c r="DB779"/>
  <c r="AJ740" i="3" s="1"/>
  <c r="AU346"/>
  <c r="EB342" i="1"/>
  <c r="DN342"/>
  <c r="DM384"/>
  <c r="DK738"/>
  <c r="AR742" i="3"/>
  <c r="EB749" i="1"/>
  <c r="DM780"/>
  <c r="P543" i="3"/>
  <c r="EN903" i="1"/>
  <c r="EA473"/>
  <c r="DA474"/>
  <c r="DC583"/>
  <c r="EA474" l="1"/>
  <c r="EA517" s="1"/>
  <c r="DA517"/>
  <c r="DB474"/>
  <c r="EB780"/>
  <c r="EG749"/>
  <c r="EN774" s="1"/>
  <c r="ES774" s="1"/>
  <c r="DD735"/>
  <c r="DC779"/>
  <c r="AK740" i="3" s="1"/>
  <c r="DC781" i="1"/>
  <c r="DO144"/>
  <c r="DN187"/>
  <c r="K17" i="4"/>
  <c r="DL738" i="1"/>
  <c r="AS742" i="3"/>
  <c r="DN384" i="1"/>
  <c r="DO342"/>
  <c r="EG144"/>
  <c r="EB187"/>
  <c r="DM408"/>
  <c r="DL451"/>
  <c r="AT412" i="3"/>
  <c r="BI779" i="1"/>
  <c r="DM736"/>
  <c r="CK736"/>
  <c r="DF540"/>
  <c r="AM544" i="3"/>
  <c r="EB340" i="1"/>
  <c r="DM382"/>
  <c r="Q146" i="3"/>
  <c r="R146" s="1"/>
  <c r="ES192" i="1"/>
  <c r="EN192"/>
  <c r="DD581"/>
  <c r="AL542" i="3" s="1"/>
  <c r="DE537" i="1"/>
  <c r="BX779"/>
  <c r="BX781"/>
  <c r="EA385"/>
  <c r="EA383"/>
  <c r="EA913"/>
  <c r="EA919" s="1"/>
  <c r="EN128"/>
  <c r="ES128"/>
  <c r="T543" i="3"/>
  <c r="EG342" i="1"/>
  <c r="EB384"/>
  <c r="J16" i="4"/>
  <c r="EA672" i="1"/>
  <c r="EA715" s="1"/>
  <c r="DB672"/>
  <c r="DA715"/>
  <c r="EA210"/>
  <c r="EA252" s="1"/>
  <c r="DA252"/>
  <c r="DB210"/>
  <c r="AQ280" i="3"/>
  <c r="DI318" i="1"/>
  <c r="DJ276"/>
  <c r="EG919"/>
  <c r="EG783"/>
  <c r="EN765"/>
  <c r="ES765" s="1"/>
  <c r="EG188"/>
  <c r="EN170"/>
  <c r="ES170" s="1"/>
  <c r="DF12"/>
  <c r="DE55"/>
  <c r="AM16" i="3"/>
  <c r="EG714" i="1"/>
  <c r="EN708"/>
  <c r="ES708" s="1"/>
  <c r="CJ340"/>
  <c r="CJ382" s="1"/>
  <c r="CI340"/>
  <c r="CI382" s="1"/>
  <c r="CK382"/>
  <c r="BW779"/>
  <c r="BW781"/>
  <c r="P82" i="3"/>
  <c r="T82"/>
  <c r="EE714" i="1" l="1"/>
  <c r="EF714"/>
  <c r="ES721"/>
  <c r="EN721"/>
  <c r="T741" i="3"/>
  <c r="ES906" i="1"/>
  <c r="P741" i="3" s="1"/>
  <c r="DC210" i="1"/>
  <c r="AJ214" i="3"/>
  <c r="DB252" i="1"/>
  <c r="DC672"/>
  <c r="AJ676" i="3"/>
  <c r="DB715" i="1"/>
  <c r="DF537"/>
  <c r="DE581"/>
  <c r="AM542" i="3" s="1"/>
  <c r="T146"/>
  <c r="P146"/>
  <c r="EB382" i="1"/>
  <c r="CI736"/>
  <c r="CI779" s="1"/>
  <c r="CJ736"/>
  <c r="CJ779" s="1"/>
  <c r="CK779"/>
  <c r="DO384"/>
  <c r="DP342"/>
  <c r="DP384" s="1"/>
  <c r="DM738"/>
  <c r="AT742" i="3"/>
  <c r="DP144" i="1"/>
  <c r="DP187" s="1"/>
  <c r="DO187"/>
  <c r="AJ478" i="3"/>
  <c r="DB517" i="1"/>
  <c r="DC474"/>
  <c r="DE583"/>
  <c r="D18" i="4"/>
  <c r="DF55" i="1"/>
  <c r="DG12"/>
  <c r="AN16" i="3"/>
  <c r="EN195" i="1"/>
  <c r="ES195"/>
  <c r="EN790"/>
  <c r="ES790"/>
  <c r="DK276"/>
  <c r="AR280" i="3"/>
  <c r="DJ318" i="1"/>
  <c r="Q346" i="3"/>
  <c r="EG384" i="1"/>
  <c r="DG540"/>
  <c r="DF583"/>
  <c r="AN544" i="3"/>
  <c r="EB736" i="1"/>
  <c r="DN408"/>
  <c r="EB408"/>
  <c r="DM451"/>
  <c r="AU412" i="3"/>
  <c r="Q148"/>
  <c r="EG187" i="1"/>
  <c r="DE735"/>
  <c r="DD779"/>
  <c r="AL740" i="3" s="1"/>
  <c r="DD781" i="1"/>
  <c r="EN194" l="1"/>
  <c r="ES194"/>
  <c r="L346" i="3"/>
  <c r="M346" s="1"/>
  <c r="J346" s="1"/>
  <c r="R346"/>
  <c r="DD474" i="1"/>
  <c r="AK478" i="3"/>
  <c r="DC517" i="1"/>
  <c r="EG382"/>
  <c r="EN363"/>
  <c r="ES363" s="1"/>
  <c r="DG537"/>
  <c r="DF581"/>
  <c r="AN542" i="3" s="1"/>
  <c r="DC252" i="1"/>
  <c r="DD210"/>
  <c r="AK214" i="3"/>
  <c r="EL721" i="1"/>
  <c r="EO721"/>
  <c r="EQ721"/>
  <c r="EB451"/>
  <c r="EG408"/>
  <c r="EG736"/>
  <c r="EN759" s="1"/>
  <c r="ES759" s="1"/>
  <c r="AO544" i="3"/>
  <c r="DH540" i="1"/>
  <c r="DG583"/>
  <c r="DF735"/>
  <c r="DE779"/>
  <c r="AM740" i="3" s="1"/>
  <c r="DE781" i="1"/>
  <c r="R148" i="3"/>
  <c r="L148"/>
  <c r="M148" s="1"/>
  <c r="J148" s="1"/>
  <c r="DO408" i="1"/>
  <c r="DN451"/>
  <c r="ES391"/>
  <c r="EN391"/>
  <c r="AS280" i="3"/>
  <c r="DL276" i="1"/>
  <c r="DK318"/>
  <c r="AO16" i="3"/>
  <c r="DH12" i="1"/>
  <c r="DG55"/>
  <c r="DN738"/>
  <c r="EB738"/>
  <c r="AU742" i="3"/>
  <c r="E16" i="4"/>
  <c r="DD672" i="1"/>
  <c r="AK676" i="3"/>
  <c r="DC715" i="1"/>
  <c r="V741" i="3"/>
  <c r="N17" i="4"/>
  <c r="EM721" i="1"/>
  <c r="ER721"/>
  <c r="EP721"/>
  <c r="V675" i="3" l="1"/>
  <c r="V543"/>
  <c r="V411"/>
  <c r="V279"/>
  <c r="V147"/>
  <c r="V15"/>
  <c r="V609"/>
  <c r="V477"/>
  <c r="V345"/>
  <c r="V213"/>
  <c r="V81"/>
  <c r="EG738" i="1"/>
  <c r="DM276"/>
  <c r="DL318"/>
  <c r="AT280" i="3"/>
  <c r="DG735" i="1"/>
  <c r="DF779"/>
  <c r="AN740" i="3" s="1"/>
  <c r="DF781" i="1"/>
  <c r="DI540"/>
  <c r="AP544" i="3"/>
  <c r="EG451" i="1"/>
  <c r="Q412" i="3"/>
  <c r="AL214"/>
  <c r="DD252" i="1"/>
  <c r="DE210"/>
  <c r="DD517"/>
  <c r="DE474"/>
  <c r="AL478" i="3"/>
  <c r="DD715" i="1"/>
  <c r="DE672"/>
  <c r="AL676" i="3"/>
  <c r="DO738" i="1"/>
  <c r="DN781"/>
  <c r="AP16" i="3"/>
  <c r="DH55" i="1"/>
  <c r="DI12"/>
  <c r="DP408"/>
  <c r="DP451" s="1"/>
  <c r="DO451"/>
  <c r="T148" i="3"/>
  <c r="P148"/>
  <c r="DH537" i="1"/>
  <c r="DG581"/>
  <c r="AO542" i="3" s="1"/>
  <c r="EN389" i="1"/>
  <c r="ES389"/>
  <c r="Q344" i="3"/>
  <c r="R344" s="1"/>
  <c r="T346"/>
  <c r="P346"/>
  <c r="T344" l="1"/>
  <c r="P344"/>
  <c r="DI537" i="1"/>
  <c r="DH581"/>
  <c r="AP542" i="3" s="1"/>
  <c r="E18" i="4"/>
  <c r="DJ12" i="1"/>
  <c r="DI55"/>
  <c r="AQ16" i="3"/>
  <c r="DP738" i="1"/>
  <c r="DP781" s="1"/>
  <c r="DO781"/>
  <c r="AM676" i="3"/>
  <c r="DE715" i="1"/>
  <c r="DF672"/>
  <c r="R412" i="3"/>
  <c r="L412"/>
  <c r="M412" s="1"/>
  <c r="J412" s="1"/>
  <c r="AQ544"/>
  <c r="DJ540" i="1"/>
  <c r="DI583"/>
  <c r="EB276"/>
  <c r="DN276"/>
  <c r="DM318"/>
  <c r="Q742" i="3"/>
  <c r="EG781" i="1"/>
  <c r="H18" i="4"/>
  <c r="AM478" i="3"/>
  <c r="DE517" i="1"/>
  <c r="DF474"/>
  <c r="DF210"/>
  <c r="AM214" i="3"/>
  <c r="DE252" i="1"/>
  <c r="ES458"/>
  <c r="EN458"/>
  <c r="DH735"/>
  <c r="DG779"/>
  <c r="AO740" i="3" s="1"/>
  <c r="DG781" i="1"/>
  <c r="DH583"/>
  <c r="DG210" l="1"/>
  <c r="AN214" i="3"/>
  <c r="DF252" i="1"/>
  <c r="ES788"/>
  <c r="EN788"/>
  <c r="EB318"/>
  <c r="EG276"/>
  <c r="T412" i="3"/>
  <c r="P412"/>
  <c r="AR16"/>
  <c r="DK12" i="1"/>
  <c r="DJ55"/>
  <c r="DJ537"/>
  <c r="DI581"/>
  <c r="AQ542" i="3" s="1"/>
  <c r="DI735" i="1"/>
  <c r="DH779"/>
  <c r="AP740" i="3" s="1"/>
  <c r="DH781" i="1"/>
  <c r="AN478" i="3"/>
  <c r="DF517" i="1"/>
  <c r="DG474"/>
  <c r="L742" i="3"/>
  <c r="M742" s="1"/>
  <c r="J742" s="1"/>
  <c r="R742"/>
  <c r="DO276" i="1"/>
  <c r="DN318"/>
  <c r="DK540"/>
  <c r="AR544" i="3"/>
  <c r="DJ583" i="1"/>
  <c r="AN676" i="3"/>
  <c r="DF715" i="1"/>
  <c r="DG672"/>
  <c r="H16" i="4"/>
  <c r="DH672" i="1" l="1"/>
  <c r="AO676" i="3"/>
  <c r="DG715" i="1"/>
  <c r="T742" i="3"/>
  <c r="P742"/>
  <c r="AO478"/>
  <c r="DG517" i="1"/>
  <c r="DH474"/>
  <c r="AS544" i="3"/>
  <c r="DL540" i="1"/>
  <c r="DP276"/>
  <c r="DP318" s="1"/>
  <c r="DO318"/>
  <c r="DJ735"/>
  <c r="DI779"/>
  <c r="AQ740" i="3" s="1"/>
  <c r="DI781" i="1"/>
  <c r="DK537"/>
  <c r="DJ581"/>
  <c r="AR542" i="3" s="1"/>
  <c r="AS16"/>
  <c r="DL12" i="1"/>
  <c r="DK55"/>
  <c r="I18" i="4"/>
  <c r="Q280" i="3"/>
  <c r="EG318" i="1"/>
  <c r="AO214" i="3"/>
  <c r="DH210" i="1"/>
  <c r="DG252"/>
  <c r="AP214" i="3" l="1"/>
  <c r="DH252" i="1"/>
  <c r="DI210"/>
  <c r="EN325"/>
  <c r="ES325"/>
  <c r="DL537"/>
  <c r="DK581"/>
  <c r="AS542" i="3" s="1"/>
  <c r="N18" i="4"/>
  <c r="V742" i="3"/>
  <c r="DH715" i="1"/>
  <c r="DI672"/>
  <c r="AP676" i="3"/>
  <c r="DK583" i="1"/>
  <c r="L280" i="3"/>
  <c r="M280" s="1"/>
  <c r="J280" s="1"/>
  <c r="R280"/>
  <c r="DM12" i="1"/>
  <c r="DL55"/>
  <c r="AT16" i="3"/>
  <c r="DK735" i="1"/>
  <c r="DJ779"/>
  <c r="AR740" i="3" s="1"/>
  <c r="DJ781" i="1"/>
  <c r="DL583"/>
  <c r="AT544" i="3"/>
  <c r="DM540" i="1"/>
  <c r="AP478" i="3"/>
  <c r="DH517" i="1"/>
  <c r="DI474"/>
  <c r="V610" i="3" l="1"/>
  <c r="V478"/>
  <c r="V346"/>
  <c r="V214"/>
  <c r="V82"/>
  <c r="V676"/>
  <c r="V544"/>
  <c r="V412"/>
  <c r="V280"/>
  <c r="V148"/>
  <c r="V16"/>
  <c r="AU544"/>
  <c r="DN540" i="1"/>
  <c r="EB540"/>
  <c r="AU16" i="3"/>
  <c r="DN12" i="1"/>
  <c r="EB12"/>
  <c r="FD12"/>
  <c r="DM55"/>
  <c r="DI517"/>
  <c r="DJ474"/>
  <c r="AQ478" i="3"/>
  <c r="DL735" i="1"/>
  <c r="DK779"/>
  <c r="AS740" i="3" s="1"/>
  <c r="DK781" i="1"/>
  <c r="T280" i="3"/>
  <c r="P280"/>
  <c r="DI715" i="1"/>
  <c r="AQ676" i="3"/>
  <c r="DJ672" i="1"/>
  <c r="AQ214" i="3"/>
  <c r="DJ210" i="1"/>
  <c r="DI252"/>
  <c r="DM537"/>
  <c r="DL581"/>
  <c r="AT542" i="3" s="1"/>
  <c r="DJ252" i="1" l="1"/>
  <c r="AR214" i="3"/>
  <c r="DK210" i="1"/>
  <c r="DK672"/>
  <c r="AR676" i="3"/>
  <c r="DJ715" i="1"/>
  <c r="G18" i="4"/>
  <c r="DM735" i="1"/>
  <c r="DL779"/>
  <c r="AT740" i="3" s="1"/>
  <c r="DL781" i="1"/>
  <c r="DK474"/>
  <c r="DJ517"/>
  <c r="AR478" i="3"/>
  <c r="EB55" i="1"/>
  <c r="EG12"/>
  <c r="EG540"/>
  <c r="EB537"/>
  <c r="DM581"/>
  <c r="DO12"/>
  <c r="DN55"/>
  <c r="DO540"/>
  <c r="DN583"/>
  <c r="DM583"/>
  <c r="Q544" i="3" l="1"/>
  <c r="EG583" i="1"/>
  <c r="AS478" i="3"/>
  <c r="DL474" i="1"/>
  <c r="DK517"/>
  <c r="DP540"/>
  <c r="DP583" s="1"/>
  <c r="DO583"/>
  <c r="DP12"/>
  <c r="DP55" s="1"/>
  <c r="DO55"/>
  <c r="EB581"/>
  <c r="EB735"/>
  <c r="DM779"/>
  <c r="AU740" i="3" s="1"/>
  <c r="DM781" i="1"/>
  <c r="AS214" i="3"/>
  <c r="DL210" i="1"/>
  <c r="DK252"/>
  <c r="EB583"/>
  <c r="Q16" i="3"/>
  <c r="R16" s="1"/>
  <c r="EG55" i="1"/>
  <c r="AS676" i="3"/>
  <c r="DK715" i="1"/>
  <c r="DL672"/>
  <c r="EN62" l="1"/>
  <c r="ES62"/>
  <c r="DL252"/>
  <c r="DM210"/>
  <c r="AT214" i="3"/>
  <c r="EN560" i="1"/>
  <c r="ES560" s="1"/>
  <c r="EG581"/>
  <c r="AT676" i="3"/>
  <c r="DL715" i="1"/>
  <c r="DM672"/>
  <c r="T16" i="3"/>
  <c r="P16"/>
  <c r="L544"/>
  <c r="M544" s="1"/>
  <c r="J544" s="1"/>
  <c r="R544"/>
  <c r="EG735" i="1"/>
  <c r="EN758" s="1"/>
  <c r="ES758" s="1"/>
  <c r="EB779"/>
  <c r="EB781"/>
  <c r="DL517"/>
  <c r="DM474"/>
  <c r="AT478" i="3"/>
  <c r="ES590" i="1"/>
  <c r="EN590"/>
  <c r="T544" i="3" l="1"/>
  <c r="P544"/>
  <c r="AU478"/>
  <c r="EB474" i="1"/>
  <c r="DN474"/>
  <c r="DM517"/>
  <c r="Q542" i="3"/>
  <c r="R542" s="1"/>
  <c r="EN588" i="1"/>
  <c r="ES588"/>
  <c r="C18" i="4"/>
  <c r="DN672" i="1"/>
  <c r="DM715"/>
  <c r="EB672"/>
  <c r="AU214" i="3"/>
  <c r="EB210" i="1"/>
  <c r="DN210"/>
  <c r="DM252"/>
  <c r="EG210" l="1"/>
  <c r="EB252"/>
  <c r="EG672"/>
  <c r="EB715"/>
  <c r="DO672"/>
  <c r="DN715"/>
  <c r="T542" i="3"/>
  <c r="P542"/>
  <c r="DO474" i="1"/>
  <c r="DN517"/>
  <c r="DO210"/>
  <c r="DN252"/>
  <c r="EB517"/>
  <c r="EG474"/>
  <c r="K18" i="4"/>
  <c r="EG517" i="1" l="1"/>
  <c r="Q478" i="3"/>
  <c r="K16" i="4"/>
  <c r="DP210" i="1"/>
  <c r="DP252" s="1"/>
  <c r="DO252"/>
  <c r="DP474"/>
  <c r="DP517" s="1"/>
  <c r="DO517"/>
  <c r="DP672"/>
  <c r="DP715" s="1"/>
  <c r="DO715"/>
  <c r="Q676" i="3"/>
  <c r="EG715" i="1"/>
  <c r="Q214" i="3"/>
  <c r="EG252" i="1"/>
  <c r="R214" i="3" l="1"/>
  <c r="L214"/>
  <c r="M214" s="1"/>
  <c r="J214" s="1"/>
  <c r="L676"/>
  <c r="M676" s="1"/>
  <c r="J676" s="1"/>
  <c r="R676"/>
  <c r="EN524" i="1"/>
  <c r="ES524"/>
  <c r="ES259"/>
  <c r="EN259"/>
  <c r="ES722"/>
  <c r="EN722"/>
  <c r="L478" i="3"/>
  <c r="M478" s="1"/>
  <c r="J478" s="1"/>
  <c r="R478"/>
  <c r="T214" l="1"/>
  <c r="P214"/>
  <c r="P478"/>
  <c r="T478"/>
  <c r="P676"/>
  <c r="T676"/>
  <c r="M18" i="4" l="1"/>
  <c r="J18"/>
  <c r="F18"/>
</calcChain>
</file>

<file path=xl/sharedStrings.xml><?xml version="1.0" encoding="utf-8"?>
<sst xmlns="http://schemas.openxmlformats.org/spreadsheetml/2006/main" count="7639" uniqueCount="241">
  <si>
    <t>Unique clients</t>
  </si>
  <si>
    <t>Extended Engagement Clients</t>
  </si>
  <si>
    <t>Long-term Clients</t>
  </si>
  <si>
    <t>Business Starts</t>
  </si>
  <si>
    <t>New Clients Served - already in business</t>
  </si>
  <si>
    <t>New Clients Served - initial sessions</t>
  </si>
  <si>
    <t>Client Satisfaction - Responses</t>
  </si>
  <si>
    <t>Client Satisfaction - %</t>
  </si>
  <si>
    <t>Specialty Products Users</t>
  </si>
  <si>
    <t>Counseling Hours - total</t>
  </si>
  <si>
    <t>Counseling Hours - online</t>
  </si>
  <si>
    <t>Referrals - incoming</t>
  </si>
  <si>
    <t>Referrals - outgoing</t>
  </si>
  <si>
    <t>College Cash Contribution</t>
  </si>
  <si>
    <t>Fed/State Funding</t>
  </si>
  <si>
    <t>Semi-annual</t>
  </si>
  <si>
    <t>Monthly</t>
  </si>
  <si>
    <t>Internal Training Events - Attended</t>
  </si>
  <si>
    <t>Quarterly</t>
  </si>
  <si>
    <t>Data Elements:</t>
  </si>
  <si>
    <t>Budget Elements:</t>
  </si>
  <si>
    <t>Actual Elements:</t>
  </si>
  <si>
    <t>fed</t>
  </si>
  <si>
    <t>state</t>
  </si>
  <si>
    <t>% Existing Business New Clients to all New Clients</t>
  </si>
  <si>
    <t>% Ext. Engagement to total Unique Clients</t>
  </si>
  <si>
    <t>% Clients using specialty products</t>
  </si>
  <si>
    <t>% Online counseling hours to all counseling hours</t>
  </si>
  <si>
    <t>% College cash to Fed+State funds</t>
  </si>
  <si>
    <t>Index Actual Values:</t>
  </si>
  <si>
    <t>Index Budget Values:</t>
  </si>
  <si>
    <t>/</t>
  </si>
  <si>
    <t>*</t>
  </si>
  <si>
    <t>fn</t>
  </si>
  <si>
    <t>Field Name</t>
  </si>
  <si>
    <t>BFUniq</t>
  </si>
  <si>
    <t>BFEE</t>
  </si>
  <si>
    <t>BFLT</t>
  </si>
  <si>
    <t>BFBusS</t>
  </si>
  <si>
    <t>BFCI</t>
  </si>
  <si>
    <t>BSUniq</t>
  </si>
  <si>
    <t>BSEE</t>
  </si>
  <si>
    <t>BAllNew</t>
  </si>
  <si>
    <t>BInBusNew</t>
  </si>
  <si>
    <t>BSatResp</t>
  </si>
  <si>
    <t>BSatRate</t>
  </si>
  <si>
    <t>BTotHrs</t>
  </si>
  <si>
    <t>BOnlHrs</t>
  </si>
  <si>
    <t>BRefIn</t>
  </si>
  <si>
    <t>BRefOut</t>
  </si>
  <si>
    <t>BTrnAtt</t>
  </si>
  <si>
    <t>BSuccess</t>
  </si>
  <si>
    <t>BColCash</t>
  </si>
  <si>
    <t>BFSFunds</t>
  </si>
  <si>
    <t>AFUniq</t>
  </si>
  <si>
    <t>AFEE</t>
  </si>
  <si>
    <t>AFLT</t>
  </si>
  <si>
    <t>AFBusS</t>
  </si>
  <si>
    <t>AFCI</t>
  </si>
  <si>
    <t>ASUniq</t>
  </si>
  <si>
    <t>ASEE</t>
  </si>
  <si>
    <t>AAllNew</t>
  </si>
  <si>
    <t>AInBusNew</t>
  </si>
  <si>
    <t>ASatResp</t>
  </si>
  <si>
    <t>ASatRate</t>
  </si>
  <si>
    <t>ATotHrs</t>
  </si>
  <si>
    <t>AOnlHrs</t>
  </si>
  <si>
    <t>ARefIn</t>
  </si>
  <si>
    <t>ARefOut</t>
  </si>
  <si>
    <t>ATrnAtt</t>
  </si>
  <si>
    <t>ASuccess</t>
  </si>
  <si>
    <t>AColCash</t>
  </si>
  <si>
    <t>AFSFunds</t>
  </si>
  <si>
    <t>Index Name</t>
  </si>
  <si>
    <t>BExistBus</t>
  </si>
  <si>
    <t>BEECl</t>
  </si>
  <si>
    <t>Bsat</t>
  </si>
  <si>
    <t>BOnline</t>
  </si>
  <si>
    <t>Bcash</t>
  </si>
  <si>
    <t>AEECl</t>
  </si>
  <si>
    <t>Asat</t>
  </si>
  <si>
    <t>AOnline</t>
  </si>
  <si>
    <t>Acash</t>
  </si>
  <si>
    <t>AExistBus</t>
  </si>
  <si>
    <t>Bspec2</t>
  </si>
  <si>
    <t>ASpec2</t>
  </si>
  <si>
    <t>BSpec1</t>
  </si>
  <si>
    <t>ASpec1</t>
  </si>
  <si>
    <t>Index Formula</t>
  </si>
  <si>
    <t>Month</t>
  </si>
  <si>
    <t>Entry Basis</t>
  </si>
  <si>
    <t>YTD</t>
  </si>
  <si>
    <t>Computed</t>
  </si>
  <si>
    <t>Entry Freq</t>
  </si>
  <si>
    <t>Capital Infusion ($million)</t>
  </si>
  <si>
    <t>Input section</t>
  </si>
  <si>
    <t>Fed 6/30</t>
  </si>
  <si>
    <t>N/A</t>
  </si>
  <si>
    <t>Client Satisfaction Computation Base</t>
  </si>
  <si>
    <t>Objective</t>
  </si>
  <si>
    <t>Measure</t>
  </si>
  <si>
    <t>Status</t>
  </si>
  <si>
    <t>Annual Target</t>
  </si>
  <si>
    <t>Year to Date</t>
  </si>
  <si>
    <t>Trend</t>
  </si>
  <si>
    <t>Target</t>
  </si>
  <si>
    <t>Current</t>
  </si>
  <si>
    <t># of Business Starts</t>
  </si>
  <si>
    <t>+/-Goal</t>
  </si>
  <si>
    <t>Satisfy client needs</t>
  </si>
  <si>
    <t>Quarter</t>
  </si>
  <si>
    <t>Actual</t>
  </si>
  <si>
    <t>Budget</t>
  </si>
  <si>
    <t>Computed *****</t>
  </si>
  <si>
    <t>***** October State Unique Clients and EE Clients must be manually entered</t>
  </si>
  <si>
    <t>Month Values</t>
  </si>
  <si>
    <t>Quarter-to-Date Totals</t>
  </si>
  <si>
    <t>YTD Values by Month</t>
  </si>
  <si>
    <t>Annual Budget</t>
  </si>
  <si>
    <t>Scorecard Graphics</t>
  </si>
  <si>
    <t>Month Color</t>
  </si>
  <si>
    <t>YTD Color</t>
  </si>
  <si>
    <t>Month Trend</t>
  </si>
  <si>
    <t>Quarter Trend</t>
  </si>
  <si>
    <t>Month %</t>
  </si>
  <si>
    <t>Quarter %</t>
  </si>
  <si>
    <t>YTD %</t>
  </si>
  <si>
    <t>Qtr Color</t>
  </si>
  <si>
    <t>Annual Goal</t>
  </si>
  <si>
    <t>&lt;----- % of year for YTD Calculations</t>
  </si>
  <si>
    <t xml:space="preserve">Quarter Ending </t>
  </si>
  <si>
    <t>% Goal</t>
  </si>
  <si>
    <t># of Ext Engag Clients; &gt;5 Hrs contact since 10/05</t>
  </si>
  <si>
    <t>Fed Fiscal Year-to-Date</t>
  </si>
  <si>
    <t>SBA Scorecard</t>
  </si>
  <si>
    <t>State Scorecard</t>
  </si>
  <si>
    <t>State Fiscal Year-to-Date</t>
  </si>
  <si>
    <t>Report Cycle</t>
  </si>
  <si>
    <t>Capital Infusion $ - Million</t>
  </si>
  <si>
    <t>STATUS - Default Ranges vs. Target</t>
  </si>
  <si>
    <t>Green</t>
  </si>
  <si>
    <t>Yellow</t>
  </si>
  <si>
    <t>Red</t>
  </si>
  <si>
    <t>Internal Training Events - Planned</t>
  </si>
  <si>
    <t>% of annual internal training</t>
  </si>
  <si>
    <t>Blanding SBDC</t>
  </si>
  <si>
    <t xml:space="preserve">Contact: </t>
  </si>
  <si>
    <t>Bill Olderog</t>
  </si>
  <si>
    <t xml:space="preserve">Utah Small Business Development Centers - Balance Scorecard: </t>
  </si>
  <si>
    <t>Federal Fiscal Year 2010</t>
  </si>
  <si>
    <t>State Fiscal Year 2009</t>
  </si>
  <si>
    <t>State Fiscal Year 2010</t>
  </si>
  <si>
    <t>Fed Month</t>
  </si>
  <si>
    <t>State Month</t>
  </si>
  <si>
    <t>State F Y-</t>
  </si>
  <si>
    <t>Fed FY-</t>
  </si>
  <si>
    <t>St Mo-</t>
  </si>
  <si>
    <t>Fed Mo-</t>
  </si>
  <si>
    <t>This Period</t>
  </si>
  <si>
    <t>- Month(s)</t>
  </si>
  <si>
    <t>% Satisfied Clients indexed for Responses</t>
  </si>
  <si>
    <t>Input Month----&gt;</t>
  </si>
  <si>
    <t>State FYTD - Clients Served</t>
  </si>
  <si>
    <t>State FYTD - Extended Engagement Clients</t>
  </si>
  <si>
    <t>90% or Greater &gt;&gt;&gt;</t>
  </si>
  <si>
    <t>&gt;=75% to &lt;90% &gt;&gt;&gt;</t>
  </si>
  <si>
    <t>Less than 75% &gt;&gt;&gt;</t>
  </si>
  <si>
    <t>Cedar City SBDC</t>
  </si>
  <si>
    <t>Craig Isom</t>
  </si>
  <si>
    <t>Ephraim SBDC</t>
  </si>
  <si>
    <t>Alan Christensen</t>
  </si>
  <si>
    <t>Logan SBDC</t>
  </si>
  <si>
    <t>Frank Prante</t>
  </si>
  <si>
    <t>Ogden SBDC</t>
  </si>
  <si>
    <t>Beverly King</t>
  </si>
  <si>
    <t>Orem SBDC</t>
  </si>
  <si>
    <t>Steve Clark</t>
  </si>
  <si>
    <t>Price SBDC</t>
  </si>
  <si>
    <t>Ethan Migliori</t>
  </si>
  <si>
    <t>Sandy SBDC</t>
  </si>
  <si>
    <t>Kaysville SBDC</t>
  </si>
  <si>
    <t>Brent Miekle</t>
  </si>
  <si>
    <t>St George SBDC</t>
  </si>
  <si>
    <t>Vernal SBDC</t>
  </si>
  <si>
    <t>Utah SBDC</t>
  </si>
  <si>
    <t>Greg Panichello</t>
  </si>
  <si>
    <t>Mark Holmes</t>
  </si>
  <si>
    <t>Len Erickson</t>
  </si>
  <si>
    <t>Control Totals:</t>
  </si>
  <si>
    <t>Verification:</t>
  </si>
  <si>
    <t># of Unique Clients YTD</t>
  </si>
  <si>
    <t>YTD Target</t>
  </si>
  <si>
    <t>Qtr Target</t>
  </si>
  <si>
    <t>Current QTD</t>
  </si>
  <si>
    <t>QTD Target</t>
  </si>
  <si>
    <t>Rex Falkenrath</t>
  </si>
  <si>
    <t>Long-term relationships</t>
  </si>
  <si>
    <t>Quantity of Clients served</t>
  </si>
  <si>
    <t>Focus on high impact clients mix</t>
  </si>
  <si>
    <t>% of existing business new clients to initial clients</t>
  </si>
  <si>
    <t>Average Hours/Client</t>
  </si>
  <si>
    <t>Client satisfaction rating %</t>
  </si>
  <si>
    <t>Success Stories (Fed Fiscal Year)</t>
  </si>
  <si>
    <t>Total State</t>
  </si>
  <si>
    <t>State</t>
  </si>
  <si>
    <t>Mission Statement: To strengthen Utah's economic fabric and quality of life by facilitating the success and prosperity of business endeavors</t>
  </si>
  <si>
    <t xml:space="preserve">Economic impact </t>
  </si>
  <si>
    <t>Economic Impact</t>
  </si>
  <si>
    <t>Sales Increased</t>
  </si>
  <si>
    <t>Comments/ Explanation</t>
  </si>
  <si>
    <t>Blanding</t>
  </si>
  <si>
    <t>Cedar City</t>
  </si>
  <si>
    <t>Ephraim</t>
  </si>
  <si>
    <t>Kaysville</t>
  </si>
  <si>
    <t>Logan</t>
  </si>
  <si>
    <t>Ogden</t>
  </si>
  <si>
    <t>Orem</t>
  </si>
  <si>
    <t>Price</t>
  </si>
  <si>
    <t>Sandy</t>
  </si>
  <si>
    <t>St George</t>
  </si>
  <si>
    <t>Vernal</t>
  </si>
  <si>
    <t>Utah</t>
  </si>
  <si>
    <t>St. George</t>
  </si>
  <si>
    <t xml:space="preserve">Vernal </t>
  </si>
  <si>
    <t>Sales</t>
  </si>
  <si>
    <t>Actual:</t>
  </si>
  <si>
    <t>% Average Hours/Client</t>
  </si>
  <si>
    <t>Jobs Created</t>
  </si>
  <si>
    <t>Jobs Retained</t>
  </si>
  <si>
    <t>Utah SBDC Balanced Scorecard Definitions and Data Dictionary</t>
  </si>
  <si>
    <t>2010 Goal</t>
  </si>
  <si>
    <t>2010Actual</t>
  </si>
  <si>
    <t>2010Est</t>
  </si>
  <si>
    <t>2009 Actual</t>
  </si>
  <si>
    <t>Sales Increased $-Millions</t>
  </si>
  <si>
    <t>Ken Fakler</t>
  </si>
  <si>
    <t>1098/12</t>
  </si>
  <si>
    <t xml:space="preserve">Quarter </t>
  </si>
  <si>
    <t xml:space="preserve">Month  - </t>
  </si>
  <si>
    <t>11 Mos</t>
  </si>
  <si>
    <t>2 Mos</t>
  </si>
</sst>
</file>

<file path=xl/styles.xml><?xml version="1.0" encoding="utf-8"?>
<styleSheet xmlns="http://schemas.openxmlformats.org/spreadsheetml/2006/main">
  <numFmts count="21">
    <numFmt numFmtId="41" formatCode="_(* #,##0_);_(* \(#,##0\);_(* &quot;-&quot;_);_(@_)"/>
    <numFmt numFmtId="43" formatCode="_(* #,##0.00_);_(* \(#,##0.00\);_(* &quot;-&quot;??_);_(@_)"/>
    <numFmt numFmtId="164" formatCode="[$-409]mmm\-yy;@"/>
    <numFmt numFmtId="165" formatCode="0.0%"/>
    <numFmt numFmtId="166" formatCode="_(* #,##0_);_(* \(#,##0\);_(* &quot;-&quot;??_);_(@_)"/>
    <numFmt numFmtId="167" formatCode="[$-409]mmmm\ d\,\ yyyy;@"/>
    <numFmt numFmtId="168" formatCode="[$-409]mmmm\-yy;@"/>
    <numFmt numFmtId="169" formatCode="_(* #,##0.000_);_(* \(#,##0.000\);_(* &quot;-&quot;??_);_(@_)"/>
    <numFmt numFmtId="170" formatCode="_(* #,##0.0000_);_(* \(#,##0.0000\);_(* &quot;-&quot;??_);_(@_)"/>
    <numFmt numFmtId="171" formatCode="_(* #,##0.000000_);_(* \(#,##0.000000\);_(* &quot;-&quot;??_);_(@_)"/>
    <numFmt numFmtId="172" formatCode="_(* #,##0.0000000_);_(* \(#,##0.0000000\);_(* &quot;-&quot;??_);_(@_)"/>
    <numFmt numFmtId="173" formatCode="0.0"/>
    <numFmt numFmtId="174" formatCode="_(* #,##0.00000_);_(* \(#,##0.00000\);_(* &quot;-&quot;??_);_(@_)"/>
    <numFmt numFmtId="175" formatCode="_(* #,##0.00000000_);_(* \(#,##0.00000000\);_(* &quot;-&quot;??_);_(@_)"/>
    <numFmt numFmtId="176" formatCode="_(* #,##0.0_);_(* \(#,##0.0\);_(* &quot;-&quot;??_);_(@_)"/>
    <numFmt numFmtId="177" formatCode="0.000%"/>
    <numFmt numFmtId="178" formatCode="0.000"/>
    <numFmt numFmtId="179" formatCode="0.0000"/>
    <numFmt numFmtId="180" formatCode="0_);\(0\)"/>
    <numFmt numFmtId="181" formatCode="#,##0.0_);\(#,##0.0\)"/>
    <numFmt numFmtId="182" formatCode="#,##0.000_);\(#,##0.000\)"/>
  </numFmts>
  <fonts count="35">
    <font>
      <sz val="12"/>
      <color theme="1"/>
      <name val="Candara"/>
      <family val="2"/>
    </font>
    <font>
      <sz val="10"/>
      <name val="Wingdings 3"/>
      <family val="1"/>
      <charset val="2"/>
    </font>
    <font>
      <sz val="10"/>
      <name val="Arial"/>
      <family val="2"/>
    </font>
    <font>
      <sz val="10"/>
      <color indexed="8"/>
      <name val="Candara"/>
      <family val="2"/>
    </font>
    <font>
      <b/>
      <i/>
      <sz val="10"/>
      <name val="Candara"/>
      <family val="2"/>
    </font>
    <font>
      <sz val="10"/>
      <name val="Candara"/>
      <family val="2"/>
    </font>
    <font>
      <b/>
      <sz val="10"/>
      <name val="Candara"/>
      <family val="2"/>
    </font>
    <font>
      <sz val="8"/>
      <name val="Candara"/>
      <family val="2"/>
    </font>
    <font>
      <b/>
      <i/>
      <sz val="12"/>
      <name val="Candara"/>
      <family val="2"/>
    </font>
    <font>
      <sz val="12"/>
      <name val="Candara"/>
      <family val="2"/>
    </font>
    <font>
      <b/>
      <sz val="12"/>
      <name val="Candara"/>
      <family val="2"/>
    </font>
    <font>
      <b/>
      <sz val="10"/>
      <color indexed="8"/>
      <name val="Candara"/>
      <family val="2"/>
    </font>
    <font>
      <sz val="12"/>
      <color theme="1"/>
      <name val="Candara"/>
      <family val="2"/>
    </font>
    <font>
      <sz val="12"/>
      <color theme="0"/>
      <name val="Candara"/>
      <family val="2"/>
    </font>
    <font>
      <b/>
      <sz val="12"/>
      <color theme="0"/>
      <name val="Candara"/>
      <family val="2"/>
    </font>
    <font>
      <sz val="11"/>
      <color theme="1"/>
      <name val="Calibri"/>
      <family val="2"/>
      <scheme val="minor"/>
    </font>
    <font>
      <u/>
      <sz val="12"/>
      <color theme="10"/>
      <name val="Candara"/>
      <family val="2"/>
    </font>
    <font>
      <b/>
      <sz val="12"/>
      <color theme="1"/>
      <name val="Candara"/>
      <family val="2"/>
    </font>
    <font>
      <sz val="10"/>
      <color theme="1"/>
      <name val="Candara"/>
      <family val="2"/>
    </font>
    <font>
      <b/>
      <sz val="10"/>
      <color theme="1"/>
      <name val="Candara"/>
      <family val="2"/>
    </font>
    <font>
      <sz val="10"/>
      <color theme="0"/>
      <name val="Candara"/>
      <family val="2"/>
    </font>
    <font>
      <sz val="10"/>
      <color rgb="FFC00000"/>
      <name val="Candara"/>
      <family val="2"/>
    </font>
    <font>
      <sz val="11"/>
      <color theme="1"/>
      <name val="Candara"/>
      <family val="2"/>
    </font>
    <font>
      <b/>
      <i/>
      <sz val="10"/>
      <color theme="1"/>
      <name val="Candara"/>
      <family val="2"/>
    </font>
    <font>
      <b/>
      <sz val="10"/>
      <color rgb="FFFF0000"/>
      <name val="Candara"/>
      <family val="2"/>
    </font>
    <font>
      <b/>
      <i/>
      <sz val="8"/>
      <color rgb="FFFF0000"/>
      <name val="Candara"/>
      <family val="2"/>
    </font>
    <font>
      <b/>
      <sz val="8"/>
      <color rgb="FFFF0000"/>
      <name val="Candara"/>
      <family val="2"/>
    </font>
    <font>
      <sz val="10"/>
      <color rgb="FFFF0000"/>
      <name val="Candara"/>
      <family val="2"/>
    </font>
    <font>
      <b/>
      <sz val="36"/>
      <color theme="1"/>
      <name val="Candara"/>
      <family val="2"/>
    </font>
    <font>
      <b/>
      <sz val="20"/>
      <color theme="1"/>
      <name val="Candara"/>
      <family val="2"/>
    </font>
    <font>
      <sz val="11"/>
      <color theme="0"/>
      <name val="Candara"/>
      <family val="2"/>
    </font>
    <font>
      <b/>
      <sz val="12"/>
      <color rgb="FFFF0000"/>
      <name val="Candara"/>
      <family val="2"/>
    </font>
    <font>
      <b/>
      <i/>
      <sz val="10"/>
      <color rgb="FFFF0000"/>
      <name val="Candara"/>
      <family val="2"/>
    </font>
    <font>
      <i/>
      <u/>
      <sz val="10"/>
      <color theme="2" tint="-0.499984740745262"/>
      <name val="Candara"/>
      <family val="2"/>
    </font>
    <font>
      <u/>
      <sz val="10"/>
      <color theme="10"/>
      <name val="Candara"/>
      <family val="2"/>
    </font>
  </fonts>
  <fills count="11">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0"/>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xf numFmtId="43" fontId="12" fillId="0" borderId="0" applyFont="0" applyFill="0" applyBorder="0" applyAlignment="0" applyProtection="0"/>
    <xf numFmtId="43" fontId="15" fillId="0" borderId="0" applyFont="0" applyFill="0" applyBorder="0" applyAlignment="0" applyProtection="0"/>
    <xf numFmtId="0" fontId="2" fillId="0" borderId="0"/>
    <xf numFmtId="0" fontId="16" fillId="0" borderId="0" applyNumberFormat="0" applyFill="0" applyBorder="0" applyAlignment="0" applyProtection="0">
      <alignment vertical="top"/>
      <protection locked="0"/>
    </xf>
    <xf numFmtId="0" fontId="15" fillId="0" borderId="0"/>
    <xf numFmtId="0" fontId="2" fillId="0" borderId="0"/>
    <xf numFmtId="0" fontId="15" fillId="0" borderId="0"/>
    <xf numFmtId="9" fontId="12" fillId="0" borderId="0" applyFont="0" applyFill="0" applyBorder="0" applyAlignment="0" applyProtection="0"/>
    <xf numFmtId="9" fontId="15" fillId="0" borderId="0" applyFont="0" applyFill="0" applyBorder="0" applyAlignment="0" applyProtection="0"/>
  </cellStyleXfs>
  <cellXfs count="678">
    <xf numFmtId="0" fontId="0" fillId="0" borderId="0" xfId="0"/>
    <xf numFmtId="0" fontId="18" fillId="0" borderId="0" xfId="0" applyFont="1" applyAlignment="1">
      <alignment horizontal="center" wrapText="1"/>
    </xf>
    <xf numFmtId="0" fontId="18" fillId="0" borderId="0" xfId="0" applyFont="1"/>
    <xf numFmtId="0" fontId="18" fillId="0" borderId="0" xfId="0" applyFont="1" applyAlignment="1">
      <alignment horizontal="center"/>
    </xf>
    <xf numFmtId="0" fontId="18" fillId="0" borderId="0" xfId="0" quotePrefix="1" applyFont="1" applyAlignment="1">
      <alignment horizontal="center"/>
    </xf>
    <xf numFmtId="0" fontId="19" fillId="0" borderId="0" xfId="0" applyFont="1" applyAlignment="1">
      <alignment horizontal="left" wrapText="1"/>
    </xf>
    <xf numFmtId="0" fontId="19" fillId="0" borderId="0" xfId="0" applyFont="1"/>
    <xf numFmtId="0" fontId="19" fillId="0" borderId="0" xfId="0" applyFont="1" applyAlignment="1">
      <alignment horizontal="left" wrapText="1"/>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3" xfId="0" applyFont="1" applyBorder="1" applyAlignment="1">
      <alignment horizontal="center" wrapText="1"/>
    </xf>
    <xf numFmtId="0" fontId="19" fillId="0" borderId="4" xfId="0" applyFont="1" applyBorder="1" applyAlignment="1">
      <alignment horizontal="center" wrapText="1"/>
    </xf>
    <xf numFmtId="0" fontId="18" fillId="0" borderId="5" xfId="0" applyFont="1" applyBorder="1" applyAlignment="1">
      <alignment horizontal="center"/>
    </xf>
    <xf numFmtId="164" fontId="18" fillId="0" borderId="5" xfId="0" applyNumberFormat="1" applyFont="1" applyBorder="1" applyAlignment="1">
      <alignment horizontal="center" wrapText="1"/>
    </xf>
    <xf numFmtId="165" fontId="18" fillId="0" borderId="0" xfId="8" applyNumberFormat="1" applyFont="1"/>
    <xf numFmtId="165" fontId="19" fillId="0" borderId="0" xfId="8" applyNumberFormat="1" applyFont="1"/>
    <xf numFmtId="165" fontId="18" fillId="0" borderId="0" xfId="8" applyNumberFormat="1" applyFont="1" applyAlignment="1">
      <alignment horizontal="center"/>
    </xf>
    <xf numFmtId="0" fontId="18" fillId="0" borderId="4" xfId="0" applyFont="1" applyBorder="1" applyAlignment="1">
      <alignment horizontal="center" wrapText="1"/>
    </xf>
    <xf numFmtId="166" fontId="18" fillId="0" borderId="0" xfId="1" applyNumberFormat="1" applyFont="1" applyAlignment="1">
      <alignment horizontal="right" wrapText="1"/>
    </xf>
    <xf numFmtId="0" fontId="18" fillId="0" borderId="0" xfId="0" applyFont="1" applyAlignment="1">
      <alignment horizontal="right" wrapText="1"/>
    </xf>
    <xf numFmtId="0" fontId="18" fillId="0" borderId="6" xfId="0" applyFont="1" applyBorder="1" applyAlignment="1">
      <alignment horizontal="right" wrapText="1"/>
    </xf>
    <xf numFmtId="166" fontId="18" fillId="0" borderId="0" xfId="0" applyNumberFormat="1" applyFont="1" applyAlignment="1">
      <alignment horizontal="right" wrapText="1"/>
    </xf>
    <xf numFmtId="166" fontId="18" fillId="0" borderId="6" xfId="0" applyNumberFormat="1" applyFont="1" applyBorder="1" applyAlignment="1">
      <alignment horizontal="right" wrapText="1"/>
    </xf>
    <xf numFmtId="0" fontId="18" fillId="0" borderId="0" xfId="0" applyFont="1" applyAlignment="1">
      <alignment horizontal="right"/>
    </xf>
    <xf numFmtId="165" fontId="18" fillId="0" borderId="0" xfId="8" applyNumberFormat="1" applyFont="1" applyAlignment="1">
      <alignment horizontal="right"/>
    </xf>
    <xf numFmtId="165" fontId="18" fillId="0" borderId="0" xfId="8" applyNumberFormat="1" applyFont="1" applyAlignment="1">
      <alignment horizontal="right" wrapText="1"/>
    </xf>
    <xf numFmtId="0" fontId="18" fillId="0" borderId="0" xfId="0" applyFont="1" applyBorder="1" applyAlignment="1">
      <alignment horizontal="right" wrapText="1"/>
    </xf>
    <xf numFmtId="166" fontId="18" fillId="0" borderId="0" xfId="0" applyNumberFormat="1" applyFont="1" applyBorder="1" applyAlignment="1">
      <alignment horizontal="right" wrapText="1"/>
    </xf>
    <xf numFmtId="0" fontId="18" fillId="2" borderId="0" xfId="0" applyFont="1" applyFill="1" applyAlignment="1">
      <alignment horizontal="center"/>
    </xf>
    <xf numFmtId="0" fontId="18" fillId="2" borderId="0" xfId="0" applyFont="1" applyFill="1" applyAlignment="1">
      <alignment horizontal="right"/>
    </xf>
    <xf numFmtId="166" fontId="18" fillId="2" borderId="0" xfId="0" applyNumberFormat="1" applyFont="1" applyFill="1" applyAlignment="1">
      <alignment horizontal="right" wrapText="1"/>
    </xf>
    <xf numFmtId="0" fontId="18" fillId="0" borderId="7" xfId="0" applyFont="1" applyBorder="1" applyAlignment="1">
      <alignment horizontal="right" wrapText="1"/>
    </xf>
    <xf numFmtId="165" fontId="18" fillId="2" borderId="0" xfId="8" applyNumberFormat="1" applyFont="1" applyFill="1" applyAlignment="1">
      <alignment horizontal="right" wrapText="1"/>
    </xf>
    <xf numFmtId="165" fontId="18" fillId="0" borderId="7" xfId="8" applyNumberFormat="1" applyFont="1" applyBorder="1" applyAlignment="1">
      <alignment horizontal="right" wrapText="1"/>
    </xf>
    <xf numFmtId="0" fontId="18" fillId="0" borderId="8" xfId="0" applyFont="1" applyBorder="1" applyAlignment="1">
      <alignment horizontal="right" wrapText="1"/>
    </xf>
    <xf numFmtId="0" fontId="18" fillId="0" borderId="5" xfId="0" applyFont="1" applyBorder="1" applyAlignment="1">
      <alignment horizontal="center" wrapText="1"/>
    </xf>
    <xf numFmtId="0" fontId="19" fillId="0" borderId="0" xfId="0" applyFont="1" applyFill="1" applyAlignment="1">
      <alignment horizontal="left"/>
    </xf>
    <xf numFmtId="0" fontId="18" fillId="0" borderId="0" xfId="0" applyFont="1" applyFill="1" applyAlignment="1">
      <alignment horizontal="center" wrapText="1"/>
    </xf>
    <xf numFmtId="164" fontId="20" fillId="0" borderId="0" xfId="1" applyNumberFormat="1" applyFont="1" applyFill="1" applyAlignment="1">
      <alignment horizontal="center" wrapText="1"/>
    </xf>
    <xf numFmtId="0" fontId="20" fillId="0" borderId="0" xfId="0" applyFont="1" applyFill="1" applyAlignment="1">
      <alignment horizontal="center" wrapText="1"/>
    </xf>
    <xf numFmtId="0" fontId="18" fillId="0" borderId="0" xfId="0" applyFont="1" applyFill="1" applyAlignment="1">
      <alignment horizontal="right" wrapText="1"/>
    </xf>
    <xf numFmtId="0" fontId="18" fillId="2" borderId="0" xfId="0" applyFont="1" applyFill="1" applyAlignment="1">
      <alignment horizontal="left"/>
    </xf>
    <xf numFmtId="0" fontId="21" fillId="0" borderId="0" xfId="0" quotePrefix="1" applyFont="1" applyAlignment="1">
      <alignment horizontal="left"/>
    </xf>
    <xf numFmtId="0" fontId="18" fillId="2" borderId="0" xfId="0" applyFont="1" applyFill="1" applyAlignment="1"/>
    <xf numFmtId="166" fontId="18" fillId="0" borderId="0" xfId="0" applyNumberFormat="1" applyFont="1" applyAlignment="1">
      <alignment horizontal="center"/>
    </xf>
    <xf numFmtId="0" fontId="18" fillId="0" borderId="6" xfId="0" applyFont="1" applyBorder="1" applyAlignment="1">
      <alignment horizontal="center"/>
    </xf>
    <xf numFmtId="0" fontId="1" fillId="0" borderId="5" xfId="7" applyFont="1" applyBorder="1" applyAlignment="1">
      <alignment horizontal="center"/>
    </xf>
    <xf numFmtId="165" fontId="18" fillId="0" borderId="0" xfId="0" applyNumberFormat="1" applyFont="1"/>
    <xf numFmtId="166" fontId="18" fillId="0" borderId="0" xfId="0" applyNumberFormat="1" applyFont="1" applyFill="1" applyAlignment="1">
      <alignment horizontal="right" wrapText="1"/>
    </xf>
    <xf numFmtId="166" fontId="18" fillId="0" borderId="0" xfId="0" applyNumberFormat="1" applyFont="1" applyFill="1" applyAlignment="1">
      <alignment horizontal="center" wrapText="1"/>
    </xf>
    <xf numFmtId="166" fontId="18" fillId="0" borderId="0" xfId="1" applyNumberFormat="1" applyFont="1" applyFill="1" applyAlignment="1">
      <alignment horizontal="center" wrapText="1"/>
    </xf>
    <xf numFmtId="166" fontId="18" fillId="0" borderId="0" xfId="1" applyNumberFormat="1" applyFont="1" applyFill="1" applyAlignment="1">
      <alignment horizontal="right" wrapText="1"/>
    </xf>
    <xf numFmtId="166" fontId="18" fillId="0" borderId="0" xfId="0" applyNumberFormat="1" applyFont="1" applyFill="1"/>
    <xf numFmtId="0" fontId="18" fillId="0" borderId="0" xfId="0" applyFont="1" applyFill="1"/>
    <xf numFmtId="0" fontId="18" fillId="0" borderId="0" xfId="0" applyFont="1" applyFill="1" applyAlignment="1">
      <alignment horizontal="right"/>
    </xf>
    <xf numFmtId="165" fontId="18" fillId="0" borderId="0" xfId="8" applyNumberFormat="1" applyFont="1" applyFill="1"/>
    <xf numFmtId="165" fontId="18" fillId="0" borderId="0" xfId="8" applyNumberFormat="1" applyFont="1" applyFill="1" applyAlignment="1">
      <alignment horizontal="right" wrapText="1"/>
    </xf>
    <xf numFmtId="165" fontId="18" fillId="0" borderId="0" xfId="8" applyNumberFormat="1" applyFont="1" applyFill="1" applyAlignment="1">
      <alignment horizontal="right"/>
    </xf>
    <xf numFmtId="166" fontId="18" fillId="0" borderId="0" xfId="1" applyNumberFormat="1" applyFont="1" applyFill="1" applyAlignment="1">
      <alignment wrapText="1"/>
    </xf>
    <xf numFmtId="166" fontId="18" fillId="0" borderId="0" xfId="1" applyNumberFormat="1" applyFont="1" applyFill="1" applyAlignment="1"/>
    <xf numFmtId="165" fontId="18" fillId="0" borderId="0" xfId="0" applyNumberFormat="1" applyFont="1" applyFill="1" applyAlignment="1">
      <alignment horizontal="right" wrapText="1"/>
    </xf>
    <xf numFmtId="9" fontId="18" fillId="0" borderId="0" xfId="8" applyNumberFormat="1" applyFont="1" applyFill="1" applyAlignment="1">
      <alignment horizontal="right" wrapText="1"/>
    </xf>
    <xf numFmtId="165" fontId="18" fillId="2" borderId="0" xfId="8" applyNumberFormat="1" applyFont="1" applyFill="1"/>
    <xf numFmtId="0" fontId="18" fillId="2" borderId="0" xfId="0" quotePrefix="1" applyFont="1" applyFill="1" applyAlignment="1">
      <alignment horizontal="center"/>
    </xf>
    <xf numFmtId="0" fontId="18" fillId="2" borderId="0" xfId="0" applyFont="1" applyFill="1"/>
    <xf numFmtId="165" fontId="18" fillId="0" borderId="0" xfId="0" applyNumberFormat="1" applyFont="1" applyAlignment="1">
      <alignment horizontal="right"/>
    </xf>
    <xf numFmtId="0" fontId="17" fillId="0" borderId="0" xfId="0" applyFont="1"/>
    <xf numFmtId="0" fontId="0" fillId="0" borderId="0" xfId="0" applyFont="1"/>
    <xf numFmtId="0" fontId="18" fillId="0" borderId="0" xfId="5" applyFont="1" applyBorder="1" applyAlignment="1">
      <alignment horizontal="center"/>
    </xf>
    <xf numFmtId="0" fontId="22" fillId="0" borderId="0" xfId="5" applyFont="1" applyBorder="1"/>
    <xf numFmtId="0" fontId="0" fillId="0" borderId="0" xfId="0" applyFont="1" applyBorder="1"/>
    <xf numFmtId="0" fontId="18" fillId="0" borderId="9" xfId="5" applyFont="1" applyFill="1" applyBorder="1" applyAlignment="1">
      <alignment horizontal="center" vertical="center" wrapText="1"/>
    </xf>
    <xf numFmtId="0" fontId="18" fillId="0" borderId="5" xfId="5" applyFont="1" applyFill="1" applyBorder="1" applyAlignment="1">
      <alignment horizontal="center" vertical="center" wrapText="1"/>
    </xf>
    <xf numFmtId="0" fontId="18" fillId="0" borderId="10" xfId="5" applyFont="1" applyFill="1" applyBorder="1" applyAlignment="1">
      <alignment horizontal="center" vertical="center" wrapText="1"/>
    </xf>
    <xf numFmtId="0" fontId="18" fillId="0" borderId="0" xfId="5" applyFont="1" applyFill="1" applyBorder="1" applyAlignment="1">
      <alignment horizontal="center" vertical="center" wrapText="1"/>
    </xf>
    <xf numFmtId="0" fontId="22" fillId="0" borderId="0" xfId="5" applyFont="1" applyFill="1" applyBorder="1" applyAlignment="1">
      <alignment horizontal="center"/>
    </xf>
    <xf numFmtId="0" fontId="8" fillId="0" borderId="0" xfId="5" applyFont="1" applyBorder="1"/>
    <xf numFmtId="0" fontId="9" fillId="0" borderId="0" xfId="5" applyFont="1" applyBorder="1" applyAlignment="1">
      <alignment horizontal="center"/>
    </xf>
    <xf numFmtId="2" fontId="9" fillId="0" borderId="0" xfId="5" applyNumberFormat="1" applyFont="1" applyBorder="1" applyAlignment="1">
      <alignment horizontal="center"/>
    </xf>
    <xf numFmtId="0" fontId="14" fillId="0" borderId="0" xfId="5" applyFont="1" applyBorder="1" applyAlignment="1">
      <alignment horizontal="center"/>
    </xf>
    <xf numFmtId="0" fontId="14" fillId="0" borderId="0" xfId="5" applyFont="1" applyBorder="1"/>
    <xf numFmtId="0" fontId="8" fillId="0" borderId="0" xfId="5" applyFont="1" applyBorder="1" applyAlignment="1">
      <alignment vertical="center"/>
    </xf>
    <xf numFmtId="0" fontId="12" fillId="0" borderId="0" xfId="5" applyFont="1" applyBorder="1" applyAlignment="1">
      <alignment horizontal="center"/>
    </xf>
    <xf numFmtId="2" fontId="12" fillId="0" borderId="0" xfId="5" applyNumberFormat="1" applyFont="1" applyBorder="1" applyAlignment="1">
      <alignment horizontal="center"/>
    </xf>
    <xf numFmtId="0" fontId="12" fillId="0" borderId="0" xfId="5" applyFont="1" applyBorder="1"/>
    <xf numFmtId="0" fontId="1" fillId="0" borderId="11" xfId="7" applyFont="1" applyBorder="1" applyAlignment="1">
      <alignment horizontal="center"/>
    </xf>
    <xf numFmtId="0" fontId="5" fillId="3" borderId="8" xfId="5" applyFont="1" applyFill="1" applyBorder="1" applyAlignment="1">
      <alignment horizontal="left"/>
    </xf>
    <xf numFmtId="0" fontId="13" fillId="4" borderId="12" xfId="0" applyFont="1" applyFill="1" applyBorder="1" applyAlignment="1">
      <alignment horizontal="center"/>
    </xf>
    <xf numFmtId="0" fontId="0" fillId="5" borderId="12" xfId="0" applyFont="1" applyFill="1" applyBorder="1" applyAlignment="1">
      <alignment horizontal="center"/>
    </xf>
    <xf numFmtId="0" fontId="20" fillId="6" borderId="12" xfId="5" applyFont="1" applyFill="1" applyBorder="1" applyAlignment="1">
      <alignment horizontal="center"/>
    </xf>
    <xf numFmtId="0" fontId="17" fillId="3" borderId="2" xfId="0" applyFont="1" applyFill="1" applyBorder="1"/>
    <xf numFmtId="0" fontId="19" fillId="3" borderId="2" xfId="5" applyFont="1" applyFill="1" applyBorder="1" applyAlignment="1">
      <alignment horizontal="right"/>
    </xf>
    <xf numFmtId="0" fontId="19" fillId="3" borderId="2" xfId="5" applyFont="1" applyFill="1" applyBorder="1" applyAlignment="1">
      <alignment horizontal="center"/>
    </xf>
    <xf numFmtId="0" fontId="6" fillId="3" borderId="2" xfId="5" applyFont="1" applyFill="1" applyBorder="1" applyAlignment="1">
      <alignment horizontal="right"/>
    </xf>
    <xf numFmtId="164" fontId="6" fillId="3" borderId="2" xfId="5" applyNumberFormat="1" applyFont="1" applyFill="1" applyBorder="1" applyAlignment="1">
      <alignment horizontal="left"/>
    </xf>
    <xf numFmtId="167" fontId="6" fillId="3" borderId="2" xfId="5" applyNumberFormat="1" applyFont="1" applyFill="1" applyBorder="1" applyAlignment="1"/>
    <xf numFmtId="0" fontId="4" fillId="3" borderId="1" xfId="5" applyFont="1" applyFill="1" applyBorder="1"/>
    <xf numFmtId="0" fontId="1" fillId="0" borderId="13" xfId="7" applyFont="1" applyBorder="1" applyAlignment="1">
      <alignment horizontal="center"/>
    </xf>
    <xf numFmtId="9" fontId="18" fillId="0" borderId="0" xfId="8" applyFont="1" applyFill="1" applyAlignment="1"/>
    <xf numFmtId="9" fontId="18" fillId="0" borderId="0" xfId="8" applyFont="1" applyFill="1" applyAlignment="1">
      <alignment horizontal="right" wrapText="1"/>
    </xf>
    <xf numFmtId="0" fontId="5" fillId="0" borderId="5" xfId="7" applyFont="1" applyBorder="1" applyAlignment="1">
      <alignment horizontal="center"/>
    </xf>
    <xf numFmtId="0" fontId="18" fillId="0" borderId="0" xfId="0" quotePrefix="1" applyFont="1"/>
    <xf numFmtId="9" fontId="18" fillId="2" borderId="0" xfId="8" applyFont="1" applyFill="1" applyAlignment="1">
      <alignment horizontal="right" wrapText="1"/>
    </xf>
    <xf numFmtId="0" fontId="23" fillId="3" borderId="2" xfId="5" applyFont="1" applyFill="1" applyBorder="1" applyAlignment="1">
      <alignment horizontal="right"/>
    </xf>
    <xf numFmtId="167" fontId="4" fillId="3" borderId="3" xfId="5" quotePrefix="1" applyNumberFormat="1" applyFont="1" applyFill="1" applyBorder="1" applyAlignment="1">
      <alignment horizontal="left"/>
    </xf>
    <xf numFmtId="0" fontId="10" fillId="0" borderId="0" xfId="5" applyFont="1" applyBorder="1" applyAlignment="1">
      <alignment horizontal="right"/>
    </xf>
    <xf numFmtId="0" fontId="10" fillId="0" borderId="0" xfId="5" applyFont="1" applyBorder="1" applyAlignment="1">
      <alignment horizontal="left"/>
    </xf>
    <xf numFmtId="164" fontId="24" fillId="0" borderId="0" xfId="0" applyNumberFormat="1" applyFont="1" applyAlignment="1">
      <alignment horizontal="center"/>
    </xf>
    <xf numFmtId="43" fontId="20" fillId="0" borderId="0" xfId="1" applyFont="1" applyFill="1" applyAlignment="1">
      <alignment horizontal="center" wrapText="1"/>
    </xf>
    <xf numFmtId="10" fontId="18" fillId="0" borderId="0" xfId="8" applyNumberFormat="1" applyFont="1"/>
    <xf numFmtId="0" fontId="25" fillId="0" borderId="0" xfId="0" applyFont="1" applyFill="1" applyAlignment="1">
      <alignment horizontal="right" wrapText="1"/>
    </xf>
    <xf numFmtId="0" fontId="26" fillId="0" borderId="0" xfId="0" applyFont="1" applyFill="1" applyAlignment="1">
      <alignment horizontal="right"/>
    </xf>
    <xf numFmtId="0" fontId="26" fillId="0" borderId="0" xfId="0" applyFont="1" applyAlignment="1">
      <alignment horizontal="right"/>
    </xf>
    <xf numFmtId="166" fontId="26" fillId="0" borderId="0" xfId="1" applyNumberFormat="1" applyFont="1" applyAlignment="1">
      <alignment horizontal="right" wrapText="1"/>
    </xf>
    <xf numFmtId="0" fontId="26" fillId="0" borderId="0" xfId="0" applyFont="1" applyFill="1" applyAlignment="1">
      <alignment horizontal="right" wrapText="1"/>
    </xf>
    <xf numFmtId="0" fontId="18" fillId="0" borderId="5" xfId="0" applyFont="1" applyBorder="1" applyAlignment="1">
      <alignment horizontal="center" wrapText="1"/>
    </xf>
    <xf numFmtId="169" fontId="18" fillId="0" borderId="0" xfId="1" applyNumberFormat="1" applyFont="1" applyAlignment="1">
      <alignment horizontal="right" wrapText="1"/>
    </xf>
    <xf numFmtId="169" fontId="18" fillId="0" borderId="14" xfId="1" applyNumberFormat="1" applyFont="1" applyBorder="1" applyAlignment="1">
      <alignment horizontal="right" wrapText="1"/>
    </xf>
    <xf numFmtId="169" fontId="18" fillId="0" borderId="0" xfId="1" applyNumberFormat="1" applyFont="1" applyFill="1" applyAlignment="1">
      <alignment horizontal="right" wrapText="1"/>
    </xf>
    <xf numFmtId="169" fontId="18" fillId="0" borderId="0" xfId="0" applyNumberFormat="1" applyFont="1" applyFill="1" applyAlignment="1">
      <alignment horizontal="right" wrapText="1"/>
    </xf>
    <xf numFmtId="169" fontId="18" fillId="0" borderId="0" xfId="1" applyNumberFormat="1" applyFont="1" applyFill="1" applyAlignment="1">
      <alignment horizontal="center" wrapText="1"/>
    </xf>
    <xf numFmtId="169" fontId="18" fillId="0" borderId="0" xfId="0" applyNumberFormat="1" applyFont="1" applyAlignment="1">
      <alignment horizontal="center" wrapText="1"/>
    </xf>
    <xf numFmtId="169" fontId="18" fillId="0" borderId="0" xfId="0" applyNumberFormat="1" applyFont="1" applyFill="1" applyAlignment="1">
      <alignment horizontal="center" wrapText="1"/>
    </xf>
    <xf numFmtId="169" fontId="18" fillId="0" borderId="0" xfId="1" applyNumberFormat="1" applyFont="1" applyBorder="1" applyAlignment="1">
      <alignment horizontal="right" wrapText="1"/>
    </xf>
    <xf numFmtId="169" fontId="18" fillId="0" borderId="0" xfId="0" applyNumberFormat="1" applyFont="1"/>
    <xf numFmtId="169" fontId="18" fillId="0" borderId="0" xfId="0" applyNumberFormat="1" applyFont="1" applyAlignment="1">
      <alignment horizontal="right"/>
    </xf>
    <xf numFmtId="0" fontId="18" fillId="0" borderId="0" xfId="0" applyNumberFormat="1" applyFont="1" applyFill="1" applyAlignment="1">
      <alignment horizontal="right"/>
    </xf>
    <xf numFmtId="9" fontId="18" fillId="0" borderId="0" xfId="0" applyNumberFormat="1" applyFont="1" applyFill="1" applyAlignment="1">
      <alignment horizontal="right" wrapText="1"/>
    </xf>
    <xf numFmtId="43" fontId="12" fillId="0" borderId="0" xfId="1" applyFont="1" applyBorder="1" applyAlignment="1">
      <alignment horizontal="center"/>
    </xf>
    <xf numFmtId="166" fontId="16" fillId="0" borderId="0" xfId="4" applyNumberFormat="1" applyAlignment="1" applyProtection="1">
      <alignment horizontal="right" wrapText="1"/>
    </xf>
    <xf numFmtId="166" fontId="16" fillId="0" borderId="0" xfId="4" applyNumberFormat="1" applyBorder="1" applyAlignment="1" applyProtection="1">
      <alignment horizontal="right" wrapText="1"/>
    </xf>
    <xf numFmtId="43" fontId="16" fillId="0" borderId="0" xfId="1" applyFont="1" applyAlignment="1" applyProtection="1">
      <alignment horizontal="right" wrapText="1"/>
    </xf>
    <xf numFmtId="0" fontId="19" fillId="0" borderId="0" xfId="0" applyFont="1" applyAlignment="1">
      <alignment horizontal="left"/>
    </xf>
    <xf numFmtId="164" fontId="27" fillId="0" borderId="0" xfId="0" applyNumberFormat="1" applyFont="1" applyAlignment="1">
      <alignment horizontal="center" wrapText="1"/>
    </xf>
    <xf numFmtId="0" fontId="19" fillId="0" borderId="0" xfId="0" applyFont="1" applyAlignment="1">
      <alignment horizontal="left" wrapText="1"/>
    </xf>
    <xf numFmtId="0" fontId="18" fillId="0" borderId="5" xfId="0" applyFont="1" applyBorder="1" applyAlignment="1">
      <alignment horizontal="center"/>
    </xf>
    <xf numFmtId="9" fontId="18" fillId="0" borderId="0" xfId="8" applyFont="1" applyFill="1"/>
    <xf numFmtId="0" fontId="18" fillId="2" borderId="0" xfId="0" applyFont="1" applyFill="1" applyAlignment="1">
      <alignment horizontal="center" wrapText="1"/>
    </xf>
    <xf numFmtId="166" fontId="18" fillId="2" borderId="0" xfId="1" applyNumberFormat="1" applyFont="1" applyFill="1" applyAlignment="1">
      <alignment horizontal="right" wrapText="1"/>
    </xf>
    <xf numFmtId="0" fontId="18" fillId="2" borderId="0" xfId="0" applyFont="1" applyFill="1" applyAlignment="1">
      <alignment horizontal="right" wrapText="1"/>
    </xf>
    <xf numFmtId="0" fontId="18" fillId="2" borderId="6" xfId="0" applyFont="1" applyFill="1" applyBorder="1" applyAlignment="1">
      <alignment horizontal="right" wrapText="1"/>
    </xf>
    <xf numFmtId="0" fontId="18" fillId="2" borderId="7" xfId="0" applyFont="1" applyFill="1" applyBorder="1" applyAlignment="1">
      <alignment horizontal="right" wrapText="1"/>
    </xf>
    <xf numFmtId="166" fontId="18" fillId="2" borderId="7" xfId="0" applyNumberFormat="1" applyFont="1" applyFill="1" applyBorder="1" applyAlignment="1">
      <alignment horizontal="right" wrapText="1"/>
    </xf>
    <xf numFmtId="169" fontId="18" fillId="2" borderId="0" xfId="1" applyNumberFormat="1" applyFont="1" applyFill="1" applyAlignment="1">
      <alignment horizontal="right" wrapText="1"/>
    </xf>
    <xf numFmtId="169" fontId="18" fillId="2" borderId="14" xfId="1" applyNumberFormat="1" applyFont="1" applyFill="1" applyBorder="1" applyAlignment="1">
      <alignment horizontal="right" wrapText="1"/>
    </xf>
    <xf numFmtId="169" fontId="18" fillId="2" borderId="8" xfId="1" applyNumberFormat="1" applyFont="1" applyFill="1" applyBorder="1" applyAlignment="1">
      <alignment horizontal="right" wrapText="1"/>
    </xf>
    <xf numFmtId="165" fontId="18" fillId="2" borderId="0" xfId="8" applyNumberFormat="1" applyFont="1" applyFill="1" applyAlignment="1">
      <alignment horizontal="center"/>
    </xf>
    <xf numFmtId="165" fontId="18" fillId="2" borderId="0" xfId="8" applyNumberFormat="1" applyFont="1" applyFill="1" applyAlignment="1">
      <alignment horizontal="right"/>
    </xf>
    <xf numFmtId="165" fontId="18" fillId="2" borderId="7" xfId="8" applyNumberFormat="1" applyFont="1" applyFill="1" applyBorder="1" applyAlignment="1">
      <alignment horizontal="right" wrapText="1"/>
    </xf>
    <xf numFmtId="0" fontId="18" fillId="2" borderId="8" xfId="0" applyFont="1" applyFill="1" applyBorder="1" applyAlignment="1">
      <alignment horizontal="right" wrapText="1"/>
    </xf>
    <xf numFmtId="0" fontId="21" fillId="2" borderId="0" xfId="0" quotePrefix="1" applyFont="1" applyFill="1" applyAlignment="1">
      <alignment horizontal="left"/>
    </xf>
    <xf numFmtId="0" fontId="18" fillId="2" borderId="0" xfId="0" applyFont="1" applyFill="1" applyBorder="1" applyAlignment="1">
      <alignment horizontal="right" wrapText="1"/>
    </xf>
    <xf numFmtId="166" fontId="18" fillId="2" borderId="6" xfId="0" applyNumberFormat="1" applyFont="1" applyFill="1" applyBorder="1" applyAlignment="1">
      <alignment horizontal="right" wrapText="1"/>
    </xf>
    <xf numFmtId="166" fontId="18" fillId="2" borderId="0" xfId="0" applyNumberFormat="1" applyFont="1" applyFill="1" applyBorder="1" applyAlignment="1">
      <alignment horizontal="right" wrapText="1"/>
    </xf>
    <xf numFmtId="169" fontId="18" fillId="2" borderId="0" xfId="1" applyNumberFormat="1" applyFont="1" applyFill="1" applyBorder="1" applyAlignment="1">
      <alignment horizontal="right" wrapText="1"/>
    </xf>
    <xf numFmtId="166" fontId="18" fillId="2" borderId="0" xfId="1" applyNumberFormat="1" applyFont="1" applyFill="1" applyAlignment="1">
      <alignment horizontal="center"/>
    </xf>
    <xf numFmtId="166" fontId="18" fillId="2" borderId="0" xfId="1" applyNumberFormat="1" applyFont="1" applyFill="1" applyAlignment="1">
      <alignment horizontal="right"/>
    </xf>
    <xf numFmtId="166" fontId="18" fillId="2" borderId="7" xfId="1" applyNumberFormat="1" applyFont="1" applyFill="1" applyBorder="1" applyAlignment="1">
      <alignment horizontal="right" wrapText="1"/>
    </xf>
    <xf numFmtId="0" fontId="18" fillId="2" borderId="0" xfId="0" applyNumberFormat="1" applyFont="1" applyFill="1" applyAlignment="1">
      <alignment horizontal="right" wrapText="1"/>
    </xf>
    <xf numFmtId="43" fontId="18" fillId="0" borderId="0" xfId="0" applyNumberFormat="1" applyFont="1" applyAlignment="1">
      <alignment horizontal="right" wrapText="1"/>
    </xf>
    <xf numFmtId="171" fontId="18" fillId="0" borderId="14" xfId="1" applyNumberFormat="1" applyFont="1" applyBorder="1" applyAlignment="1">
      <alignment horizontal="right" wrapText="1"/>
    </xf>
    <xf numFmtId="170" fontId="18" fillId="0" borderId="0" xfId="1" applyNumberFormat="1" applyFont="1" applyAlignment="1">
      <alignment horizontal="right" wrapText="1"/>
    </xf>
    <xf numFmtId="171" fontId="18" fillId="0" borderId="0" xfId="1" applyNumberFormat="1" applyFont="1" applyAlignment="1">
      <alignment horizontal="right" wrapText="1"/>
    </xf>
    <xf numFmtId="172" fontId="18" fillId="0" borderId="14" xfId="1" applyNumberFormat="1" applyFont="1" applyBorder="1" applyAlignment="1">
      <alignment horizontal="right" wrapText="1"/>
    </xf>
    <xf numFmtId="16" fontId="18" fillId="0" borderId="0" xfId="0" applyNumberFormat="1" applyFont="1" applyAlignment="1">
      <alignment horizontal="right"/>
    </xf>
    <xf numFmtId="0" fontId="18" fillId="0" borderId="0" xfId="0" applyFont="1" applyFill="1" applyAlignment="1">
      <alignment horizontal="center"/>
    </xf>
    <xf numFmtId="166" fontId="18" fillId="0" borderId="0" xfId="1" applyNumberFormat="1" applyFont="1" applyFill="1" applyAlignment="1">
      <alignment horizontal="center"/>
    </xf>
    <xf numFmtId="165" fontId="18" fillId="0" borderId="0" xfId="8" applyNumberFormat="1" applyFont="1" applyFill="1" applyAlignment="1">
      <alignment horizontal="center"/>
    </xf>
    <xf numFmtId="0" fontId="28" fillId="0" borderId="0" xfId="0" applyFont="1"/>
    <xf numFmtId="0" fontId="29" fillId="0" borderId="0" xfId="0" applyFont="1"/>
    <xf numFmtId="166" fontId="18" fillId="0" borderId="0" xfId="1" applyNumberFormat="1" applyFont="1" applyAlignment="1">
      <alignment horizontal="right" wrapText="1"/>
    </xf>
    <xf numFmtId="0" fontId="18" fillId="0" borderId="0" xfId="0" applyFont="1" applyAlignment="1">
      <alignment horizontal="right" wrapText="1"/>
    </xf>
    <xf numFmtId="0" fontId="18" fillId="0" borderId="6" xfId="0" applyFont="1" applyBorder="1" applyAlignment="1">
      <alignment horizontal="right" wrapText="1"/>
    </xf>
    <xf numFmtId="166" fontId="18" fillId="0" borderId="0" xfId="0" applyNumberFormat="1" applyFont="1" applyAlignment="1">
      <alignment horizontal="right" wrapText="1"/>
    </xf>
    <xf numFmtId="0" fontId="18" fillId="0" borderId="0" xfId="0" applyFont="1" applyAlignment="1">
      <alignment horizontal="right"/>
    </xf>
    <xf numFmtId="165" fontId="18" fillId="0" borderId="0" xfId="8" applyNumberFormat="1" applyFont="1" applyAlignment="1">
      <alignment horizontal="right"/>
    </xf>
    <xf numFmtId="165" fontId="18" fillId="0" borderId="0" xfId="8" applyNumberFormat="1" applyFont="1" applyAlignment="1">
      <alignment horizontal="right" wrapText="1"/>
    </xf>
    <xf numFmtId="169" fontId="18" fillId="0" borderId="0" xfId="1" applyNumberFormat="1" applyFont="1" applyAlignment="1">
      <alignment horizontal="right" wrapText="1"/>
    </xf>
    <xf numFmtId="169" fontId="18" fillId="0" borderId="14" xfId="1" applyNumberFormat="1" applyFont="1" applyBorder="1" applyAlignment="1">
      <alignment horizontal="right" wrapText="1"/>
    </xf>
    <xf numFmtId="166" fontId="18" fillId="0" borderId="0" xfId="1" applyNumberFormat="1" applyFont="1" applyAlignment="1">
      <alignment horizontal="right" wrapText="1"/>
    </xf>
    <xf numFmtId="0" fontId="18" fillId="0" borderId="0" xfId="0" applyFont="1" applyAlignment="1">
      <alignment horizontal="right" wrapText="1"/>
    </xf>
    <xf numFmtId="0" fontId="18" fillId="0" borderId="6" xfId="0" applyFont="1" applyBorder="1" applyAlignment="1">
      <alignment horizontal="right" wrapText="1"/>
    </xf>
    <xf numFmtId="166" fontId="18" fillId="0" borderId="0" xfId="0" applyNumberFormat="1" applyFont="1" applyAlignment="1">
      <alignment horizontal="right" wrapText="1"/>
    </xf>
    <xf numFmtId="0" fontId="18" fillId="0" borderId="0" xfId="0" applyFont="1" applyAlignment="1">
      <alignment horizontal="right"/>
    </xf>
    <xf numFmtId="165" fontId="18" fillId="0" borderId="0" xfId="8" applyNumberFormat="1" applyFont="1" applyAlignment="1">
      <alignment horizontal="right"/>
    </xf>
    <xf numFmtId="165" fontId="18" fillId="0" borderId="0" xfId="8" applyNumberFormat="1" applyFont="1" applyAlignment="1">
      <alignment horizontal="right" wrapText="1"/>
    </xf>
    <xf numFmtId="169" fontId="18" fillId="0" borderId="0" xfId="1" applyNumberFormat="1" applyFont="1" applyAlignment="1">
      <alignment horizontal="right" wrapText="1"/>
    </xf>
    <xf numFmtId="43" fontId="18" fillId="0" borderId="0" xfId="0" applyNumberFormat="1" applyFont="1" applyAlignment="1">
      <alignment horizontal="right" wrapText="1"/>
    </xf>
    <xf numFmtId="173" fontId="18" fillId="0" borderId="6" xfId="0" applyNumberFormat="1" applyFont="1" applyBorder="1" applyAlignment="1">
      <alignment horizontal="right" wrapText="1"/>
    </xf>
    <xf numFmtId="173" fontId="18" fillId="0" borderId="0" xfId="0" applyNumberFormat="1" applyFont="1" applyAlignment="1">
      <alignment horizontal="right" wrapText="1"/>
    </xf>
    <xf numFmtId="174" fontId="18" fillId="0" borderId="14" xfId="1" applyNumberFormat="1" applyFont="1" applyBorder="1" applyAlignment="1">
      <alignment horizontal="right" wrapText="1"/>
    </xf>
    <xf numFmtId="166" fontId="18" fillId="0" borderId="0" xfId="1" applyNumberFormat="1" applyFont="1" applyAlignment="1">
      <alignment horizontal="right" wrapText="1"/>
    </xf>
    <xf numFmtId="0" fontId="18" fillId="0" borderId="0" xfId="0" applyFont="1" applyAlignment="1">
      <alignment horizontal="right" wrapText="1"/>
    </xf>
    <xf numFmtId="0" fontId="18" fillId="0" borderId="6" xfId="0" applyFont="1" applyBorder="1" applyAlignment="1">
      <alignment horizontal="right" wrapText="1"/>
    </xf>
    <xf numFmtId="166" fontId="18" fillId="0" borderId="0" xfId="0" applyNumberFormat="1" applyFont="1" applyAlignment="1">
      <alignment horizontal="right" wrapText="1"/>
    </xf>
    <xf numFmtId="0" fontId="18" fillId="0" borderId="0" xfId="0" applyFont="1" applyAlignment="1">
      <alignment horizontal="right"/>
    </xf>
    <xf numFmtId="165" fontId="18" fillId="0" borderId="0" xfId="8" applyNumberFormat="1" applyFont="1" applyAlignment="1">
      <alignment horizontal="right"/>
    </xf>
    <xf numFmtId="165" fontId="18" fillId="0" borderId="0" xfId="8" applyNumberFormat="1" applyFont="1" applyAlignment="1">
      <alignment horizontal="right" wrapText="1"/>
    </xf>
    <xf numFmtId="169" fontId="18" fillId="0" borderId="0" xfId="1" applyNumberFormat="1" applyFont="1" applyAlignment="1">
      <alignment horizontal="right" wrapText="1"/>
    </xf>
    <xf numFmtId="43" fontId="18" fillId="0" borderId="0" xfId="0" applyNumberFormat="1" applyFont="1" applyAlignment="1">
      <alignment horizontal="right" wrapText="1"/>
    </xf>
    <xf numFmtId="172" fontId="18" fillId="0" borderId="14" xfId="1" applyNumberFormat="1" applyFont="1" applyBorder="1" applyAlignment="1">
      <alignment horizontal="right" wrapText="1"/>
    </xf>
    <xf numFmtId="43" fontId="18" fillId="0" borderId="0" xfId="1" applyNumberFormat="1" applyFont="1" applyAlignment="1">
      <alignment horizontal="right" wrapText="1"/>
    </xf>
    <xf numFmtId="166" fontId="18" fillId="0" borderId="0" xfId="1" applyNumberFormat="1" applyFont="1" applyAlignment="1">
      <alignment horizontal="right" wrapText="1"/>
    </xf>
    <xf numFmtId="0" fontId="18" fillId="0" borderId="0" xfId="0" applyFont="1" applyAlignment="1">
      <alignment horizontal="right" wrapText="1"/>
    </xf>
    <xf numFmtId="0" fontId="18" fillId="0" borderId="6" xfId="0" applyFont="1" applyBorder="1" applyAlignment="1">
      <alignment horizontal="right" wrapText="1"/>
    </xf>
    <xf numFmtId="166" fontId="18" fillId="0" borderId="0" xfId="0" applyNumberFormat="1" applyFont="1" applyAlignment="1">
      <alignment horizontal="right" wrapText="1"/>
    </xf>
    <xf numFmtId="0" fontId="18" fillId="0" borderId="0" xfId="0" applyFont="1" applyAlignment="1">
      <alignment horizontal="right"/>
    </xf>
    <xf numFmtId="165" fontId="18" fillId="0" borderId="0" xfId="8" applyNumberFormat="1" applyFont="1" applyAlignment="1">
      <alignment horizontal="right"/>
    </xf>
    <xf numFmtId="165" fontId="18" fillId="0" borderId="0" xfId="8" applyNumberFormat="1" applyFont="1" applyAlignment="1">
      <alignment horizontal="right" wrapText="1"/>
    </xf>
    <xf numFmtId="169" fontId="18" fillId="0" borderId="0" xfId="1" applyNumberFormat="1" applyFont="1" applyAlignment="1">
      <alignment horizontal="right" wrapText="1"/>
    </xf>
    <xf numFmtId="169" fontId="18" fillId="0" borderId="14" xfId="1" applyNumberFormat="1" applyFont="1" applyBorder="1" applyAlignment="1">
      <alignment horizontal="right" wrapText="1"/>
    </xf>
    <xf numFmtId="43" fontId="18" fillId="0" borderId="0" xfId="0" applyNumberFormat="1" applyFont="1" applyAlignment="1">
      <alignment horizontal="right" wrapText="1"/>
    </xf>
    <xf numFmtId="166" fontId="18" fillId="0" borderId="0" xfId="1" applyNumberFormat="1" applyFont="1" applyAlignment="1">
      <alignment horizontal="right" wrapText="1"/>
    </xf>
    <xf numFmtId="0" fontId="18" fillId="0" borderId="0" xfId="0" applyFont="1" applyAlignment="1">
      <alignment horizontal="right" wrapText="1"/>
    </xf>
    <xf numFmtId="0" fontId="18" fillId="0" borderId="6" xfId="0" applyFont="1" applyBorder="1" applyAlignment="1">
      <alignment horizontal="right" wrapText="1"/>
    </xf>
    <xf numFmtId="166" fontId="18" fillId="0" borderId="0" xfId="0" applyNumberFormat="1" applyFont="1" applyAlignment="1">
      <alignment horizontal="right" wrapText="1"/>
    </xf>
    <xf numFmtId="0" fontId="18" fillId="0" borderId="0" xfId="0" applyFont="1" applyAlignment="1">
      <alignment horizontal="right"/>
    </xf>
    <xf numFmtId="165" fontId="18" fillId="0" borderId="0" xfId="8" applyNumberFormat="1" applyFont="1" applyAlignment="1">
      <alignment horizontal="right"/>
    </xf>
    <xf numFmtId="165" fontId="18" fillId="0" borderId="0" xfId="8" applyNumberFormat="1" applyFont="1" applyAlignment="1">
      <alignment horizontal="right" wrapText="1"/>
    </xf>
    <xf numFmtId="0" fontId="18" fillId="0" borderId="7" xfId="0" applyFont="1" applyBorder="1" applyAlignment="1">
      <alignment horizontal="right" wrapText="1"/>
    </xf>
    <xf numFmtId="165" fontId="18" fillId="0" borderId="7" xfId="8" applyNumberFormat="1" applyFont="1" applyBorder="1" applyAlignment="1">
      <alignment horizontal="right" wrapText="1"/>
    </xf>
    <xf numFmtId="0" fontId="18" fillId="0" borderId="8" xfId="0" applyFont="1" applyBorder="1" applyAlignment="1">
      <alignment horizontal="right" wrapText="1"/>
    </xf>
    <xf numFmtId="169" fontId="18" fillId="0" borderId="0" xfId="1" applyNumberFormat="1" applyFont="1" applyAlignment="1">
      <alignment horizontal="right" wrapText="1"/>
    </xf>
    <xf numFmtId="43" fontId="18" fillId="0" borderId="0" xfId="0" applyNumberFormat="1" applyFont="1" applyAlignment="1">
      <alignment horizontal="right" wrapText="1"/>
    </xf>
    <xf numFmtId="175" fontId="18" fillId="0" borderId="14" xfId="1" applyNumberFormat="1" applyFont="1" applyBorder="1" applyAlignment="1">
      <alignment horizontal="right" wrapText="1"/>
    </xf>
    <xf numFmtId="0" fontId="18" fillId="2" borderId="0" xfId="0" applyFont="1" applyFill="1" applyAlignment="1">
      <alignment horizontal="right"/>
    </xf>
    <xf numFmtId="166" fontId="18" fillId="2" borderId="0" xfId="0" applyNumberFormat="1" applyFont="1" applyFill="1" applyAlignment="1">
      <alignment horizontal="right" wrapText="1"/>
    </xf>
    <xf numFmtId="165" fontId="18" fillId="2" borderId="0" xfId="8" applyNumberFormat="1" applyFont="1" applyFill="1" applyAlignment="1">
      <alignment horizontal="right" wrapText="1"/>
    </xf>
    <xf numFmtId="166" fontId="18" fillId="2" borderId="0" xfId="1" applyNumberFormat="1" applyFont="1" applyFill="1" applyAlignment="1">
      <alignment horizontal="right" wrapText="1"/>
    </xf>
    <xf numFmtId="0" fontId="18" fillId="2" borderId="0" xfId="0" applyFont="1" applyFill="1" applyAlignment="1">
      <alignment horizontal="right" wrapText="1"/>
    </xf>
    <xf numFmtId="0" fontId="18" fillId="2" borderId="6" xfId="0" applyFont="1" applyFill="1" applyBorder="1" applyAlignment="1">
      <alignment horizontal="right" wrapText="1"/>
    </xf>
    <xf numFmtId="169" fontId="18" fillId="2" borderId="0" xfId="1" applyNumberFormat="1" applyFont="1" applyFill="1" applyAlignment="1">
      <alignment horizontal="right" wrapText="1"/>
    </xf>
    <xf numFmtId="169" fontId="18" fillId="2" borderId="14" xfId="1" applyNumberFormat="1" applyFont="1" applyFill="1" applyBorder="1" applyAlignment="1">
      <alignment horizontal="right" wrapText="1"/>
    </xf>
    <xf numFmtId="165" fontId="18" fillId="2" borderId="0" xfId="8" applyNumberFormat="1" applyFont="1" applyFill="1" applyAlignment="1">
      <alignment horizontal="right"/>
    </xf>
    <xf numFmtId="166" fontId="18" fillId="2" borderId="6" xfId="0" applyNumberFormat="1" applyFont="1" applyFill="1" applyBorder="1" applyAlignment="1">
      <alignment horizontal="right" wrapText="1"/>
    </xf>
    <xf numFmtId="166" fontId="18" fillId="2" borderId="0" xfId="1" applyNumberFormat="1" applyFont="1" applyFill="1" applyAlignment="1">
      <alignment horizontal="right"/>
    </xf>
    <xf numFmtId="0" fontId="18" fillId="2" borderId="0" xfId="0" applyNumberFormat="1" applyFont="1" applyFill="1" applyAlignment="1">
      <alignment horizontal="right" wrapText="1"/>
    </xf>
    <xf numFmtId="166" fontId="18" fillId="0" borderId="0" xfId="1" applyNumberFormat="1" applyFont="1" applyAlignment="1">
      <alignment horizontal="right" wrapText="1"/>
    </xf>
    <xf numFmtId="0" fontId="18" fillId="0" borderId="0" xfId="0" applyFont="1" applyAlignment="1">
      <alignment horizontal="right" wrapText="1"/>
    </xf>
    <xf numFmtId="0" fontId="18" fillId="0" borderId="6" xfId="0" applyFont="1" applyBorder="1" applyAlignment="1">
      <alignment horizontal="right" wrapText="1"/>
    </xf>
    <xf numFmtId="166" fontId="18" fillId="0" borderId="0" xfId="0" applyNumberFormat="1" applyFont="1" applyAlignment="1">
      <alignment horizontal="right" wrapText="1"/>
    </xf>
    <xf numFmtId="166" fontId="18" fillId="0" borderId="6" xfId="0" applyNumberFormat="1" applyFont="1" applyBorder="1" applyAlignment="1">
      <alignment horizontal="right" wrapText="1"/>
    </xf>
    <xf numFmtId="0" fontId="18" fillId="0" borderId="0" xfId="0" applyFont="1" applyAlignment="1">
      <alignment horizontal="right"/>
    </xf>
    <xf numFmtId="169" fontId="18" fillId="0" borderId="0" xfId="1" applyNumberFormat="1" applyFont="1" applyAlignment="1">
      <alignment horizontal="right" wrapText="1"/>
    </xf>
    <xf numFmtId="169" fontId="18" fillId="0" borderId="14" xfId="1" applyNumberFormat="1" applyFont="1" applyBorder="1" applyAlignment="1">
      <alignment horizontal="right" wrapText="1"/>
    </xf>
    <xf numFmtId="0" fontId="18" fillId="0" borderId="0" xfId="0" applyFont="1" applyAlignment="1">
      <alignment horizontal="center" wrapText="1"/>
    </xf>
    <xf numFmtId="0" fontId="18" fillId="0" borderId="0" xfId="0" applyFont="1" applyAlignment="1">
      <alignment horizontal="right" wrapText="1"/>
    </xf>
    <xf numFmtId="0" fontId="18" fillId="0" borderId="6" xfId="0" applyFont="1" applyBorder="1" applyAlignment="1">
      <alignment horizontal="right" wrapText="1"/>
    </xf>
    <xf numFmtId="166" fontId="18" fillId="0" borderId="0" xfId="0" applyNumberFormat="1" applyFont="1" applyAlignment="1">
      <alignment horizontal="right" wrapText="1"/>
    </xf>
    <xf numFmtId="166" fontId="18" fillId="0" borderId="6" xfId="0" applyNumberFormat="1" applyFont="1" applyBorder="1" applyAlignment="1">
      <alignment horizontal="right" wrapText="1"/>
    </xf>
    <xf numFmtId="165" fontId="18" fillId="0" borderId="0" xfId="8" applyNumberFormat="1" applyFont="1" applyAlignment="1">
      <alignment horizontal="right" wrapText="1"/>
    </xf>
    <xf numFmtId="165" fontId="18" fillId="0" borderId="0" xfId="0" applyNumberFormat="1" applyFont="1"/>
    <xf numFmtId="0" fontId="30" fillId="0" borderId="5" xfId="5" applyFont="1" applyFill="1" applyBorder="1" applyAlignment="1">
      <alignment horizontal="center"/>
    </xf>
    <xf numFmtId="166" fontId="18" fillId="2" borderId="0" xfId="1" applyNumberFormat="1" applyFont="1" applyFill="1" applyAlignment="1">
      <alignment horizontal="right" wrapText="1"/>
    </xf>
    <xf numFmtId="2" fontId="18" fillId="0" borderId="0" xfId="0" applyNumberFormat="1" applyFont="1" applyAlignment="1">
      <alignment horizontal="right" wrapText="1"/>
    </xf>
    <xf numFmtId="169" fontId="18" fillId="0" borderId="0" xfId="1" applyNumberFormat="1" applyFont="1" applyAlignment="1">
      <alignment horizontal="right" vertical="center" wrapText="1"/>
    </xf>
    <xf numFmtId="169" fontId="18" fillId="0" borderId="14" xfId="1" applyNumberFormat="1" applyFont="1" applyBorder="1" applyAlignment="1">
      <alignment horizontal="right" vertical="center" wrapText="1"/>
    </xf>
    <xf numFmtId="0" fontId="20" fillId="0" borderId="0" xfId="5" applyFont="1" applyFill="1" applyBorder="1" applyAlignment="1">
      <alignment horizontal="center"/>
    </xf>
    <xf numFmtId="0" fontId="31" fillId="0" borderId="0" xfId="5" applyFont="1" applyBorder="1" applyAlignment="1">
      <alignment horizontal="left"/>
    </xf>
    <xf numFmtId="0" fontId="16" fillId="0" borderId="0" xfId="4" applyNumberFormat="1" applyAlignment="1" applyProtection="1">
      <alignment horizontal="right" wrapText="1"/>
    </xf>
    <xf numFmtId="43" fontId="18" fillId="0" borderId="14" xfId="1" applyNumberFormat="1" applyFont="1" applyBorder="1" applyAlignment="1">
      <alignment horizontal="right" wrapText="1"/>
    </xf>
    <xf numFmtId="9" fontId="18" fillId="2" borderId="0" xfId="8" applyNumberFormat="1" applyFont="1" applyFill="1" applyAlignment="1">
      <alignment horizontal="right" wrapText="1"/>
    </xf>
    <xf numFmtId="9" fontId="18" fillId="0" borderId="0" xfId="0" applyNumberFormat="1" applyFont="1"/>
    <xf numFmtId="1" fontId="18" fillId="0" borderId="0" xfId="0" applyNumberFormat="1" applyFont="1" applyAlignment="1">
      <alignment horizontal="right" wrapText="1"/>
    </xf>
    <xf numFmtId="1" fontId="18" fillId="0" borderId="0" xfId="0" applyNumberFormat="1" applyFont="1"/>
    <xf numFmtId="177" fontId="18" fillId="0" borderId="0" xfId="8" applyNumberFormat="1" applyFont="1"/>
    <xf numFmtId="9" fontId="18" fillId="0" borderId="0" xfId="8" applyFont="1"/>
    <xf numFmtId="173" fontId="18" fillId="0" borderId="0" xfId="0" applyNumberFormat="1" applyFont="1"/>
    <xf numFmtId="0" fontId="20" fillId="0" borderId="5" xfId="5" applyFont="1" applyFill="1" applyBorder="1" applyAlignment="1">
      <alignment horizontal="center"/>
    </xf>
    <xf numFmtId="0" fontId="20" fillId="0" borderId="9" xfId="5" applyFont="1" applyFill="1" applyBorder="1" applyAlignment="1">
      <alignment horizontal="center"/>
    </xf>
    <xf numFmtId="0" fontId="20" fillId="0" borderId="15" xfId="5" applyFont="1" applyFill="1" applyBorder="1" applyAlignment="1">
      <alignment horizontal="center"/>
    </xf>
    <xf numFmtId="0" fontId="20" fillId="0" borderId="16" xfId="5" applyFont="1" applyFill="1" applyBorder="1" applyAlignment="1">
      <alignment horizontal="center"/>
    </xf>
    <xf numFmtId="0" fontId="27" fillId="0" borderId="5" xfId="5" applyFont="1" applyFill="1" applyBorder="1" applyAlignment="1">
      <alignment horizontal="center"/>
    </xf>
    <xf numFmtId="0" fontId="5" fillId="0" borderId="16" xfId="5" applyFont="1" applyFill="1" applyBorder="1" applyAlignment="1">
      <alignment horizontal="center"/>
    </xf>
    <xf numFmtId="0" fontId="5" fillId="0" borderId="5" xfId="5" applyFont="1" applyFill="1" applyBorder="1" applyAlignment="1">
      <alignment horizontal="center"/>
    </xf>
    <xf numFmtId="0" fontId="20" fillId="0" borderId="11" xfId="5" applyFont="1" applyFill="1" applyBorder="1" applyAlignment="1">
      <alignment horizontal="center"/>
    </xf>
    <xf numFmtId="43" fontId="18" fillId="0" borderId="0" xfId="0" applyNumberFormat="1" applyFont="1" applyFill="1" applyAlignment="1">
      <alignment horizontal="right" wrapText="1"/>
    </xf>
    <xf numFmtId="0" fontId="17" fillId="3" borderId="2" xfId="0" applyFont="1" applyFill="1" applyBorder="1" applyAlignment="1"/>
    <xf numFmtId="0" fontId="23" fillId="3" borderId="2" xfId="5" applyFont="1" applyFill="1" applyBorder="1" applyAlignment="1"/>
    <xf numFmtId="176" fontId="3" fillId="0" borderId="5" xfId="2" applyNumberFormat="1" applyFont="1" applyBorder="1" applyAlignment="1">
      <alignment horizontal="right"/>
    </xf>
    <xf numFmtId="0" fontId="5" fillId="2" borderId="0" xfId="0" applyFont="1" applyFill="1" applyAlignment="1">
      <alignment horizontal="right" wrapText="1"/>
    </xf>
    <xf numFmtId="166" fontId="5" fillId="2" borderId="0" xfId="0" applyNumberFormat="1" applyFont="1" applyFill="1" applyAlignment="1">
      <alignment horizontal="right" wrapText="1"/>
    </xf>
    <xf numFmtId="169" fontId="5" fillId="2" borderId="0" xfId="1" applyNumberFormat="1" applyFont="1" applyFill="1" applyAlignment="1">
      <alignment horizontal="right" wrapText="1"/>
    </xf>
    <xf numFmtId="166" fontId="5" fillId="2" borderId="0" xfId="1" applyNumberFormat="1" applyFont="1" applyFill="1" applyAlignment="1">
      <alignment horizontal="right" wrapText="1"/>
    </xf>
    <xf numFmtId="165" fontId="5" fillId="2" borderId="0" xfId="8" applyNumberFormat="1" applyFont="1" applyFill="1" applyAlignment="1">
      <alignment horizontal="right" wrapText="1"/>
    </xf>
    <xf numFmtId="176" fontId="16" fillId="0" borderId="0" xfId="4" applyNumberFormat="1" applyAlignment="1" applyProtection="1">
      <alignment horizontal="right" wrapText="1"/>
    </xf>
    <xf numFmtId="43" fontId="16" fillId="0" borderId="0" xfId="4" applyNumberFormat="1" applyAlignment="1" applyProtection="1">
      <alignment horizontal="right" wrapText="1"/>
    </xf>
    <xf numFmtId="43" fontId="16" fillId="0" borderId="0" xfId="4" applyNumberFormat="1" applyBorder="1" applyAlignment="1" applyProtection="1">
      <alignment horizontal="right" wrapText="1"/>
    </xf>
    <xf numFmtId="176" fontId="18" fillId="0" borderId="0" xfId="1" applyNumberFormat="1" applyFont="1" applyAlignment="1">
      <alignment horizontal="right" wrapText="1"/>
    </xf>
    <xf numFmtId="9" fontId="16" fillId="0" borderId="0" xfId="8" applyFont="1" applyAlignment="1" applyProtection="1">
      <alignment horizontal="right" wrapText="1"/>
    </xf>
    <xf numFmtId="166" fontId="19" fillId="0" borderId="0" xfId="1" applyNumberFormat="1" applyFont="1"/>
    <xf numFmtId="166" fontId="18" fillId="0" borderId="0" xfId="1" applyNumberFormat="1" applyFont="1"/>
    <xf numFmtId="166" fontId="18" fillId="0" borderId="0" xfId="1" applyNumberFormat="1" applyFont="1" applyAlignment="1">
      <alignment horizontal="center"/>
    </xf>
    <xf numFmtId="166" fontId="18" fillId="0" borderId="0" xfId="1" applyNumberFormat="1" applyFont="1" applyAlignment="1">
      <alignment horizontal="center" wrapText="1"/>
    </xf>
    <xf numFmtId="166" fontId="18" fillId="0" borderId="6" xfId="1" applyNumberFormat="1" applyFont="1" applyBorder="1" applyAlignment="1">
      <alignment horizontal="right" wrapText="1"/>
    </xf>
    <xf numFmtId="166" fontId="18" fillId="0" borderId="0" xfId="1" applyNumberFormat="1" applyFont="1" applyBorder="1" applyAlignment="1">
      <alignment horizontal="right" wrapText="1"/>
    </xf>
    <xf numFmtId="166" fontId="16" fillId="0" borderId="0" xfId="1" applyNumberFormat="1" applyFont="1" applyAlignment="1" applyProtection="1">
      <alignment horizontal="right" wrapText="1"/>
    </xf>
    <xf numFmtId="166" fontId="18" fillId="0" borderId="0" xfId="1" applyNumberFormat="1" applyFont="1" applyAlignment="1">
      <alignment horizontal="right"/>
    </xf>
    <xf numFmtId="166" fontId="1" fillId="0" borderId="5" xfId="1" applyNumberFormat="1" applyFont="1" applyBorder="1" applyAlignment="1">
      <alignment horizontal="center"/>
    </xf>
    <xf numFmtId="9" fontId="19" fillId="0" borderId="0" xfId="8" applyFont="1"/>
    <xf numFmtId="9" fontId="18" fillId="0" borderId="0" xfId="8" applyFont="1" applyAlignment="1">
      <alignment horizontal="center"/>
    </xf>
    <xf numFmtId="9" fontId="18" fillId="0" borderId="0" xfId="8" applyFont="1" applyAlignment="1">
      <alignment horizontal="right"/>
    </xf>
    <xf numFmtId="9" fontId="18" fillId="0" borderId="0" xfId="8" applyFont="1" applyAlignment="1">
      <alignment horizontal="right" wrapText="1"/>
    </xf>
    <xf numFmtId="9" fontId="18" fillId="0" borderId="7" xfId="8" applyFont="1" applyBorder="1" applyAlignment="1">
      <alignment horizontal="right" wrapText="1"/>
    </xf>
    <xf numFmtId="9" fontId="1" fillId="0" borderId="5" xfId="8" applyFont="1" applyBorder="1" applyAlignment="1">
      <alignment horizontal="center"/>
    </xf>
    <xf numFmtId="43" fontId="18" fillId="0" borderId="0" xfId="1" applyFont="1" applyAlignment="1">
      <alignment horizontal="right" wrapText="1"/>
    </xf>
    <xf numFmtId="43" fontId="18" fillId="0" borderId="0" xfId="1" applyFont="1" applyFill="1" applyAlignment="1">
      <alignment horizontal="right" wrapText="1"/>
    </xf>
    <xf numFmtId="43" fontId="18" fillId="0" borderId="0" xfId="1" applyFont="1"/>
    <xf numFmtId="43" fontId="18" fillId="0" borderId="0" xfId="1" applyFont="1" applyAlignment="1">
      <alignment horizontal="right"/>
    </xf>
    <xf numFmtId="43" fontId="18" fillId="0" borderId="7" xfId="1" applyFont="1" applyBorder="1" applyAlignment="1">
      <alignment horizontal="right" wrapText="1"/>
    </xf>
    <xf numFmtId="173" fontId="18" fillId="0" borderId="0" xfId="0" applyNumberFormat="1" applyFont="1" applyBorder="1" applyAlignment="1">
      <alignment horizontal="right" wrapText="1"/>
    </xf>
    <xf numFmtId="165" fontId="16" fillId="0" borderId="0" xfId="8" applyNumberFormat="1" applyFont="1" applyAlignment="1" applyProtection="1">
      <alignment horizontal="right" wrapText="1"/>
    </xf>
    <xf numFmtId="9" fontId="19" fillId="0" borderId="0" xfId="8" applyNumberFormat="1" applyFont="1"/>
    <xf numFmtId="9" fontId="18" fillId="0" borderId="0" xfId="8" applyNumberFormat="1" applyFont="1"/>
    <xf numFmtId="9" fontId="18" fillId="0" borderId="0" xfId="8" applyNumberFormat="1" applyFont="1" applyAlignment="1">
      <alignment horizontal="center"/>
    </xf>
    <xf numFmtId="9" fontId="18" fillId="0" borderId="0" xfId="8" applyNumberFormat="1" applyFont="1" applyAlignment="1">
      <alignment horizontal="right"/>
    </xf>
    <xf numFmtId="9" fontId="18" fillId="0" borderId="0" xfId="8" applyNumberFormat="1" applyFont="1" applyAlignment="1">
      <alignment horizontal="right" wrapText="1"/>
    </xf>
    <xf numFmtId="9" fontId="18" fillId="0" borderId="7" xfId="8" applyNumberFormat="1" applyFont="1" applyBorder="1" applyAlignment="1">
      <alignment horizontal="right" wrapText="1"/>
    </xf>
    <xf numFmtId="9" fontId="1" fillId="0" borderId="5" xfId="8" applyNumberFormat="1" applyFont="1" applyBorder="1" applyAlignment="1">
      <alignment horizontal="center"/>
    </xf>
    <xf numFmtId="176" fontId="18" fillId="0" borderId="0" xfId="1" applyNumberFormat="1" applyFont="1" applyFill="1" applyAlignment="1">
      <alignment horizontal="right" wrapText="1"/>
    </xf>
    <xf numFmtId="0" fontId="5" fillId="0" borderId="5" xfId="5" applyFont="1" applyFill="1" applyBorder="1" applyAlignment="1">
      <alignment horizontal="center" vertical="center" wrapText="1"/>
    </xf>
    <xf numFmtId="0" fontId="5" fillId="3" borderId="17" xfId="5" applyFont="1" applyFill="1" applyBorder="1"/>
    <xf numFmtId="0" fontId="9" fillId="0" borderId="0" xfId="5" applyFont="1" applyBorder="1" applyAlignment="1">
      <alignment horizontal="left"/>
    </xf>
    <xf numFmtId="0" fontId="27" fillId="0" borderId="11" xfId="5" applyFont="1" applyFill="1" applyBorder="1" applyAlignment="1">
      <alignment horizontal="center"/>
    </xf>
    <xf numFmtId="0" fontId="32" fillId="0" borderId="0" xfId="0" applyFont="1"/>
    <xf numFmtId="167" fontId="4" fillId="3" borderId="2" xfId="5" quotePrefix="1" applyNumberFormat="1" applyFont="1" applyFill="1" applyBorder="1" applyAlignment="1">
      <alignment horizontal="left"/>
    </xf>
    <xf numFmtId="0" fontId="18" fillId="0" borderId="0" xfId="0" applyFont="1" applyAlignment="1">
      <alignment horizontal="right" wrapText="1"/>
    </xf>
    <xf numFmtId="165" fontId="18" fillId="0" borderId="0" xfId="8" applyNumberFormat="1" applyFont="1" applyAlignment="1">
      <alignment horizontal="right" wrapText="1"/>
    </xf>
    <xf numFmtId="0" fontId="18" fillId="0" borderId="7" xfId="0" applyFont="1" applyBorder="1" applyAlignment="1">
      <alignment horizontal="right" wrapText="1"/>
    </xf>
    <xf numFmtId="166" fontId="18" fillId="0" borderId="7" xfId="0" applyNumberFormat="1" applyFont="1" applyBorder="1" applyAlignment="1">
      <alignment horizontal="right" wrapText="1"/>
    </xf>
    <xf numFmtId="169" fontId="18" fillId="0" borderId="8" xfId="1" applyNumberFormat="1" applyFont="1" applyBorder="1" applyAlignment="1">
      <alignment horizontal="right" wrapText="1"/>
    </xf>
    <xf numFmtId="0" fontId="18" fillId="0" borderId="0" xfId="0" applyFont="1" applyAlignment="1">
      <alignment horizontal="right" wrapText="1"/>
    </xf>
    <xf numFmtId="165" fontId="18" fillId="0" borderId="0" xfId="8" applyNumberFormat="1" applyFont="1" applyAlignment="1">
      <alignment horizontal="right" wrapText="1"/>
    </xf>
    <xf numFmtId="0" fontId="18" fillId="0" borderId="7" xfId="0" applyFont="1" applyBorder="1" applyAlignment="1">
      <alignment horizontal="right" wrapText="1"/>
    </xf>
    <xf numFmtId="166" fontId="18" fillId="0" borderId="7" xfId="0" applyNumberFormat="1" applyFont="1" applyBorder="1" applyAlignment="1">
      <alignment horizontal="right" wrapText="1"/>
    </xf>
    <xf numFmtId="169" fontId="18" fillId="0" borderId="8" xfId="1" applyNumberFormat="1" applyFont="1" applyBorder="1" applyAlignment="1">
      <alignment horizontal="right" wrapText="1"/>
    </xf>
    <xf numFmtId="166" fontId="18" fillId="0" borderId="7" xfId="1" applyNumberFormat="1" applyFont="1" applyBorder="1" applyAlignment="1">
      <alignment horizontal="right" wrapText="1"/>
    </xf>
    <xf numFmtId="0" fontId="18" fillId="0" borderId="0" xfId="0" applyFont="1" applyAlignment="1">
      <alignment horizontal="right" wrapText="1"/>
    </xf>
    <xf numFmtId="165" fontId="18" fillId="0" borderId="0" xfId="8" applyNumberFormat="1" applyFont="1" applyAlignment="1">
      <alignment horizontal="right" wrapText="1"/>
    </xf>
    <xf numFmtId="0" fontId="18" fillId="0" borderId="7" xfId="0" applyFont="1" applyBorder="1" applyAlignment="1">
      <alignment horizontal="right" wrapText="1"/>
    </xf>
    <xf numFmtId="166" fontId="18" fillId="0" borderId="7" xfId="0" applyNumberFormat="1" applyFont="1" applyBorder="1" applyAlignment="1">
      <alignment horizontal="right" wrapText="1"/>
    </xf>
    <xf numFmtId="0" fontId="18" fillId="0" borderId="0" xfId="0" applyFont="1" applyAlignment="1">
      <alignment horizontal="right" wrapText="1"/>
    </xf>
    <xf numFmtId="165" fontId="18" fillId="0" borderId="0" xfId="8" applyNumberFormat="1" applyFont="1" applyAlignment="1">
      <alignment horizontal="right" wrapText="1"/>
    </xf>
    <xf numFmtId="0" fontId="18" fillId="0" borderId="7" xfId="0" applyFont="1" applyBorder="1" applyAlignment="1">
      <alignment horizontal="right" wrapText="1"/>
    </xf>
    <xf numFmtId="166" fontId="18" fillId="0" borderId="7" xfId="0" applyNumberFormat="1" applyFont="1" applyBorder="1" applyAlignment="1">
      <alignment horizontal="right" wrapText="1"/>
    </xf>
    <xf numFmtId="169" fontId="18" fillId="0" borderId="8" xfId="1" applyNumberFormat="1" applyFont="1" applyBorder="1" applyAlignment="1">
      <alignment horizontal="right" wrapText="1"/>
    </xf>
    <xf numFmtId="0" fontId="18" fillId="0" borderId="0" xfId="0" applyFont="1" applyAlignment="1">
      <alignment horizontal="right" wrapText="1"/>
    </xf>
    <xf numFmtId="165" fontId="18" fillId="0" borderId="0" xfId="8" applyNumberFormat="1" applyFont="1" applyAlignment="1">
      <alignment horizontal="right" wrapText="1"/>
    </xf>
    <xf numFmtId="0" fontId="18" fillId="0" borderId="7" xfId="0" applyFont="1" applyBorder="1" applyAlignment="1">
      <alignment horizontal="right" wrapText="1"/>
    </xf>
    <xf numFmtId="166" fontId="18" fillId="0" borderId="7" xfId="0" applyNumberFormat="1" applyFont="1" applyBorder="1" applyAlignment="1">
      <alignment horizontal="right" wrapText="1"/>
    </xf>
    <xf numFmtId="169" fontId="18" fillId="0" borderId="8" xfId="1" applyNumberFormat="1" applyFont="1" applyBorder="1" applyAlignment="1">
      <alignment horizontal="right" wrapText="1"/>
    </xf>
    <xf numFmtId="0" fontId="18" fillId="0" borderId="0" xfId="0" applyFont="1" applyAlignment="1">
      <alignment horizontal="right" wrapText="1"/>
    </xf>
    <xf numFmtId="0" fontId="18" fillId="0" borderId="7" xfId="0" applyFont="1" applyBorder="1" applyAlignment="1">
      <alignment horizontal="right" wrapText="1"/>
    </xf>
    <xf numFmtId="166" fontId="18" fillId="0" borderId="7" xfId="0" applyNumberFormat="1" applyFont="1" applyBorder="1" applyAlignment="1">
      <alignment horizontal="right" wrapText="1"/>
    </xf>
    <xf numFmtId="169" fontId="18" fillId="0" borderId="8" xfId="1" applyNumberFormat="1" applyFont="1" applyBorder="1" applyAlignment="1">
      <alignment horizontal="right" wrapText="1"/>
    </xf>
    <xf numFmtId="9" fontId="18" fillId="0" borderId="0" xfId="8" applyFont="1" applyAlignment="1">
      <alignment horizontal="right" wrapText="1"/>
    </xf>
    <xf numFmtId="0" fontId="18" fillId="0" borderId="0" xfId="0" applyFont="1" applyAlignment="1">
      <alignment horizontal="right" wrapText="1"/>
    </xf>
    <xf numFmtId="165" fontId="18" fillId="0" borderId="0" xfId="8" applyNumberFormat="1" applyFont="1" applyAlignment="1">
      <alignment horizontal="right" wrapText="1"/>
    </xf>
    <xf numFmtId="0" fontId="18" fillId="0" borderId="7" xfId="0" applyFont="1" applyBorder="1" applyAlignment="1">
      <alignment horizontal="right" wrapText="1"/>
    </xf>
    <xf numFmtId="166" fontId="18" fillId="0" borderId="7" xfId="0" applyNumberFormat="1" applyFont="1" applyBorder="1" applyAlignment="1">
      <alignment horizontal="right" wrapText="1"/>
    </xf>
    <xf numFmtId="169" fontId="18" fillId="0" borderId="8" xfId="1" applyNumberFormat="1" applyFont="1" applyBorder="1" applyAlignment="1">
      <alignment horizontal="right" wrapText="1"/>
    </xf>
    <xf numFmtId="0" fontId="18" fillId="0" borderId="0" xfId="0" applyFont="1" applyAlignment="1">
      <alignment horizontal="right" wrapText="1"/>
    </xf>
    <xf numFmtId="165" fontId="18" fillId="0" borderId="0" xfId="8" applyNumberFormat="1" applyFont="1" applyAlignment="1">
      <alignment horizontal="right" wrapText="1"/>
    </xf>
    <xf numFmtId="0" fontId="18" fillId="0" borderId="7" xfId="0" applyFont="1" applyBorder="1" applyAlignment="1">
      <alignment horizontal="right" wrapText="1"/>
    </xf>
    <xf numFmtId="0" fontId="18" fillId="0" borderId="8" xfId="0" applyFont="1" applyBorder="1" applyAlignment="1">
      <alignment horizontal="right" wrapText="1"/>
    </xf>
    <xf numFmtId="43" fontId="18" fillId="0" borderId="0" xfId="1" applyFont="1" applyAlignment="1">
      <alignment horizontal="right" wrapText="1"/>
    </xf>
    <xf numFmtId="0" fontId="18" fillId="0" borderId="0" xfId="0" applyFont="1" applyAlignment="1">
      <alignment horizontal="right" wrapText="1"/>
    </xf>
    <xf numFmtId="165" fontId="18" fillId="0" borderId="0" xfId="8" applyNumberFormat="1" applyFont="1" applyAlignment="1">
      <alignment horizontal="right" wrapText="1"/>
    </xf>
    <xf numFmtId="0" fontId="18" fillId="0" borderId="7" xfId="0" applyFont="1" applyBorder="1" applyAlignment="1">
      <alignment horizontal="right" wrapText="1"/>
    </xf>
    <xf numFmtId="166" fontId="18" fillId="0" borderId="7" xfId="0" applyNumberFormat="1" applyFont="1" applyBorder="1" applyAlignment="1">
      <alignment horizontal="right" wrapText="1"/>
    </xf>
    <xf numFmtId="169" fontId="18" fillId="0" borderId="8" xfId="1" applyNumberFormat="1" applyFont="1" applyBorder="1" applyAlignment="1">
      <alignment horizontal="right" wrapText="1"/>
    </xf>
    <xf numFmtId="0" fontId="18" fillId="0" borderId="0" xfId="0" applyFont="1" applyAlignment="1">
      <alignment horizontal="right" wrapText="1"/>
    </xf>
    <xf numFmtId="0" fontId="18" fillId="0" borderId="7" xfId="0" applyFont="1" applyBorder="1" applyAlignment="1">
      <alignment horizontal="right" wrapText="1"/>
    </xf>
    <xf numFmtId="166" fontId="18" fillId="0" borderId="7" xfId="0" applyNumberFormat="1" applyFont="1" applyBorder="1" applyAlignment="1">
      <alignment horizontal="right" wrapText="1"/>
    </xf>
    <xf numFmtId="169" fontId="18" fillId="0" borderId="8" xfId="1" applyNumberFormat="1" applyFont="1" applyBorder="1" applyAlignment="1">
      <alignment horizontal="right" wrapText="1"/>
    </xf>
    <xf numFmtId="9" fontId="18" fillId="0" borderId="0" xfId="8" applyNumberFormat="1" applyFont="1" applyAlignment="1">
      <alignment horizontal="right" wrapText="1"/>
    </xf>
    <xf numFmtId="0" fontId="18" fillId="0" borderId="0" xfId="0" applyFont="1" applyAlignment="1">
      <alignment horizontal="right" wrapText="1"/>
    </xf>
    <xf numFmtId="165" fontId="18" fillId="0" borderId="0" xfId="8" applyNumberFormat="1" applyFont="1" applyAlignment="1">
      <alignment horizontal="right" wrapText="1"/>
    </xf>
    <xf numFmtId="0" fontId="18" fillId="0" borderId="7" xfId="0" applyFont="1" applyBorder="1" applyAlignment="1">
      <alignment horizontal="right" wrapText="1"/>
    </xf>
    <xf numFmtId="166" fontId="18" fillId="0" borderId="7" xfId="0" applyNumberFormat="1" applyFont="1" applyBorder="1" applyAlignment="1">
      <alignment horizontal="right" wrapText="1"/>
    </xf>
    <xf numFmtId="169" fontId="18" fillId="0" borderId="8" xfId="1" applyNumberFormat="1" applyFont="1" applyBorder="1" applyAlignment="1">
      <alignment horizontal="right" wrapText="1"/>
    </xf>
    <xf numFmtId="0" fontId="18" fillId="0" borderId="0" xfId="0" applyFont="1"/>
    <xf numFmtId="9" fontId="18" fillId="0" borderId="0" xfId="0" applyNumberFormat="1" applyFont="1"/>
    <xf numFmtId="37" fontId="16" fillId="0" borderId="0" xfId="4" applyNumberFormat="1" applyAlignment="1" applyProtection="1">
      <alignment horizontal="right" wrapText="1"/>
    </xf>
    <xf numFmtId="37" fontId="18" fillId="0" borderId="0" xfId="0" applyNumberFormat="1" applyFont="1" applyFill="1" applyAlignment="1">
      <alignment horizontal="right" wrapText="1"/>
    </xf>
    <xf numFmtId="37" fontId="18" fillId="0" borderId="0" xfId="1" applyNumberFormat="1" applyFont="1" applyAlignment="1">
      <alignment horizontal="right" wrapText="1"/>
    </xf>
    <xf numFmtId="37" fontId="18" fillId="0" borderId="8" xfId="1" applyNumberFormat="1" applyFont="1" applyBorder="1" applyAlignment="1">
      <alignment horizontal="right" wrapText="1"/>
    </xf>
    <xf numFmtId="2" fontId="18" fillId="0" borderId="8" xfId="0" applyNumberFormat="1" applyFont="1" applyBorder="1" applyAlignment="1">
      <alignment horizontal="right" wrapText="1"/>
    </xf>
    <xf numFmtId="176" fontId="18" fillId="0" borderId="5" xfId="2" applyNumberFormat="1" applyFont="1" applyBorder="1" applyAlignment="1"/>
    <xf numFmtId="43" fontId="18" fillId="0" borderId="5" xfId="2" applyNumberFormat="1" applyFont="1" applyBorder="1" applyAlignment="1"/>
    <xf numFmtId="0" fontId="33" fillId="0" borderId="0" xfId="0" applyFont="1" applyAlignment="1">
      <alignment horizontal="center" wrapText="1"/>
    </xf>
    <xf numFmtId="0" fontId="33" fillId="0" borderId="0" xfId="0" applyFont="1"/>
    <xf numFmtId="0" fontId="6" fillId="0" borderId="0" xfId="5" applyFont="1" applyFill="1" applyBorder="1"/>
    <xf numFmtId="0" fontId="6" fillId="0" borderId="0" xfId="5" applyFont="1" applyFill="1" applyBorder="1" applyAlignment="1">
      <alignment vertical="center" wrapText="1"/>
    </xf>
    <xf numFmtId="43" fontId="18" fillId="2" borderId="0" xfId="0" applyNumberFormat="1" applyFont="1" applyFill="1" applyAlignment="1">
      <alignment horizontal="right" wrapText="1"/>
    </xf>
    <xf numFmtId="176" fontId="18" fillId="0" borderId="0" xfId="0" applyNumberFormat="1" applyFont="1" applyFill="1" applyAlignment="1">
      <alignment horizontal="right" wrapText="1"/>
    </xf>
    <xf numFmtId="1" fontId="18" fillId="0" borderId="0" xfId="0" applyNumberFormat="1" applyFont="1" applyFill="1" applyAlignment="1">
      <alignment horizontal="right" wrapText="1"/>
    </xf>
    <xf numFmtId="180" fontId="18" fillId="0" borderId="0" xfId="1" applyNumberFormat="1" applyFont="1" applyAlignment="1">
      <alignment horizontal="right" wrapText="1"/>
    </xf>
    <xf numFmtId="180" fontId="16" fillId="0" borderId="0" xfId="4" applyNumberFormat="1" applyBorder="1" applyAlignment="1" applyProtection="1">
      <alignment horizontal="right" wrapText="1"/>
    </xf>
    <xf numFmtId="2" fontId="18" fillId="0" borderId="0" xfId="0" applyNumberFormat="1" applyFont="1" applyFill="1" applyAlignment="1">
      <alignment horizontal="right" wrapText="1"/>
    </xf>
    <xf numFmtId="43" fontId="18" fillId="0" borderId="0" xfId="1" applyNumberFormat="1" applyFont="1" applyFill="1" applyAlignment="1">
      <alignment horizontal="right" wrapText="1"/>
    </xf>
    <xf numFmtId="3" fontId="18" fillId="2" borderId="0" xfId="0" applyNumberFormat="1" applyFont="1" applyFill="1" applyAlignment="1">
      <alignment horizontal="right" wrapText="1"/>
    </xf>
    <xf numFmtId="41" fontId="18" fillId="0" borderId="0" xfId="0" applyNumberFormat="1" applyFont="1" applyFill="1" applyAlignment="1">
      <alignment horizontal="right" wrapText="1"/>
    </xf>
    <xf numFmtId="39" fontId="18" fillId="0" borderId="0" xfId="1" applyNumberFormat="1" applyFont="1" applyAlignment="1">
      <alignment horizontal="right" wrapText="1"/>
    </xf>
    <xf numFmtId="2" fontId="18" fillId="0" borderId="7" xfId="0" applyNumberFormat="1" applyFont="1" applyBorder="1" applyAlignment="1">
      <alignment horizontal="right" wrapText="1"/>
    </xf>
    <xf numFmtId="0" fontId="18" fillId="7" borderId="0" xfId="0" applyFont="1" applyFill="1"/>
    <xf numFmtId="0" fontId="18" fillId="7" borderId="0" xfId="0" applyFont="1" applyFill="1" applyAlignment="1">
      <alignment horizontal="center" wrapText="1"/>
    </xf>
    <xf numFmtId="0" fontId="20" fillId="7" borderId="0" xfId="0" applyFont="1" applyFill="1" applyAlignment="1">
      <alignment horizontal="center" wrapText="1"/>
    </xf>
    <xf numFmtId="0" fontId="18" fillId="7" borderId="0" xfId="0" applyFont="1" applyFill="1" applyAlignment="1">
      <alignment horizontal="right" wrapText="1"/>
    </xf>
    <xf numFmtId="169" fontId="18" fillId="7" borderId="0" xfId="0" applyNumberFormat="1" applyFont="1" applyFill="1" applyAlignment="1">
      <alignment horizontal="right" wrapText="1"/>
    </xf>
    <xf numFmtId="165" fontId="18" fillId="7" borderId="0" xfId="8" applyNumberFormat="1" applyFont="1" applyFill="1" applyAlignment="1">
      <alignment horizontal="right" wrapText="1"/>
    </xf>
    <xf numFmtId="9" fontId="18" fillId="7" borderId="0" xfId="8" applyFont="1" applyFill="1" applyAlignment="1">
      <alignment horizontal="right" wrapText="1"/>
    </xf>
    <xf numFmtId="165" fontId="18" fillId="7" borderId="0" xfId="8" applyNumberFormat="1" applyFont="1" applyFill="1"/>
    <xf numFmtId="166" fontId="18" fillId="7" borderId="0" xfId="1" applyNumberFormat="1" applyFont="1" applyFill="1" applyAlignment="1">
      <alignment horizontal="right" wrapText="1"/>
    </xf>
    <xf numFmtId="43" fontId="18" fillId="7" borderId="0" xfId="1" applyFont="1" applyFill="1" applyAlignment="1">
      <alignment horizontal="right" wrapText="1"/>
    </xf>
    <xf numFmtId="9" fontId="18" fillId="7" borderId="0" xfId="8" applyNumberFormat="1" applyFont="1" applyFill="1" applyAlignment="1">
      <alignment horizontal="right" wrapText="1"/>
    </xf>
    <xf numFmtId="169" fontId="18" fillId="7" borderId="0" xfId="1" applyNumberFormat="1" applyFont="1" applyFill="1" applyAlignment="1">
      <alignment horizontal="right" wrapText="1"/>
    </xf>
    <xf numFmtId="9" fontId="18" fillId="7" borderId="0" xfId="8" applyFont="1" applyFill="1"/>
    <xf numFmtId="9" fontId="18" fillId="7" borderId="0" xfId="8" applyNumberFormat="1" applyFont="1" applyFill="1"/>
    <xf numFmtId="9" fontId="18" fillId="7" borderId="0" xfId="0" applyNumberFormat="1" applyFont="1" applyFill="1"/>
    <xf numFmtId="164" fontId="18" fillId="7" borderId="5" xfId="0" applyNumberFormat="1" applyFont="1" applyFill="1" applyBorder="1" applyAlignment="1">
      <alignment horizontal="center" wrapText="1"/>
    </xf>
    <xf numFmtId="169" fontId="18" fillId="7" borderId="0" xfId="1" applyNumberFormat="1" applyFont="1" applyFill="1" applyAlignment="1">
      <alignment horizontal="center" wrapText="1"/>
    </xf>
    <xf numFmtId="165" fontId="18" fillId="7" borderId="0" xfId="8" applyNumberFormat="1" applyFont="1" applyFill="1" applyAlignment="1">
      <alignment horizontal="center" wrapText="1"/>
    </xf>
    <xf numFmtId="9" fontId="18" fillId="7" borderId="0" xfId="8" applyFont="1" applyFill="1" applyAlignment="1">
      <alignment horizontal="center" wrapText="1"/>
    </xf>
    <xf numFmtId="166" fontId="18" fillId="7" borderId="0" xfId="1" applyNumberFormat="1" applyFont="1" applyFill="1" applyAlignment="1">
      <alignment horizontal="center" wrapText="1"/>
    </xf>
    <xf numFmtId="43" fontId="18" fillId="7" borderId="0" xfId="1" applyFont="1" applyFill="1" applyAlignment="1">
      <alignment horizontal="center" wrapText="1"/>
    </xf>
    <xf numFmtId="9" fontId="18" fillId="7" borderId="0" xfId="8" applyNumberFormat="1" applyFont="1" applyFill="1" applyAlignment="1">
      <alignment horizontal="center" wrapText="1"/>
    </xf>
    <xf numFmtId="0" fontId="18" fillId="7" borderId="5" xfId="0" applyFont="1" applyFill="1" applyBorder="1"/>
    <xf numFmtId="0" fontId="18" fillId="7" borderId="5" xfId="0" applyFont="1" applyFill="1" applyBorder="1" applyAlignment="1">
      <alignment horizontal="center" wrapText="1"/>
    </xf>
    <xf numFmtId="0" fontId="18" fillId="7" borderId="0" xfId="0" applyFont="1" applyFill="1" applyAlignment="1">
      <alignment horizontal="right"/>
    </xf>
    <xf numFmtId="165" fontId="18" fillId="7" borderId="0" xfId="8" applyNumberFormat="1" applyFont="1" applyFill="1" applyAlignment="1">
      <alignment horizontal="right"/>
    </xf>
    <xf numFmtId="169" fontId="18" fillId="7" borderId="0" xfId="0" applyNumberFormat="1" applyFont="1" applyFill="1" applyAlignment="1">
      <alignment horizontal="right"/>
    </xf>
    <xf numFmtId="166" fontId="18" fillId="7" borderId="0" xfId="1" applyNumberFormat="1" applyFont="1" applyFill="1" applyAlignment="1">
      <alignment horizontal="right"/>
    </xf>
    <xf numFmtId="9" fontId="18" fillId="7" borderId="0" xfId="8" applyFont="1" applyFill="1" applyAlignment="1">
      <alignment horizontal="right"/>
    </xf>
    <xf numFmtId="43" fontId="18" fillId="7" borderId="0" xfId="1" applyFont="1" applyFill="1" applyAlignment="1">
      <alignment horizontal="right"/>
    </xf>
    <xf numFmtId="9" fontId="18" fillId="7" borderId="0" xfId="8" applyNumberFormat="1" applyFont="1" applyFill="1" applyAlignment="1">
      <alignment horizontal="right"/>
    </xf>
    <xf numFmtId="178" fontId="18" fillId="0" borderId="0" xfId="0" applyNumberFormat="1" applyFont="1" applyAlignment="1">
      <alignment horizontal="right" wrapText="1"/>
    </xf>
    <xf numFmtId="173" fontId="18" fillId="0" borderId="7" xfId="0" applyNumberFormat="1" applyFont="1" applyBorder="1" applyAlignment="1">
      <alignment horizontal="right" wrapText="1"/>
    </xf>
    <xf numFmtId="179" fontId="18" fillId="0" borderId="0" xfId="0" applyNumberFormat="1" applyFont="1" applyAlignment="1">
      <alignment horizontal="right" wrapText="1"/>
    </xf>
    <xf numFmtId="169" fontId="18" fillId="2" borderId="0" xfId="0" applyNumberFormat="1" applyFont="1" applyFill="1" applyAlignment="1">
      <alignment horizontal="right" wrapText="1"/>
    </xf>
    <xf numFmtId="179" fontId="18" fillId="2" borderId="0" xfId="0" applyNumberFormat="1" applyFont="1" applyFill="1" applyAlignment="1">
      <alignment horizontal="right" wrapText="1"/>
    </xf>
    <xf numFmtId="179" fontId="18" fillId="2" borderId="7" xfId="0" applyNumberFormat="1" applyFont="1" applyFill="1" applyBorder="1" applyAlignment="1">
      <alignment horizontal="right" wrapText="1"/>
    </xf>
    <xf numFmtId="176" fontId="3" fillId="0" borderId="5" xfId="2" applyNumberFormat="1" applyFont="1" applyBorder="1" applyAlignment="1"/>
    <xf numFmtId="1" fontId="18" fillId="2" borderId="7" xfId="0" applyNumberFormat="1" applyFont="1" applyFill="1" applyBorder="1" applyAlignment="1">
      <alignment horizontal="right" wrapText="1"/>
    </xf>
    <xf numFmtId="1" fontId="18" fillId="2" borderId="0" xfId="0" applyNumberFormat="1" applyFont="1" applyFill="1" applyAlignment="1">
      <alignment horizontal="right" wrapText="1"/>
    </xf>
    <xf numFmtId="0" fontId="18" fillId="3" borderId="17" xfId="5" applyFont="1" applyFill="1" applyBorder="1" applyAlignment="1">
      <alignment horizontal="center"/>
    </xf>
    <xf numFmtId="0" fontId="18" fillId="0" borderId="13" xfId="5" applyFont="1" applyFill="1" applyBorder="1" applyAlignment="1">
      <alignment horizontal="center" vertical="center" wrapText="1"/>
    </xf>
    <xf numFmtId="0" fontId="6" fillId="3" borderId="18" xfId="5" applyFont="1" applyFill="1" applyBorder="1" applyAlignment="1">
      <alignment horizontal="center" vertical="center" wrapText="1"/>
    </xf>
    <xf numFmtId="0" fontId="18" fillId="3" borderId="17" xfId="5" applyFont="1" applyFill="1" applyBorder="1" applyAlignment="1">
      <alignment horizontal="center"/>
    </xf>
    <xf numFmtId="0" fontId="6" fillId="3" borderId="18" xfId="5" applyFont="1" applyFill="1" applyBorder="1" applyAlignment="1">
      <alignment horizontal="center" vertical="center" wrapText="1"/>
    </xf>
    <xf numFmtId="164" fontId="18" fillId="3" borderId="0" xfId="0" applyNumberFormat="1" applyFont="1" applyFill="1" applyBorder="1" applyAlignment="1">
      <alignment horizontal="center"/>
    </xf>
    <xf numFmtId="3" fontId="18" fillId="3" borderId="0" xfId="5" applyNumberFormat="1" applyFont="1" applyFill="1" applyBorder="1" applyAlignment="1">
      <alignment horizontal="right" vertical="center"/>
    </xf>
    <xf numFmtId="0" fontId="6" fillId="3" borderId="19" xfId="5" applyFont="1" applyFill="1" applyBorder="1" applyAlignment="1">
      <alignment horizontal="center" vertical="center" wrapText="1"/>
    </xf>
    <xf numFmtId="3" fontId="18" fillId="0" borderId="5" xfId="5" applyNumberFormat="1" applyFont="1" applyBorder="1" applyAlignment="1">
      <alignment horizontal="center"/>
    </xf>
    <xf numFmtId="43" fontId="7" fillId="0" borderId="5" xfId="5" applyNumberFormat="1" applyFont="1" applyBorder="1" applyAlignment="1">
      <alignment vertical="center" wrapText="1"/>
    </xf>
    <xf numFmtId="0" fontId="7" fillId="0" borderId="5" xfId="5" applyFont="1" applyBorder="1" applyAlignment="1">
      <alignment vertical="center" wrapText="1"/>
    </xf>
    <xf numFmtId="0" fontId="7" fillId="0" borderId="5" xfId="5" applyFont="1" applyFill="1" applyBorder="1" applyAlignment="1">
      <alignment vertical="center" wrapText="1"/>
    </xf>
    <xf numFmtId="0" fontId="18" fillId="3" borderId="21" xfId="5" applyFont="1" applyFill="1" applyBorder="1" applyAlignment="1">
      <alignment horizontal="center" vertical="center"/>
    </xf>
    <xf numFmtId="0" fontId="18" fillId="3" borderId="21" xfId="5" applyFont="1" applyFill="1" applyBorder="1" applyAlignment="1">
      <alignment horizontal="right" vertical="center"/>
    </xf>
    <xf numFmtId="0" fontId="22" fillId="3" borderId="21" xfId="5" applyFont="1" applyFill="1" applyBorder="1" applyAlignment="1">
      <alignment horizontal="center" vertical="center"/>
    </xf>
    <xf numFmtId="0" fontId="6" fillId="3" borderId="2" xfId="5" applyFont="1" applyFill="1" applyBorder="1"/>
    <xf numFmtId="3" fontId="19" fillId="3" borderId="2" xfId="5" applyNumberFormat="1" applyFont="1" applyFill="1" applyBorder="1" applyAlignment="1">
      <alignment horizontal="center" vertical="center"/>
    </xf>
    <xf numFmtId="0" fontId="30" fillId="3" borderId="3" xfId="5" applyFont="1" applyFill="1" applyBorder="1" applyAlignment="1">
      <alignment horizontal="center"/>
    </xf>
    <xf numFmtId="168" fontId="6" fillId="3" borderId="2" xfId="5" applyNumberFormat="1" applyFont="1" applyFill="1" applyBorder="1" applyAlignment="1"/>
    <xf numFmtId="0" fontId="18" fillId="0" borderId="0" xfId="0" applyFont="1" applyBorder="1"/>
    <xf numFmtId="0" fontId="0" fillId="0" borderId="0" xfId="0" applyBorder="1"/>
    <xf numFmtId="0" fontId="30" fillId="0" borderId="22" xfId="5" applyFont="1" applyFill="1" applyBorder="1" applyAlignment="1">
      <alignment horizontal="center"/>
    </xf>
    <xf numFmtId="3" fontId="18" fillId="0" borderId="11" xfId="5" applyNumberFormat="1" applyFont="1" applyBorder="1" applyAlignment="1">
      <alignment horizontal="center"/>
    </xf>
    <xf numFmtId="0" fontId="7" fillId="0" borderId="11" xfId="5" applyFont="1" applyBorder="1" applyAlignment="1">
      <alignment vertical="center" wrapText="1"/>
    </xf>
    <xf numFmtId="0" fontId="19" fillId="0" borderId="0" xfId="0" applyFont="1" applyBorder="1"/>
    <xf numFmtId="0" fontId="18" fillId="0" borderId="9" xfId="5" applyFont="1" applyFill="1" applyBorder="1" applyAlignment="1">
      <alignment horizontal="center" vertical="center" wrapText="1"/>
    </xf>
    <xf numFmtId="164" fontId="18" fillId="3" borderId="7" xfId="0" applyNumberFormat="1" applyFont="1" applyFill="1" applyBorder="1" applyAlignment="1">
      <alignment horizontal="center"/>
    </xf>
    <xf numFmtId="164" fontId="18" fillId="3" borderId="23" xfId="0" applyNumberFormat="1" applyFont="1" applyFill="1" applyBorder="1" applyAlignment="1">
      <alignment horizontal="center"/>
    </xf>
    <xf numFmtId="164" fontId="18" fillId="3" borderId="24" xfId="0" applyNumberFormat="1" applyFont="1" applyFill="1" applyBorder="1" applyAlignment="1">
      <alignment horizontal="center"/>
    </xf>
    <xf numFmtId="164" fontId="18" fillId="3" borderId="25" xfId="0" applyNumberFormat="1" applyFont="1" applyFill="1" applyBorder="1" applyAlignment="1">
      <alignment horizontal="center"/>
    </xf>
    <xf numFmtId="0" fontId="5" fillId="0" borderId="9" xfId="5" applyFont="1" applyFill="1" applyBorder="1" applyAlignment="1">
      <alignment horizontal="center"/>
    </xf>
    <xf numFmtId="0" fontId="18" fillId="0" borderId="26" xfId="5" applyFont="1" applyFill="1" applyBorder="1" applyAlignment="1">
      <alignment horizontal="center" vertical="center" wrapText="1"/>
    </xf>
    <xf numFmtId="0" fontId="17" fillId="3" borderId="3" xfId="0" applyFont="1" applyFill="1" applyBorder="1"/>
    <xf numFmtId="164" fontId="31" fillId="0" borderId="0" xfId="5" applyNumberFormat="1" applyFont="1" applyBorder="1" applyAlignment="1">
      <alignment horizontal="center"/>
    </xf>
    <xf numFmtId="0" fontId="13" fillId="0" borderId="0" xfId="5" applyFont="1" applyBorder="1" applyAlignment="1">
      <alignment horizontal="center"/>
    </xf>
    <xf numFmtId="0" fontId="19" fillId="0" borderId="6" xfId="0" applyFont="1" applyBorder="1"/>
    <xf numFmtId="0" fontId="18" fillId="0" borderId="20" xfId="0" applyFont="1" applyBorder="1"/>
    <xf numFmtId="0" fontId="19" fillId="0" borderId="27" xfId="0" applyFont="1" applyBorder="1"/>
    <xf numFmtId="0" fontId="19" fillId="0" borderId="28" xfId="0" applyFont="1" applyBorder="1"/>
    <xf numFmtId="0" fontId="19" fillId="0" borderId="29" xfId="0" applyFont="1" applyBorder="1"/>
    <xf numFmtId="176" fontId="18" fillId="0" borderId="5" xfId="2" applyNumberFormat="1" applyFont="1" applyBorder="1" applyAlignment="1">
      <alignment horizontal="right"/>
    </xf>
    <xf numFmtId="176" fontId="5" fillId="0" borderId="5" xfId="2" applyNumberFormat="1" applyFont="1" applyBorder="1" applyAlignment="1"/>
    <xf numFmtId="43" fontId="5" fillId="0" borderId="5" xfId="2" applyNumberFormat="1" applyFont="1" applyBorder="1" applyAlignment="1"/>
    <xf numFmtId="165" fontId="18" fillId="0" borderId="5" xfId="5" applyNumberFormat="1" applyFont="1" applyBorder="1" applyAlignment="1"/>
    <xf numFmtId="9" fontId="3" fillId="0" borderId="5" xfId="8" applyFont="1" applyBorder="1" applyAlignment="1">
      <alignment horizontal="right"/>
    </xf>
    <xf numFmtId="9" fontId="3" fillId="0" borderId="5" xfId="8" applyFont="1" applyBorder="1" applyAlignment="1"/>
    <xf numFmtId="9" fontId="18" fillId="0" borderId="5" xfId="8" applyFont="1" applyBorder="1" applyAlignment="1"/>
    <xf numFmtId="9" fontId="18" fillId="0" borderId="5" xfId="2" applyNumberFormat="1" applyFont="1" applyBorder="1" applyAlignment="1"/>
    <xf numFmtId="9" fontId="5" fillId="0" borderId="5" xfId="8" applyFont="1" applyBorder="1" applyAlignment="1"/>
    <xf numFmtId="9" fontId="18" fillId="0" borderId="5" xfId="8" applyFont="1" applyBorder="1" applyAlignment="1">
      <alignment horizontal="right"/>
    </xf>
    <xf numFmtId="2" fontId="18" fillId="0" borderId="5" xfId="8" applyNumberFormat="1" applyFont="1" applyBorder="1" applyAlignment="1">
      <alignment horizontal="right"/>
    </xf>
    <xf numFmtId="2" fontId="18" fillId="0" borderId="5" xfId="8" applyNumberFormat="1" applyFont="1" applyBorder="1" applyAlignment="1"/>
    <xf numFmtId="2" fontId="5" fillId="0" borderId="5" xfId="8" applyNumberFormat="1" applyFont="1" applyBorder="1" applyAlignment="1"/>
    <xf numFmtId="173" fontId="18" fillId="0" borderId="0" xfId="8" applyNumberFormat="1" applyFont="1"/>
    <xf numFmtId="173" fontId="18" fillId="0" borderId="0" xfId="8" applyNumberFormat="1" applyFont="1" applyFill="1"/>
    <xf numFmtId="0" fontId="1" fillId="0" borderId="5" xfId="7" applyFont="1" applyFill="1" applyBorder="1" applyAlignment="1">
      <alignment horizontal="center"/>
    </xf>
    <xf numFmtId="0" fontId="9" fillId="0" borderId="0" xfId="5" applyFont="1" applyFill="1" applyBorder="1" applyAlignment="1">
      <alignment horizontal="center"/>
    </xf>
    <xf numFmtId="0" fontId="6" fillId="0" borderId="0" xfId="0" applyFont="1" applyBorder="1"/>
    <xf numFmtId="0" fontId="6" fillId="0" borderId="0" xfId="0" applyFont="1" applyBorder="1" applyAlignment="1">
      <alignment horizontal="right"/>
    </xf>
    <xf numFmtId="169" fontId="18" fillId="0" borderId="0" xfId="0" applyNumberFormat="1" applyFont="1" applyAlignment="1">
      <alignment horizontal="right" wrapText="1"/>
    </xf>
    <xf numFmtId="37" fontId="18" fillId="0" borderId="0" xfId="0" applyNumberFormat="1" applyFont="1" applyAlignment="1">
      <alignment horizontal="right" wrapText="1"/>
    </xf>
    <xf numFmtId="0" fontId="18" fillId="0" borderId="30" xfId="0" applyFont="1" applyBorder="1"/>
    <xf numFmtId="0" fontId="19" fillId="0" borderId="30" xfId="0" applyFont="1" applyBorder="1"/>
    <xf numFmtId="2" fontId="18" fillId="2" borderId="0" xfId="0" applyNumberFormat="1" applyFont="1" applyFill="1" applyBorder="1" applyAlignment="1">
      <alignment horizontal="right" wrapText="1"/>
    </xf>
    <xf numFmtId="2" fontId="18" fillId="0" borderId="0" xfId="0" applyNumberFormat="1" applyFont="1"/>
    <xf numFmtId="43" fontId="16" fillId="0" borderId="0" xfId="1" applyNumberFormat="1" applyFont="1" applyAlignment="1" applyProtection="1">
      <alignment horizontal="right" wrapText="1"/>
    </xf>
    <xf numFmtId="169" fontId="16" fillId="0" borderId="0" xfId="1" applyNumberFormat="1" applyFont="1" applyAlignment="1" applyProtection="1">
      <alignment horizontal="right" wrapText="1"/>
    </xf>
    <xf numFmtId="0" fontId="18" fillId="0" borderId="9" xfId="5" applyFont="1" applyFill="1" applyBorder="1" applyAlignment="1">
      <alignment horizontal="center" vertical="center" wrapText="1"/>
    </xf>
    <xf numFmtId="0" fontId="1" fillId="8" borderId="5" xfId="7" applyFont="1" applyFill="1" applyBorder="1" applyAlignment="1">
      <alignment horizontal="center"/>
    </xf>
    <xf numFmtId="0" fontId="5" fillId="0" borderId="15" xfId="5" applyFont="1" applyFill="1" applyBorder="1" applyAlignment="1">
      <alignment horizontal="center"/>
    </xf>
    <xf numFmtId="1" fontId="18" fillId="0" borderId="5" xfId="8" applyNumberFormat="1" applyFont="1" applyBorder="1" applyAlignment="1">
      <alignment horizontal="right"/>
    </xf>
    <xf numFmtId="1" fontId="18" fillId="0" borderId="5" xfId="8" applyNumberFormat="1" applyFont="1" applyBorder="1" applyAlignment="1"/>
    <xf numFmtId="1" fontId="5" fillId="0" borderId="5" xfId="8" applyNumberFormat="1" applyFont="1" applyBorder="1" applyAlignment="1"/>
    <xf numFmtId="0" fontId="18" fillId="3" borderId="17" xfId="5" applyFont="1" applyFill="1" applyBorder="1" applyAlignment="1">
      <alignment horizontal="center"/>
    </xf>
    <xf numFmtId="0" fontId="16" fillId="0" borderId="0" xfId="4" applyAlignment="1" applyProtection="1"/>
    <xf numFmtId="9" fontId="18" fillId="9" borderId="16" xfId="8" applyFont="1" applyFill="1" applyBorder="1" applyAlignment="1">
      <alignment horizontal="right"/>
    </xf>
    <xf numFmtId="0" fontId="30" fillId="9" borderId="31" xfId="5" applyFont="1" applyFill="1" applyBorder="1" applyAlignment="1">
      <alignment horizontal="center"/>
    </xf>
    <xf numFmtId="0" fontId="1" fillId="9" borderId="29" xfId="7" applyFont="1" applyFill="1" applyBorder="1" applyAlignment="1">
      <alignment horizontal="center"/>
    </xf>
    <xf numFmtId="0" fontId="30" fillId="9" borderId="6" xfId="5" applyFont="1" applyFill="1" applyBorder="1" applyAlignment="1">
      <alignment horizontal="center"/>
    </xf>
    <xf numFmtId="0" fontId="1" fillId="9" borderId="0" xfId="7" applyFont="1" applyFill="1" applyBorder="1" applyAlignment="1">
      <alignment horizontal="center"/>
    </xf>
    <xf numFmtId="173" fontId="3" fillId="9" borderId="20" xfId="8" applyNumberFormat="1" applyFont="1" applyFill="1" applyBorder="1" applyAlignment="1">
      <alignment horizontal="right"/>
    </xf>
    <xf numFmtId="0" fontId="30" fillId="9" borderId="27" xfId="5" applyFont="1" applyFill="1" applyBorder="1" applyAlignment="1">
      <alignment horizontal="center"/>
    </xf>
    <xf numFmtId="0" fontId="1" fillId="9" borderId="30" xfId="7" applyFont="1" applyFill="1" applyBorder="1" applyAlignment="1">
      <alignment horizontal="center"/>
    </xf>
    <xf numFmtId="173" fontId="3" fillId="9" borderId="32" xfId="8" applyNumberFormat="1" applyFont="1" applyFill="1" applyBorder="1" applyAlignment="1">
      <alignment horizontal="right"/>
    </xf>
    <xf numFmtId="9" fontId="3" fillId="9" borderId="29" xfId="8" applyFont="1" applyFill="1" applyBorder="1" applyAlignment="1">
      <alignment horizontal="right"/>
    </xf>
    <xf numFmtId="173" fontId="3" fillId="9" borderId="29" xfId="8" applyNumberFormat="1" applyFont="1" applyFill="1" applyBorder="1" applyAlignment="1"/>
    <xf numFmtId="173" fontId="3" fillId="9" borderId="28" xfId="8" applyNumberFormat="1" applyFont="1" applyFill="1" applyBorder="1" applyAlignment="1"/>
    <xf numFmtId="173" fontId="3" fillId="9" borderId="0" xfId="8" applyNumberFormat="1" applyFont="1" applyFill="1" applyBorder="1" applyAlignment="1"/>
    <xf numFmtId="173" fontId="3" fillId="9" borderId="20" xfId="8" applyNumberFormat="1" applyFont="1" applyFill="1" applyBorder="1" applyAlignment="1"/>
    <xf numFmtId="173" fontId="3" fillId="9" borderId="30" xfId="8" applyNumberFormat="1" applyFont="1" applyFill="1" applyBorder="1" applyAlignment="1"/>
    <xf numFmtId="173" fontId="3" fillId="9" borderId="32" xfId="8" applyNumberFormat="1" applyFont="1" applyFill="1" applyBorder="1" applyAlignment="1"/>
    <xf numFmtId="173" fontId="18" fillId="9" borderId="29" xfId="8" applyNumberFormat="1" applyFont="1" applyFill="1" applyBorder="1" applyAlignment="1"/>
    <xf numFmtId="173" fontId="18" fillId="9" borderId="28" xfId="8" applyNumberFormat="1" applyFont="1" applyFill="1" applyBorder="1" applyAlignment="1"/>
    <xf numFmtId="173" fontId="18" fillId="9" borderId="0" xfId="8" applyNumberFormat="1" applyFont="1" applyFill="1" applyBorder="1" applyAlignment="1"/>
    <xf numFmtId="173" fontId="18" fillId="9" borderId="20" xfId="8" applyNumberFormat="1" applyFont="1" applyFill="1" applyBorder="1" applyAlignment="1"/>
    <xf numFmtId="173" fontId="18" fillId="9" borderId="30" xfId="8" applyNumberFormat="1" applyFont="1" applyFill="1" applyBorder="1" applyAlignment="1"/>
    <xf numFmtId="173" fontId="18" fillId="9" borderId="32" xfId="8" applyNumberFormat="1" applyFont="1" applyFill="1" applyBorder="1" applyAlignment="1"/>
    <xf numFmtId="9" fontId="18" fillId="9" borderId="31" xfId="8" applyFont="1" applyFill="1" applyBorder="1" applyAlignment="1">
      <alignment horizontal="right"/>
    </xf>
    <xf numFmtId="0" fontId="7" fillId="9" borderId="29" xfId="5" applyFont="1" applyFill="1" applyBorder="1" applyAlignment="1">
      <alignment vertical="center" wrapText="1"/>
    </xf>
    <xf numFmtId="0" fontId="30" fillId="9" borderId="33" xfId="5" applyFont="1" applyFill="1" applyBorder="1" applyAlignment="1">
      <alignment horizontal="center"/>
    </xf>
    <xf numFmtId="9" fontId="18" fillId="9" borderId="6" xfId="8" applyFont="1" applyFill="1" applyBorder="1" applyAlignment="1">
      <alignment horizontal="right"/>
    </xf>
    <xf numFmtId="0" fontId="7" fillId="9" borderId="0" xfId="5" applyFont="1" applyFill="1" applyBorder="1" applyAlignment="1">
      <alignment vertical="center" wrapText="1"/>
    </xf>
    <xf numFmtId="0" fontId="30" fillId="9" borderId="23" xfId="5" applyFont="1" applyFill="1" applyBorder="1" applyAlignment="1">
      <alignment horizontal="center"/>
    </xf>
    <xf numFmtId="9" fontId="18" fillId="9" borderId="27" xfId="8" applyFont="1" applyFill="1" applyBorder="1" applyAlignment="1">
      <alignment horizontal="right"/>
    </xf>
    <xf numFmtId="0" fontId="7" fillId="9" borderId="30" xfId="5" applyFont="1" applyFill="1" applyBorder="1" applyAlignment="1">
      <alignment vertical="center" wrapText="1"/>
    </xf>
    <xf numFmtId="0" fontId="30" fillId="9" borderId="34" xfId="5" applyFont="1" applyFill="1" applyBorder="1" applyAlignment="1">
      <alignment horizontal="center"/>
    </xf>
    <xf numFmtId="0" fontId="34" fillId="0" borderId="5" xfId="4" applyFont="1" applyFill="1" applyBorder="1" applyAlignment="1" applyProtection="1">
      <alignment horizontal="center" vertical="center" wrapText="1"/>
    </xf>
    <xf numFmtId="0" fontId="34" fillId="0" borderId="0" xfId="4" applyFont="1" applyAlignment="1" applyProtection="1">
      <alignment horizontal="center" wrapText="1"/>
    </xf>
    <xf numFmtId="0" fontId="6" fillId="3" borderId="18" xfId="5" applyFont="1" applyFill="1" applyBorder="1" applyAlignment="1">
      <alignment horizontal="center" vertical="center" wrapText="1"/>
    </xf>
    <xf numFmtId="0" fontId="18" fillId="0" borderId="9" xfId="5" applyFont="1" applyFill="1" applyBorder="1" applyAlignment="1">
      <alignment horizontal="center" vertical="center" wrapText="1"/>
    </xf>
    <xf numFmtId="0" fontId="34" fillId="0" borderId="5" xfId="4" applyFont="1" applyBorder="1" applyAlignment="1" applyProtection="1">
      <alignment horizontal="center" wrapText="1"/>
    </xf>
    <xf numFmtId="0" fontId="34" fillId="0" borderId="5" xfId="4" applyFont="1" applyBorder="1" applyAlignment="1" applyProtection="1">
      <alignment horizontal="center"/>
    </xf>
    <xf numFmtId="0" fontId="34" fillId="0" borderId="11" xfId="4" applyFont="1" applyBorder="1" applyAlignment="1" applyProtection="1">
      <alignment horizontal="center"/>
    </xf>
    <xf numFmtId="0" fontId="18" fillId="3" borderId="18" xfId="5" applyFont="1" applyFill="1" applyBorder="1" applyAlignment="1">
      <alignment horizontal="right" vertical="center"/>
    </xf>
    <xf numFmtId="0" fontId="22" fillId="3" borderId="18" xfId="5" applyFont="1" applyFill="1" applyBorder="1" applyAlignment="1">
      <alignment horizontal="center" vertical="center"/>
    </xf>
    <xf numFmtId="0" fontId="22" fillId="3" borderId="18" xfId="5" applyFont="1" applyFill="1" applyBorder="1" applyAlignment="1">
      <alignment horizontal="center"/>
    </xf>
    <xf numFmtId="0" fontId="18" fillId="3" borderId="18" xfId="5" applyFont="1" applyFill="1" applyBorder="1" applyAlignment="1">
      <alignment horizontal="center" vertical="center"/>
    </xf>
    <xf numFmtId="0" fontId="18" fillId="3" borderId="18" xfId="5" applyFont="1" applyFill="1" applyBorder="1" applyAlignment="1">
      <alignment horizontal="center"/>
    </xf>
    <xf numFmtId="0" fontId="30" fillId="0" borderId="27" xfId="5" applyFont="1" applyFill="1" applyBorder="1" applyAlignment="1">
      <alignment horizontal="center"/>
    </xf>
    <xf numFmtId="0" fontId="0" fillId="3" borderId="35" xfId="0" applyFont="1" applyFill="1" applyBorder="1"/>
    <xf numFmtId="166" fontId="18" fillId="0" borderId="5" xfId="2" applyNumberFormat="1" applyFont="1" applyBorder="1" applyAlignment="1"/>
    <xf numFmtId="166" fontId="5" fillId="0" borderId="5" xfId="2" applyNumberFormat="1" applyFont="1" applyBorder="1" applyAlignment="1"/>
    <xf numFmtId="166" fontId="18" fillId="0" borderId="5" xfId="2" applyNumberFormat="1" applyFont="1" applyBorder="1" applyAlignment="1">
      <alignment horizontal="right"/>
    </xf>
    <xf numFmtId="166" fontId="18" fillId="0" borderId="0" xfId="0" applyNumberFormat="1" applyFont="1" applyAlignment="1">
      <alignment horizontal="center" wrapText="1"/>
    </xf>
    <xf numFmtId="176" fontId="11" fillId="0" borderId="5" xfId="2" applyNumberFormat="1" applyFont="1" applyFill="1" applyBorder="1" applyAlignment="1">
      <alignment horizontal="right"/>
    </xf>
    <xf numFmtId="0" fontId="18" fillId="3" borderId="17" xfId="5" applyFont="1" applyFill="1" applyBorder="1" applyAlignment="1">
      <alignment horizontal="center"/>
    </xf>
    <xf numFmtId="9" fontId="5" fillId="0" borderId="5" xfId="8" applyFont="1" applyFill="1" applyBorder="1" applyAlignment="1"/>
    <xf numFmtId="164" fontId="18" fillId="2" borderId="0" xfId="0" applyNumberFormat="1" applyFont="1" applyFill="1" applyAlignment="1">
      <alignment horizontal="right" wrapText="1"/>
    </xf>
    <xf numFmtId="43" fontId="3" fillId="0" borderId="5" xfId="2" applyNumberFormat="1" applyFont="1" applyBorder="1" applyAlignment="1">
      <alignment horizontal="right"/>
    </xf>
    <xf numFmtId="0" fontId="18" fillId="5" borderId="0" xfId="0" applyFont="1" applyFill="1"/>
    <xf numFmtId="0" fontId="32" fillId="5" borderId="0" xfId="0" applyFont="1" applyFill="1"/>
    <xf numFmtId="0" fontId="18" fillId="10" borderId="0" xfId="0" applyFont="1" applyFill="1"/>
    <xf numFmtId="0" fontId="18" fillId="0" borderId="5" xfId="0" applyFont="1" applyBorder="1" applyAlignment="1">
      <alignment horizontal="center"/>
    </xf>
    <xf numFmtId="0" fontId="18" fillId="0" borderId="15" xfId="0" applyFont="1" applyBorder="1" applyAlignment="1">
      <alignment horizontal="center"/>
    </xf>
    <xf numFmtId="0" fontId="18" fillId="0" borderId="16" xfId="0" applyFont="1" applyBorder="1" applyAlignment="1">
      <alignment horizontal="center"/>
    </xf>
    <xf numFmtId="164" fontId="18" fillId="0" borderId="0" xfId="0" applyNumberFormat="1" applyFont="1" applyBorder="1" applyAlignment="1">
      <alignment horizontal="center" wrapText="1"/>
    </xf>
    <xf numFmtId="165" fontId="3" fillId="0" borderId="5" xfId="8" applyNumberFormat="1" applyFont="1" applyBorder="1" applyAlignment="1">
      <alignment horizontal="right"/>
    </xf>
    <xf numFmtId="165" fontId="3" fillId="0" borderId="5" xfId="8" applyNumberFormat="1" applyFont="1" applyBorder="1" applyAlignment="1"/>
    <xf numFmtId="165" fontId="18" fillId="0" borderId="5" xfId="8" applyNumberFormat="1" applyFont="1" applyBorder="1" applyAlignment="1"/>
    <xf numFmtId="165" fontId="18" fillId="0" borderId="5" xfId="2" applyNumberFormat="1" applyFont="1" applyBorder="1" applyAlignment="1"/>
    <xf numFmtId="169" fontId="16" fillId="0" borderId="0" xfId="4" applyNumberFormat="1" applyAlignment="1" applyProtection="1">
      <alignment horizontal="right" wrapText="1"/>
    </xf>
    <xf numFmtId="43" fontId="18" fillId="0" borderId="5" xfId="2" applyNumberFormat="1" applyFont="1" applyBorder="1" applyAlignment="1">
      <alignment horizontal="right"/>
    </xf>
    <xf numFmtId="165" fontId="5" fillId="0" borderId="5" xfId="8" applyNumberFormat="1" applyFont="1" applyBorder="1" applyAlignment="1"/>
    <xf numFmtId="165" fontId="18" fillId="0" borderId="5" xfId="8" applyNumberFormat="1" applyFont="1" applyBorder="1" applyAlignment="1">
      <alignment horizontal="right"/>
    </xf>
    <xf numFmtId="166" fontId="3" fillId="0" borderId="5" xfId="2" applyNumberFormat="1" applyFont="1" applyBorder="1" applyAlignment="1"/>
    <xf numFmtId="166" fontId="3" fillId="0" borderId="5" xfId="2" applyNumberFormat="1" applyFont="1" applyBorder="1" applyAlignment="1">
      <alignment horizontal="right"/>
    </xf>
    <xf numFmtId="166" fontId="18" fillId="3" borderId="20" xfId="5" applyNumberFormat="1" applyFont="1" applyFill="1" applyBorder="1" applyAlignment="1">
      <alignment horizontal="right" vertical="center"/>
    </xf>
    <xf numFmtId="166" fontId="18" fillId="0" borderId="5" xfId="5" applyNumberFormat="1" applyFont="1" applyBorder="1" applyAlignment="1">
      <alignment horizontal="center"/>
    </xf>
    <xf numFmtId="166" fontId="22" fillId="3" borderId="20" xfId="5" applyNumberFormat="1" applyFont="1" applyFill="1" applyBorder="1" applyAlignment="1">
      <alignment horizontal="center" vertical="center"/>
    </xf>
    <xf numFmtId="166" fontId="30" fillId="0" borderId="5" xfId="5" applyNumberFormat="1" applyFont="1" applyFill="1" applyBorder="1" applyAlignment="1">
      <alignment horizontal="center"/>
    </xf>
    <xf numFmtId="166" fontId="1" fillId="0" borderId="5" xfId="7" applyNumberFormat="1" applyFont="1" applyBorder="1" applyAlignment="1">
      <alignment horizontal="center"/>
    </xf>
    <xf numFmtId="166" fontId="18" fillId="3" borderId="20" xfId="5" applyNumberFormat="1" applyFont="1" applyFill="1" applyBorder="1" applyAlignment="1">
      <alignment horizontal="center" vertical="center"/>
    </xf>
    <xf numFmtId="166" fontId="1" fillId="0" borderId="13" xfId="7" applyNumberFormat="1" applyFont="1" applyBorder="1" applyAlignment="1">
      <alignment horizontal="center"/>
    </xf>
    <xf numFmtId="166" fontId="18" fillId="3" borderId="18" xfId="5" applyNumberFormat="1" applyFont="1" applyFill="1" applyBorder="1" applyAlignment="1">
      <alignment horizontal="right" vertical="center"/>
    </xf>
    <xf numFmtId="166" fontId="22" fillId="3" borderId="18" xfId="5" applyNumberFormat="1" applyFont="1" applyFill="1" applyBorder="1" applyAlignment="1">
      <alignment horizontal="center" vertical="center"/>
    </xf>
    <xf numFmtId="166" fontId="1" fillId="0" borderId="5" xfId="7" applyNumberFormat="1" applyFont="1" applyFill="1" applyBorder="1" applyAlignment="1">
      <alignment horizontal="center"/>
    </xf>
    <xf numFmtId="166" fontId="18" fillId="3" borderId="18" xfId="5" applyNumberFormat="1" applyFont="1" applyFill="1" applyBorder="1" applyAlignment="1">
      <alignment horizontal="center" vertical="center"/>
    </xf>
    <xf numFmtId="39" fontId="18" fillId="0" borderId="5" xfId="2" applyNumberFormat="1" applyFont="1" applyBorder="1" applyAlignment="1"/>
    <xf numFmtId="37" fontId="5" fillId="0" borderId="5" xfId="2" applyNumberFormat="1" applyFont="1" applyBorder="1" applyAlignment="1"/>
    <xf numFmtId="39" fontId="3" fillId="0" borderId="5" xfId="2" applyNumberFormat="1" applyFont="1" applyBorder="1" applyAlignment="1"/>
    <xf numFmtId="39" fontId="18" fillId="0" borderId="5" xfId="2" applyNumberFormat="1" applyFont="1" applyBorder="1" applyAlignment="1">
      <alignment horizontal="right"/>
    </xf>
    <xf numFmtId="39" fontId="18" fillId="0" borderId="0" xfId="0" applyNumberFormat="1" applyFont="1" applyAlignment="1">
      <alignment horizontal="right" wrapText="1"/>
    </xf>
    <xf numFmtId="181" fontId="3" fillId="0" borderId="5" xfId="2" applyNumberFormat="1" applyFont="1" applyBorder="1" applyAlignment="1">
      <alignment horizontal="right"/>
    </xf>
    <xf numFmtId="181" fontId="18" fillId="0" borderId="5" xfId="2" applyNumberFormat="1" applyFont="1" applyBorder="1" applyAlignment="1">
      <alignment horizontal="right"/>
    </xf>
    <xf numFmtId="181" fontId="18" fillId="0" borderId="5" xfId="2" applyNumberFormat="1" applyFont="1" applyBorder="1" applyAlignment="1"/>
    <xf numFmtId="182" fontId="5" fillId="0" borderId="5" xfId="2" applyNumberFormat="1" applyFont="1" applyBorder="1" applyAlignment="1"/>
    <xf numFmtId="182" fontId="18" fillId="0" borderId="5" xfId="2" applyNumberFormat="1" applyFont="1" applyBorder="1" applyAlignment="1"/>
    <xf numFmtId="39" fontId="18" fillId="0" borderId="0" xfId="1" applyNumberFormat="1" applyFont="1" applyFill="1" applyAlignment="1">
      <alignment horizontal="right" wrapText="1"/>
    </xf>
    <xf numFmtId="0" fontId="18" fillId="0" borderId="9" xfId="5" applyFont="1" applyFill="1" applyBorder="1" applyAlignment="1">
      <alignment horizontal="center" vertical="center" wrapText="1"/>
    </xf>
    <xf numFmtId="176" fontId="3" fillId="0" borderId="5" xfId="1" applyNumberFormat="1" applyFont="1" applyBorder="1" applyAlignment="1">
      <alignment horizontal="right"/>
    </xf>
    <xf numFmtId="169" fontId="3" fillId="0" borderId="5" xfId="2" applyNumberFormat="1" applyFont="1" applyBorder="1" applyAlignment="1"/>
    <xf numFmtId="169" fontId="18" fillId="0" borderId="5" xfId="2" applyNumberFormat="1" applyFont="1" applyBorder="1" applyAlignment="1">
      <alignment horizontal="right"/>
    </xf>
    <xf numFmtId="169" fontId="18" fillId="0" borderId="5" xfId="2" applyNumberFormat="1" applyFont="1" applyBorder="1" applyAlignment="1"/>
    <xf numFmtId="169" fontId="3" fillId="0" borderId="5" xfId="2" applyNumberFormat="1" applyFont="1" applyBorder="1" applyAlignment="1">
      <alignment horizontal="right"/>
    </xf>
    <xf numFmtId="169" fontId="5" fillId="0" borderId="5" xfId="2" applyNumberFormat="1" applyFont="1" applyBorder="1" applyAlignment="1"/>
    <xf numFmtId="0" fontId="18" fillId="0" borderId="9" xfId="5" applyFont="1" applyFill="1" applyBorder="1" applyAlignment="1">
      <alignment horizontal="center" vertical="center" wrapText="1"/>
    </xf>
    <xf numFmtId="0" fontId="6" fillId="3" borderId="13" xfId="5" applyFont="1" applyFill="1" applyBorder="1" applyAlignment="1">
      <alignment horizontal="center" vertical="center" wrapText="1"/>
    </xf>
    <xf numFmtId="0" fontId="6" fillId="3" borderId="37" xfId="5" applyFont="1" applyFill="1" applyBorder="1" applyAlignment="1">
      <alignment horizontal="center" vertical="center" wrapText="1"/>
    </xf>
    <xf numFmtId="0" fontId="6" fillId="3" borderId="38" xfId="5" applyFont="1" applyFill="1" applyBorder="1" applyAlignment="1">
      <alignment horizontal="center" vertical="center" wrapText="1"/>
    </xf>
    <xf numFmtId="0" fontId="6" fillId="3" borderId="12" xfId="5" applyFont="1" applyFill="1" applyBorder="1" applyAlignment="1">
      <alignment horizontal="center" vertical="center" wrapText="1"/>
    </xf>
    <xf numFmtId="0" fontId="19" fillId="3" borderId="39" xfId="0" applyFont="1" applyFill="1" applyBorder="1" applyAlignment="1">
      <alignment horizontal="center"/>
    </xf>
    <xf numFmtId="0" fontId="19" fillId="3" borderId="40" xfId="0" applyFont="1" applyFill="1" applyBorder="1" applyAlignment="1">
      <alignment horizontal="center"/>
    </xf>
    <xf numFmtId="0" fontId="19" fillId="3" borderId="41" xfId="0" applyFont="1" applyFill="1" applyBorder="1" applyAlignment="1">
      <alignment horizontal="center"/>
    </xf>
    <xf numFmtId="0" fontId="19" fillId="3" borderId="42" xfId="0" applyFont="1" applyFill="1" applyBorder="1" applyAlignment="1">
      <alignment horizontal="center"/>
    </xf>
    <xf numFmtId="0" fontId="0" fillId="0" borderId="0" xfId="0" applyFill="1" applyAlignment="1">
      <alignment horizontal="center"/>
    </xf>
    <xf numFmtId="0" fontId="19" fillId="3" borderId="19" xfId="0" applyFont="1" applyFill="1" applyBorder="1" applyAlignment="1">
      <alignment horizontal="center"/>
    </xf>
    <xf numFmtId="0" fontId="19" fillId="3" borderId="24" xfId="0" applyFont="1" applyFill="1" applyBorder="1" applyAlignment="1">
      <alignment horizontal="center"/>
    </xf>
    <xf numFmtId="0" fontId="19" fillId="3" borderId="25" xfId="0" applyFont="1" applyFill="1" applyBorder="1" applyAlignment="1">
      <alignment horizontal="center"/>
    </xf>
    <xf numFmtId="0" fontId="18" fillId="0" borderId="45" xfId="5" applyFont="1" applyFill="1" applyBorder="1" applyAlignment="1">
      <alignment horizontal="center" vertical="center" wrapText="1"/>
    </xf>
    <xf numFmtId="0" fontId="18" fillId="0" borderId="46" xfId="5" applyFont="1" applyFill="1" applyBorder="1" applyAlignment="1">
      <alignment horizontal="center" vertical="center" wrapText="1"/>
    </xf>
    <xf numFmtId="0" fontId="6" fillId="3" borderId="2" xfId="5" applyFont="1" applyFill="1" applyBorder="1" applyAlignment="1">
      <alignment horizontal="center"/>
    </xf>
    <xf numFmtId="0" fontId="6" fillId="3" borderId="47" xfId="5" applyFont="1" applyFill="1" applyBorder="1" applyAlignment="1">
      <alignment horizontal="center" vertical="center" wrapText="1"/>
    </xf>
    <xf numFmtId="0" fontId="6" fillId="3" borderId="48" xfId="5" applyFont="1" applyFill="1" applyBorder="1" applyAlignment="1">
      <alignment horizontal="center" vertical="center" wrapText="1"/>
    </xf>
    <xf numFmtId="0" fontId="6" fillId="3" borderId="18" xfId="5" applyFont="1" applyFill="1" applyBorder="1" applyAlignment="1">
      <alignment horizontal="center" vertical="center" wrapText="1"/>
    </xf>
    <xf numFmtId="2" fontId="6" fillId="3" borderId="18" xfId="5" applyNumberFormat="1" applyFont="1" applyFill="1" applyBorder="1" applyAlignment="1">
      <alignment horizontal="center" vertical="center" wrapText="1"/>
    </xf>
    <xf numFmtId="0" fontId="19" fillId="0" borderId="0" xfId="0" applyFont="1" applyFill="1" applyBorder="1" applyAlignment="1">
      <alignment horizontal="center"/>
    </xf>
    <xf numFmtId="0" fontId="6" fillId="3" borderId="44" xfId="5" applyFont="1" applyFill="1" applyBorder="1" applyAlignment="1">
      <alignment horizontal="center" vertical="center" wrapText="1"/>
    </xf>
    <xf numFmtId="0" fontId="6" fillId="3" borderId="18" xfId="5" applyFont="1" applyFill="1" applyBorder="1" applyAlignment="1">
      <alignment horizontal="center" wrapText="1"/>
    </xf>
    <xf numFmtId="2" fontId="6" fillId="3" borderId="13" xfId="5" applyNumberFormat="1" applyFont="1" applyFill="1" applyBorder="1" applyAlignment="1">
      <alignment horizontal="center" vertical="center" wrapText="1"/>
    </xf>
    <xf numFmtId="2" fontId="6" fillId="3" borderId="37" xfId="5" applyNumberFormat="1" applyFont="1" applyFill="1" applyBorder="1" applyAlignment="1">
      <alignment horizontal="center" vertical="center" wrapText="1"/>
    </xf>
    <xf numFmtId="0" fontId="5" fillId="3" borderId="17" xfId="5" applyFont="1" applyFill="1" applyBorder="1" applyAlignment="1">
      <alignment horizontal="center"/>
    </xf>
    <xf numFmtId="0" fontId="5" fillId="3" borderId="43" xfId="5" applyFont="1" applyFill="1" applyBorder="1" applyAlignment="1">
      <alignment horizontal="center"/>
    </xf>
    <xf numFmtId="0" fontId="18" fillId="3" borderId="17" xfId="5" applyFont="1" applyFill="1" applyBorder="1" applyAlignment="1">
      <alignment horizontal="center"/>
    </xf>
    <xf numFmtId="0" fontId="18" fillId="3" borderId="43" xfId="5" applyFont="1" applyFill="1" applyBorder="1" applyAlignment="1">
      <alignment horizontal="center"/>
    </xf>
    <xf numFmtId="49" fontId="6" fillId="3" borderId="18" xfId="5" applyNumberFormat="1" applyFont="1" applyFill="1" applyBorder="1" applyAlignment="1">
      <alignment horizontal="center" vertical="center" wrapText="1"/>
    </xf>
    <xf numFmtId="0" fontId="6" fillId="3" borderId="5" xfId="5" applyFont="1" applyFill="1" applyBorder="1" applyAlignment="1">
      <alignment horizontal="center" vertical="center" wrapText="1"/>
    </xf>
    <xf numFmtId="0" fontId="18" fillId="3" borderId="55" xfId="5" applyFont="1" applyFill="1" applyBorder="1" applyAlignment="1">
      <alignment horizontal="center"/>
    </xf>
    <xf numFmtId="0" fontId="18" fillId="3" borderId="56" xfId="5" applyFont="1" applyFill="1" applyBorder="1" applyAlignment="1">
      <alignment horizontal="center"/>
    </xf>
    <xf numFmtId="0" fontId="18" fillId="3" borderId="57" xfId="5" applyFont="1" applyFill="1" applyBorder="1" applyAlignment="1">
      <alignment horizontal="center"/>
    </xf>
    <xf numFmtId="0" fontId="6" fillId="3" borderId="49" xfId="5" applyFont="1" applyFill="1" applyBorder="1" applyAlignment="1">
      <alignment horizontal="center" vertical="center" wrapText="1"/>
    </xf>
    <xf numFmtId="0" fontId="18" fillId="0" borderId="48" xfId="5" applyFont="1" applyFill="1" applyBorder="1" applyAlignment="1">
      <alignment horizontal="center" vertical="center" wrapText="1"/>
    </xf>
    <xf numFmtId="0" fontId="18" fillId="0" borderId="47" xfId="5" applyFont="1" applyFill="1" applyBorder="1" applyAlignment="1">
      <alignment horizontal="center" vertical="center" wrapText="1"/>
    </xf>
    <xf numFmtId="0" fontId="6" fillId="3" borderId="50" xfId="5" applyFont="1" applyFill="1" applyBorder="1" applyAlignment="1">
      <alignment horizontal="center" vertical="center" wrapText="1"/>
    </xf>
    <xf numFmtId="0" fontId="6" fillId="3" borderId="50" xfId="5" applyFont="1" applyFill="1" applyBorder="1" applyAlignment="1">
      <alignment horizontal="center" wrapText="1"/>
    </xf>
    <xf numFmtId="0" fontId="6" fillId="3" borderId="13" xfId="5" applyFont="1" applyFill="1" applyBorder="1" applyAlignment="1">
      <alignment horizontal="center" wrapText="1"/>
    </xf>
    <xf numFmtId="49" fontId="6" fillId="3" borderId="50" xfId="5" applyNumberFormat="1" applyFont="1" applyFill="1" applyBorder="1" applyAlignment="1">
      <alignment horizontal="center" vertical="center" wrapText="1"/>
    </xf>
    <xf numFmtId="49" fontId="6" fillId="3" borderId="13" xfId="5" applyNumberFormat="1" applyFont="1" applyFill="1" applyBorder="1" applyAlignment="1">
      <alignment horizontal="center" vertical="center" wrapText="1"/>
    </xf>
    <xf numFmtId="2" fontId="6" fillId="3" borderId="50" xfId="5" applyNumberFormat="1" applyFont="1" applyFill="1" applyBorder="1" applyAlignment="1">
      <alignment horizontal="center" vertical="center" wrapText="1"/>
    </xf>
    <xf numFmtId="0" fontId="6" fillId="3" borderId="51" xfId="5" applyFont="1" applyFill="1" applyBorder="1" applyAlignment="1">
      <alignment horizontal="center" vertical="center" wrapText="1"/>
    </xf>
    <xf numFmtId="0" fontId="6" fillId="3" borderId="36" xfId="5" applyFont="1" applyFill="1" applyBorder="1" applyAlignment="1">
      <alignment horizontal="center" vertical="center" wrapText="1"/>
    </xf>
    <xf numFmtId="0" fontId="19" fillId="0" borderId="0" xfId="0" applyFont="1" applyAlignment="1">
      <alignment horizontal="left" wrapText="1"/>
    </xf>
    <xf numFmtId="0" fontId="19" fillId="0" borderId="1"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8" fillId="0" borderId="5" xfId="0" applyFont="1" applyBorder="1" applyAlignment="1">
      <alignment horizontal="center"/>
    </xf>
    <xf numFmtId="0" fontId="18" fillId="0" borderId="15" xfId="0" applyFont="1" applyBorder="1" applyAlignment="1">
      <alignment horizontal="center"/>
    </xf>
    <xf numFmtId="0" fontId="18" fillId="0" borderId="52" xfId="0" applyFont="1" applyBorder="1" applyAlignment="1">
      <alignment horizontal="center"/>
    </xf>
    <xf numFmtId="0" fontId="18" fillId="0" borderId="16" xfId="0" applyFont="1" applyBorder="1" applyAlignment="1">
      <alignment horizontal="center"/>
    </xf>
    <xf numFmtId="0" fontId="18" fillId="0" borderId="27" xfId="0" applyFont="1" applyBorder="1" applyAlignment="1">
      <alignment horizontal="center"/>
    </xf>
    <xf numFmtId="0" fontId="18" fillId="0" borderId="30" xfId="0" applyFont="1" applyBorder="1" applyAlignment="1">
      <alignment horizontal="center"/>
    </xf>
    <xf numFmtId="166" fontId="24" fillId="0" borderId="0" xfId="1" applyNumberFormat="1" applyFont="1" applyFill="1" applyAlignment="1">
      <alignment horizontal="center" vertical="center" textRotation="90" wrapText="1"/>
    </xf>
    <xf numFmtId="0" fontId="18" fillId="0" borderId="53" xfId="5" applyFont="1" applyFill="1" applyBorder="1" applyAlignment="1">
      <alignment horizontal="center" vertical="center" wrapText="1"/>
    </xf>
    <xf numFmtId="0" fontId="6" fillId="3" borderId="54" xfId="5" applyFont="1" applyFill="1" applyBorder="1" applyAlignment="1">
      <alignment horizontal="center" vertical="center" wrapText="1"/>
    </xf>
  </cellXfs>
  <cellStyles count="10">
    <cellStyle name="Comma" xfId="1" builtinId="3"/>
    <cellStyle name="Comma 2" xfId="2"/>
    <cellStyle name="Comma 2 2" xfId="3"/>
    <cellStyle name="Hyperlink" xfId="4" builtinId="8"/>
    <cellStyle name="Normal" xfId="0" builtinId="0"/>
    <cellStyle name="Normal 2" xfId="5"/>
    <cellStyle name="Normal 2 2" xfId="6"/>
    <cellStyle name="Normal 3" xfId="7"/>
    <cellStyle name="Percent" xfId="8" builtinId="5"/>
    <cellStyle name="Percent 2" xfId="9"/>
  </cellStyles>
  <dxfs count="417">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
      <font>
        <color rgb="FF00B050"/>
      </font>
      <fill>
        <patternFill>
          <bgColor rgb="FF00B050"/>
        </patternFill>
      </fill>
    </dxf>
    <dxf>
      <font>
        <color rgb="FFFFFF00"/>
      </font>
      <fill>
        <patternFill>
          <bgColor rgb="FFFFFF00"/>
        </patternFill>
      </fill>
    </dxf>
    <dxf>
      <font>
        <color rgb="FFFF0000"/>
      </font>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utahsbdc.org/DocumentMaster.aspx?doc=1163" TargetMode="External"/><Relationship Id="rId117" Type="http://schemas.openxmlformats.org/officeDocument/2006/relationships/hyperlink" Target="http://www.utahsbdc.org/DocumentMaster.aspx?doc=1163" TargetMode="External"/><Relationship Id="rId21" Type="http://schemas.openxmlformats.org/officeDocument/2006/relationships/hyperlink" Target="http://www.utahsbdc.org/DocumentMaster.aspx?doc=1163" TargetMode="External"/><Relationship Id="rId42" Type="http://schemas.openxmlformats.org/officeDocument/2006/relationships/hyperlink" Target="http://www.utahsbdc.org/DocumentMaster.aspx?doc=1163" TargetMode="External"/><Relationship Id="rId47" Type="http://schemas.openxmlformats.org/officeDocument/2006/relationships/hyperlink" Target="http://www.utahsbdc.org/DocumentMaster.aspx?doc=1163" TargetMode="External"/><Relationship Id="rId63" Type="http://schemas.openxmlformats.org/officeDocument/2006/relationships/hyperlink" Target="http://www.utahsbdc.org/DocumentMaster.aspx?doc=1163" TargetMode="External"/><Relationship Id="rId68" Type="http://schemas.openxmlformats.org/officeDocument/2006/relationships/hyperlink" Target="http://www.utahsbdc.org/DocumentMaster.aspx?doc=1163" TargetMode="External"/><Relationship Id="rId84" Type="http://schemas.openxmlformats.org/officeDocument/2006/relationships/hyperlink" Target="http://www.utahsbdc.org/DocumentMaster.aspx?doc=1163" TargetMode="External"/><Relationship Id="rId89" Type="http://schemas.openxmlformats.org/officeDocument/2006/relationships/hyperlink" Target="http://www.utahsbdc.org/DocumentMaster.aspx?doc=1163" TargetMode="External"/><Relationship Id="rId112" Type="http://schemas.openxmlformats.org/officeDocument/2006/relationships/hyperlink" Target="http://www.utahsbdc.org/DocumentMaster.aspx?doc=1163" TargetMode="External"/><Relationship Id="rId133" Type="http://schemas.openxmlformats.org/officeDocument/2006/relationships/printerSettings" Target="../printerSettings/printerSettings1.bin"/><Relationship Id="rId16" Type="http://schemas.openxmlformats.org/officeDocument/2006/relationships/hyperlink" Target="http://www.utahsbdc.org/DocumentMaster.aspx?doc=1163" TargetMode="External"/><Relationship Id="rId107" Type="http://schemas.openxmlformats.org/officeDocument/2006/relationships/hyperlink" Target="http://www.utahsbdc.org/DocumentMaster.aspx?doc=1163" TargetMode="External"/><Relationship Id="rId11" Type="http://schemas.openxmlformats.org/officeDocument/2006/relationships/hyperlink" Target="http://www.utahsbdc.org/DocumentMaster.aspx?doc=1163" TargetMode="External"/><Relationship Id="rId32" Type="http://schemas.openxmlformats.org/officeDocument/2006/relationships/hyperlink" Target="http://www.utahsbdc.org/DocumentMaster.aspx?doc=1163" TargetMode="External"/><Relationship Id="rId37" Type="http://schemas.openxmlformats.org/officeDocument/2006/relationships/hyperlink" Target="http://www.utahsbdc.org/DocumentMaster.aspx?doc=1163" TargetMode="External"/><Relationship Id="rId53" Type="http://schemas.openxmlformats.org/officeDocument/2006/relationships/hyperlink" Target="http://www.utahsbdc.org/DocumentMaster.aspx?doc=1163" TargetMode="External"/><Relationship Id="rId58" Type="http://schemas.openxmlformats.org/officeDocument/2006/relationships/hyperlink" Target="http://www.utahsbdc.org/DocumentMaster.aspx?doc=1163" TargetMode="External"/><Relationship Id="rId74" Type="http://schemas.openxmlformats.org/officeDocument/2006/relationships/hyperlink" Target="http://www.utahsbdc.org/DocumentMaster.aspx?doc=1163" TargetMode="External"/><Relationship Id="rId79" Type="http://schemas.openxmlformats.org/officeDocument/2006/relationships/hyperlink" Target="http://www.utahsbdc.org/DocumentMaster.aspx?doc=1163" TargetMode="External"/><Relationship Id="rId102" Type="http://schemas.openxmlformats.org/officeDocument/2006/relationships/hyperlink" Target="http://www.utahsbdc.org/DocumentMaster.aspx?doc=1163" TargetMode="External"/><Relationship Id="rId123" Type="http://schemas.openxmlformats.org/officeDocument/2006/relationships/hyperlink" Target="http://www.utahsbdc.org/DocumentMaster.aspx?doc=1163" TargetMode="External"/><Relationship Id="rId128" Type="http://schemas.openxmlformats.org/officeDocument/2006/relationships/hyperlink" Target="http://www.utahsbdc.org/DocumentMaster.aspx?doc=1163" TargetMode="External"/><Relationship Id="rId5" Type="http://schemas.openxmlformats.org/officeDocument/2006/relationships/hyperlink" Target="http://www.utahsbdc.org/DocumentMaster.aspx?doc=1163" TargetMode="External"/><Relationship Id="rId90" Type="http://schemas.openxmlformats.org/officeDocument/2006/relationships/hyperlink" Target="http://www.utahsbdc.org/DocumentMaster.aspx?doc=1163" TargetMode="External"/><Relationship Id="rId95" Type="http://schemas.openxmlformats.org/officeDocument/2006/relationships/hyperlink" Target="http://www.utahsbdc.org/DocumentMaster.aspx?doc=1163" TargetMode="External"/><Relationship Id="rId14" Type="http://schemas.openxmlformats.org/officeDocument/2006/relationships/hyperlink" Target="http://www.utahsbdc.org/DocumentMaster.aspx?doc=1163" TargetMode="External"/><Relationship Id="rId22" Type="http://schemas.openxmlformats.org/officeDocument/2006/relationships/hyperlink" Target="http://www.utahsbdc.org/DocumentMaster.aspx?doc=1163" TargetMode="External"/><Relationship Id="rId27" Type="http://schemas.openxmlformats.org/officeDocument/2006/relationships/hyperlink" Target="http://www.utahsbdc.org/DocumentMaster.aspx?doc=1163" TargetMode="External"/><Relationship Id="rId30" Type="http://schemas.openxmlformats.org/officeDocument/2006/relationships/hyperlink" Target="http://www.utahsbdc.org/DocumentMaster.aspx?doc=1163" TargetMode="External"/><Relationship Id="rId35" Type="http://schemas.openxmlformats.org/officeDocument/2006/relationships/hyperlink" Target="http://www.utahsbdc.org/DocumentMaster.aspx?doc=1163" TargetMode="External"/><Relationship Id="rId43" Type="http://schemas.openxmlformats.org/officeDocument/2006/relationships/hyperlink" Target="http://www.utahsbdc.org/DocumentMaster.aspx?doc=1163" TargetMode="External"/><Relationship Id="rId48" Type="http://schemas.openxmlformats.org/officeDocument/2006/relationships/hyperlink" Target="http://www.utahsbdc.org/DocumentMaster.aspx?doc=1163" TargetMode="External"/><Relationship Id="rId56" Type="http://schemas.openxmlformats.org/officeDocument/2006/relationships/hyperlink" Target="http://www.utahsbdc.org/DocumentMaster.aspx?doc=1163" TargetMode="External"/><Relationship Id="rId64" Type="http://schemas.openxmlformats.org/officeDocument/2006/relationships/hyperlink" Target="http://www.utahsbdc.org/DocumentMaster.aspx?doc=1163" TargetMode="External"/><Relationship Id="rId69" Type="http://schemas.openxmlformats.org/officeDocument/2006/relationships/hyperlink" Target="http://www.utahsbdc.org/DocumentMaster.aspx?doc=1163" TargetMode="External"/><Relationship Id="rId77" Type="http://schemas.openxmlformats.org/officeDocument/2006/relationships/hyperlink" Target="http://www.utahsbdc.org/DocumentMaster.aspx?doc=1163" TargetMode="External"/><Relationship Id="rId100" Type="http://schemas.openxmlformats.org/officeDocument/2006/relationships/hyperlink" Target="http://www.utahsbdc.org/DocumentMaster.aspx?doc=1163" TargetMode="External"/><Relationship Id="rId105" Type="http://schemas.openxmlformats.org/officeDocument/2006/relationships/hyperlink" Target="http://www.utahsbdc.org/DocumentMaster.aspx?doc=1163" TargetMode="External"/><Relationship Id="rId113" Type="http://schemas.openxmlformats.org/officeDocument/2006/relationships/hyperlink" Target="http://www.utahsbdc.org/DocumentMaster.aspx?doc=1163" TargetMode="External"/><Relationship Id="rId118" Type="http://schemas.openxmlformats.org/officeDocument/2006/relationships/hyperlink" Target="http://www.utahsbdc.org/DocumentMaster.aspx?doc=1163" TargetMode="External"/><Relationship Id="rId126" Type="http://schemas.openxmlformats.org/officeDocument/2006/relationships/hyperlink" Target="http://www.utahsbdc.org/DocumentMaster.aspx?doc=1163" TargetMode="External"/><Relationship Id="rId8" Type="http://schemas.openxmlformats.org/officeDocument/2006/relationships/hyperlink" Target="http://www.utahsbdc.org/DocumentMaster.aspx?doc=1163" TargetMode="External"/><Relationship Id="rId51" Type="http://schemas.openxmlformats.org/officeDocument/2006/relationships/hyperlink" Target="http://www.utahsbdc.org/DocumentMaster.aspx?doc=1163" TargetMode="External"/><Relationship Id="rId72" Type="http://schemas.openxmlformats.org/officeDocument/2006/relationships/hyperlink" Target="http://www.utahsbdc.org/DocumentMaster.aspx?doc=1163" TargetMode="External"/><Relationship Id="rId80" Type="http://schemas.openxmlformats.org/officeDocument/2006/relationships/hyperlink" Target="http://www.utahsbdc.org/DocumentMaster.aspx?doc=1163" TargetMode="External"/><Relationship Id="rId85" Type="http://schemas.openxmlformats.org/officeDocument/2006/relationships/hyperlink" Target="http://www.utahsbdc.org/DocumentMaster.aspx?doc=1163" TargetMode="External"/><Relationship Id="rId93" Type="http://schemas.openxmlformats.org/officeDocument/2006/relationships/hyperlink" Target="http://www.utahsbdc.org/DocumentMaster.aspx?doc=1163" TargetMode="External"/><Relationship Id="rId98" Type="http://schemas.openxmlformats.org/officeDocument/2006/relationships/hyperlink" Target="http://www.utahsbdc.org/DocumentMaster.aspx?doc=1163" TargetMode="External"/><Relationship Id="rId121" Type="http://schemas.openxmlformats.org/officeDocument/2006/relationships/hyperlink" Target="http://www.utahsbdc.org/DocumentMaster.aspx?doc=1163" TargetMode="External"/><Relationship Id="rId3" Type="http://schemas.openxmlformats.org/officeDocument/2006/relationships/hyperlink" Target="http://www.utahsbdc.org/DocumentMaster.aspx?doc=1163" TargetMode="External"/><Relationship Id="rId12" Type="http://schemas.openxmlformats.org/officeDocument/2006/relationships/hyperlink" Target="http://www.utahsbdc.org/DocumentMaster.aspx?doc=1163" TargetMode="External"/><Relationship Id="rId17" Type="http://schemas.openxmlformats.org/officeDocument/2006/relationships/hyperlink" Target="http://www.utahsbdc.org/DocumentMaster.aspx?doc=1163" TargetMode="External"/><Relationship Id="rId25" Type="http://schemas.openxmlformats.org/officeDocument/2006/relationships/hyperlink" Target="http://www.utahsbdc.org/DocumentMaster.aspx?doc=1163" TargetMode="External"/><Relationship Id="rId33" Type="http://schemas.openxmlformats.org/officeDocument/2006/relationships/hyperlink" Target="http://www.utahsbdc.org/DocumentMaster.aspx?doc=1163" TargetMode="External"/><Relationship Id="rId38" Type="http://schemas.openxmlformats.org/officeDocument/2006/relationships/hyperlink" Target="http://www.utahsbdc.org/DocumentMaster.aspx?doc=1163" TargetMode="External"/><Relationship Id="rId46" Type="http://schemas.openxmlformats.org/officeDocument/2006/relationships/hyperlink" Target="http://www.utahsbdc.org/DocumentMaster.aspx?doc=1163" TargetMode="External"/><Relationship Id="rId59" Type="http://schemas.openxmlformats.org/officeDocument/2006/relationships/hyperlink" Target="http://www.utahsbdc.org/DocumentMaster.aspx?doc=1163" TargetMode="External"/><Relationship Id="rId67" Type="http://schemas.openxmlformats.org/officeDocument/2006/relationships/hyperlink" Target="http://www.utahsbdc.org/DocumentMaster.aspx?doc=1163" TargetMode="External"/><Relationship Id="rId103" Type="http://schemas.openxmlformats.org/officeDocument/2006/relationships/hyperlink" Target="http://www.utahsbdc.org/DocumentMaster.aspx?doc=1163" TargetMode="External"/><Relationship Id="rId108" Type="http://schemas.openxmlformats.org/officeDocument/2006/relationships/hyperlink" Target="http://www.utahsbdc.org/DocumentMaster.aspx?doc=1163" TargetMode="External"/><Relationship Id="rId116" Type="http://schemas.openxmlformats.org/officeDocument/2006/relationships/hyperlink" Target="http://www.utahsbdc.org/DocumentMaster.aspx?doc=1163" TargetMode="External"/><Relationship Id="rId124" Type="http://schemas.openxmlformats.org/officeDocument/2006/relationships/hyperlink" Target="http://www.utahsbdc.org/DocumentMaster.aspx?doc=1163" TargetMode="External"/><Relationship Id="rId129" Type="http://schemas.openxmlformats.org/officeDocument/2006/relationships/hyperlink" Target="http://www.utahsbdc.org/DocumentMaster.aspx?doc=1163" TargetMode="External"/><Relationship Id="rId20" Type="http://schemas.openxmlformats.org/officeDocument/2006/relationships/hyperlink" Target="http://www.utahsbdc.org/DocumentMaster.aspx?doc=1163" TargetMode="External"/><Relationship Id="rId41" Type="http://schemas.openxmlformats.org/officeDocument/2006/relationships/hyperlink" Target="http://www.utahsbdc.org/DocumentMaster.aspx?doc=1163" TargetMode="External"/><Relationship Id="rId54" Type="http://schemas.openxmlformats.org/officeDocument/2006/relationships/hyperlink" Target="http://www.utahsbdc.org/DocumentMaster.aspx?doc=1163" TargetMode="External"/><Relationship Id="rId62" Type="http://schemas.openxmlformats.org/officeDocument/2006/relationships/hyperlink" Target="http://www.utahsbdc.org/DocumentMaster.aspx?doc=1163" TargetMode="External"/><Relationship Id="rId70" Type="http://schemas.openxmlformats.org/officeDocument/2006/relationships/hyperlink" Target="http://www.utahsbdc.org/DocumentMaster.aspx?doc=1163" TargetMode="External"/><Relationship Id="rId75" Type="http://schemas.openxmlformats.org/officeDocument/2006/relationships/hyperlink" Target="http://www.utahsbdc.org/DocumentMaster.aspx?doc=1163" TargetMode="External"/><Relationship Id="rId83" Type="http://schemas.openxmlformats.org/officeDocument/2006/relationships/hyperlink" Target="http://www.utahsbdc.org/DocumentMaster.aspx?doc=1163" TargetMode="External"/><Relationship Id="rId88" Type="http://schemas.openxmlformats.org/officeDocument/2006/relationships/hyperlink" Target="http://www.utahsbdc.org/DocumentMaster.aspx?doc=1163" TargetMode="External"/><Relationship Id="rId91" Type="http://schemas.openxmlformats.org/officeDocument/2006/relationships/hyperlink" Target="http://www.utahsbdc.org/DocumentMaster.aspx?doc=1163" TargetMode="External"/><Relationship Id="rId96" Type="http://schemas.openxmlformats.org/officeDocument/2006/relationships/hyperlink" Target="http://www.utahsbdc.org/DocumentMaster.aspx?doc=1163" TargetMode="External"/><Relationship Id="rId111" Type="http://schemas.openxmlformats.org/officeDocument/2006/relationships/hyperlink" Target="http://www.utahsbdc.org/DocumentMaster.aspx?doc=1163" TargetMode="External"/><Relationship Id="rId132" Type="http://schemas.openxmlformats.org/officeDocument/2006/relationships/hyperlink" Target="http://www.utahsbdc.org/DocumentMaster.aspx?doc=1163" TargetMode="External"/><Relationship Id="rId1" Type="http://schemas.openxmlformats.org/officeDocument/2006/relationships/hyperlink" Target="http://www.utahsbdc.org/DocumentMaster.aspx?doc=1163" TargetMode="External"/><Relationship Id="rId6" Type="http://schemas.openxmlformats.org/officeDocument/2006/relationships/hyperlink" Target="http://www.utahsbdc.org/DocumentMaster.aspx?doc=1163" TargetMode="External"/><Relationship Id="rId15" Type="http://schemas.openxmlformats.org/officeDocument/2006/relationships/hyperlink" Target="http://www.utahsbdc.org/DocumentMaster.aspx?doc=1163" TargetMode="External"/><Relationship Id="rId23" Type="http://schemas.openxmlformats.org/officeDocument/2006/relationships/hyperlink" Target="http://www.utahsbdc.org/DocumentMaster.aspx?doc=1163" TargetMode="External"/><Relationship Id="rId28" Type="http://schemas.openxmlformats.org/officeDocument/2006/relationships/hyperlink" Target="http://www.utahsbdc.org/DocumentMaster.aspx?doc=1163" TargetMode="External"/><Relationship Id="rId36" Type="http://schemas.openxmlformats.org/officeDocument/2006/relationships/hyperlink" Target="http://www.utahsbdc.org/DocumentMaster.aspx?doc=1163" TargetMode="External"/><Relationship Id="rId49" Type="http://schemas.openxmlformats.org/officeDocument/2006/relationships/hyperlink" Target="http://www.utahsbdc.org/DocumentMaster.aspx?doc=1163" TargetMode="External"/><Relationship Id="rId57" Type="http://schemas.openxmlformats.org/officeDocument/2006/relationships/hyperlink" Target="http://www.utahsbdc.org/DocumentMaster.aspx?doc=1163" TargetMode="External"/><Relationship Id="rId106" Type="http://schemas.openxmlformats.org/officeDocument/2006/relationships/hyperlink" Target="http://www.utahsbdc.org/DocumentMaster.aspx?doc=1163" TargetMode="External"/><Relationship Id="rId114" Type="http://schemas.openxmlformats.org/officeDocument/2006/relationships/hyperlink" Target="http://www.utahsbdc.org/DocumentMaster.aspx?doc=1163" TargetMode="External"/><Relationship Id="rId119" Type="http://schemas.openxmlformats.org/officeDocument/2006/relationships/hyperlink" Target="http://www.utahsbdc.org/DocumentMaster.aspx?doc=1163" TargetMode="External"/><Relationship Id="rId127" Type="http://schemas.openxmlformats.org/officeDocument/2006/relationships/hyperlink" Target="http://www.utahsbdc.org/DocumentMaster.aspx?doc=1163" TargetMode="External"/><Relationship Id="rId10" Type="http://schemas.openxmlformats.org/officeDocument/2006/relationships/hyperlink" Target="http://www.utahsbdc.org/DocumentMaster.aspx?doc=1163" TargetMode="External"/><Relationship Id="rId31" Type="http://schemas.openxmlformats.org/officeDocument/2006/relationships/hyperlink" Target="http://www.utahsbdc.org/DocumentMaster.aspx?doc=1163" TargetMode="External"/><Relationship Id="rId44" Type="http://schemas.openxmlformats.org/officeDocument/2006/relationships/hyperlink" Target="http://www.utahsbdc.org/DocumentMaster.aspx?doc=1163" TargetMode="External"/><Relationship Id="rId52" Type="http://schemas.openxmlformats.org/officeDocument/2006/relationships/hyperlink" Target="http://www.utahsbdc.org/DocumentMaster.aspx?doc=1163" TargetMode="External"/><Relationship Id="rId60" Type="http://schemas.openxmlformats.org/officeDocument/2006/relationships/hyperlink" Target="http://www.utahsbdc.org/DocumentMaster.aspx?doc=1163" TargetMode="External"/><Relationship Id="rId65" Type="http://schemas.openxmlformats.org/officeDocument/2006/relationships/hyperlink" Target="http://www.utahsbdc.org/DocumentMaster.aspx?doc=1163" TargetMode="External"/><Relationship Id="rId73" Type="http://schemas.openxmlformats.org/officeDocument/2006/relationships/hyperlink" Target="http://www.utahsbdc.org/DocumentMaster.aspx?doc=1163" TargetMode="External"/><Relationship Id="rId78" Type="http://schemas.openxmlformats.org/officeDocument/2006/relationships/hyperlink" Target="http://www.utahsbdc.org/DocumentMaster.aspx?doc=1163" TargetMode="External"/><Relationship Id="rId81" Type="http://schemas.openxmlformats.org/officeDocument/2006/relationships/hyperlink" Target="http://www.utahsbdc.org/DocumentMaster.aspx?doc=1163" TargetMode="External"/><Relationship Id="rId86" Type="http://schemas.openxmlformats.org/officeDocument/2006/relationships/hyperlink" Target="http://www.utahsbdc.org/DocumentMaster.aspx?doc=1163" TargetMode="External"/><Relationship Id="rId94" Type="http://schemas.openxmlformats.org/officeDocument/2006/relationships/hyperlink" Target="http://www.utahsbdc.org/DocumentMaster.aspx?doc=1163" TargetMode="External"/><Relationship Id="rId99" Type="http://schemas.openxmlformats.org/officeDocument/2006/relationships/hyperlink" Target="http://www.utahsbdc.org/DocumentMaster.aspx?doc=1163" TargetMode="External"/><Relationship Id="rId101" Type="http://schemas.openxmlformats.org/officeDocument/2006/relationships/hyperlink" Target="http://www.utahsbdc.org/DocumentMaster.aspx?doc=1163" TargetMode="External"/><Relationship Id="rId122" Type="http://schemas.openxmlformats.org/officeDocument/2006/relationships/hyperlink" Target="http://www.utahsbdc.org/DocumentMaster.aspx?doc=1163" TargetMode="External"/><Relationship Id="rId130" Type="http://schemas.openxmlformats.org/officeDocument/2006/relationships/hyperlink" Target="http://www.utahsbdc.org/DocumentMaster.aspx?doc=1163" TargetMode="External"/><Relationship Id="rId4" Type="http://schemas.openxmlformats.org/officeDocument/2006/relationships/hyperlink" Target="http://www.utahsbdc.org/DocumentMaster.aspx?doc=1163" TargetMode="External"/><Relationship Id="rId9" Type="http://schemas.openxmlformats.org/officeDocument/2006/relationships/hyperlink" Target="http://www.utahsbdc.org/DocumentMaster.aspx?doc=1163" TargetMode="External"/><Relationship Id="rId13" Type="http://schemas.openxmlformats.org/officeDocument/2006/relationships/hyperlink" Target="http://www.utahsbdc.org/DocumentMaster.aspx?doc=1163" TargetMode="External"/><Relationship Id="rId18" Type="http://schemas.openxmlformats.org/officeDocument/2006/relationships/hyperlink" Target="http://www.utahsbdc.org/DocumentMaster.aspx?doc=1163" TargetMode="External"/><Relationship Id="rId39" Type="http://schemas.openxmlformats.org/officeDocument/2006/relationships/hyperlink" Target="http://www.utahsbdc.org/DocumentMaster.aspx?doc=1163" TargetMode="External"/><Relationship Id="rId109" Type="http://schemas.openxmlformats.org/officeDocument/2006/relationships/hyperlink" Target="http://www.utahsbdc.org/DocumentMaster.aspx?doc=1163" TargetMode="External"/><Relationship Id="rId34" Type="http://schemas.openxmlformats.org/officeDocument/2006/relationships/hyperlink" Target="http://www.utahsbdc.org/DocumentMaster.aspx?doc=1163" TargetMode="External"/><Relationship Id="rId50" Type="http://schemas.openxmlformats.org/officeDocument/2006/relationships/hyperlink" Target="http://www.utahsbdc.org/DocumentMaster.aspx?doc=1163" TargetMode="External"/><Relationship Id="rId55" Type="http://schemas.openxmlformats.org/officeDocument/2006/relationships/hyperlink" Target="http://www.utahsbdc.org/DocumentMaster.aspx?doc=1163" TargetMode="External"/><Relationship Id="rId76" Type="http://schemas.openxmlformats.org/officeDocument/2006/relationships/hyperlink" Target="http://www.utahsbdc.org/DocumentMaster.aspx?doc=1163" TargetMode="External"/><Relationship Id="rId97" Type="http://schemas.openxmlformats.org/officeDocument/2006/relationships/hyperlink" Target="http://www.utahsbdc.org/DocumentMaster.aspx?doc=1163" TargetMode="External"/><Relationship Id="rId104" Type="http://schemas.openxmlformats.org/officeDocument/2006/relationships/hyperlink" Target="http://www.utahsbdc.org/DocumentMaster.aspx?doc=1163" TargetMode="External"/><Relationship Id="rId120" Type="http://schemas.openxmlformats.org/officeDocument/2006/relationships/hyperlink" Target="http://www.utahsbdc.org/DocumentMaster.aspx?doc=1163" TargetMode="External"/><Relationship Id="rId125" Type="http://schemas.openxmlformats.org/officeDocument/2006/relationships/hyperlink" Target="http://www.utahsbdc.org/DocumentMaster.aspx?doc=1163" TargetMode="External"/><Relationship Id="rId7" Type="http://schemas.openxmlformats.org/officeDocument/2006/relationships/hyperlink" Target="http://www.utahsbdc.org/DocumentMaster.aspx?doc=1163" TargetMode="External"/><Relationship Id="rId71" Type="http://schemas.openxmlformats.org/officeDocument/2006/relationships/hyperlink" Target="http://www.utahsbdc.org/DocumentMaster.aspx?doc=1163" TargetMode="External"/><Relationship Id="rId92" Type="http://schemas.openxmlformats.org/officeDocument/2006/relationships/hyperlink" Target="http://www.utahsbdc.org/DocumentMaster.aspx?doc=1163" TargetMode="External"/><Relationship Id="rId2" Type="http://schemas.openxmlformats.org/officeDocument/2006/relationships/hyperlink" Target="http://www.utahsbdc.org/DocumentMaster.aspx?doc=1163" TargetMode="External"/><Relationship Id="rId29" Type="http://schemas.openxmlformats.org/officeDocument/2006/relationships/hyperlink" Target="http://www.utahsbdc.org/DocumentMaster.aspx?doc=1163" TargetMode="External"/><Relationship Id="rId24" Type="http://schemas.openxmlformats.org/officeDocument/2006/relationships/hyperlink" Target="http://www.utahsbdc.org/DocumentMaster.aspx?doc=1163" TargetMode="External"/><Relationship Id="rId40" Type="http://schemas.openxmlformats.org/officeDocument/2006/relationships/hyperlink" Target="http://www.utahsbdc.org/DocumentMaster.aspx?doc=1163" TargetMode="External"/><Relationship Id="rId45" Type="http://schemas.openxmlformats.org/officeDocument/2006/relationships/hyperlink" Target="http://www.utahsbdc.org/DocumentMaster.aspx?doc=1163" TargetMode="External"/><Relationship Id="rId66" Type="http://schemas.openxmlformats.org/officeDocument/2006/relationships/hyperlink" Target="http://www.utahsbdc.org/DocumentMaster.aspx?doc=1163" TargetMode="External"/><Relationship Id="rId87" Type="http://schemas.openxmlformats.org/officeDocument/2006/relationships/hyperlink" Target="http://www.utahsbdc.org/DocumentMaster.aspx?doc=1163" TargetMode="External"/><Relationship Id="rId110" Type="http://schemas.openxmlformats.org/officeDocument/2006/relationships/hyperlink" Target="http://www.utahsbdc.org/DocumentMaster.aspx?doc=1163" TargetMode="External"/><Relationship Id="rId115" Type="http://schemas.openxmlformats.org/officeDocument/2006/relationships/hyperlink" Target="http://www.utahsbdc.org/DocumentMaster.aspx?doc=1163" TargetMode="External"/><Relationship Id="rId131" Type="http://schemas.openxmlformats.org/officeDocument/2006/relationships/hyperlink" Target="http://www.utahsbdc.org/DocumentMaster.aspx?doc=1163" TargetMode="External"/><Relationship Id="rId61" Type="http://schemas.openxmlformats.org/officeDocument/2006/relationships/hyperlink" Target="http://www.utahsbdc.org/DocumentMaster.aspx?doc=1163" TargetMode="External"/><Relationship Id="rId82" Type="http://schemas.openxmlformats.org/officeDocument/2006/relationships/hyperlink" Target="http://www.utahsbdc.org/DocumentMaster.aspx?doc=1163" TargetMode="External"/><Relationship Id="rId19" Type="http://schemas.openxmlformats.org/officeDocument/2006/relationships/hyperlink" Target="http://www.utahsbdc.org/DocumentMaster.aspx?doc=116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CB747"/>
  <sheetViews>
    <sheetView tabSelected="1" topLeftCell="A670" zoomScale="81" zoomScaleNormal="81" workbookViewId="0">
      <selection activeCell="A730" sqref="A730:T745"/>
    </sheetView>
  </sheetViews>
  <sheetFormatPr defaultRowHeight="15.75"/>
  <cols>
    <col min="1" max="1" width="14.33203125" customWidth="1"/>
    <col min="2" max="2" width="18.33203125" customWidth="1"/>
    <col min="3" max="3" width="5.77734375" customWidth="1"/>
    <col min="4" max="6" width="7.21875" customWidth="1"/>
    <col min="7" max="7" width="0.6640625" customWidth="1"/>
    <col min="8" max="8" width="6.33203125" customWidth="1"/>
    <col min="9" max="9" width="0.6640625" customWidth="1"/>
    <col min="10" max="10" width="5.77734375" customWidth="1"/>
    <col min="11" max="14" width="6.77734375" customWidth="1"/>
    <col min="15" max="15" width="0.6640625" customWidth="1"/>
    <col min="16" max="16" width="5.77734375" customWidth="1"/>
    <col min="17" max="17" width="6.77734375" customWidth="1"/>
    <col min="18" max="20" width="6.44140625" customWidth="1"/>
    <col min="21" max="21" width="10.109375" customWidth="1"/>
    <col min="23" max="23" width="19.33203125" style="465" customWidth="1"/>
    <col min="24" max="35" width="5.5546875" style="465" hidden="1" customWidth="1"/>
    <col min="36" max="47" width="5.5546875" style="465" customWidth="1"/>
    <col min="48" max="80" width="8.88671875" style="465"/>
  </cols>
  <sheetData>
    <row r="1" spans="1:47">
      <c r="A1" s="76" t="s">
        <v>148</v>
      </c>
      <c r="B1" s="76"/>
      <c r="C1" s="77"/>
      <c r="D1" s="77"/>
      <c r="E1" s="78"/>
      <c r="F1" s="67"/>
      <c r="G1" s="77"/>
      <c r="H1" s="77"/>
      <c r="I1" s="77"/>
      <c r="J1" s="106" t="str">
        <f>'Input &amp; Calc'!A1</f>
        <v>Blanding SBDC</v>
      </c>
      <c r="K1" s="77"/>
      <c r="L1" s="78"/>
      <c r="M1" s="78"/>
      <c r="N1" s="77"/>
      <c r="O1" s="77"/>
      <c r="P1" s="67"/>
      <c r="Q1" s="105" t="s">
        <v>146</v>
      </c>
      <c r="R1" s="105"/>
      <c r="S1" s="106" t="str">
        <f>'Input &amp; Calc'!C1</f>
        <v>Bill Olderog</v>
      </c>
      <c r="T1" s="79"/>
      <c r="U1" s="80"/>
      <c r="V1" s="80"/>
      <c r="W1" s="76"/>
      <c r="X1" s="469"/>
      <c r="Y1" s="469"/>
      <c r="Z1" s="469"/>
      <c r="AA1" s="469"/>
      <c r="AB1" s="469"/>
      <c r="AC1" s="469"/>
      <c r="AD1" s="469"/>
      <c r="AJ1" s="502" t="str">
        <f>J1</f>
        <v>Blanding SBDC</v>
      </c>
      <c r="AK1" s="502"/>
      <c r="AL1" s="502"/>
      <c r="AM1" s="503" t="s">
        <v>146</v>
      </c>
      <c r="AN1" s="502" t="str">
        <f>S1</f>
        <v>Bill Olderog</v>
      </c>
      <c r="AP1" s="469"/>
      <c r="AQ1" s="464"/>
      <c r="AR1" s="464"/>
      <c r="AS1" s="464"/>
      <c r="AT1" s="464"/>
      <c r="AU1" s="464"/>
    </row>
    <row r="2" spans="1:47">
      <c r="A2" s="81" t="s">
        <v>205</v>
      </c>
      <c r="B2" s="322"/>
      <c r="C2" s="82"/>
      <c r="D2" s="82"/>
      <c r="E2" s="83"/>
      <c r="F2" s="82"/>
      <c r="G2" s="82"/>
      <c r="H2" s="82"/>
      <c r="I2" s="82"/>
      <c r="J2" s="82"/>
      <c r="K2" s="82"/>
      <c r="L2" s="83"/>
      <c r="M2" s="83"/>
      <c r="N2" s="82"/>
      <c r="O2" s="82"/>
      <c r="P2" s="84"/>
      <c r="Q2" s="82"/>
      <c r="R2" s="82"/>
      <c r="S2" s="82"/>
      <c r="T2" s="82"/>
      <c r="U2" s="128"/>
      <c r="V2" s="128"/>
      <c r="W2" s="322"/>
      <c r="X2" s="464"/>
      <c r="Y2" s="464"/>
      <c r="Z2" s="464"/>
      <c r="AA2" s="464"/>
      <c r="AB2" s="464"/>
      <c r="AC2" s="464"/>
      <c r="AD2" s="464"/>
      <c r="AE2" s="464"/>
      <c r="AF2" s="464"/>
      <c r="AG2" s="464"/>
      <c r="AH2" s="464"/>
      <c r="AI2" s="464"/>
      <c r="AJ2" s="464"/>
      <c r="AK2" s="464"/>
      <c r="AL2" s="464"/>
      <c r="AM2" s="464"/>
      <c r="AN2" s="464"/>
      <c r="AO2" s="464"/>
      <c r="AP2" s="464"/>
      <c r="AQ2" s="464"/>
      <c r="AR2" s="464"/>
      <c r="AS2" s="464"/>
      <c r="AT2" s="464"/>
      <c r="AU2" s="464"/>
    </row>
    <row r="3" spans="1:47" ht="16.5" thickBot="1">
      <c r="A3" s="81"/>
      <c r="B3" s="322"/>
      <c r="C3" s="82"/>
      <c r="D3" s="82"/>
      <c r="E3" s="83"/>
      <c r="F3" s="82"/>
      <c r="G3" s="82"/>
      <c r="H3" s="82"/>
      <c r="I3" s="82"/>
      <c r="J3" s="82"/>
      <c r="K3" s="82"/>
      <c r="L3" s="83"/>
      <c r="M3" s="83"/>
      <c r="N3" s="82"/>
      <c r="O3" s="82"/>
      <c r="P3" s="84"/>
      <c r="Q3" s="82"/>
      <c r="R3" s="82"/>
      <c r="S3" s="82"/>
      <c r="T3" s="479">
        <f>IF(ROUND(T4/3,3)-INT(T4/3)=0,3,IF(ROUND(T4/3,3)-INT(T4/3)=0.667,2,1))</f>
        <v>2</v>
      </c>
      <c r="U3" s="128"/>
      <c r="V3" s="128"/>
      <c r="W3" s="322"/>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row>
    <row r="4" spans="1:47" ht="14.25" customHeight="1" thickBot="1">
      <c r="A4" s="96" t="s">
        <v>134</v>
      </c>
      <c r="B4" s="460"/>
      <c r="C4" s="90"/>
      <c r="D4" s="93" t="s">
        <v>238</v>
      </c>
      <c r="E4" s="94">
        <f>'Input &amp; Calc'!E1</f>
        <v>40391</v>
      </c>
      <c r="F4" s="95"/>
      <c r="G4" s="92"/>
      <c r="H4" s="92"/>
      <c r="I4" s="92"/>
      <c r="J4" s="90"/>
      <c r="K4" s="90"/>
      <c r="L4" s="93" t="s">
        <v>237</v>
      </c>
      <c r="M4" s="93"/>
      <c r="N4" s="463"/>
      <c r="O4" s="92"/>
      <c r="P4" s="90"/>
      <c r="Q4" s="90"/>
      <c r="R4" s="90"/>
      <c r="S4" s="91" t="s">
        <v>133</v>
      </c>
      <c r="T4" s="103">
        <f>'Input &amp; Calc'!EK1</f>
        <v>11</v>
      </c>
      <c r="U4" s="325" t="s">
        <v>159</v>
      </c>
      <c r="V4" s="104"/>
      <c r="W4" s="70"/>
      <c r="X4" s="70"/>
      <c r="Y4" s="70"/>
      <c r="Z4" s="70"/>
      <c r="AA4" s="70"/>
      <c r="AB4" s="70"/>
      <c r="AC4" s="70"/>
      <c r="AD4" s="70"/>
      <c r="AE4" s="70"/>
      <c r="AF4" s="70"/>
      <c r="AG4" s="70"/>
      <c r="AH4" s="70"/>
      <c r="AI4" s="70"/>
      <c r="AJ4" s="70"/>
      <c r="AK4" s="70"/>
      <c r="AL4" s="70"/>
      <c r="AM4" s="464"/>
      <c r="AN4" s="464"/>
      <c r="AO4" s="464"/>
      <c r="AP4" s="464"/>
      <c r="AQ4" s="464"/>
      <c r="AR4" s="464"/>
      <c r="AS4" s="464"/>
      <c r="AT4" s="464"/>
      <c r="AU4" s="464"/>
    </row>
    <row r="5" spans="1:47" ht="13.5" customHeight="1" thickBot="1">
      <c r="A5" s="636" t="s">
        <v>99</v>
      </c>
      <c r="B5" s="638" t="s">
        <v>100</v>
      </c>
      <c r="C5" s="621" t="s">
        <v>101</v>
      </c>
      <c r="D5" s="621" t="s">
        <v>104</v>
      </c>
      <c r="E5" s="643" t="s">
        <v>105</v>
      </c>
      <c r="F5" s="621" t="s">
        <v>106</v>
      </c>
      <c r="G5" s="447"/>
      <c r="H5" s="638" t="s">
        <v>137</v>
      </c>
      <c r="I5" s="447"/>
      <c r="J5" s="621" t="s">
        <v>101</v>
      </c>
      <c r="K5" s="621" t="s">
        <v>104</v>
      </c>
      <c r="L5" s="621" t="s">
        <v>192</v>
      </c>
      <c r="M5" s="638" t="s">
        <v>194</v>
      </c>
      <c r="N5" s="621" t="s">
        <v>193</v>
      </c>
      <c r="O5" s="447"/>
      <c r="P5" s="642" t="s">
        <v>101</v>
      </c>
      <c r="Q5" s="638" t="s">
        <v>102</v>
      </c>
      <c r="R5" s="638" t="s">
        <v>191</v>
      </c>
      <c r="S5" s="638" t="s">
        <v>103</v>
      </c>
      <c r="T5" s="639" t="s">
        <v>131</v>
      </c>
      <c r="U5" s="641" t="s">
        <v>209</v>
      </c>
      <c r="V5" s="623" t="s">
        <v>203</v>
      </c>
      <c r="W5" s="70"/>
      <c r="X5" s="464"/>
      <c r="Y5" s="464"/>
      <c r="Z5" s="464"/>
      <c r="AA5" s="640"/>
      <c r="AB5" s="640"/>
      <c r="AC5" s="640"/>
      <c r="AD5" s="640"/>
      <c r="AE5" s="640"/>
      <c r="AF5" s="640"/>
      <c r="AG5" s="640"/>
      <c r="AH5" s="640"/>
      <c r="AI5" s="640"/>
      <c r="AJ5" s="640"/>
      <c r="AK5" s="640"/>
      <c r="AL5" s="640"/>
      <c r="AM5" s="630" t="s">
        <v>149</v>
      </c>
      <c r="AN5" s="631"/>
      <c r="AO5" s="631"/>
      <c r="AP5" s="631"/>
      <c r="AQ5" s="631"/>
      <c r="AR5" s="631"/>
      <c r="AS5" s="631"/>
      <c r="AT5" s="631"/>
      <c r="AU5" s="632"/>
    </row>
    <row r="6" spans="1:47" ht="12.75" customHeight="1" thickBot="1">
      <c r="A6" s="637"/>
      <c r="B6" s="621"/>
      <c r="C6" s="622"/>
      <c r="D6" s="622"/>
      <c r="E6" s="644"/>
      <c r="F6" s="622"/>
      <c r="G6" s="447"/>
      <c r="H6" s="638"/>
      <c r="I6" s="447"/>
      <c r="J6" s="650"/>
      <c r="K6" s="622"/>
      <c r="L6" s="622"/>
      <c r="M6" s="638"/>
      <c r="N6" s="622"/>
      <c r="O6" s="447"/>
      <c r="P6" s="642"/>
      <c r="Q6" s="638"/>
      <c r="R6" s="638"/>
      <c r="S6" s="638"/>
      <c r="T6" s="639"/>
      <c r="U6" s="641"/>
      <c r="V6" s="624"/>
      <c r="W6" s="452" t="s">
        <v>100</v>
      </c>
      <c r="X6" s="473">
        <v>39630</v>
      </c>
      <c r="Y6" s="473">
        <v>39661</v>
      </c>
      <c r="Z6" s="473">
        <v>39692</v>
      </c>
      <c r="AA6" s="473">
        <v>39722</v>
      </c>
      <c r="AB6" s="473">
        <v>39753</v>
      </c>
      <c r="AC6" s="473">
        <v>39783</v>
      </c>
      <c r="AD6" s="473">
        <v>39814</v>
      </c>
      <c r="AE6" s="473">
        <v>39845</v>
      </c>
      <c r="AF6" s="473">
        <v>39873</v>
      </c>
      <c r="AG6" s="473">
        <v>39904</v>
      </c>
      <c r="AH6" s="473">
        <v>39934</v>
      </c>
      <c r="AI6" s="473">
        <v>39965</v>
      </c>
      <c r="AJ6" s="473">
        <v>39995</v>
      </c>
      <c r="AK6" s="473">
        <v>40026</v>
      </c>
      <c r="AL6" s="474">
        <v>40057</v>
      </c>
      <c r="AM6" s="471">
        <v>40087</v>
      </c>
      <c r="AN6" s="450">
        <v>40118</v>
      </c>
      <c r="AO6" s="450">
        <v>40148</v>
      </c>
      <c r="AP6" s="450">
        <v>40179</v>
      </c>
      <c r="AQ6" s="450">
        <v>40210</v>
      </c>
      <c r="AR6" s="450">
        <v>40238</v>
      </c>
      <c r="AS6" s="450">
        <v>40269</v>
      </c>
      <c r="AT6" s="450">
        <v>40299</v>
      </c>
      <c r="AU6" s="472">
        <v>40330</v>
      </c>
    </row>
    <row r="7" spans="1:47" ht="26.25">
      <c r="A7" s="71" t="s">
        <v>196</v>
      </c>
      <c r="B7" s="555" t="s">
        <v>132</v>
      </c>
      <c r="C7" s="252">
        <f>IF(F7/E7&gt;0.899999999,1,IF(F7/E7&lt;0.75,3,2))</f>
        <v>3</v>
      </c>
      <c r="D7" s="46" t="str">
        <f>'Input &amp; Calc'!EO28</f>
        <v>È</v>
      </c>
      <c r="E7" s="590">
        <f>'Input &amp; Calc'!EE5</f>
        <v>9.3329999999999984</v>
      </c>
      <c r="F7" s="567">
        <f>'Input &amp; Calc'!EH28</f>
        <v>2</v>
      </c>
      <c r="G7" s="591"/>
      <c r="H7" s="592" t="s">
        <v>16</v>
      </c>
      <c r="I7" s="593"/>
      <c r="J7" s="594">
        <f>IF(N7/M7&gt;0.899999999,1,IF(N7/M7&lt;0.75,3,2))</f>
        <v>3</v>
      </c>
      <c r="K7" s="595" t="str">
        <f>'Input &amp; Calc'!EP28</f>
        <v>È</v>
      </c>
      <c r="L7" s="589">
        <f>Q7/4</f>
        <v>27.998999999999999</v>
      </c>
      <c r="M7" s="589">
        <f>L7/3*$T$3</f>
        <v>18.666</v>
      </c>
      <c r="N7" s="565">
        <f>'Input &amp; Calc'!EI28</f>
        <v>3</v>
      </c>
      <c r="O7" s="596"/>
      <c r="P7" s="594">
        <f>IF(S7/R7&gt;0.899999999,1,IF(S7/R7&lt;0.75,3,2))</f>
        <v>1</v>
      </c>
      <c r="Q7" s="565">
        <f>'Input &amp; Calc'!EG5</f>
        <v>111.996</v>
      </c>
      <c r="R7" s="602">
        <f>Q7/12*$T$4</f>
        <v>102.663</v>
      </c>
      <c r="S7" s="603">
        <f>'Input &amp; Calc'!EJ28</f>
        <v>107</v>
      </c>
      <c r="T7" s="488">
        <f>S7/R7</f>
        <v>1.042245015244051</v>
      </c>
      <c r="U7" s="455"/>
      <c r="V7" s="563">
        <f>$V$733</f>
        <v>1</v>
      </c>
      <c r="W7" s="71" t="str">
        <f>B7</f>
        <v># of Ext Engag Clients; &gt;5 Hrs contact since 10/05</v>
      </c>
      <c r="X7" s="268">
        <v>1</v>
      </c>
      <c r="Y7" s="268">
        <v>1</v>
      </c>
      <c r="Z7" s="268">
        <v>1</v>
      </c>
      <c r="AA7" s="268">
        <v>1</v>
      </c>
      <c r="AB7" s="268">
        <v>1</v>
      </c>
      <c r="AC7" s="268">
        <v>1</v>
      </c>
      <c r="AD7" s="268">
        <v>1</v>
      </c>
      <c r="AE7" s="268">
        <v>1</v>
      </c>
      <c r="AF7" s="268">
        <v>1</v>
      </c>
      <c r="AG7" s="268">
        <v>1</v>
      </c>
      <c r="AH7" s="268">
        <v>1</v>
      </c>
      <c r="AI7" s="268">
        <v>1</v>
      </c>
      <c r="AJ7" s="268">
        <f>IF('Input &amp; Calc'!V28="","",IF('Input &amp; Calc'!DB28/'Input &amp; Calc'!DB5&gt;=0.9,1,IF('Input &amp; Calc'!DB28/'Input &amp; Calc'!DB5&lt;0.75,3,2)))</f>
        <v>1</v>
      </c>
      <c r="AK7" s="268">
        <f>IF('Input &amp; Calc'!W28="","",IF('Input &amp; Calc'!DC28/'Input &amp; Calc'!DC5&gt;=0.9,1,IF('Input &amp; Calc'!DC28/'Input &amp; Calc'!DC5&lt;0.75,3,2)))</f>
        <v>1</v>
      </c>
      <c r="AL7" s="270">
        <f>IF('Input &amp; Calc'!X28="","",IF('Input &amp; Calc'!DD28/'Input &amp; Calc'!DD5&gt;=0.9,1,IF('Input &amp; Calc'!DD28/'Input &amp; Calc'!DD5&lt;0.75,3,2)))</f>
        <v>1</v>
      </c>
      <c r="AM7" s="268">
        <f>IF('Input &amp; Calc'!Y28="","",IF('Input &amp; Calc'!DE28/'Input &amp; Calc'!DE5&gt;=0.9,1,IF('Input &amp; Calc'!DE28/'Input &amp; Calc'!DE5&lt;0.75,3,2)))</f>
        <v>1</v>
      </c>
      <c r="AN7" s="268">
        <f>IF('Input &amp; Calc'!Z28="","",IF('Input &amp; Calc'!DF28/'Input &amp; Calc'!DF5&gt;=0.9,1,IF('Input &amp; Calc'!DF28/'Input &amp; Calc'!DF5&lt;0.75,3,2)))</f>
        <v>1</v>
      </c>
      <c r="AO7" s="271">
        <f>IF('Input &amp; Calc'!AA28="","",IF('Input &amp; Calc'!DG28/'Input &amp; Calc'!DG5&gt;=0.9,1,IF('Input &amp; Calc'!DG28/'Input &amp; Calc'!DG5&lt;0.75,3,2)))</f>
        <v>1</v>
      </c>
      <c r="AP7" s="271">
        <f>IF('Input &amp; Calc'!AB28="","",IF('Input &amp; Calc'!DH28/'Input &amp; Calc'!DH5&gt;=0.9,1,IF('Input &amp; Calc'!DH28/'Input &amp; Calc'!DH5&lt;0.75,3,2)))</f>
        <v>1</v>
      </c>
      <c r="AQ7" s="271">
        <f>IF('Input &amp; Calc'!AC28="","",IF('Input &amp; Calc'!DI28/'Input &amp; Calc'!DI5&gt;=0.9,1,IF('Input &amp; Calc'!DI28/'Input &amp; Calc'!DI5&lt;0.75,3,2)))</f>
        <v>1</v>
      </c>
      <c r="AR7" s="271">
        <f>IF('Input &amp; Calc'!AD28="","",IF('Input &amp; Calc'!DJ28/'Input &amp; Calc'!DJ5&gt;=0.9,1,IF('Input &amp; Calc'!DJ28/'Input &amp; Calc'!DJ5&lt;0.75,3,2)))</f>
        <v>1</v>
      </c>
      <c r="AS7" s="271">
        <f>IF('Input &amp; Calc'!AE28="","",IF('Input &amp; Calc'!DK28/'Input &amp; Calc'!DK5&gt;=0.9,1,IF('Input &amp; Calc'!DK28/'Input &amp; Calc'!DK5&lt;0.75,3,2)))</f>
        <v>1</v>
      </c>
      <c r="AT7" s="271">
        <f>IF('Input &amp; Calc'!AF28="","",IF('Input &amp; Calc'!DL28/'Input &amp; Calc'!DL5&gt;=0.9,1,IF('Input &amp; Calc'!DL28/'Input &amp; Calc'!DL5&lt;0.75,3,2)))</f>
        <v>1</v>
      </c>
      <c r="AU7" s="271">
        <f>IF('Input &amp; Calc'!AG28="","",IF('Input &amp; Calc'!DM28/'Input &amp; Calc'!DM5&gt;=0.9,1,IF('Input &amp; Calc'!DM28/'Input &amp; Calc'!DM5&lt;0.75,3,2)))</f>
        <v>1</v>
      </c>
    </row>
    <row r="8" spans="1:47">
      <c r="A8" s="633" t="s">
        <v>206</v>
      </c>
      <c r="B8" s="556" t="s">
        <v>107</v>
      </c>
      <c r="C8" s="252">
        <f>IF(F8/E8&gt;0.899999999,1,IF(F8/E8&lt;0.75,3,2))</f>
        <v>3</v>
      </c>
      <c r="D8" s="97" t="str">
        <f>'Input &amp; Calc'!EO29</f>
        <v>È</v>
      </c>
      <c r="E8" s="590">
        <f>'Input &amp; Calc'!EE7</f>
        <v>1.25</v>
      </c>
      <c r="F8" s="567">
        <f>'Input &amp; Calc'!EH30</f>
        <v>0</v>
      </c>
      <c r="G8" s="591"/>
      <c r="H8" s="592" t="s">
        <v>16</v>
      </c>
      <c r="I8" s="593"/>
      <c r="J8" s="594">
        <f>IF(N8/M8&gt;0.899999999,1,IF(N8/M8&lt;0.75,3,2))</f>
        <v>3</v>
      </c>
      <c r="K8" s="597" t="str">
        <f>'Input &amp; Calc'!EP29</f>
        <v>È</v>
      </c>
      <c r="L8" s="589">
        <f>Q8/4</f>
        <v>3.75</v>
      </c>
      <c r="M8" s="589">
        <f>L8/3*$T$3</f>
        <v>2.5</v>
      </c>
      <c r="N8" s="565">
        <f>'Input &amp; Calc'!EI30</f>
        <v>0</v>
      </c>
      <c r="O8" s="596"/>
      <c r="P8" s="594">
        <f>IF(S8/R8&gt;0.899999999,1,IF(S8/R8&lt;0.75,3,2))</f>
        <v>3</v>
      </c>
      <c r="Q8" s="565">
        <f>'Input &amp; Calc'!EG7</f>
        <v>15</v>
      </c>
      <c r="R8" s="602">
        <f>Q8/12*$T$4</f>
        <v>13.75</v>
      </c>
      <c r="S8" s="566">
        <f>'Input &amp; Calc'!EJ30</f>
        <v>10</v>
      </c>
      <c r="T8" s="488">
        <f>S8/R8</f>
        <v>0.72727272727272729</v>
      </c>
      <c r="U8" s="455"/>
      <c r="V8" s="563">
        <f>$V$734</f>
        <v>1</v>
      </c>
      <c r="W8" s="71" t="str">
        <f>B8</f>
        <v># of Business Starts</v>
      </c>
      <c r="X8" s="268">
        <v>1</v>
      </c>
      <c r="Y8" s="268">
        <v>1</v>
      </c>
      <c r="Z8" s="268">
        <v>1</v>
      </c>
      <c r="AA8" s="268">
        <v>1</v>
      </c>
      <c r="AB8" s="272">
        <v>1</v>
      </c>
      <c r="AC8" s="272">
        <v>1</v>
      </c>
      <c r="AD8" s="272">
        <v>1</v>
      </c>
      <c r="AE8" s="272">
        <v>1</v>
      </c>
      <c r="AF8" s="272">
        <v>1</v>
      </c>
      <c r="AG8" s="272">
        <v>1</v>
      </c>
      <c r="AH8" s="272">
        <v>1</v>
      </c>
      <c r="AI8" s="272">
        <v>1</v>
      </c>
      <c r="AJ8" s="272">
        <f>IF('Input &amp; Calc'!V28="","",IF('Input &amp; Calc'!DB30/'Input &amp; Calc'!DB7&gt;=0.9,1,IF('Input &amp; Calc'!DB30/'Input &amp; Calc'!DB7&lt;0.75,3,2)))</f>
        <v>3</v>
      </c>
      <c r="AK8" s="272">
        <f>IF('Input &amp; Calc'!W28="","",IF('Input &amp; Calc'!DC30/'Input &amp; Calc'!DC7&gt;=0.9,1,IF('Input &amp; Calc'!DC30/'Input &amp; Calc'!DC7&lt;0.75,3,2)))</f>
        <v>3</v>
      </c>
      <c r="AL8" s="272">
        <f>IF('Input &amp; Calc'!X28="","",IF('Input &amp; Calc'!DD30/'Input &amp; Calc'!DD7&gt;=0.9,1,IF('Input &amp; Calc'!DD30/'Input &amp; Calc'!DD7&lt;0.75,3,2)))</f>
        <v>3</v>
      </c>
      <c r="AM8" s="272">
        <f>IF('Input &amp; Calc'!Y28="","",IF('Input &amp; Calc'!DE30/'Input &amp; Calc'!DE7&gt;=0.9,1,IF('Input &amp; Calc'!DE30/'Input &amp; Calc'!DE7&lt;0.75,3,2)))</f>
        <v>3</v>
      </c>
      <c r="AN8" s="272">
        <f>IF('Input &amp; Calc'!Z28="","",IF('Input &amp; Calc'!DF30/'Input &amp; Calc'!DF7&gt;=0.9,1,IF('Input &amp; Calc'!DF30/'Input &amp; Calc'!DF7&lt;0.75,3,2)))</f>
        <v>3</v>
      </c>
      <c r="AO8" s="272">
        <f>IF('Input &amp; Calc'!AA28="","",IF('Input &amp; Calc'!DG30/'Input &amp; Calc'!DG7&gt;=0.9,1,IF('Input &amp; Calc'!DG30/'Input &amp; Calc'!DG7&lt;0.75,3,2)))</f>
        <v>1</v>
      </c>
      <c r="AP8" s="272">
        <f>IF('Input &amp; Calc'!AB28="","",IF('Input &amp; Calc'!DH30/'Input &amp; Calc'!DH7&lt;=0.9,1,IF('Input &amp; Calc'!DH30/'Input &amp; Calc'!DH7&lt;0.75,3,2)))</f>
        <v>1</v>
      </c>
      <c r="AQ8" s="272">
        <f>IF('Input &amp; Calc'!AC28="","",IF('Input &amp; Calc'!DI30/'Input &amp; Calc'!DI7&gt;=0.9,1,IF('Input &amp; Calc'!DI30/'Input &amp; Calc'!DI7&lt;0.75,3,2)))</f>
        <v>1</v>
      </c>
      <c r="AR8" s="272">
        <f>IF('Input &amp; Calc'!AD28="","",IF('Input &amp; Calc'!DJ30/'Input &amp; Calc'!DJ7&gt;=0.9,1,IF('Input &amp; Calc'!DJ30/'Input &amp; Calc'!DJ7&lt;0.75,3,2)))</f>
        <v>1</v>
      </c>
      <c r="AS8" s="272">
        <f>IF('Input &amp; Calc'!AE28="","",IF('Input &amp; Calc'!DK30/'Input &amp; Calc'!DK7&gt;=0.9,1,IF('Input &amp; Calc'!DK30/'Input &amp; Calc'!DK7&lt;0.75,3,2)))</f>
        <v>1</v>
      </c>
      <c r="AT8" s="272">
        <f>IF('Input &amp; Calc'!AF28="","",IF('Input &amp; Calc'!DL30/'Input &amp; Calc'!DL7&gt;=0.9,1,IF('Input &amp; Calc'!DL30/'Input &amp; Calc'!DL7&lt;0.75,3,2)))</f>
        <v>1</v>
      </c>
      <c r="AU8" s="272">
        <v>3</v>
      </c>
    </row>
    <row r="9" spans="1:47" ht="16.5" thickBot="1">
      <c r="A9" s="656"/>
      <c r="B9" s="557" t="s">
        <v>138</v>
      </c>
      <c r="C9" s="252">
        <f>IF(F9/E9&gt;0.899999999,1,IF(F9/E9&lt;0.75,3,2))</f>
        <v>3</v>
      </c>
      <c r="D9" s="85" t="str">
        <f>'Input &amp; Calc'!EO30</f>
        <v>È</v>
      </c>
      <c r="E9" s="279">
        <f>'Input &amp; Calc'!EE8</f>
        <v>0.625</v>
      </c>
      <c r="F9" s="485">
        <f>'Input &amp; Calc'!EH31</f>
        <v>0</v>
      </c>
      <c r="G9" s="458"/>
      <c r="H9" s="467" t="s">
        <v>16</v>
      </c>
      <c r="I9" s="459"/>
      <c r="J9" s="252">
        <f>IF(N9/M9&gt;0.899999999,1,IF(N9/M9&lt;0.75,3,2))</f>
        <v>3</v>
      </c>
      <c r="K9" s="85" t="str">
        <f>'Input &amp; Calc'!EP30</f>
        <v>È</v>
      </c>
      <c r="L9" s="442">
        <f>Q9/4</f>
        <v>1.875</v>
      </c>
      <c r="M9" s="442">
        <f>L9/3*$T$3</f>
        <v>1.25</v>
      </c>
      <c r="N9" s="388">
        <f>'Input &amp; Calc'!EI31</f>
        <v>0</v>
      </c>
      <c r="O9" s="457"/>
      <c r="P9" s="252">
        <f>IF(S9/R9&gt;0.899999999,1,IF(S9/R9&lt;0.75,3,2))</f>
        <v>1</v>
      </c>
      <c r="Q9" s="389">
        <f>'Input &amp; Calc'!EG8</f>
        <v>7.5</v>
      </c>
      <c r="R9" s="389">
        <f>Q9/12*$T$4</f>
        <v>6.875</v>
      </c>
      <c r="S9" s="487">
        <f>'Input &amp; Calc'!EJ31</f>
        <v>7.7640000000000002</v>
      </c>
      <c r="T9" s="488">
        <f>S9/R9</f>
        <v>1.129309090909091</v>
      </c>
      <c r="U9" s="468"/>
      <c r="V9" s="563">
        <f>$V$735</f>
        <v>1</v>
      </c>
      <c r="W9" s="554" t="str">
        <f>B9</f>
        <v>Capital Infusion $ - Million</v>
      </c>
      <c r="X9" s="275">
        <v>1</v>
      </c>
      <c r="Y9" s="275">
        <v>1</v>
      </c>
      <c r="Z9" s="275">
        <v>1</v>
      </c>
      <c r="AA9" s="275">
        <v>1</v>
      </c>
      <c r="AB9" s="323">
        <v>1</v>
      </c>
      <c r="AC9" s="323">
        <v>2</v>
      </c>
      <c r="AD9" s="323">
        <v>3</v>
      </c>
      <c r="AE9" s="323">
        <v>3</v>
      </c>
      <c r="AF9" s="323">
        <v>3</v>
      </c>
      <c r="AG9" s="323">
        <v>1</v>
      </c>
      <c r="AH9" s="323">
        <v>1</v>
      </c>
      <c r="AI9" s="323">
        <v>1</v>
      </c>
      <c r="AJ9" s="272">
        <f>IF('Input &amp; Calc'!V29="","",IF('Input &amp; Calc'!DB31/'Input &amp; Calc'!DB8&gt;=0.9,1,IF('Input &amp; Calc'!DB31/'Input &amp; Calc'!DB8&lt;0.75,3,2)))</f>
        <v>1</v>
      </c>
      <c r="AK9" s="272">
        <f>IF('Input &amp; Calc'!W29="","",IF('Input &amp; Calc'!DC31/'Input &amp; Calc'!DC8&gt;=0.9,1,IF('Input &amp; Calc'!DC31/'Input &amp; Calc'!DC8&lt;0.75,3,2)))</f>
        <v>1</v>
      </c>
      <c r="AL9" s="272">
        <f>IF('Input &amp; Calc'!X29="","",IF('Input &amp; Calc'!DD31/'Input &amp; Calc'!DD8&gt;=0.9,1,IF('Input &amp; Calc'!DD31/'Input &amp; Calc'!DD8&lt;0.75,3,2)))</f>
        <v>1</v>
      </c>
      <c r="AM9" s="272">
        <f>IF('Input &amp; Calc'!Y29="","",IF('Input &amp; Calc'!DE31/'Input &amp; Calc'!DE8&gt;=0.9,1,IF('Input &amp; Calc'!DE31/'Input &amp; Calc'!DE8&lt;0.75,3,2)))</f>
        <v>1</v>
      </c>
      <c r="AN9" s="272">
        <f>IF('Input &amp; Calc'!Z29="","",IF('Input &amp; Calc'!DF31/'Input &amp; Calc'!DF8&gt;=0.9,1,IF('Input &amp; Calc'!DF31/'Input &amp; Calc'!DF8&lt;0.75,3,2)))</f>
        <v>1</v>
      </c>
      <c r="AO9" s="272">
        <f>IF('Input &amp; Calc'!AA29="","",IF('Input &amp; Calc'!DG31/'Input &amp; Calc'!DG8&gt;=0.9,1,IF('Input &amp; Calc'!DG31/'Input &amp; Calc'!DG8&lt;0.75,3,2)))</f>
        <v>1</v>
      </c>
      <c r="AP9" s="272">
        <f>IF('Input &amp; Calc'!AB29="","",IF('Input &amp; Calc'!DH31/'Input &amp; Calc'!DH8&gt;=0.9,1,IF('Input &amp; Calc'!DH31/'Input &amp; Calc'!DH8&lt;0.75,3,2)))</f>
        <v>1</v>
      </c>
      <c r="AQ9" s="272">
        <f>IF('Input &amp; Calc'!AC29="","",IF('Input &amp; Calc'!DI31/'Input &amp; Calc'!DI8&gt;=0.9,1,IF('Input &amp; Calc'!DI31/'Input &amp; Calc'!DI8&lt;0.75,3,2)))</f>
        <v>1</v>
      </c>
      <c r="AR9" s="272">
        <f>IF('Input &amp; Calc'!AD29="","",IF('Input &amp; Calc'!DJ31/'Input &amp; Calc'!DJ8&gt;=0.9,1,IF('Input &amp; Calc'!DJ31/'Input &amp; Calc'!DJ8&lt;0.75,3,2)))</f>
        <v>1</v>
      </c>
      <c r="AS9" s="272">
        <f>IF('Input &amp; Calc'!AE29="","",IF('Input &amp; Calc'!DK31/'Input &amp; Calc'!DK8&gt;=0.9,1,IF('Input &amp; Calc'!DK31/'Input &amp; Calc'!DK8&lt;0.75,3,2)))</f>
        <v>1</v>
      </c>
      <c r="AT9" s="272">
        <f>IF('Input &amp; Calc'!AF29="","",IF('Input &amp; Calc'!DL31/'Input &amp; Calc'!DL8&gt;=0.9,1,IF('Input &amp; Calc'!DL31/'Input &amp; Calc'!DL8&lt;0.75,3,2)))</f>
        <v>1</v>
      </c>
      <c r="AU9" s="272">
        <f>IF('Input &amp; Calc'!AG29="","",IF('Input &amp; Calc'!DM31/'Input &amp; Calc'!DM8&gt;=0.9,1,IF('Input &amp; Calc'!DM31/'Input &amp; Calc'!DM8&lt;0.75,3,2)))</f>
        <v>1</v>
      </c>
    </row>
    <row r="10" spans="1:47" ht="14.25" customHeight="1" thickBot="1">
      <c r="A10" s="96" t="s">
        <v>135</v>
      </c>
      <c r="B10" s="460"/>
      <c r="C10" s="90"/>
      <c r="D10" s="93" t="s">
        <v>238</v>
      </c>
      <c r="E10" s="94">
        <v>40421</v>
      </c>
      <c r="F10" s="95"/>
      <c r="G10" s="461"/>
      <c r="H10" s="635" t="s">
        <v>130</v>
      </c>
      <c r="I10" s="635"/>
      <c r="J10" s="635"/>
      <c r="K10" s="635"/>
      <c r="L10" s="635"/>
      <c r="M10" s="635"/>
      <c r="N10" s="635"/>
      <c r="O10" s="461"/>
      <c r="P10" s="90"/>
      <c r="Q10" s="277"/>
      <c r="R10" s="277"/>
      <c r="S10" s="91" t="s">
        <v>136</v>
      </c>
      <c r="T10" s="278">
        <f>'Input &amp; Calc'!EK2</f>
        <v>2</v>
      </c>
      <c r="U10" s="325" t="s">
        <v>159</v>
      </c>
      <c r="V10" s="462"/>
      <c r="W10" s="392"/>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row>
    <row r="11" spans="1:47" ht="12" customHeight="1" thickBot="1">
      <c r="A11" s="636" t="s">
        <v>99</v>
      </c>
      <c r="B11" s="638" t="s">
        <v>100</v>
      </c>
      <c r="C11" s="621" t="s">
        <v>101</v>
      </c>
      <c r="D11" s="621" t="s">
        <v>104</v>
      </c>
      <c r="E11" s="643" t="s">
        <v>105</v>
      </c>
      <c r="F11" s="621" t="s">
        <v>106</v>
      </c>
      <c r="G11" s="447"/>
      <c r="H11" s="638" t="s">
        <v>137</v>
      </c>
      <c r="I11" s="447"/>
      <c r="J11" s="621" t="s">
        <v>101</v>
      </c>
      <c r="K11" s="621" t="s">
        <v>104</v>
      </c>
      <c r="L11" s="621" t="s">
        <v>192</v>
      </c>
      <c r="M11" s="638" t="s">
        <v>194</v>
      </c>
      <c r="N11" s="621" t="s">
        <v>193</v>
      </c>
      <c r="O11" s="447"/>
      <c r="P11" s="642" t="s">
        <v>101</v>
      </c>
      <c r="Q11" s="638" t="s">
        <v>102</v>
      </c>
      <c r="R11" s="638" t="s">
        <v>191</v>
      </c>
      <c r="S11" s="638" t="s">
        <v>103</v>
      </c>
      <c r="T11" s="649" t="s">
        <v>108</v>
      </c>
      <c r="U11" s="641" t="s">
        <v>209</v>
      </c>
      <c r="V11" s="623" t="s">
        <v>203</v>
      </c>
      <c r="W11" s="393"/>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row>
    <row r="12" spans="1:47" ht="15.75" customHeight="1" thickBot="1">
      <c r="A12" s="637"/>
      <c r="B12" s="621"/>
      <c r="C12" s="622"/>
      <c r="D12" s="622"/>
      <c r="E12" s="644"/>
      <c r="F12" s="622"/>
      <c r="G12" s="447"/>
      <c r="H12" s="638"/>
      <c r="I12" s="447"/>
      <c r="J12" s="622"/>
      <c r="K12" s="622"/>
      <c r="L12" s="622"/>
      <c r="M12" s="638"/>
      <c r="N12" s="622"/>
      <c r="O12" s="447"/>
      <c r="P12" s="642"/>
      <c r="Q12" s="638"/>
      <c r="R12" s="638"/>
      <c r="S12" s="638"/>
      <c r="T12" s="649"/>
      <c r="U12" s="641"/>
      <c r="V12" s="624"/>
      <c r="W12" s="564"/>
      <c r="X12" s="625" t="s">
        <v>150</v>
      </c>
      <c r="Y12" s="626"/>
      <c r="Z12" s="626"/>
      <c r="AA12" s="626"/>
      <c r="AB12" s="626"/>
      <c r="AC12" s="626"/>
      <c r="AD12" s="626"/>
      <c r="AE12" s="626"/>
      <c r="AF12" s="626"/>
      <c r="AG12" s="626"/>
      <c r="AH12" s="626"/>
      <c r="AI12" s="627"/>
      <c r="AJ12" s="625" t="s">
        <v>151</v>
      </c>
      <c r="AK12" s="626"/>
      <c r="AL12" s="626"/>
      <c r="AM12" s="626"/>
      <c r="AN12" s="626"/>
      <c r="AO12" s="626"/>
      <c r="AP12" s="626"/>
      <c r="AQ12" s="626"/>
      <c r="AR12" s="626"/>
      <c r="AS12" s="626"/>
      <c r="AT12" s="626"/>
      <c r="AU12" s="628"/>
    </row>
    <row r="13" spans="1:47" ht="25.5">
      <c r="A13" s="71" t="s">
        <v>197</v>
      </c>
      <c r="B13" s="552" t="s">
        <v>190</v>
      </c>
      <c r="C13" s="252">
        <f>IF(F13/E13&gt;0.899999999,1,IF(F13/E13&lt;0.75,3,2))</f>
        <v>1</v>
      </c>
      <c r="D13" s="46" t="str">
        <f>'Input &amp; Calc'!EO47</f>
        <v>Ç</v>
      </c>
      <c r="E13" s="590">
        <f>'Input &amp; Calc'!EE22</f>
        <v>10.833333333333334</v>
      </c>
      <c r="F13" s="567">
        <f>'Input &amp; Calc'!EH47</f>
        <v>58</v>
      </c>
      <c r="G13" s="598"/>
      <c r="H13" s="592" t="s">
        <v>16</v>
      </c>
      <c r="I13" s="599"/>
      <c r="J13" s="594">
        <f>IF(N13/M13&gt;0.899999999,1,IF(N13/M13&lt;0.75,3,2))</f>
        <v>1</v>
      </c>
      <c r="K13" s="595" t="str">
        <f>'Input &amp; Calc'!EP47</f>
        <v>Ç</v>
      </c>
      <c r="L13" s="589">
        <f>Q13/4</f>
        <v>32.5</v>
      </c>
      <c r="M13" s="589">
        <f>L13/3*$T$3</f>
        <v>21.666666666666668</v>
      </c>
      <c r="N13" s="565">
        <f>'Input &amp; Calc'!EI34</f>
        <v>76</v>
      </c>
      <c r="O13" s="601"/>
      <c r="P13" s="594">
        <f>IF(S13/R13&gt;0.899999999,1,IF(S13/R13&lt;0.75,3,2))</f>
        <v>1</v>
      </c>
      <c r="Q13" s="565">
        <f>'Input &amp; Calc'!EG22</f>
        <v>130</v>
      </c>
      <c r="R13" s="602">
        <f>Q13/12*$T$10</f>
        <v>21.666666666666668</v>
      </c>
      <c r="S13" s="603">
        <f>'Input &amp; Calc'!EJ47</f>
        <v>76</v>
      </c>
      <c r="T13" s="491">
        <f>S13/R13</f>
        <v>3.5076923076923077</v>
      </c>
      <c r="U13" s="454"/>
      <c r="V13" s="563">
        <f>$V$739</f>
        <v>1</v>
      </c>
      <c r="W13" s="476" t="str">
        <f t="shared" ref="W13:W19" si="0">B13</f>
        <v># of Unique Clients YTD</v>
      </c>
      <c r="X13" s="269">
        <v>1</v>
      </c>
      <c r="Y13" s="268">
        <v>1</v>
      </c>
      <c r="Z13" s="268">
        <v>1</v>
      </c>
      <c r="AA13" s="268">
        <v>1</v>
      </c>
      <c r="AB13" s="268">
        <v>1</v>
      </c>
      <c r="AC13" s="268">
        <v>1</v>
      </c>
      <c r="AD13" s="268">
        <v>1</v>
      </c>
      <c r="AE13" s="268">
        <v>1</v>
      </c>
      <c r="AF13" s="268">
        <v>1</v>
      </c>
      <c r="AG13" s="268">
        <v>1</v>
      </c>
      <c r="AH13" s="268">
        <v>1</v>
      </c>
      <c r="AI13" s="270">
        <v>1</v>
      </c>
      <c r="AJ13" s="268">
        <f>IF('Input &amp; Calc'!V47="","",IF('Input &amp; Calc'!DB47/'Input &amp; Calc'!DB22&gt;=0.9,1,IF('Input &amp; Calc'!DB47/'Input &amp; Calc'!DB22&lt;0.75,3,2)))</f>
        <v>1</v>
      </c>
      <c r="AK13" s="268">
        <f>IF('Input &amp; Calc'!W47="","",IF('Input &amp; Calc'!DC47/'Input &amp; Calc'!DC22&gt;=0.9,1,IF('Input &amp; Calc'!DC47/'Input &amp; Calc'!DC22&lt;0.75,3,2)))</f>
        <v>1</v>
      </c>
      <c r="AL13" s="268">
        <f>IF('Input &amp; Calc'!X47="","",IF('Input &amp; Calc'!DD47/'Input &amp; Calc'!DD22&gt;=0.9,1,IF('Input &amp; Calc'!DD47/'Input &amp; Calc'!DD22&lt;0.75,3,2)))</f>
        <v>1</v>
      </c>
      <c r="AM13" s="268">
        <f>IF('Input &amp; Calc'!Y47="","",IF('Input &amp; Calc'!DE47/'Input &amp; Calc'!DE22&gt;=0.9,1,IF('Input &amp; Calc'!DE47/'Input &amp; Calc'!DE22&lt;0.75,3,2)))</f>
        <v>1</v>
      </c>
      <c r="AN13" s="268">
        <f>IF('Input &amp; Calc'!Z47="","",IF('Input &amp; Calc'!DF47/'Input &amp; Calc'!DF22&gt;=0.9,1,IF('Input &amp; Calc'!DF47/'Input &amp; Calc'!DF22&lt;0.75,3,2)))</f>
        <v>1</v>
      </c>
      <c r="AO13" s="268">
        <f>IF('Input &amp; Calc'!AA47="","",IF('Input &amp; Calc'!DG47/'Input &amp; Calc'!DG22&gt;=0.9,1,IF('Input &amp; Calc'!DG47/'Input &amp; Calc'!DG22&lt;0.75,3,2)))</f>
        <v>1</v>
      </c>
      <c r="AP13" s="268">
        <f>IF('Input &amp; Calc'!AB47="","",IF('Input &amp; Calc'!DH47/'Input &amp; Calc'!DH22&gt;=0.9,1,IF('Input &amp; Calc'!DH47/'Input &amp; Calc'!DH22&lt;0.75,3,2)))</f>
        <v>1</v>
      </c>
      <c r="AQ13" s="268">
        <f>IF('Input &amp; Calc'!AC47="","",IF('Input &amp; Calc'!DI47/'Input &amp; Calc'!DI22&gt;=0.9,1,IF('Input &amp; Calc'!DI47/'Input &amp; Calc'!DI22&lt;0.75,3,2)))</f>
        <v>1</v>
      </c>
      <c r="AR13" s="268">
        <f>IF('Input &amp; Calc'!AD47="","",IF('Input &amp; Calc'!DJ47/'Input &amp; Calc'!DJ22&gt;=0.9,1,IF('Input &amp; Calc'!DJ47/'Input &amp; Calc'!DJ22&lt;0.75,3,2)))</f>
        <v>1</v>
      </c>
      <c r="AS13" s="268">
        <f>IF('Input &amp; Calc'!AE47="","",IF('Input &amp; Calc'!DK47/'Input &amp; Calc'!DK22&gt;=0.9,1,IF('Input &amp; Calc'!DK47/'Input &amp; Calc'!DK22&lt;0.75,3,2)))</f>
        <v>1</v>
      </c>
      <c r="AT13" s="268">
        <f>IF('Input &amp; Calc'!AF47="","",IF('Input &amp; Calc'!DL47/'Input &amp; Calc'!DL22&gt;=0.9,1,IF('Input &amp; Calc'!DL47/'Input &amp; Calc'!DL22&lt;0.75,3,2)))</f>
        <v>1</v>
      </c>
      <c r="AU13" s="268">
        <f>IF('Input &amp; Calc'!AG47="","",IF('Input &amp; Calc'!DM47/'Input &amp; Calc'!DM22&gt;=0.9,1,IF('Input &amp; Calc'!DM47/'Input &amp; Calc'!DM22&lt;0.75,3,2)))</f>
        <v>1</v>
      </c>
    </row>
    <row r="14" spans="1:47" ht="27.75" customHeight="1">
      <c r="A14" s="620" t="s">
        <v>198</v>
      </c>
      <c r="B14" s="551" t="s">
        <v>199</v>
      </c>
      <c r="C14" s="252">
        <f>IF(F14/E14&gt;0.899999999,1,IF(F14/E14&lt;0.75,3,2))</f>
        <v>3</v>
      </c>
      <c r="D14" s="46" t="str">
        <f>'Input &amp; Calc'!EO60</f>
        <v>Ç</v>
      </c>
      <c r="E14" s="489">
        <f>'Input &amp; Calc'!EE53</f>
        <v>0.1</v>
      </c>
      <c r="F14" s="494">
        <f>'Input &amp; Calc'!EH60</f>
        <v>0</v>
      </c>
      <c r="G14" s="558"/>
      <c r="H14" s="453" t="s">
        <v>16</v>
      </c>
      <c r="I14" s="559"/>
      <c r="J14" s="252">
        <f>IF(N14/M14&gt;0.899999999,1,IF(N14/M14&lt;0.75,3,2))</f>
        <v>1</v>
      </c>
      <c r="K14" s="46" t="str">
        <f>'Input &amp; Calc'!EP60</f>
        <v>È</v>
      </c>
      <c r="L14" s="490">
        <f>'Input &amp; Calc'!EF53</f>
        <v>0.1</v>
      </c>
      <c r="M14" s="490">
        <f>L14</f>
        <v>0.1</v>
      </c>
      <c r="N14" s="494">
        <f>'Input &amp; Calc'!EI60</f>
        <v>0.2</v>
      </c>
      <c r="O14" s="561"/>
      <c r="P14" s="252">
        <f>IF(S14/R14&gt;0.899999999,1,IF(S14/R14&lt;0.75,3,2))</f>
        <v>1</v>
      </c>
      <c r="Q14" s="491">
        <f>'Input &amp; Calc'!EG53</f>
        <v>0.1</v>
      </c>
      <c r="R14" s="492">
        <f>Q14</f>
        <v>0.1</v>
      </c>
      <c r="S14" s="493">
        <f>'Input &amp; Calc'!EJ60</f>
        <v>0.2</v>
      </c>
      <c r="T14" s="488">
        <f>+S14-R14</f>
        <v>0.1</v>
      </c>
      <c r="U14" s="455"/>
      <c r="V14" s="563">
        <f>$V$740</f>
        <v>1</v>
      </c>
      <c r="W14" s="476" t="str">
        <f t="shared" si="0"/>
        <v>% of existing business new clients to initial clients</v>
      </c>
      <c r="X14" s="475">
        <v>1</v>
      </c>
      <c r="Y14" s="274">
        <v>1</v>
      </c>
      <c r="Z14" s="274">
        <v>1</v>
      </c>
      <c r="AA14" s="274">
        <v>1</v>
      </c>
      <c r="AB14" s="274">
        <v>1</v>
      </c>
      <c r="AC14" s="274">
        <v>1</v>
      </c>
      <c r="AD14" s="274">
        <v>1</v>
      </c>
      <c r="AE14" s="274">
        <v>1</v>
      </c>
      <c r="AF14" s="274">
        <v>1</v>
      </c>
      <c r="AG14" s="274">
        <v>1</v>
      </c>
      <c r="AH14" s="274">
        <v>1</v>
      </c>
      <c r="AI14" s="514">
        <v>1</v>
      </c>
      <c r="AJ14" s="274">
        <f>IF('Input &amp; Calc'!V60="","",IF('Input &amp; Calc'!DB53*0.9&lt;'Input &amp; Calc'!V60,1,IF('Input &amp; Calc'!DB53*0.75&gt;'Input &amp; Calc'!DB60,3,2)))</f>
        <v>2</v>
      </c>
      <c r="AK14" s="273">
        <f>IF('Input &amp; Calc'!W60="","",IF('Input &amp; Calc'!DC53*0.9&lt;'Input &amp; Calc'!W60,1,IF('Input &amp; Calc'!DC53*0.75&gt;'Input &amp; Calc'!DC60,3,2)))</f>
        <v>1</v>
      </c>
      <c r="AL14" s="273">
        <f>IF('Input &amp; Calc'!X60="","",IF('Input &amp; Calc'!DD53*0.9&lt;'Input &amp; Calc'!X60,1,IF('Input &amp; Calc'!DD53*0.75&gt;'Input &amp; Calc'!DD60,3,2)))</f>
        <v>2</v>
      </c>
      <c r="AM14" s="273">
        <f>IF('Input &amp; Calc'!Y60="","",IF('Input &amp; Calc'!DE53*0.9&lt;'Input &amp; Calc'!Y60,1,IF('Input &amp; Calc'!DE53*0.75&gt;'Input &amp; Calc'!DE60,3,2)))</f>
        <v>3</v>
      </c>
      <c r="AN14" s="273">
        <f>IF('Input &amp; Calc'!Z60="","",IF('Input &amp; Calc'!DF53*0.9&lt;'Input &amp; Calc'!Z60,1,IF('Input &amp; Calc'!DF53*0.75&gt;'Input &amp; Calc'!DF60,3,2)))</f>
        <v>3</v>
      </c>
      <c r="AO14" s="273">
        <f>IF('Input &amp; Calc'!AA60="","",IF('Input &amp; Calc'!DG53*0.9&lt;'Input &amp; Calc'!AA60,1,IF('Input &amp; Calc'!DG53*0.75&gt;'Input &amp; Calc'!DG60,3,2)))</f>
        <v>3</v>
      </c>
      <c r="AP14" s="273">
        <f>IF('Input &amp; Calc'!AB60="","",IF('Input &amp; Calc'!DH53*0.9&gt;'Input &amp; Calc'!AB60,1,IF('Input &amp; Calc'!DH53*0.75&gt;'Input &amp; Calc'!DH60,3,2)))</f>
        <v>1</v>
      </c>
      <c r="AQ14" s="273">
        <f>IF('Input &amp; Calc'!AC60="","",IF('Input &amp; Calc'!DI53*0.9&lt;'Input &amp; Calc'!AC60,1,IF('Input &amp; Calc'!DI53*0.75&gt;'Input &amp; Calc'!DI60,3,2)))</f>
        <v>1</v>
      </c>
      <c r="AR14" s="273">
        <f>IF('Input &amp; Calc'!AD60="","",IF('Input &amp; Calc'!DJ53*0.9&lt;'Input &amp; Calc'!AD60,1,IF('Input &amp; Calc'!DJ53*0.75&gt;'Input &amp; Calc'!DJ60,3,2)))</f>
        <v>1</v>
      </c>
      <c r="AS14" s="273">
        <f>IF('Input &amp; Calc'!AE60="","",IF('Input &amp; Calc'!DK53*0.9&lt;'Input &amp; Calc'!AE60,1,IF('Input &amp; Calc'!DK53*0.75&gt;'Input &amp; Calc'!DK60,3,2)))</f>
        <v>1</v>
      </c>
      <c r="AT14" s="273">
        <f>IF('Input &amp; Calc'!AF60="","",IF('Input &amp; Calc'!DL53*0.9&lt;'Input &amp; Calc'!AF60,1,IF('Input &amp; Calc'!DL53*0.75&gt;'Input &amp; Calc'!DL60,3,2)))</f>
        <v>1</v>
      </c>
      <c r="AU14" s="273">
        <f>IF('Input &amp; Calc'!AG60="","",IF('Input &amp; Calc'!DM53*0.9&lt;'Input &amp; Calc'!AG60,1,IF('Input &amp; Calc'!DM53*0.75&lt;'Input &amp; Calc'!DM60,3,2)))</f>
        <v>1</v>
      </c>
    </row>
    <row r="15" spans="1:47">
      <c r="A15" s="620"/>
      <c r="B15" s="551" t="s">
        <v>200</v>
      </c>
      <c r="C15" s="252">
        <v>3</v>
      </c>
      <c r="D15" s="46" t="str">
        <f>'Input &amp; Calc'!EO895</f>
        <v>È</v>
      </c>
      <c r="E15" s="279">
        <v>9.1999999999999993</v>
      </c>
      <c r="F15" s="569">
        <f>'Input &amp; Calc'!EH895</f>
        <v>2.0689655172413794</v>
      </c>
      <c r="G15" s="558"/>
      <c r="H15" s="453" t="s">
        <v>16</v>
      </c>
      <c r="I15" s="559"/>
      <c r="J15" s="252">
        <f>'Input &amp; Calc'!ER895</f>
        <v>3</v>
      </c>
      <c r="K15" s="46" t="str">
        <f>'Input &amp; Calc'!EP895</f>
        <v>È</v>
      </c>
      <c r="L15" s="279">
        <v>9.1999999999999993</v>
      </c>
      <c r="M15" s="442">
        <v>9.1999999999999993</v>
      </c>
      <c r="N15" s="388">
        <f>'Input &amp; Calc'!EI895</f>
        <v>2.3026315789473686</v>
      </c>
      <c r="O15" s="561"/>
      <c r="P15" s="252">
        <f>'Input &amp; Calc'!ES895</f>
        <v>3</v>
      </c>
      <c r="Q15" s="389">
        <v>9.1999999999999993</v>
      </c>
      <c r="R15" s="442">
        <v>9.1999999999999993</v>
      </c>
      <c r="S15" s="486">
        <f>'Input &amp; Calc'!EJ895</f>
        <v>2.3026315789473686</v>
      </c>
      <c r="T15" s="491">
        <f>S15/R15</f>
        <v>0.25028604118993136</v>
      </c>
      <c r="U15" s="456" t="s">
        <v>32</v>
      </c>
      <c r="V15" s="563">
        <f>$V$741</f>
        <v>3</v>
      </c>
      <c r="W15" s="476" t="str">
        <f t="shared" si="0"/>
        <v>Average Hours/Client</v>
      </c>
      <c r="X15" s="269">
        <v>1</v>
      </c>
      <c r="Y15" s="268">
        <v>1</v>
      </c>
      <c r="Z15" s="268">
        <v>1</v>
      </c>
      <c r="AA15" s="268">
        <v>1</v>
      </c>
      <c r="AB15" s="268">
        <v>1</v>
      </c>
      <c r="AC15" s="268">
        <v>1</v>
      </c>
      <c r="AD15" s="268">
        <v>1</v>
      </c>
      <c r="AE15" s="268">
        <v>1</v>
      </c>
      <c r="AF15" s="268">
        <v>1</v>
      </c>
      <c r="AG15" s="268">
        <v>1</v>
      </c>
      <c r="AH15" s="268">
        <v>1</v>
      </c>
      <c r="AI15" s="270">
        <v>1</v>
      </c>
      <c r="AJ15" s="274">
        <f>IF('Input &amp; Calc'!V47="","",IF('Input &amp; Calc'!DB14/'Input &amp; Calc'!DB22*0.9/12*'Input &amp; Calc'!DB$51&lt;'Input &amp; Calc'!DB39/'Input &amp; Calc'!DB47,1,IF('Input &amp; Calc'!DB14/'Input &amp; Calc'!DB22*0.75/12*'Input &amp; Calc'!DB$51&gt;'Input &amp; Calc'!DB39/'Input &amp; Calc'!DB47,3,2)))</f>
        <v>1</v>
      </c>
      <c r="AK15" s="273">
        <f>IF('Input &amp; Calc'!W47="","",IF('Input &amp; Calc'!DC14/'Input &amp; Calc'!DC22*0.9/12*'Input &amp; Calc'!DC$51&lt;'Input &amp; Calc'!DC39/'Input &amp; Calc'!DC47,1,IF('Input &amp; Calc'!DC14/'Input &amp; Calc'!DC22*0.75/12*'Input &amp; Calc'!DC$51&gt;'Input &amp; Calc'!DC39/'Input &amp; Calc'!DC47,3,2)))</f>
        <v>1</v>
      </c>
      <c r="AL15" s="273">
        <f>IF('Input &amp; Calc'!X47="","",IF('Input &amp; Calc'!DD14/'Input &amp; Calc'!DD22*0.9/12*'Input &amp; Calc'!DD$51&lt;'Input &amp; Calc'!DD39/'Input &amp; Calc'!DD47,1,IF('Input &amp; Calc'!DD14/'Input &amp; Calc'!DD22*0.75/12*'Input &amp; Calc'!DD$51&gt;'Input &amp; Calc'!DD39/'Input &amp; Calc'!DD47,3,2)))</f>
        <v>1</v>
      </c>
      <c r="AM15" s="273">
        <f>IF('Input &amp; Calc'!Y47="","",IF('Input &amp; Calc'!DE14/'Input &amp; Calc'!DE22*0.9/12*'Input &amp; Calc'!DE$51&lt;'Input &amp; Calc'!DE39/'Input &amp; Calc'!DE47,1,IF('Input &amp; Calc'!DE14/'Input &amp; Calc'!DE22*0.75/12*'Input &amp; Calc'!DE$51&gt;'Input &amp; Calc'!DE39/'Input &amp; Calc'!DE47,3,2)))</f>
        <v>1</v>
      </c>
      <c r="AN15" s="273">
        <f>IF('Input &amp; Calc'!Z47="","",IF('Input &amp; Calc'!DF14/'Input &amp; Calc'!DF22*0.9/12*'Input &amp; Calc'!DF$51&lt;'Input &amp; Calc'!DF39/'Input &amp; Calc'!DF47,1,IF('Input &amp; Calc'!DF14/'Input &amp; Calc'!DF22*0.75/12*'Input &amp; Calc'!DF$51&gt;'Input &amp; Calc'!DF39/'Input &amp; Calc'!DF47,3,2)))</f>
        <v>1</v>
      </c>
      <c r="AO15" s="273">
        <f>IF('Input &amp; Calc'!AA47="","",IF('Input &amp; Calc'!DG14/'Input &amp; Calc'!DG22*0.9/12*'Input &amp; Calc'!DG$51&lt;'Input &amp; Calc'!DG39/'Input &amp; Calc'!DG47,1,IF('Input &amp; Calc'!DG14/'Input &amp; Calc'!DG22*0.75/12*'Input &amp; Calc'!DG$51&lt;'Input &amp; Calc'!DG39/'Input &amp; Calc'!DG47,3,2)))</f>
        <v>1</v>
      </c>
      <c r="AP15" s="273">
        <f>IF('Input &amp; Calc'!AB47="","",IF('Input &amp; Calc'!DH14/'Input &amp; Calc'!DH22*0.9/12*'Input &amp; Calc'!DH$51&lt;'Input &amp; Calc'!DH39/'Input &amp; Calc'!DH47,1,IF('Input &amp; Calc'!DH14/'Input &amp; Calc'!DH22*0.75/12*'Input &amp; Calc'!DH$51&lt;'Input &amp; Calc'!DH39/'Input &amp; Calc'!DH47,3,2)))</f>
        <v>1</v>
      </c>
      <c r="AQ15" s="273">
        <f>IF('Input &amp; Calc'!AC47="","",IF('Input &amp; Calc'!DI14/'Input &amp; Calc'!DI22*0.9/12*'Input &amp; Calc'!DI$51&lt;'Input &amp; Calc'!DI39/'Input &amp; Calc'!DI47,1,IF('Input &amp; Calc'!DI14/'Input &amp; Calc'!DI22*0.75/12*'Input &amp; Calc'!DI$51&lt;'Input &amp; Calc'!DI39/'Input &amp; Calc'!DI47,3,2)))</f>
        <v>1</v>
      </c>
      <c r="AR15" s="273">
        <f>IF('Input &amp; Calc'!AD47="","",IF('Input &amp; Calc'!DJ14/'Input &amp; Calc'!DJ22*0.9/12*'Input &amp; Calc'!DJ$51&lt;'Input &amp; Calc'!DJ39/'Input &amp; Calc'!DJ47,1,IF('Input &amp; Calc'!DJ14/'Input &amp; Calc'!DJ22*0.75/12*'Input &amp; Calc'!DJ$51&lt;'Input &amp; Calc'!DJ39/'Input &amp; Calc'!DJ47,3,2)))</f>
        <v>1</v>
      </c>
      <c r="AS15" s="273">
        <f>IF('Input &amp; Calc'!AE47="","",IF('Input &amp; Calc'!DK14/'Input &amp; Calc'!DK22*0.9/12*'Input &amp; Calc'!DK$51&lt;'Input &amp; Calc'!DK39/'Input &amp; Calc'!DK47,1,IF('Input &amp; Calc'!DK14/'Input &amp; Calc'!DK22*0.75/12*'Input &amp; Calc'!DK$51&lt;'Input &amp; Calc'!DK39/'Input &amp; Calc'!DK47,3,2)))</f>
        <v>1</v>
      </c>
      <c r="AT15" s="273">
        <f>IF('Input &amp; Calc'!AF47="","",IF('Input &amp; Calc'!DL14/'Input &amp; Calc'!DL22*0.9/12*'Input &amp; Calc'!DL$51&lt;'Input &amp; Calc'!DL39/'Input &amp; Calc'!DL47,1,IF('Input &amp; Calc'!DL14/'Input &amp; Calc'!DL22*0.75/12*'Input &amp; Calc'!DL$51&lt;'Input &amp; Calc'!DL39/'Input &amp; Calc'!DL47,3,2)))</f>
        <v>1</v>
      </c>
      <c r="AU15" s="273">
        <f>IF('Input &amp; Calc'!AG47="","",IF('Input &amp; Calc'!DM14/'Input &amp; Calc'!DM22*0.9/12*'Input &amp; Calc'!DM$51&gt;'Input &amp; Calc'!DM39/'Input &amp; Calc'!DM47,1,IF('Input &amp; Calc'!DM14/'Input &amp; Calc'!DM22*0.75/12*'Input &amp; Calc'!DM$51&lt;'Input &amp; Calc'!DM39/'Input &amp; Calc'!DM47,3,2)))</f>
        <v>3</v>
      </c>
    </row>
    <row r="16" spans="1:47">
      <c r="A16" s="71" t="s">
        <v>109</v>
      </c>
      <c r="B16" s="551" t="s">
        <v>201</v>
      </c>
      <c r="C16" s="521"/>
      <c r="D16" s="522"/>
      <c r="E16" s="529"/>
      <c r="F16" s="520"/>
      <c r="G16" s="558"/>
      <c r="H16" s="453" t="s">
        <v>16</v>
      </c>
      <c r="I16" s="559"/>
      <c r="J16" s="252">
        <f>IF(N16/M16&gt;0.899999999,1,IF(N16/M16&lt;0.75,3,2))</f>
        <v>3</v>
      </c>
      <c r="K16" s="46" t="str">
        <f>'Input &amp; Calc'!EP37</f>
        <v>È</v>
      </c>
      <c r="L16" s="490">
        <f>'Input &amp; Calc'!EF12</f>
        <v>0.95</v>
      </c>
      <c r="M16" s="490">
        <f>L16</f>
        <v>0.95</v>
      </c>
      <c r="N16" s="494" t="str">
        <f>'Input &amp; Calc'!EI37</f>
        <v>0%</v>
      </c>
      <c r="O16" s="561"/>
      <c r="P16" s="252">
        <f>IF(S16/R16&gt;0.899999999,1,IF(S16/R16&lt;0.75,3,2))</f>
        <v>3</v>
      </c>
      <c r="Q16" s="491">
        <f>'Input &amp; Calc'!EG12</f>
        <v>0.95000000000000007</v>
      </c>
      <c r="R16" s="491">
        <f>Q16</f>
        <v>0.95000000000000007</v>
      </c>
      <c r="S16" s="571">
        <f>'Input &amp; Calc'!EJ37</f>
        <v>0</v>
      </c>
      <c r="T16" s="491">
        <f>S16-R16</f>
        <v>-0.95000000000000007</v>
      </c>
      <c r="U16" s="455"/>
      <c r="V16" s="563">
        <f>$V$742</f>
        <v>1</v>
      </c>
      <c r="W16" s="476" t="str">
        <f t="shared" si="0"/>
        <v>Client satisfaction rating %</v>
      </c>
      <c r="X16" s="269">
        <v>3</v>
      </c>
      <c r="Y16" s="268">
        <v>1</v>
      </c>
      <c r="Z16" s="268">
        <v>1</v>
      </c>
      <c r="AA16" s="268">
        <v>1</v>
      </c>
      <c r="AB16" s="268">
        <v>1</v>
      </c>
      <c r="AC16" s="268">
        <v>1</v>
      </c>
      <c r="AD16" s="268">
        <v>1</v>
      </c>
      <c r="AE16" s="268">
        <v>1</v>
      </c>
      <c r="AF16" s="268">
        <v>1</v>
      </c>
      <c r="AG16" s="268">
        <v>1</v>
      </c>
      <c r="AH16" s="268">
        <v>1</v>
      </c>
      <c r="AI16" s="270">
        <v>1</v>
      </c>
      <c r="AJ16" s="268">
        <f>IF('Input &amp; Calc'!V37="","",IF('Input &amp; Calc'!DB12*0.9&lt;'Input &amp; Calc'!DB37,1,IF('Input &amp; Calc'!DB12*0.75&gt;'Input &amp; Calc'!DB37,3,2)))</f>
        <v>3</v>
      </c>
      <c r="AK16" s="268">
        <f>IF('Input &amp; Calc'!W37="","",IF('Input &amp; Calc'!DC12*0.9&lt;'Input &amp; Calc'!DC37,1,IF('Input &amp; Calc'!DC12*0.75&gt;'Input &amp; Calc'!DC37,3,2)))</f>
        <v>1</v>
      </c>
      <c r="AL16" s="268">
        <f>IF('Input &amp; Calc'!X37="","",IF('Input &amp; Calc'!DD12*0.9&lt;'Input &amp; Calc'!DD37,1,IF('Input &amp; Calc'!DD12*0.75&gt;'Input &amp; Calc'!DD37,3,2)))</f>
        <v>1</v>
      </c>
      <c r="AM16" s="268">
        <f>IF('Input &amp; Calc'!Y37="","",IF('Input &amp; Calc'!DE12*0.9&lt;'Input &amp; Calc'!DE37,1,IF('Input &amp; Calc'!DE12*0.75&gt;'Input &amp; Calc'!DE37,3,2)))</f>
        <v>1</v>
      </c>
      <c r="AN16" s="268">
        <f>IF('Input &amp; Calc'!Z37="","",IF('Input &amp; Calc'!DF12*0.9&lt;'Input &amp; Calc'!DF37,1,IF('Input &amp; Calc'!DF12*0.75&gt;'Input &amp; Calc'!DF37,3,2)))</f>
        <v>1</v>
      </c>
      <c r="AO16" s="268">
        <f>IF('Input &amp; Calc'!AA37="","",IF('Input &amp; Calc'!DG12*0.9&lt;'Input &amp; Calc'!DG37,1,IF('Input &amp; Calc'!DG12*0.75&gt;'Input &amp; Calc'!DG37,3,2)))</f>
        <v>1</v>
      </c>
      <c r="AP16" s="268">
        <f>IF('Input &amp; Calc'!AB37="","",IF('Input &amp; Calc'!DH12*0.9&lt;'Input &amp; Calc'!DH37,1,IF('Input &amp; Calc'!DH12*0.75&gt;'Input &amp; Calc'!DH37,3,2)))</f>
        <v>1</v>
      </c>
      <c r="AQ16" s="268">
        <f>IF('Input &amp; Calc'!AC37="","",IF('Input &amp; Calc'!DI12*0.9&lt;'Input &amp; Calc'!DI37,1,IF('Input &amp; Calc'!DI12*0.75&gt;'Input &amp; Calc'!DI37,3,2)))</f>
        <v>1</v>
      </c>
      <c r="AR16" s="268">
        <f>IF('Input &amp; Calc'!AD37="","",IF('Input &amp; Calc'!DJ12*0.9&lt;'Input &amp; Calc'!DJ37,1,IF('Input &amp; Calc'!DJ12*0.75&gt;'Input &amp; Calc'!DJ37,3,2)))</f>
        <v>1</v>
      </c>
      <c r="AS16" s="268">
        <f>IF('Input &amp; Calc'!AE37="","",IF('Input &amp; Calc'!DK12*0.9&lt;'Input &amp; Calc'!DK37,1,IF('Input &amp; Calc'!DK12*0.75&gt;'Input &amp; Calc'!DK37,3,2)))</f>
        <v>1</v>
      </c>
      <c r="AT16" s="268">
        <f>IF('Input &amp; Calc'!AF37="","",IF('Input &amp; Calc'!DL12*0.9&lt;'Input &amp; Calc'!DL37,1,IF('Input &amp; Calc'!DL12*0.75&gt;'Input &amp; Calc'!DL37,3,2)))</f>
        <v>1</v>
      </c>
      <c r="AU16" s="268">
        <f>IF('Input &amp; Calc'!AG37="","",IF('Input &amp; Calc'!DM12*0.9&gt;'Input &amp; Calc'!DM37,1,IF('Input &amp; Calc'!DM12*0.75&lt;'Input &amp; Calc'!DM37,3,2)))</f>
        <v>3</v>
      </c>
    </row>
    <row r="17" spans="1:47" s="465" customFormat="1">
      <c r="A17" s="620" t="s">
        <v>207</v>
      </c>
      <c r="B17" s="551" t="s">
        <v>227</v>
      </c>
      <c r="C17" s="523"/>
      <c r="D17" s="524"/>
      <c r="E17" s="525"/>
      <c r="F17" s="515">
        <f>'Input &amp; Calc'!EH849</f>
        <v>0</v>
      </c>
      <c r="G17" s="451"/>
      <c r="H17" s="453" t="s">
        <v>16</v>
      </c>
      <c r="I17" s="560"/>
      <c r="J17" s="521"/>
      <c r="K17" s="522"/>
      <c r="L17" s="530"/>
      <c r="M17" s="531"/>
      <c r="N17" s="516">
        <f>'Input &amp; Calc'!EI849</f>
        <v>0</v>
      </c>
      <c r="O17" s="562"/>
      <c r="P17" s="521"/>
      <c r="Q17" s="536"/>
      <c r="R17" s="537"/>
      <c r="S17" s="517">
        <f>'Input &amp; Calc'!EJ849</f>
        <v>0</v>
      </c>
      <c r="T17" s="542"/>
      <c r="U17" s="543"/>
      <c r="V17" s="544"/>
      <c r="W17" s="512" t="str">
        <f t="shared" si="0"/>
        <v>Jobs Created</v>
      </c>
      <c r="X17" s="271"/>
      <c r="Y17" s="268"/>
      <c r="Z17" s="268"/>
      <c r="AA17" s="268"/>
      <c r="AB17" s="268"/>
      <c r="AC17" s="268"/>
      <c r="AD17" s="268"/>
      <c r="AE17" s="268"/>
      <c r="AF17" s="268"/>
      <c r="AG17" s="268"/>
      <c r="AH17" s="268"/>
      <c r="AI17" s="270"/>
      <c r="AJ17" s="268"/>
      <c r="AK17" s="268" t="str">
        <f>IF('Input &amp; Calc'!W51="","",IF('Input &amp; Calc'!DC51/'Input &amp; Calc'!DC26&gt;=0.9,1,IF('Input &amp; Calc'!DC51/'Input &amp; Calc'!DC26&lt;0.75,3,2)))</f>
        <v/>
      </c>
      <c r="AL17" s="268" t="str">
        <f>IF('Input &amp; Calc'!X51="","",IF('Input &amp; Calc'!DD51/'Input &amp; Calc'!DD26&gt;=0.9,1,IF('Input &amp; Calc'!DD51/'Input &amp; Calc'!DD26&lt;0.75,3,2)))</f>
        <v/>
      </c>
      <c r="AM17" s="268" t="str">
        <f>IF('Input &amp; Calc'!Y51="","",IF('Input &amp; Calc'!DE51/'Input &amp; Calc'!DE26&gt;=0.9,1,IF('Input &amp; Calc'!DE51/'Input &amp; Calc'!DE26&lt;0.75,3,2)))</f>
        <v/>
      </c>
      <c r="AN17" s="268" t="str">
        <f>IF('Input &amp; Calc'!Z51="","",IF('Input &amp; Calc'!DF51/'Input &amp; Calc'!DF26&gt;=0.9,1,IF('Input &amp; Calc'!DF51/'Input &amp; Calc'!DF26&lt;0.75,3,2)))</f>
        <v/>
      </c>
      <c r="AO17" s="268" t="str">
        <f>IF('Input &amp; Calc'!AA51="","",IF('Input &amp; Calc'!DG51/'Input &amp; Calc'!DG26&gt;=0.9,1,IF('Input &amp; Calc'!DG51/'Input &amp; Calc'!DG26&lt;0.75,3,2)))</f>
        <v/>
      </c>
      <c r="AP17" s="268"/>
      <c r="AQ17" s="268"/>
      <c r="AR17" s="268"/>
      <c r="AS17" s="268"/>
      <c r="AT17" s="268"/>
      <c r="AU17" s="268"/>
    </row>
    <row r="18" spans="1:47" s="465" customFormat="1">
      <c r="A18" s="620"/>
      <c r="B18" s="551" t="s">
        <v>228</v>
      </c>
      <c r="C18" s="523"/>
      <c r="D18" s="524"/>
      <c r="E18" s="525"/>
      <c r="F18" s="515">
        <f>'Input &amp; Calc'!EH865</f>
        <v>0</v>
      </c>
      <c r="G18" s="451"/>
      <c r="H18" s="453" t="s">
        <v>16</v>
      </c>
      <c r="I18" s="560"/>
      <c r="J18" s="523"/>
      <c r="K18" s="524"/>
      <c r="L18" s="532"/>
      <c r="M18" s="533"/>
      <c r="N18" s="516">
        <f>'Input &amp; Calc'!EI865</f>
        <v>0</v>
      </c>
      <c r="O18" s="562"/>
      <c r="P18" s="523"/>
      <c r="Q18" s="538"/>
      <c r="R18" s="539"/>
      <c r="S18" s="517">
        <f>'Input &amp; Calc'!EJ865</f>
        <v>0</v>
      </c>
      <c r="T18" s="545"/>
      <c r="U18" s="546"/>
      <c r="V18" s="547"/>
      <c r="W18" s="512" t="str">
        <f t="shared" si="0"/>
        <v>Jobs Retained</v>
      </c>
      <c r="X18" s="271"/>
      <c r="Y18" s="268"/>
      <c r="Z18" s="268"/>
      <c r="AA18" s="268"/>
      <c r="AB18" s="268"/>
      <c r="AC18" s="268"/>
      <c r="AD18" s="268"/>
      <c r="AE18" s="268"/>
      <c r="AF18" s="268"/>
      <c r="AG18" s="268"/>
      <c r="AH18" s="268"/>
      <c r="AI18" s="270"/>
      <c r="AJ18" s="268"/>
      <c r="AK18" s="268"/>
      <c r="AL18" s="268"/>
      <c r="AM18" s="268"/>
      <c r="AN18" s="268"/>
      <c r="AO18" s="268"/>
      <c r="AP18" s="268"/>
      <c r="AQ18" s="268"/>
      <c r="AR18" s="268"/>
      <c r="AS18" s="268"/>
      <c r="AT18" s="268"/>
      <c r="AU18" s="268"/>
    </row>
    <row r="19" spans="1:47" s="465" customFormat="1">
      <c r="A19" s="620"/>
      <c r="B19" s="551" t="s">
        <v>234</v>
      </c>
      <c r="C19" s="526"/>
      <c r="D19" s="527"/>
      <c r="E19" s="528"/>
      <c r="F19" s="495">
        <f>'Input &amp; Calc'!EH880</f>
        <v>0</v>
      </c>
      <c r="G19" s="451"/>
      <c r="H19" s="453" t="s">
        <v>16</v>
      </c>
      <c r="I19" s="560"/>
      <c r="J19" s="526"/>
      <c r="K19" s="527"/>
      <c r="L19" s="534"/>
      <c r="M19" s="535"/>
      <c r="N19" s="496">
        <f>'Input &amp; Calc'!EI880</f>
        <v>0</v>
      </c>
      <c r="O19" s="562"/>
      <c r="P19" s="526"/>
      <c r="Q19" s="540"/>
      <c r="R19" s="541"/>
      <c r="S19" s="497">
        <f>'Input &amp; Calc'!EJ880</f>
        <v>0</v>
      </c>
      <c r="T19" s="548"/>
      <c r="U19" s="549"/>
      <c r="V19" s="550"/>
      <c r="W19" s="512" t="str">
        <f t="shared" si="0"/>
        <v>Sales Increased $-Millions</v>
      </c>
      <c r="X19" s="271"/>
      <c r="Y19" s="268"/>
      <c r="Z19" s="268"/>
      <c r="AA19" s="268"/>
      <c r="AB19" s="268"/>
      <c r="AC19" s="268"/>
      <c r="AD19" s="268"/>
      <c r="AE19" s="268"/>
      <c r="AF19" s="268"/>
      <c r="AG19" s="268"/>
      <c r="AH19" s="268"/>
      <c r="AI19" s="270"/>
      <c r="AJ19" s="268"/>
      <c r="AK19" s="268"/>
      <c r="AL19" s="268"/>
      <c r="AM19" s="268"/>
      <c r="AN19" s="268"/>
      <c r="AO19" s="268"/>
      <c r="AP19" s="268"/>
      <c r="AQ19" s="268"/>
      <c r="AR19" s="268"/>
      <c r="AS19" s="268"/>
      <c r="AT19" s="268"/>
      <c r="AU19" s="268"/>
    </row>
    <row r="20" spans="1:47" ht="16.5" thickBot="1">
      <c r="A20" s="86" t="s">
        <v>139</v>
      </c>
      <c r="B20" s="321"/>
      <c r="C20" s="645" t="s">
        <v>164</v>
      </c>
      <c r="D20" s="645"/>
      <c r="E20" s="87" t="s">
        <v>140</v>
      </c>
      <c r="F20" s="445"/>
      <c r="G20" s="445"/>
      <c r="H20" s="645" t="s">
        <v>165</v>
      </c>
      <c r="I20" s="645"/>
      <c r="J20" s="645"/>
      <c r="K20" s="88" t="s">
        <v>141</v>
      </c>
      <c r="L20" s="445"/>
      <c r="M20" s="445"/>
      <c r="N20" s="647" t="s">
        <v>166</v>
      </c>
      <c r="O20" s="647"/>
      <c r="P20" s="647"/>
      <c r="Q20" s="89" t="s">
        <v>142</v>
      </c>
      <c r="R20" s="257"/>
      <c r="S20" s="68"/>
      <c r="T20" s="68"/>
      <c r="U20" s="69"/>
      <c r="V20" s="69"/>
      <c r="W20" s="69"/>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row>
    <row r="21" spans="1:47" hidden="1"/>
    <row r="22" spans="1:47" hidden="1"/>
    <row r="23" spans="1:47" hidden="1"/>
    <row r="24" spans="1:47" hidden="1"/>
    <row r="25" spans="1:47" hidden="1"/>
    <row r="26" spans="1:47" hidden="1"/>
    <row r="27" spans="1:47" hidden="1"/>
    <row r="28" spans="1:47" hidden="1"/>
    <row r="29" spans="1:47" hidden="1"/>
    <row r="30" spans="1:47" hidden="1"/>
    <row r="31" spans="1:47" hidden="1"/>
    <row r="32" spans="1:47"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spans="1:47" hidden="1"/>
    <row r="66" spans="1:47">
      <c r="A66" s="519" t="s">
        <v>229</v>
      </c>
      <c r="F66" s="629"/>
      <c r="G66" s="629"/>
      <c r="H66" s="629"/>
      <c r="I66" s="629"/>
      <c r="J66" s="629"/>
      <c r="K66" s="629"/>
      <c r="L66" s="629"/>
      <c r="M66" s="629"/>
      <c r="N66" s="629"/>
      <c r="O66" s="629"/>
      <c r="P66" s="629"/>
      <c r="Q66" s="629"/>
    </row>
    <row r="67" spans="1:47">
      <c r="A67" s="76" t="s">
        <v>148</v>
      </c>
      <c r="B67" s="76"/>
      <c r="C67" s="77"/>
      <c r="D67" s="77"/>
      <c r="E67" s="78"/>
      <c r="F67" s="67"/>
      <c r="G67" s="77"/>
      <c r="H67" s="77"/>
      <c r="I67" s="77"/>
      <c r="J67" s="106" t="str">
        <f>'Input &amp; Calc'!A67</f>
        <v>Cedar City SBDC</v>
      </c>
      <c r="K67" s="77"/>
      <c r="L67" s="78"/>
      <c r="M67" s="78"/>
      <c r="N67" s="77"/>
      <c r="O67" s="77"/>
      <c r="P67" s="67"/>
      <c r="Q67" s="105" t="s">
        <v>146</v>
      </c>
      <c r="R67" s="105"/>
      <c r="S67" s="106" t="str">
        <f>'Input &amp; Calc'!C67</f>
        <v>Craig Isom</v>
      </c>
      <c r="T67" s="79"/>
      <c r="U67" s="80"/>
      <c r="V67" s="80"/>
      <c r="W67" s="76"/>
      <c r="X67" s="469"/>
      <c r="Y67" s="469"/>
      <c r="Z67" s="469"/>
      <c r="AA67" s="469"/>
      <c r="AB67" s="469"/>
      <c r="AC67" s="469"/>
      <c r="AD67" s="469"/>
      <c r="AJ67" s="502" t="str">
        <f>J67</f>
        <v>Cedar City SBDC</v>
      </c>
      <c r="AK67" s="502"/>
      <c r="AL67" s="502"/>
      <c r="AM67" s="503" t="s">
        <v>146</v>
      </c>
      <c r="AN67" s="502" t="str">
        <f>S67</f>
        <v>Craig Isom</v>
      </c>
      <c r="AP67" s="469"/>
      <c r="AQ67" s="464"/>
      <c r="AR67" s="464"/>
      <c r="AS67" s="464"/>
      <c r="AT67" s="464"/>
      <c r="AU67" s="464"/>
    </row>
    <row r="68" spans="1:47">
      <c r="A68" s="81" t="s">
        <v>205</v>
      </c>
      <c r="B68" s="322"/>
      <c r="C68" s="82"/>
      <c r="D68" s="82"/>
      <c r="E68" s="83"/>
      <c r="F68" s="82"/>
      <c r="G68" s="82"/>
      <c r="H68" s="82"/>
      <c r="I68" s="82"/>
      <c r="J68" s="82"/>
      <c r="K68" s="82"/>
      <c r="L68" s="83"/>
      <c r="M68" s="83"/>
      <c r="N68" s="82"/>
      <c r="O68" s="82"/>
      <c r="P68" s="84"/>
      <c r="Q68" s="82"/>
      <c r="R68" s="82"/>
      <c r="S68" s="82"/>
      <c r="T68" s="82"/>
      <c r="U68" s="128"/>
      <c r="V68" s="128"/>
      <c r="W68" s="322"/>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row>
    <row r="69" spans="1:47" ht="16.5" thickBot="1"/>
    <row r="70" spans="1:47" ht="14.25" customHeight="1" thickBot="1">
      <c r="A70" s="96" t="s">
        <v>134</v>
      </c>
      <c r="B70" s="460"/>
      <c r="C70" s="90"/>
      <c r="D70" s="93" t="s">
        <v>238</v>
      </c>
      <c r="E70" s="94">
        <f>'Input &amp; Calc'!$I$67</f>
        <v>40391</v>
      </c>
      <c r="F70" s="95"/>
      <c r="G70" s="92"/>
      <c r="H70" s="92"/>
      <c r="I70" s="92"/>
      <c r="J70" s="90"/>
      <c r="K70" s="90"/>
      <c r="L70" s="93" t="s">
        <v>237</v>
      </c>
      <c r="M70" s="93"/>
      <c r="N70" s="463"/>
      <c r="O70" s="92"/>
      <c r="P70" s="90"/>
      <c r="Q70" s="90"/>
      <c r="R70" s="90"/>
      <c r="S70" s="91" t="s">
        <v>133</v>
      </c>
      <c r="T70" s="103">
        <f>'Input &amp; Calc'!EK67</f>
        <v>11</v>
      </c>
      <c r="U70" s="325" t="s">
        <v>159</v>
      </c>
      <c r="V70" s="104"/>
      <c r="W70" s="70"/>
      <c r="X70" s="70"/>
      <c r="Y70" s="70"/>
      <c r="Z70" s="70"/>
      <c r="AA70" s="70"/>
      <c r="AB70" s="70"/>
      <c r="AC70" s="70"/>
      <c r="AD70" s="70"/>
      <c r="AE70" s="70"/>
      <c r="AF70" s="70"/>
      <c r="AG70" s="70"/>
      <c r="AH70" s="70"/>
      <c r="AI70" s="70"/>
      <c r="AJ70" s="70"/>
      <c r="AK70" s="70"/>
      <c r="AL70" s="70"/>
      <c r="AM70" s="464"/>
      <c r="AN70" s="464"/>
      <c r="AO70" s="464"/>
      <c r="AP70" s="464"/>
      <c r="AQ70" s="464"/>
      <c r="AR70" s="464"/>
      <c r="AS70" s="464"/>
      <c r="AT70" s="464"/>
      <c r="AU70" s="464"/>
    </row>
    <row r="71" spans="1:47" ht="13.5" customHeight="1" thickBot="1">
      <c r="A71" s="636" t="s">
        <v>99</v>
      </c>
      <c r="B71" s="657" t="s">
        <v>100</v>
      </c>
      <c r="C71" s="657" t="s">
        <v>101</v>
      </c>
      <c r="D71" s="657" t="s">
        <v>104</v>
      </c>
      <c r="E71" s="662" t="s">
        <v>105</v>
      </c>
      <c r="F71" s="657" t="s">
        <v>106</v>
      </c>
      <c r="G71" s="553"/>
      <c r="H71" s="657" t="s">
        <v>137</v>
      </c>
      <c r="I71" s="553"/>
      <c r="J71" s="657" t="s">
        <v>101</v>
      </c>
      <c r="K71" s="657" t="s">
        <v>104</v>
      </c>
      <c r="L71" s="657" t="s">
        <v>192</v>
      </c>
      <c r="M71" s="657" t="s">
        <v>194</v>
      </c>
      <c r="N71" s="657" t="s">
        <v>193</v>
      </c>
      <c r="O71" s="553"/>
      <c r="P71" s="658" t="s">
        <v>101</v>
      </c>
      <c r="Q71" s="657" t="s">
        <v>102</v>
      </c>
      <c r="R71" s="657" t="s">
        <v>191</v>
      </c>
      <c r="S71" s="657" t="s">
        <v>103</v>
      </c>
      <c r="T71" s="662" t="s">
        <v>131</v>
      </c>
      <c r="U71" s="663" t="s">
        <v>209</v>
      </c>
      <c r="V71" s="623" t="s">
        <v>203</v>
      </c>
      <c r="W71" s="70"/>
      <c r="X71" s="464"/>
      <c r="Y71" s="464"/>
      <c r="Z71" s="464"/>
      <c r="AA71" s="640"/>
      <c r="AB71" s="640"/>
      <c r="AC71" s="640"/>
      <c r="AD71" s="640"/>
      <c r="AE71" s="640"/>
      <c r="AF71" s="640"/>
      <c r="AG71" s="640"/>
      <c r="AH71" s="640"/>
      <c r="AI71" s="640"/>
      <c r="AJ71" s="640"/>
      <c r="AK71" s="640"/>
      <c r="AL71" s="640"/>
      <c r="AM71" s="630" t="s">
        <v>149</v>
      </c>
      <c r="AN71" s="631"/>
      <c r="AO71" s="631"/>
      <c r="AP71" s="631"/>
      <c r="AQ71" s="631"/>
      <c r="AR71" s="631"/>
      <c r="AS71" s="631"/>
      <c r="AT71" s="631"/>
      <c r="AU71" s="632"/>
    </row>
    <row r="72" spans="1:47" ht="12.75" customHeight="1" thickBot="1">
      <c r="A72" s="637"/>
      <c r="B72" s="621"/>
      <c r="C72" s="621"/>
      <c r="D72" s="621"/>
      <c r="E72" s="643"/>
      <c r="F72" s="621"/>
      <c r="G72" s="553"/>
      <c r="H72" s="621"/>
      <c r="I72" s="553"/>
      <c r="J72" s="621"/>
      <c r="K72" s="621"/>
      <c r="L72" s="621"/>
      <c r="M72" s="621"/>
      <c r="N72" s="621"/>
      <c r="O72" s="553"/>
      <c r="P72" s="659"/>
      <c r="Q72" s="621"/>
      <c r="R72" s="621"/>
      <c r="S72" s="621"/>
      <c r="T72" s="643"/>
      <c r="U72" s="664"/>
      <c r="V72" s="624"/>
      <c r="W72" s="452" t="s">
        <v>100</v>
      </c>
      <c r="X72" s="473">
        <v>39630</v>
      </c>
      <c r="Y72" s="473">
        <v>39661</v>
      </c>
      <c r="Z72" s="473">
        <v>39692</v>
      </c>
      <c r="AA72" s="473">
        <v>39722</v>
      </c>
      <c r="AB72" s="473">
        <v>39753</v>
      </c>
      <c r="AC72" s="473">
        <v>39783</v>
      </c>
      <c r="AD72" s="473">
        <v>39814</v>
      </c>
      <c r="AE72" s="473">
        <v>39845</v>
      </c>
      <c r="AF72" s="473">
        <v>39873</v>
      </c>
      <c r="AG72" s="473">
        <v>39904</v>
      </c>
      <c r="AH72" s="473">
        <v>39934</v>
      </c>
      <c r="AI72" s="473">
        <v>39965</v>
      </c>
      <c r="AJ72" s="473">
        <v>39995</v>
      </c>
      <c r="AK72" s="473">
        <v>40026</v>
      </c>
      <c r="AL72" s="474">
        <v>40057</v>
      </c>
      <c r="AM72" s="471">
        <v>40087</v>
      </c>
      <c r="AN72" s="450">
        <v>40118</v>
      </c>
      <c r="AO72" s="450">
        <v>40148</v>
      </c>
      <c r="AP72" s="450">
        <v>40179</v>
      </c>
      <c r="AQ72" s="450">
        <v>40210</v>
      </c>
      <c r="AR72" s="450">
        <v>40238</v>
      </c>
      <c r="AS72" s="450">
        <v>40269</v>
      </c>
      <c r="AT72" s="450">
        <v>40299</v>
      </c>
      <c r="AU72" s="472">
        <v>40330</v>
      </c>
    </row>
    <row r="73" spans="1:47" ht="26.25">
      <c r="A73" s="554" t="s">
        <v>196</v>
      </c>
      <c r="B73" s="555" t="s">
        <v>132</v>
      </c>
      <c r="C73" s="252">
        <f>IF(F73/E73&gt;0.899999999,1,IF(F73/E73&lt;0.75,3,2))</f>
        <v>2</v>
      </c>
      <c r="D73" s="46" t="str">
        <f>'Input &amp; Calc'!EO94</f>
        <v>Ç</v>
      </c>
      <c r="E73" s="614">
        <f>'Input &amp; Calc'!EE71</f>
        <v>1.25</v>
      </c>
      <c r="F73" s="567">
        <f>'Input &amp; Calc'!EH94</f>
        <v>1</v>
      </c>
      <c r="G73" s="591"/>
      <c r="H73" s="592" t="s">
        <v>16</v>
      </c>
      <c r="I73" s="593"/>
      <c r="J73" s="594">
        <f>IF(N73/M73&gt;0.899999999,1,IF(N73/M73&lt;0.75,3,2))</f>
        <v>2</v>
      </c>
      <c r="K73" s="595" t="str">
        <f>'Input &amp; Calc'!EP94</f>
        <v>Ç</v>
      </c>
      <c r="L73" s="589">
        <f>Q73/4</f>
        <v>3.75</v>
      </c>
      <c r="M73" s="589">
        <f>L73/3*$T$3</f>
        <v>2.5</v>
      </c>
      <c r="N73" s="565">
        <f>'Input &amp; Calc'!EI94</f>
        <v>2</v>
      </c>
      <c r="O73" s="596"/>
      <c r="P73" s="594">
        <f>IF(S73/R73&gt;0.899999999,1,IF(S73/R73&lt;0.75,3,2))</f>
        <v>1</v>
      </c>
      <c r="Q73" s="565">
        <f>'Input &amp; Calc'!EG71</f>
        <v>15</v>
      </c>
      <c r="R73" s="602">
        <f>Q73/12*$T$4</f>
        <v>13.75</v>
      </c>
      <c r="S73" s="566">
        <f>'Input &amp; Calc'!EJ94</f>
        <v>27</v>
      </c>
      <c r="T73" s="488">
        <f>S73/R73</f>
        <v>1.9636363636363636</v>
      </c>
      <c r="U73" s="455"/>
      <c r="V73" s="563">
        <f>$V$733</f>
        <v>1</v>
      </c>
      <c r="W73" s="554" t="str">
        <f>B73</f>
        <v># of Ext Engag Clients; &gt;5 Hrs contact since 10/05</v>
      </c>
      <c r="X73" s="268">
        <v>1</v>
      </c>
      <c r="Y73" s="268">
        <v>1</v>
      </c>
      <c r="Z73" s="268">
        <v>1</v>
      </c>
      <c r="AA73" s="268">
        <v>1</v>
      </c>
      <c r="AB73" s="268">
        <v>1</v>
      </c>
      <c r="AC73" s="268">
        <v>1</v>
      </c>
      <c r="AD73" s="268">
        <v>1</v>
      </c>
      <c r="AE73" s="268">
        <v>1</v>
      </c>
      <c r="AF73" s="268">
        <v>1</v>
      </c>
      <c r="AG73" s="268">
        <v>1</v>
      </c>
      <c r="AH73" s="268">
        <v>1</v>
      </c>
      <c r="AI73" s="268">
        <v>1</v>
      </c>
      <c r="AJ73" s="268">
        <f>IF('Input &amp; Calc'!V94="","",IF('Input &amp; Calc'!DB94/'Input &amp; Calc'!DB71&gt;=0.9,1,IF('Input &amp; Calc'!DB94/'Input &amp; Calc'!DB71&lt;0.75,3,2)))</f>
        <v>3</v>
      </c>
      <c r="AK73" s="268">
        <f>IF('Input &amp; Calc'!W94="","",IF('Input &amp; Calc'!DC94/'Input &amp; Calc'!DC71&gt;=0.9,1,IF('Input &amp; Calc'!DC94/'Input &amp; Calc'!DC71&lt;0.75,3,2)))</f>
        <v>3</v>
      </c>
      <c r="AL73" s="270">
        <f>IF('Input &amp; Calc'!X94="","",IF('Input &amp; Calc'!DD94/'Input &amp; Calc'!DD71&gt;=0.9,1,IF('Input &amp; Calc'!DD94/'Input &amp; Calc'!DD71&lt;0.75,3,2)))</f>
        <v>3</v>
      </c>
      <c r="AM73" s="268">
        <f>IF('Input &amp; Calc'!Y94="","",IF('Input &amp; Calc'!DE94/'Input &amp; Calc'!DE71&gt;=0.9,1,IF('Input &amp; Calc'!DE94/'Input &amp; Calc'!DE71&lt;0.75,3,2)))</f>
        <v>1</v>
      </c>
      <c r="AN73" s="268">
        <f>IF('Input &amp; Calc'!Z94="","",IF('Input &amp; Calc'!DF94/'Input &amp; Calc'!DF71&gt;=0.9,1,IF('Input &amp; Calc'!DF94/'Input &amp; Calc'!DF71&lt;0.75,3,2)))</f>
        <v>1</v>
      </c>
      <c r="AO73" s="271">
        <f>IF('Input &amp; Calc'!AA94="","",IF('Input &amp; Calc'!DG94/'Input &amp; Calc'!DG71&gt;=0.9,1,IF('Input &amp; Calc'!DG94/'Input &amp; Calc'!DG71&lt;0.75,3,2)))</f>
        <v>1</v>
      </c>
      <c r="AP73" s="271">
        <f>IF('Input &amp; Calc'!AB94="","",IF('Input &amp; Calc'!DH94/'Input &amp; Calc'!DH71&gt;=0.9,1,IF('Input &amp; Calc'!DH94/'Input &amp; Calc'!DH71&lt;0.75,3,2)))</f>
        <v>1</v>
      </c>
      <c r="AQ73" s="271">
        <f>IF('Input &amp; Calc'!AC94="","",IF('Input &amp; Calc'!DI94/'Input &amp; Calc'!DI71&gt;=0.9,1,IF('Input &amp; Calc'!DI94/'Input &amp; Calc'!DI71&lt;0.75,3,2)))</f>
        <v>1</v>
      </c>
      <c r="AR73" s="271">
        <f>IF('Input &amp; Calc'!AD94="","",IF('Input &amp; Calc'!DJ94/'Input &amp; Calc'!DJ71&gt;=0.9,1,IF('Input &amp; Calc'!DJ94/'Input &amp; Calc'!DJ71&lt;0.75,3,2)))</f>
        <v>1</v>
      </c>
      <c r="AS73" s="271">
        <f>IF('Input &amp; Calc'!AE94="","",IF('Input &amp; Calc'!DK94/'Input &amp; Calc'!DK71&gt;=0.9,1,IF('Input &amp; Calc'!DK94/'Input &amp; Calc'!DK71&lt;0.75,3,2)))</f>
        <v>1</v>
      </c>
      <c r="AT73" s="271">
        <f>IF('Input &amp; Calc'!AF94="","",IF('Input &amp; Calc'!DL94/'Input &amp; Calc'!DL71&gt;=0.9,1,IF('Input &amp; Calc'!DL94/'Input &amp; Calc'!DL71&lt;0.75,3,2)))</f>
        <v>1</v>
      </c>
      <c r="AU73" s="271">
        <f>IF('Input &amp; Calc'!AG94="","",IF('Input &amp; Calc'!DM94/'Input &amp; Calc'!DM71&gt;=0.9,1,IF('Input &amp; Calc'!DM94/'Input &amp; Calc'!DM71&lt;0.75,3,2)))</f>
        <v>1</v>
      </c>
    </row>
    <row r="74" spans="1:47">
      <c r="A74" s="633" t="s">
        <v>206</v>
      </c>
      <c r="B74" s="556" t="s">
        <v>107</v>
      </c>
      <c r="C74" s="252">
        <f>IF(F74/E74&gt;0.899999999,1,IF(F74/E74&lt;0.75,3,2))</f>
        <v>1</v>
      </c>
      <c r="D74" s="97" t="str">
        <f>'Input &amp; Calc'!EO96</f>
        <v>Ç</v>
      </c>
      <c r="E74" s="614">
        <f>'Input &amp; Calc'!EE73</f>
        <v>0.75</v>
      </c>
      <c r="F74" s="567">
        <f>'Input &amp; Calc'!EH96</f>
        <v>1</v>
      </c>
      <c r="G74" s="591"/>
      <c r="H74" s="592" t="s">
        <v>16</v>
      </c>
      <c r="I74" s="593"/>
      <c r="J74" s="594">
        <f>IF(N74/M74&gt;0.899999999,1,IF(N74/M74&lt;0.75,3,2))</f>
        <v>1</v>
      </c>
      <c r="K74" s="597" t="str">
        <f>'Input &amp; Calc'!EP96</f>
        <v>Ç</v>
      </c>
      <c r="L74" s="589">
        <f>Q74/4</f>
        <v>2.25</v>
      </c>
      <c r="M74" s="589">
        <f>L74/3*$T$3</f>
        <v>1.5</v>
      </c>
      <c r="N74" s="565">
        <f>'Input &amp; Calc'!EI96</f>
        <v>2</v>
      </c>
      <c r="O74" s="596"/>
      <c r="P74" s="594">
        <f>IF(S74/R74&gt;0.899999999,1,IF(S74/R74&lt;0.75,3,2))</f>
        <v>1</v>
      </c>
      <c r="Q74" s="565">
        <f>'Input &amp; Calc'!EG73</f>
        <v>9</v>
      </c>
      <c r="R74" s="602">
        <f>Q74/12*$T$4</f>
        <v>8.25</v>
      </c>
      <c r="S74" s="566">
        <f>'Input &amp; Calc'!EJ96</f>
        <v>11</v>
      </c>
      <c r="T74" s="488">
        <f>S74/R74</f>
        <v>1.3333333333333333</v>
      </c>
      <c r="U74" s="455"/>
      <c r="V74" s="563">
        <f>$V$734</f>
        <v>1</v>
      </c>
      <c r="W74" s="554" t="str">
        <f>B74</f>
        <v># of Business Starts</v>
      </c>
      <c r="X74" s="268">
        <v>1</v>
      </c>
      <c r="Y74" s="268">
        <v>1</v>
      </c>
      <c r="Z74" s="268">
        <v>1</v>
      </c>
      <c r="AA74" s="268">
        <v>1</v>
      </c>
      <c r="AB74" s="272">
        <v>1</v>
      </c>
      <c r="AC74" s="272">
        <v>1</v>
      </c>
      <c r="AD74" s="272">
        <v>1</v>
      </c>
      <c r="AE74" s="272">
        <v>1</v>
      </c>
      <c r="AF74" s="272">
        <v>1</v>
      </c>
      <c r="AG74" s="272">
        <v>1</v>
      </c>
      <c r="AH74" s="272">
        <v>1</v>
      </c>
      <c r="AI74" s="272">
        <v>1</v>
      </c>
      <c r="AJ74" s="272">
        <f>IF('Input &amp; Calc'!V94="","",IF('Input &amp; Calc'!DB96/'Input &amp; Calc'!DB73&gt;=0.9,1,IF('Input &amp; Calc'!DB96/'Input &amp; Calc'!DB73&lt;0.75,3,2)))</f>
        <v>1</v>
      </c>
      <c r="AK74" s="272">
        <f>IF('Input &amp; Calc'!W94="","",IF('Input &amp; Calc'!DC96/'Input &amp; Calc'!DC73&gt;=0.9,1,IF('Input &amp; Calc'!DC96/'Input &amp; Calc'!DC73&lt;0.75,3,2)))</f>
        <v>1</v>
      </c>
      <c r="AL74" s="272">
        <f>IF('Input &amp; Calc'!X94="","",IF('Input &amp; Calc'!DD96/'Input &amp; Calc'!DD73&gt;=0.9,1,IF('Input &amp; Calc'!DD96/'Input &amp; Calc'!DD73&lt;0.75,3,2)))</f>
        <v>1</v>
      </c>
      <c r="AM74" s="272">
        <f>IF('Input &amp; Calc'!Y94="","",IF('Input &amp; Calc'!DE96/'Input &amp; Calc'!DE73&gt;=0.9,1,IF('Input &amp; Calc'!DE96/'Input &amp; Calc'!DE73&lt;0.75,3,2)))</f>
        <v>1</v>
      </c>
      <c r="AN74" s="272">
        <f>IF('Input &amp; Calc'!Z94="","",IF('Input &amp; Calc'!DF96/'Input &amp; Calc'!DF73&gt;=0.9,1,IF('Input &amp; Calc'!DF96/'Input &amp; Calc'!DF73&lt;0.75,3,2)))</f>
        <v>1</v>
      </c>
      <c r="AO74" s="272">
        <f>IF('Input &amp; Calc'!AA94="","",IF('Input &amp; Calc'!DG96/'Input &amp; Calc'!DG73&gt;=0.9,1,IF('Input &amp; Calc'!DG96/'Input &amp; Calc'!DG73&lt;0.75,3,2)))</f>
        <v>2</v>
      </c>
      <c r="AP74" s="272">
        <f>IF('Input &amp; Calc'!AB94="","",IF('Input &amp; Calc'!DH96/'Input &amp; Calc'!DH73&lt;=0.9,1,IF('Input &amp; Calc'!DH96/'Input &amp; Calc'!DH73&lt;0.75,3,2)))</f>
        <v>1</v>
      </c>
      <c r="AQ74" s="272">
        <f>IF('Input &amp; Calc'!AC94="","",IF('Input &amp; Calc'!DI96/'Input &amp; Calc'!DI73&gt;=0.9,1,IF('Input &amp; Calc'!DI96/'Input &amp; Calc'!DI73&lt;0.75,3,2)))</f>
        <v>1</v>
      </c>
      <c r="AR74" s="272">
        <f>IF('Input &amp; Calc'!AD94="","",IF('Input &amp; Calc'!DJ96/'Input &amp; Calc'!DJ73&gt;=0.9,1,IF('Input &amp; Calc'!DJ96/'Input &amp; Calc'!DJ73&lt;0.75,3,2)))</f>
        <v>1</v>
      </c>
      <c r="AS74" s="272">
        <f>IF('Input &amp; Calc'!AE94="","",IF('Input &amp; Calc'!DK96/'Input &amp; Calc'!DK73&gt;=0.9,1,IF('Input &amp; Calc'!DK96/'Input &amp; Calc'!DK73&lt;0.75,3,2)))</f>
        <v>1</v>
      </c>
      <c r="AT74" s="272">
        <f>IF('Input &amp; Calc'!AF94="","",IF('Input &amp; Calc'!DL96/'Input &amp; Calc'!DL73&gt;=0.9,1,IF('Input &amp; Calc'!DL96/'Input &amp; Calc'!DL73&lt;0.75,3,2)))</f>
        <v>1</v>
      </c>
      <c r="AU74" s="272">
        <f>IF('Input &amp; Calc'!AG94="","",IF('Input &amp; Calc'!DM96/'Input &amp; Calc'!DM73&gt;=0.9,1,IF('Input &amp; Calc'!DM96/'Input &amp; Calc'!DM73&lt;0.75,3,2)))</f>
        <v>1</v>
      </c>
    </row>
    <row r="75" spans="1:47" ht="16.5" thickBot="1">
      <c r="A75" s="634"/>
      <c r="B75" s="557" t="s">
        <v>138</v>
      </c>
      <c r="C75" s="252">
        <f>IF(F75/E75&gt;0.899999999,1,IF(F75/E75&lt;0.75,3,2))</f>
        <v>3</v>
      </c>
      <c r="D75" s="85" t="str">
        <f>'Input &amp; Calc'!EO97</f>
        <v>È</v>
      </c>
      <c r="E75" s="618">
        <f>'Input &amp; Calc'!EE74</f>
        <v>3.1000000000000028E-2</v>
      </c>
      <c r="F75" s="616">
        <f>'Input &amp; Calc'!EH97</f>
        <v>9.9999999999988987E-5</v>
      </c>
      <c r="G75" s="458"/>
      <c r="H75" s="467" t="s">
        <v>16</v>
      </c>
      <c r="I75" s="459"/>
      <c r="J75" s="252">
        <f>IF(N75/M75&gt;0.899999999,1,IF(N75/M75&lt;0.75,3,2))</f>
        <v>1</v>
      </c>
      <c r="K75" s="85" t="str">
        <f>'Input &amp; Calc'!EP97</f>
        <v>Ç</v>
      </c>
      <c r="L75" s="615">
        <f>Q75/4</f>
        <v>9.375E-2</v>
      </c>
      <c r="M75" s="615">
        <f>L75/3*$T$3</f>
        <v>6.25E-2</v>
      </c>
      <c r="N75" s="617">
        <f>'Input &amp; Calc'!EI97</f>
        <v>0.3201</v>
      </c>
      <c r="O75" s="457"/>
      <c r="P75" s="252">
        <f>IF(S75/R75&gt;0.899999999,1,IF(S75/R75&lt;0.75,3,2))</f>
        <v>1</v>
      </c>
      <c r="Q75" s="617">
        <f>'Input &amp; Calc'!EG74</f>
        <v>0.375</v>
      </c>
      <c r="R75" s="617">
        <f>Q75/12*$T$4</f>
        <v>0.34375</v>
      </c>
      <c r="S75" s="619">
        <f>'Input &amp; Calc'!EJ97</f>
        <v>0.3201</v>
      </c>
      <c r="T75" s="488">
        <f>S75/R75</f>
        <v>0.93120000000000003</v>
      </c>
      <c r="U75" s="468"/>
      <c r="V75" s="563">
        <f>$V$735</f>
        <v>1</v>
      </c>
      <c r="W75" s="554" t="str">
        <f>B75</f>
        <v>Capital Infusion $ - Million</v>
      </c>
      <c r="X75" s="275">
        <v>1</v>
      </c>
      <c r="Y75" s="275">
        <v>1</v>
      </c>
      <c r="Z75" s="275">
        <v>1</v>
      </c>
      <c r="AA75" s="275">
        <v>1</v>
      </c>
      <c r="AB75" s="323">
        <v>1</v>
      </c>
      <c r="AC75" s="323">
        <v>2</v>
      </c>
      <c r="AD75" s="323">
        <v>3</v>
      </c>
      <c r="AE75" s="323">
        <v>3</v>
      </c>
      <c r="AF75" s="323">
        <v>3</v>
      </c>
      <c r="AG75" s="323">
        <v>1</v>
      </c>
      <c r="AH75" s="323">
        <v>1</v>
      </c>
      <c r="AI75" s="323">
        <v>1</v>
      </c>
      <c r="AJ75" s="272">
        <f>IF('Input &amp; Calc'!V95="","",IF('Input &amp; Calc'!DB97/'Input &amp; Calc'!DB74&gt;=0.9,1,IF('Input &amp; Calc'!DB97/'Input &amp; Calc'!DB74&lt;0.75,3,2)))</f>
        <v>3</v>
      </c>
      <c r="AK75" s="272">
        <f>IF('Input &amp; Calc'!W95="","",IF('Input &amp; Calc'!DC97/'Input &amp; Calc'!DC74&gt;=0.9,1,IF('Input &amp; Calc'!DC97/'Input &amp; Calc'!DC74&lt;0.75,3,2)))</f>
        <v>3</v>
      </c>
      <c r="AL75" s="272">
        <f>IF('Input &amp; Calc'!X95="","",IF('Input &amp; Calc'!DD97/'Input &amp; Calc'!DD74&gt;=0.9,1,IF('Input &amp; Calc'!DD97/'Input &amp; Calc'!DD74&lt;0.75,3,2)))</f>
        <v>3</v>
      </c>
      <c r="AM75" s="272">
        <f>IF('Input &amp; Calc'!Y95="","",IF('Input &amp; Calc'!DE97/'Input &amp; Calc'!DE74&gt;=0.9,1,IF('Input &amp; Calc'!DE97/'Input &amp; Calc'!DE74&lt;0.75,3,2)))</f>
        <v>3</v>
      </c>
      <c r="AN75" s="272">
        <f>IF('Input &amp; Calc'!Z95="","",IF('Input &amp; Calc'!DF97/'Input &amp; Calc'!DF74&gt;=0.9,1,IF('Input &amp; Calc'!DF97/'Input &amp; Calc'!DF74&lt;0.75,3,2)))</f>
        <v>3</v>
      </c>
      <c r="AO75" s="272">
        <f>IF('Input &amp; Calc'!AA95="","",IF('Input &amp; Calc'!DG97/'Input &amp; Calc'!DG74&gt;=0.9,1,IF('Input &amp; Calc'!DG97/'Input &amp; Calc'!DG74&lt;0.75,3,2)))</f>
        <v>2</v>
      </c>
      <c r="AP75" s="272">
        <f>IF('Input &amp; Calc'!AB95="","",IF('Input &amp; Calc'!DH97/'Input &amp; Calc'!DH74&gt;=0.9,1,IF('Input &amp; Calc'!DH97/'Input &amp; Calc'!DH74&lt;0.75,3,2)))</f>
        <v>1</v>
      </c>
      <c r="AQ75" s="272">
        <f>IF('Input &amp; Calc'!AC95="","",IF('Input &amp; Calc'!DI97/'Input &amp; Calc'!DI74&gt;=0.9,1,IF('Input &amp; Calc'!DI97/'Input &amp; Calc'!DI74&lt;0.75,3,2)))</f>
        <v>1</v>
      </c>
      <c r="AR75" s="272">
        <f>IF('Input &amp; Calc'!AD95="","",IF('Input &amp; Calc'!DJ97/'Input &amp; Calc'!DJ74&gt;=0.9,1,IF('Input &amp; Calc'!DJ97/'Input &amp; Calc'!DJ74&lt;0.75,3,2)))</f>
        <v>1</v>
      </c>
      <c r="AS75" s="272">
        <f>IF('Input &amp; Calc'!AE95="","",IF('Input &amp; Calc'!DK97/'Input &amp; Calc'!DK74&gt;=0.9,1,IF('Input &amp; Calc'!DK97/'Input &amp; Calc'!DK74&lt;0.75,3,2)))</f>
        <v>1</v>
      </c>
      <c r="AT75" s="272">
        <f>IF('Input &amp; Calc'!AF95="","",IF('Input &amp; Calc'!DL97/'Input &amp; Calc'!DL74&gt;=0.9,1,IF('Input &amp; Calc'!DL97/'Input &amp; Calc'!DL74&lt;0.75,3,2)))</f>
        <v>1</v>
      </c>
      <c r="AU75" s="272">
        <f>IF('Input &amp; Calc'!AG95="","",IF('Input &amp; Calc'!DM97/'Input &amp; Calc'!DM74&gt;=0.9,1,IF('Input &amp; Calc'!DM97/'Input &amp; Calc'!DM74&lt;0.75,3,2)))</f>
        <v>1</v>
      </c>
    </row>
    <row r="76" spans="1:47" ht="14.25" customHeight="1" thickBot="1">
      <c r="A76" s="96" t="s">
        <v>135</v>
      </c>
      <c r="B76" s="460"/>
      <c r="C76" s="90"/>
      <c r="D76" s="93" t="s">
        <v>238</v>
      </c>
      <c r="E76" s="94">
        <f>+E4</f>
        <v>40391</v>
      </c>
      <c r="F76" s="95"/>
      <c r="G76" s="461"/>
      <c r="H76" s="635" t="s">
        <v>130</v>
      </c>
      <c r="I76" s="635"/>
      <c r="J76" s="635"/>
      <c r="K76" s="635"/>
      <c r="L76" s="635"/>
      <c r="M76" s="635"/>
      <c r="N76" s="635"/>
      <c r="O76" s="461"/>
      <c r="P76" s="90"/>
      <c r="Q76" s="277"/>
      <c r="R76" s="277"/>
      <c r="S76" s="91" t="s">
        <v>136</v>
      </c>
      <c r="T76" s="278">
        <f>'Input &amp; Calc'!EK68</f>
        <v>2</v>
      </c>
      <c r="U76" s="325" t="s">
        <v>159</v>
      </c>
      <c r="V76" s="462"/>
      <c r="W76" s="392"/>
      <c r="X76" s="469"/>
      <c r="Y76" s="469"/>
      <c r="Z76" s="469"/>
      <c r="AA76" s="469"/>
      <c r="AB76" s="469"/>
      <c r="AC76" s="469"/>
      <c r="AD76" s="469"/>
      <c r="AE76" s="469"/>
      <c r="AF76" s="469"/>
      <c r="AG76" s="469"/>
      <c r="AH76" s="469"/>
      <c r="AI76" s="469"/>
      <c r="AJ76" s="469"/>
      <c r="AK76" s="469"/>
      <c r="AL76" s="469"/>
      <c r="AM76" s="469"/>
      <c r="AN76" s="469"/>
      <c r="AO76" s="469"/>
      <c r="AP76" s="469"/>
      <c r="AQ76" s="469"/>
      <c r="AR76" s="469"/>
      <c r="AS76" s="469"/>
      <c r="AT76" s="469"/>
      <c r="AU76" s="469"/>
    </row>
    <row r="77" spans="1:47" ht="12" customHeight="1" thickBot="1">
      <c r="A77" s="654" t="s">
        <v>99</v>
      </c>
      <c r="B77" s="638" t="s">
        <v>100</v>
      </c>
      <c r="C77" s="657" t="s">
        <v>101</v>
      </c>
      <c r="D77" s="657" t="s">
        <v>104</v>
      </c>
      <c r="E77" s="662" t="s">
        <v>105</v>
      </c>
      <c r="F77" s="657" t="s">
        <v>106</v>
      </c>
      <c r="G77" s="553"/>
      <c r="H77" s="657" t="s">
        <v>137</v>
      </c>
      <c r="I77" s="553"/>
      <c r="J77" s="657" t="s">
        <v>101</v>
      </c>
      <c r="K77" s="657" t="s">
        <v>104</v>
      </c>
      <c r="L77" s="657" t="s">
        <v>192</v>
      </c>
      <c r="M77" s="657" t="s">
        <v>194</v>
      </c>
      <c r="N77" s="657" t="s">
        <v>193</v>
      </c>
      <c r="O77" s="553"/>
      <c r="P77" s="658" t="s">
        <v>101</v>
      </c>
      <c r="Q77" s="657" t="s">
        <v>102</v>
      </c>
      <c r="R77" s="657" t="s">
        <v>191</v>
      </c>
      <c r="S77" s="657" t="s">
        <v>103</v>
      </c>
      <c r="T77" s="660" t="s">
        <v>108</v>
      </c>
      <c r="U77" s="663" t="s">
        <v>209</v>
      </c>
      <c r="V77" s="623" t="s">
        <v>203</v>
      </c>
      <c r="W77" s="393"/>
      <c r="X77" s="464"/>
      <c r="Y77" s="464"/>
      <c r="Z77" s="464"/>
      <c r="AA77" s="464"/>
      <c r="AB77" s="464"/>
      <c r="AC77" s="464"/>
      <c r="AD77" s="464"/>
      <c r="AE77" s="464"/>
      <c r="AF77" s="464"/>
      <c r="AG77" s="464"/>
      <c r="AH77" s="464"/>
      <c r="AI77" s="464"/>
      <c r="AJ77" s="464"/>
      <c r="AK77" s="464"/>
      <c r="AL77" s="464"/>
      <c r="AM77" s="464"/>
      <c r="AN77" s="464"/>
      <c r="AO77" s="464"/>
      <c r="AP77" s="464"/>
      <c r="AQ77" s="464"/>
      <c r="AR77" s="464"/>
      <c r="AS77" s="464"/>
      <c r="AT77" s="464"/>
      <c r="AU77" s="464"/>
    </row>
    <row r="78" spans="1:47" ht="15.75" customHeight="1" thickBot="1">
      <c r="A78" s="637"/>
      <c r="B78" s="621"/>
      <c r="C78" s="621"/>
      <c r="D78" s="621"/>
      <c r="E78" s="643"/>
      <c r="F78" s="621"/>
      <c r="G78" s="553"/>
      <c r="H78" s="621"/>
      <c r="I78" s="553"/>
      <c r="J78" s="621"/>
      <c r="K78" s="621"/>
      <c r="L78" s="621"/>
      <c r="M78" s="621"/>
      <c r="N78" s="621"/>
      <c r="O78" s="553"/>
      <c r="P78" s="659"/>
      <c r="Q78" s="621"/>
      <c r="R78" s="621"/>
      <c r="S78" s="621"/>
      <c r="T78" s="661"/>
      <c r="U78" s="664"/>
      <c r="V78" s="624"/>
      <c r="W78" s="564"/>
      <c r="X78" s="625" t="s">
        <v>150</v>
      </c>
      <c r="Y78" s="626"/>
      <c r="Z78" s="626"/>
      <c r="AA78" s="626"/>
      <c r="AB78" s="626"/>
      <c r="AC78" s="626"/>
      <c r="AD78" s="626"/>
      <c r="AE78" s="626"/>
      <c r="AF78" s="626"/>
      <c r="AG78" s="626"/>
      <c r="AH78" s="626"/>
      <c r="AI78" s="627"/>
      <c r="AJ78" s="625" t="s">
        <v>151</v>
      </c>
      <c r="AK78" s="626"/>
      <c r="AL78" s="626"/>
      <c r="AM78" s="626"/>
      <c r="AN78" s="626"/>
      <c r="AO78" s="626"/>
      <c r="AP78" s="626"/>
      <c r="AQ78" s="626"/>
      <c r="AR78" s="626"/>
      <c r="AS78" s="626"/>
      <c r="AT78" s="626"/>
      <c r="AU78" s="628"/>
    </row>
    <row r="79" spans="1:47" ht="15.75" customHeight="1">
      <c r="A79" s="554" t="s">
        <v>197</v>
      </c>
      <c r="B79" s="551" t="s">
        <v>190</v>
      </c>
      <c r="C79" s="252">
        <f>IF(F79/E79&gt;0.899999999,1,IF(F79/E79&lt;0.75,3,2))</f>
        <v>1</v>
      </c>
      <c r="D79" s="46" t="str">
        <f>'Input &amp; Calc'!EO113</f>
        <v>Ç</v>
      </c>
      <c r="E79" s="590">
        <f>'Input &amp; Calc'!EE88</f>
        <v>10.083</v>
      </c>
      <c r="F79" s="567">
        <f>'Input &amp; Calc'!EH113</f>
        <v>17</v>
      </c>
      <c r="G79" s="598"/>
      <c r="H79" s="592" t="s">
        <v>16</v>
      </c>
      <c r="I79" s="599"/>
      <c r="J79" s="594">
        <f>IF(N79/M79&gt;0.899999999,1,IF(N79/M79&lt;0.75,3,2))</f>
        <v>1</v>
      </c>
      <c r="K79" s="600" t="str">
        <f>'Input &amp; Calc'!EP93</f>
        <v>Ç</v>
      </c>
      <c r="L79" s="589">
        <f>Q79/4</f>
        <v>31.25</v>
      </c>
      <c r="M79" s="589">
        <f>L79/3*$T$3</f>
        <v>20.833333333333332</v>
      </c>
      <c r="N79" s="565">
        <f>'Input &amp; Calc'!EI113</f>
        <v>35</v>
      </c>
      <c r="O79" s="601"/>
      <c r="P79" s="594">
        <f>IF(S79/R79&gt;0.899999999,1,IF(S79/R79&lt;0.75,3,2))</f>
        <v>1</v>
      </c>
      <c r="Q79" s="565">
        <f>'Input &amp; Calc'!EG88</f>
        <v>125</v>
      </c>
      <c r="R79" s="602">
        <f>Q79/12*$T$10</f>
        <v>20.833333333333332</v>
      </c>
      <c r="S79" s="566">
        <f>'Input &amp; Calc'!EJ113</f>
        <v>35</v>
      </c>
      <c r="T79" s="491">
        <f>S79/R79</f>
        <v>1.6800000000000002</v>
      </c>
      <c r="U79" s="454"/>
      <c r="V79" s="563">
        <f>$V$739</f>
        <v>1</v>
      </c>
      <c r="W79" s="476" t="str">
        <f>B79</f>
        <v># of Unique Clients YTD</v>
      </c>
      <c r="X79" s="269">
        <v>1</v>
      </c>
      <c r="Y79" s="268">
        <v>1</v>
      </c>
      <c r="Z79" s="268">
        <v>1</v>
      </c>
      <c r="AA79" s="268">
        <v>1</v>
      </c>
      <c r="AB79" s="268">
        <v>1</v>
      </c>
      <c r="AC79" s="268">
        <v>1</v>
      </c>
      <c r="AD79" s="268">
        <v>1</v>
      </c>
      <c r="AE79" s="268">
        <v>1</v>
      </c>
      <c r="AF79" s="268">
        <v>1</v>
      </c>
      <c r="AG79" s="268">
        <v>1</v>
      </c>
      <c r="AH79" s="268">
        <v>1</v>
      </c>
      <c r="AI79" s="270">
        <v>1</v>
      </c>
      <c r="AJ79" s="268">
        <f>IF('Input &amp; Calc'!V113="","",IF('Input &amp; Calc'!DB113/'Input &amp; Calc'!DB88&gt;=0.9,1,IF('Input &amp; Calc'!DB113/'Input &amp; Calc'!DB88&lt;0.75,3,2)))</f>
        <v>1</v>
      </c>
      <c r="AK79" s="268">
        <f>IF('Input &amp; Calc'!W113="","",IF('Input &amp; Calc'!DC113/'Input &amp; Calc'!DC88&gt;=0.9,1,IF('Input &amp; Calc'!DC113/'Input &amp; Calc'!DC88&lt;0.75,3,2)))</f>
        <v>1</v>
      </c>
      <c r="AL79" s="268">
        <f>IF('Input &amp; Calc'!X113="","",IF('Input &amp; Calc'!DD113/'Input &amp; Calc'!DD88&gt;=0.9,1,IF('Input &amp; Calc'!DD113/'Input &amp; Calc'!DD88&lt;0.75,3,2)))</f>
        <v>1</v>
      </c>
      <c r="AM79" s="268">
        <f>IF('Input &amp; Calc'!Y113="","",IF('Input &amp; Calc'!DE113/'Input &amp; Calc'!DE88&gt;=0.9,1,IF('Input &amp; Calc'!DE113/'Input &amp; Calc'!DE88&lt;0.75,3,2)))</f>
        <v>1</v>
      </c>
      <c r="AN79" s="268">
        <f>IF('Input &amp; Calc'!Z113="","",IF('Input &amp; Calc'!DF113/'Input &amp; Calc'!DF88&gt;=0.9,1,IF('Input &amp; Calc'!DF113/'Input &amp; Calc'!DF88&lt;0.75,3,2)))</f>
        <v>1</v>
      </c>
      <c r="AO79" s="268">
        <f>IF('Input &amp; Calc'!AA113="","",IF('Input &amp; Calc'!DG113/'Input &amp; Calc'!DG88&gt;=0.9,1,IF('Input &amp; Calc'!DG113/'Input &amp; Calc'!DG88&lt;0.75,3,2)))</f>
        <v>1</v>
      </c>
      <c r="AP79" s="268">
        <f>IF('Input &amp; Calc'!AB113="","",IF('Input &amp; Calc'!DH113/'Input &amp; Calc'!DH88&gt;=0.9,1,IF('Input &amp; Calc'!DH113/'Input &amp; Calc'!DH88&lt;0.75,3,2)))</f>
        <v>1</v>
      </c>
      <c r="AQ79" s="268">
        <f>IF('Input &amp; Calc'!AC113="","",IF('Input &amp; Calc'!DI113/'Input &amp; Calc'!DI88&gt;=0.9,1,IF('Input &amp; Calc'!DI113/'Input &amp; Calc'!DI88&lt;0.75,3,2)))</f>
        <v>1</v>
      </c>
      <c r="AR79" s="268">
        <f>IF('Input &amp; Calc'!AD113="","",IF('Input &amp; Calc'!DJ113/'Input &amp; Calc'!DJ88&gt;=0.9,1,IF('Input &amp; Calc'!DJ113/'Input &amp; Calc'!DJ88&lt;0.75,3,2)))</f>
        <v>1</v>
      </c>
      <c r="AS79" s="268">
        <f>IF('Input &amp; Calc'!AE113="","",IF('Input &amp; Calc'!DK113/'Input &amp; Calc'!DK88&gt;=0.9,1,IF('Input &amp; Calc'!DK113/'Input &amp; Calc'!DK88&lt;0.75,3,2)))</f>
        <v>1</v>
      </c>
      <c r="AT79" s="268">
        <f>IF('Input &amp; Calc'!AF113="","",IF('Input &amp; Calc'!DL113/'Input &amp; Calc'!DL88&gt;=0.9,1,IF('Input &amp; Calc'!DL113/'Input &amp; Calc'!DL88&lt;0.75,3,2)))</f>
        <v>1</v>
      </c>
      <c r="AU79" s="268">
        <f>IF('Input &amp; Calc'!AG113="","",IF('Input &amp; Calc'!DM113/'Input &amp; Calc'!DM88&gt;=0.9,1,IF('Input &amp; Calc'!DM113/'Input &amp; Calc'!DM88&lt;0.75,3,2)))</f>
        <v>1</v>
      </c>
    </row>
    <row r="80" spans="1:47" ht="27.75" customHeight="1">
      <c r="A80" s="633" t="s">
        <v>198</v>
      </c>
      <c r="B80" s="551" t="s">
        <v>199</v>
      </c>
      <c r="C80" s="252">
        <f>IF(F80/E80&gt;0.899999999,1,IF(F80/E80&lt;0.75,3,2))</f>
        <v>2</v>
      </c>
      <c r="D80" s="46" t="str">
        <f>'Input &amp; Calc'!EO126</f>
        <v>È</v>
      </c>
      <c r="E80" s="489">
        <f>'Input &amp; Calc'!EE119</f>
        <v>0.49</v>
      </c>
      <c r="F80" s="494">
        <f>'Input &amp; Calc'!EH126</f>
        <v>0.38461538461538464</v>
      </c>
      <c r="G80" s="558"/>
      <c r="H80" s="453" t="s">
        <v>16</v>
      </c>
      <c r="I80" s="559"/>
      <c r="J80" s="252">
        <f>IF(N80/M80&gt;0.899999999,1,IF(N80/M80&lt;0.75,3,2))</f>
        <v>1</v>
      </c>
      <c r="K80" s="46" t="str">
        <f>'Input &amp; Calc'!EP126</f>
        <v>È</v>
      </c>
      <c r="L80" s="490">
        <f>'Input &amp; Calc'!EF119</f>
        <v>0.49090909090909091</v>
      </c>
      <c r="M80" s="490">
        <f>L80</f>
        <v>0.49090909090909091</v>
      </c>
      <c r="N80" s="491">
        <f>'Input &amp; Calc'!EI126</f>
        <v>0.47058823529411764</v>
      </c>
      <c r="O80" s="561"/>
      <c r="P80" s="252">
        <f>IF(S80/R80&gt;0.899999999,1,IF(S80/R80&lt;0.75,3,2))</f>
        <v>1</v>
      </c>
      <c r="Q80" s="491">
        <f>'Input &amp; Calc'!EG119</f>
        <v>0.49</v>
      </c>
      <c r="R80" s="492">
        <f>Q80</f>
        <v>0.49</v>
      </c>
      <c r="S80" s="493">
        <f>'Input &amp; Calc'!EJ126</f>
        <v>0.47058823529411764</v>
      </c>
      <c r="T80" s="488">
        <f>+S80-R80</f>
        <v>-1.9411764705882351E-2</v>
      </c>
      <c r="U80" s="455"/>
      <c r="V80" s="563">
        <f>$V$740</f>
        <v>1</v>
      </c>
      <c r="W80" s="476" t="str">
        <f>B80</f>
        <v>% of existing business new clients to initial clients</v>
      </c>
      <c r="X80" s="475">
        <v>1</v>
      </c>
      <c r="Y80" s="274">
        <v>1</v>
      </c>
      <c r="Z80" s="274">
        <v>1</v>
      </c>
      <c r="AA80" s="274">
        <v>1</v>
      </c>
      <c r="AB80" s="274">
        <v>1</v>
      </c>
      <c r="AC80" s="274">
        <v>1</v>
      </c>
      <c r="AD80" s="274">
        <v>1</v>
      </c>
      <c r="AE80" s="274">
        <v>1</v>
      </c>
      <c r="AF80" s="274">
        <v>1</v>
      </c>
      <c r="AG80" s="274">
        <v>1</v>
      </c>
      <c r="AH80" s="274">
        <v>1</v>
      </c>
      <c r="AI80" s="514">
        <v>1</v>
      </c>
      <c r="AJ80" s="274">
        <f>IF('Input &amp; Calc'!V126="","",IF('Input &amp; Calc'!DB119*0.9&lt;'Input &amp; Calc'!V126,1,IF('Input &amp; Calc'!DB119*0.75&gt;'Input &amp; Calc'!DB126,3,2)))</f>
        <v>1</v>
      </c>
      <c r="AK80" s="273">
        <f>IF('Input &amp; Calc'!W126="","",IF('Input &amp; Calc'!DC119*0.9&lt;'Input &amp; Calc'!W126,1,IF('Input &amp; Calc'!DC119*0.75&gt;'Input &amp; Calc'!DC126,3,2)))</f>
        <v>1</v>
      </c>
      <c r="AL80" s="273">
        <f>IF('Input &amp; Calc'!X126="","",IF('Input &amp; Calc'!DD119*0.9&lt;'Input &amp; Calc'!X126,1,IF('Input &amp; Calc'!DD119*0.75&gt;'Input &amp; Calc'!DD126,3,2)))</f>
        <v>2</v>
      </c>
      <c r="AM80" s="273">
        <f>IF('Input &amp; Calc'!Y126="","",IF('Input &amp; Calc'!DE119*0.9&lt;'Input &amp; Calc'!Y126,1,IF('Input &amp; Calc'!DE119*0.75&gt;'Input &amp; Calc'!DE126,3,2)))</f>
        <v>3</v>
      </c>
      <c r="AN80" s="273">
        <f>IF('Input &amp; Calc'!Z126="","",IF('Input &amp; Calc'!DF119*0.9&lt;'Input &amp; Calc'!Z126,1,IF('Input &amp; Calc'!DF119*0.75&gt;'Input &amp; Calc'!DF126,3,2)))</f>
        <v>3</v>
      </c>
      <c r="AO80" s="273">
        <f>IF('Input &amp; Calc'!AA126="","",IF('Input &amp; Calc'!DG119*0.9&lt;'Input &amp; Calc'!AA126,1,IF('Input &amp; Calc'!DG119*0.75&gt;'Input &amp; Calc'!DG126,3,2)))</f>
        <v>2</v>
      </c>
      <c r="AP80" s="273">
        <f>IF('Input &amp; Calc'!AB126="","",IF('Input &amp; Calc'!DH119*0.9&lt;'Input &amp; Calc'!AB126,1,IF('Input &amp; Calc'!DH119*0.75&gt;'Input &amp; Calc'!DH126,3,2)))</f>
        <v>2</v>
      </c>
      <c r="AQ80" s="273">
        <f>IF('Input &amp; Calc'!AC126="","",IF('Input &amp; Calc'!DI119*0.9&lt;'Input &amp; Calc'!AC126,1,IF('Input &amp; Calc'!DI119*0.75&gt;'Input &amp; Calc'!DI126,3,2)))</f>
        <v>2</v>
      </c>
      <c r="AR80" s="273">
        <f>IF('Input &amp; Calc'!AD126="","",IF('Input &amp; Calc'!DJ119*0.9&lt;'Input &amp; Calc'!AD126,1,IF('Input &amp; Calc'!DJ119*0.75&gt;'Input &amp; Calc'!DJ126,3,2)))</f>
        <v>2</v>
      </c>
      <c r="AS80" s="273">
        <f>IF('Input &amp; Calc'!AE126="","",IF('Input &amp; Calc'!DK119*0.9&lt;'Input &amp; Calc'!AE126,1,IF('Input &amp; Calc'!DK119*0.75&gt;'Input &amp; Calc'!DK126,3,2)))</f>
        <v>2</v>
      </c>
      <c r="AT80" s="273">
        <f>IF('Input &amp; Calc'!AF126="","",IF('Input &amp; Calc'!DL119*0.9&lt;'Input &amp; Calc'!AF126,1,IF('Input &amp; Calc'!DL119*0.75&gt;'Input &amp; Calc'!DL126,3,2)))</f>
        <v>2</v>
      </c>
      <c r="AU80" s="273">
        <f>IF('Input &amp; Calc'!AG126="","",IF('Input &amp; Calc'!DM119*0.9&lt;'Input &amp; Calc'!AG126,1,IF('Input &amp; Calc'!DM119*0.75&gt;'Input &amp; Calc'!DM126,3,2)))</f>
        <v>1</v>
      </c>
    </row>
    <row r="81" spans="1:47">
      <c r="A81" s="655"/>
      <c r="B81" s="551" t="s">
        <v>200</v>
      </c>
      <c r="C81" s="252">
        <f>IF(F81/E81&gt;0.899999999,1,IF(F81/E81&lt;0.75,3,2))</f>
        <v>3</v>
      </c>
      <c r="D81" s="500" t="str">
        <f>'Input &amp; Calc'!EO896</f>
        <v>È</v>
      </c>
      <c r="E81" s="279">
        <v>6</v>
      </c>
      <c r="F81" s="279">
        <f>'Input &amp; Calc'!EH896</f>
        <v>2.2699999999999996</v>
      </c>
      <c r="G81" s="558"/>
      <c r="H81" s="453" t="s">
        <v>16</v>
      </c>
      <c r="I81" s="559"/>
      <c r="J81" s="252">
        <f>IF(N81/M81&gt;0.899999999,1,IF(N81/M81&lt;0.75,3,2))</f>
        <v>3</v>
      </c>
      <c r="K81" s="500" t="str">
        <f>'Input &amp; Calc'!EP896</f>
        <v>È</v>
      </c>
      <c r="L81" s="279">
        <v>6</v>
      </c>
      <c r="M81" s="442">
        <v>6</v>
      </c>
      <c r="N81" s="388">
        <f>'Input &amp; Calc'!EI896</f>
        <v>2.0671428571428572</v>
      </c>
      <c r="O81" s="561"/>
      <c r="P81" s="252">
        <f>IF(S81/R81&gt;0.899999999,1,IF(S81/R81&lt;0.75,3,2))</f>
        <v>3</v>
      </c>
      <c r="Q81" s="279">
        <v>6</v>
      </c>
      <c r="R81" s="442">
        <v>6</v>
      </c>
      <c r="S81" s="486">
        <f>'Input &amp; Calc'!EJ896</f>
        <v>2.0671428571428572</v>
      </c>
      <c r="T81" s="491">
        <f>S81/R81</f>
        <v>0.34452380952380951</v>
      </c>
      <c r="U81" s="456" t="s">
        <v>32</v>
      </c>
      <c r="V81" s="563">
        <f>$V$741</f>
        <v>3</v>
      </c>
      <c r="W81" s="476" t="str">
        <f>B81</f>
        <v>Average Hours/Client</v>
      </c>
      <c r="X81" s="269">
        <v>1</v>
      </c>
      <c r="Y81" s="268">
        <v>1</v>
      </c>
      <c r="Z81" s="268">
        <v>1</v>
      </c>
      <c r="AA81" s="268">
        <v>1</v>
      </c>
      <c r="AB81" s="268">
        <v>1</v>
      </c>
      <c r="AC81" s="268">
        <v>1</v>
      </c>
      <c r="AD81" s="268">
        <v>1</v>
      </c>
      <c r="AE81" s="268">
        <v>1</v>
      </c>
      <c r="AF81" s="268">
        <v>1</v>
      </c>
      <c r="AG81" s="268">
        <v>1</v>
      </c>
      <c r="AH81" s="268">
        <v>1</v>
      </c>
      <c r="AI81" s="270">
        <v>1</v>
      </c>
      <c r="AJ81" s="274">
        <f>IF('Input &amp; Calc'!V113="","",IF('Input &amp; Calc'!DB80/'Input &amp; Calc'!DB88*0.9/12*'Input &amp; Calc'!DB$51&lt;'Input &amp; Calc'!DB105/'Input &amp; Calc'!DB113,1,IF('Input &amp; Calc'!DB80/'Input &amp; Calc'!DB88*0.75/12*'Input &amp; Calc'!DB$51&gt;'Input &amp; Calc'!DB105/'Input &amp; Calc'!DB113,3,2)))</f>
        <v>1</v>
      </c>
      <c r="AK81" s="273">
        <f>IF('Input &amp; Calc'!W113="","",IF('Input &amp; Calc'!DC80/'Input &amp; Calc'!DC88*0.9/12*'Input &amp; Calc'!DC$51&lt;'Input &amp; Calc'!DC105/'Input &amp; Calc'!DC113,1,IF('Input &amp; Calc'!DC80/'Input &amp; Calc'!DC88*0.75/12*'Input &amp; Calc'!DC$51&gt;'Input &amp; Calc'!DC105/'Input &amp; Calc'!DC113,3,2)))</f>
        <v>1</v>
      </c>
      <c r="AL81" s="273">
        <f>IF('Input &amp; Calc'!X113="","",IF('Input &amp; Calc'!DD80/'Input &amp; Calc'!DD88*0.9/12*'Input &amp; Calc'!DD$51&lt;'Input &amp; Calc'!DD105/'Input &amp; Calc'!DD113,1,IF('Input &amp; Calc'!DD80/'Input &amp; Calc'!DD88*0.75/12*'Input &amp; Calc'!DD$51&gt;'Input &amp; Calc'!DD105/'Input &amp; Calc'!DD113,3,2)))</f>
        <v>1</v>
      </c>
      <c r="AM81" s="273">
        <f>IF('Input &amp; Calc'!Y113="","",IF('Input &amp; Calc'!DE80/'Input &amp; Calc'!DE88*0.9/12*'Input &amp; Calc'!DE$51&lt;'Input &amp; Calc'!DE105/'Input &amp; Calc'!DE113,1,IF('Input &amp; Calc'!DE80/'Input &amp; Calc'!DE88*0.75/12*'Input &amp; Calc'!DE$51&gt;'Input &amp; Calc'!DE105/'Input &amp; Calc'!DE113,3,2)))</f>
        <v>1</v>
      </c>
      <c r="AN81" s="273">
        <f>IF('Input &amp; Calc'!Z113="","",IF('Input &amp; Calc'!DF80/'Input &amp; Calc'!DF88*0.9/12*'Input &amp; Calc'!DF$51&lt;'Input &amp; Calc'!DF105/'Input &amp; Calc'!DF113,1,IF('Input &amp; Calc'!DF80/'Input &amp; Calc'!DF88*0.75/12*'Input &amp; Calc'!DF$51&gt;'Input &amp; Calc'!DF105/'Input &amp; Calc'!DF113,3,2)))</f>
        <v>1</v>
      </c>
      <c r="AO81" s="273">
        <f>IF('Input &amp; Calc'!AA113="","",IF('Input &amp; Calc'!DG80/'Input &amp; Calc'!DG88*0.9/12*'Input &amp; Calc'!DG$51&lt;'Input &amp; Calc'!DG105/'Input &amp; Calc'!DG113,1,IF('Input &amp; Calc'!DG80/'Input &amp; Calc'!DG88*0.75/12*'Input &amp; Calc'!DG$51&lt;'Input &amp; Calc'!DG105/'Input &amp; Calc'!DG113,3,2)))</f>
        <v>1</v>
      </c>
      <c r="AP81" s="273">
        <f>IF('Input &amp; Calc'!AB113="","",IF('Input &amp; Calc'!DH80/'Input &amp; Calc'!DH88*0.9/12*'Input &amp; Calc'!DH$51&lt;'Input &amp; Calc'!DH105/'Input &amp; Calc'!DH113,1,IF('Input &amp; Calc'!DH80/'Input &amp; Calc'!DH88*0.75/12*'Input &amp; Calc'!DH$51&lt;'Input &amp; Calc'!DH105/'Input &amp; Calc'!DH113,3,2)))</f>
        <v>1</v>
      </c>
      <c r="AQ81" s="273">
        <f>IF('Input &amp; Calc'!AC113="","",IF('Input &amp; Calc'!DI80/'Input &amp; Calc'!DI88*0.9/12*'Input &amp; Calc'!DI$51&gt;'Input &amp; Calc'!DI105/'Input &amp; Calc'!DI113,1,IF('Input &amp; Calc'!DI80/'Input &amp; Calc'!DI88*0.75/12*'Input &amp; Calc'!DI$51&lt;'Input &amp; Calc'!DI105/'Input &amp; Calc'!DI113,3,2)))</f>
        <v>1</v>
      </c>
      <c r="AR81" s="273">
        <f>IF('Input &amp; Calc'!AD113="","",IF('Input &amp; Calc'!DJ80/'Input &amp; Calc'!DJ88*0.9/12*'Input &amp; Calc'!DJ$51&lt;'Input &amp; Calc'!DJ105/'Input &amp; Calc'!DJ113,1,IF('Input &amp; Calc'!DJ80/'Input &amp; Calc'!DJ88*0.75/12*'Input &amp; Calc'!DJ$51&lt;'Input &amp; Calc'!DJ105/'Input &amp; Calc'!DJ113,3,2)))</f>
        <v>1</v>
      </c>
      <c r="AS81" s="273">
        <f>IF('Input &amp; Calc'!AE113="","",IF('Input &amp; Calc'!DK80/'Input &amp; Calc'!DK88*0.9/12*'Input &amp; Calc'!DK$51&lt;'Input &amp; Calc'!DK105/'Input &amp; Calc'!DK113,1,IF('Input &amp; Calc'!DK80/'Input &amp; Calc'!DK88*0.75/12*'Input &amp; Calc'!DK$51&lt;'Input &amp; Calc'!DK105/'Input &amp; Calc'!DK113,3,2)))</f>
        <v>1</v>
      </c>
      <c r="AT81" s="273">
        <f>IF('Input &amp; Calc'!AF113="","",IF('Input &amp; Calc'!DL80/'Input &amp; Calc'!DL88*0.9/12*'Input &amp; Calc'!DL$51&lt;'Input &amp; Calc'!DL105/'Input &amp; Calc'!DL113,1,IF('Input &amp; Calc'!DL80/'Input &amp; Calc'!DL88*0.75/12*'Input &amp; Calc'!DL$51&lt;'Input &amp; Calc'!DL105/'Input &amp; Calc'!DL113,3,2)))</f>
        <v>1</v>
      </c>
      <c r="AU81" s="273">
        <f>IF('Input &amp; Calc'!AG113="","",IF('Input &amp; Calc'!DM80/'Input &amp; Calc'!DM88*0.9/12*'Input &amp; Calc'!DM$51&gt;'Input &amp; Calc'!DM105/'Input &amp; Calc'!DM113,1,IF('Input &amp; Calc'!DM80/'Input &amp; Calc'!DM88*0.75/12*'Input &amp; Calc'!DM$51&lt;'Input &amp; Calc'!DM105/'Input &amp; Calc'!DM113,3,2)))</f>
        <v>3</v>
      </c>
    </row>
    <row r="82" spans="1:47">
      <c r="A82" s="554" t="s">
        <v>109</v>
      </c>
      <c r="B82" s="551" t="s">
        <v>201</v>
      </c>
      <c r="C82" s="521"/>
      <c r="D82" s="522"/>
      <c r="E82" s="529"/>
      <c r="F82" s="520"/>
      <c r="G82" s="558"/>
      <c r="H82" s="453" t="s">
        <v>16</v>
      </c>
      <c r="I82" s="559"/>
      <c r="J82" s="252">
        <f>IF(N82/M82&gt;0.899999999,1,IF(N82/M82&lt;0.75,3,2))</f>
        <v>1</v>
      </c>
      <c r="K82" s="46" t="str">
        <f>'Input &amp; Calc'!EP103</f>
        <v>Ç</v>
      </c>
      <c r="L82" s="490">
        <f>'Input &amp; Calc'!EF78</f>
        <v>0.95</v>
      </c>
      <c r="M82" s="490">
        <f>L82</f>
        <v>0.95</v>
      </c>
      <c r="N82" s="491">
        <f>'Input &amp; Calc'!EI103</f>
        <v>1</v>
      </c>
      <c r="O82" s="561"/>
      <c r="P82" s="252">
        <f>IF(S82/R82&gt;0.899999999,1,IF(S82/R82&lt;0.75,3,2))</f>
        <v>1</v>
      </c>
      <c r="Q82" s="491">
        <f>'Input &amp; Calc'!EG78</f>
        <v>0.95000000000000007</v>
      </c>
      <c r="R82" s="491">
        <f>Q82</f>
        <v>0.95000000000000007</v>
      </c>
      <c r="S82" s="493">
        <f>'Input &amp; Calc'!EJ103</f>
        <v>1</v>
      </c>
      <c r="T82" s="491">
        <f>S82-R82</f>
        <v>4.9999999999999933E-2</v>
      </c>
      <c r="U82" s="455"/>
      <c r="V82" s="563">
        <f>$V$742</f>
        <v>1</v>
      </c>
      <c r="W82" s="476" t="str">
        <f>B82</f>
        <v>Client satisfaction rating %</v>
      </c>
      <c r="X82" s="269">
        <v>3</v>
      </c>
      <c r="Y82" s="268">
        <v>1</v>
      </c>
      <c r="Z82" s="268">
        <v>1</v>
      </c>
      <c r="AA82" s="268">
        <v>1</v>
      </c>
      <c r="AB82" s="268">
        <v>1</v>
      </c>
      <c r="AC82" s="268">
        <v>1</v>
      </c>
      <c r="AD82" s="268">
        <v>1</v>
      </c>
      <c r="AE82" s="268">
        <v>1</v>
      </c>
      <c r="AF82" s="268">
        <v>1</v>
      </c>
      <c r="AG82" s="268">
        <v>1</v>
      </c>
      <c r="AH82" s="268">
        <v>1</v>
      </c>
      <c r="AI82" s="270">
        <v>1</v>
      </c>
      <c r="AJ82" s="268">
        <f>IF('Input &amp; Calc'!V103="","",IF('Input &amp; Calc'!DB78*0.9&lt;'Input &amp; Calc'!DB103,1,IF('Input &amp; Calc'!DB78*0.75&gt;'Input &amp; Calc'!DB103,3,2)))</f>
        <v>1</v>
      </c>
      <c r="AK82" s="268">
        <f>IF('Input &amp; Calc'!W103="","",IF('Input &amp; Calc'!DC78*0.9&lt;'Input &amp; Calc'!DC103,1,IF('Input &amp; Calc'!DC78*0.75&gt;'Input &amp; Calc'!DC103,3,2)))</f>
        <v>1</v>
      </c>
      <c r="AL82" s="268">
        <f>IF('Input &amp; Calc'!X103="","",IF('Input &amp; Calc'!DD78*0.9&lt;'Input &amp; Calc'!DD103,1,IF('Input &amp; Calc'!DD78*0.75&gt;'Input &amp; Calc'!DD103,3,2)))</f>
        <v>1</v>
      </c>
      <c r="AM82" s="268">
        <f>IF('Input &amp; Calc'!Y103="","",IF('Input &amp; Calc'!DE78*0.9&lt;'Input &amp; Calc'!DE103,1,IF('Input &amp; Calc'!DE78*0.75&gt;'Input &amp; Calc'!DE103,3,2)))</f>
        <v>1</v>
      </c>
      <c r="AN82" s="268">
        <f>IF('Input &amp; Calc'!Z103="","",IF('Input &amp; Calc'!DF78*0.9&lt;'Input &amp; Calc'!DF103,1,IF('Input &amp; Calc'!DF78*0.75&gt;'Input &amp; Calc'!DF103,3,2)))</f>
        <v>1</v>
      </c>
      <c r="AO82" s="268">
        <f>IF('Input &amp; Calc'!AA103="","",IF('Input &amp; Calc'!DG78*0.9&lt;'Input &amp; Calc'!DG103,1,IF('Input &amp; Calc'!DG78*0.75&gt;'Input &amp; Calc'!DG103,3,2)))</f>
        <v>1</v>
      </c>
      <c r="AP82" s="268">
        <f>IF('Input &amp; Calc'!AB103="","",IF('Input &amp; Calc'!DH78*0.9&lt;'Input &amp; Calc'!DH103,1,IF('Input &amp; Calc'!DH78*0.75&gt;'Input &amp; Calc'!DH103,3,2)))</f>
        <v>1</v>
      </c>
      <c r="AQ82" s="268">
        <f>IF('Input &amp; Calc'!AC103="","",IF('Input &amp; Calc'!DI78*0.9&lt;'Input &amp; Calc'!DI103,1,IF('Input &amp; Calc'!DI78*0.75&gt;'Input &amp; Calc'!DI103,3,2)))</f>
        <v>1</v>
      </c>
      <c r="AR82" s="268">
        <f>IF('Input &amp; Calc'!AD103="","",IF('Input &amp; Calc'!DJ78*0.9&lt;'Input &amp; Calc'!DJ103,1,IF('Input &amp; Calc'!DJ78*0.75&gt;'Input &amp; Calc'!DJ103,3,2)))</f>
        <v>1</v>
      </c>
      <c r="AS82" s="268">
        <f>IF('Input &amp; Calc'!AE103="","",IF('Input &amp; Calc'!DK78*0.9&lt;'Input &amp; Calc'!DK103,1,IF('Input &amp; Calc'!DK78*0.75&gt;'Input &amp; Calc'!DK103,3,2)))</f>
        <v>1</v>
      </c>
      <c r="AT82" s="268">
        <f>IF('Input &amp; Calc'!AF103="","",IF('Input &amp; Calc'!DL78*0.9&lt;'Input &amp; Calc'!DL103,1,IF('Input &amp; Calc'!DL78*0.75&gt;'Input &amp; Calc'!DL103,3,2)))</f>
        <v>1</v>
      </c>
      <c r="AU82" s="268">
        <f>IF('Input &amp; Calc'!AG103="","",IF('Input &amp; Calc'!DM78*0.9&lt;'Input &amp; Calc'!DM103,1,IF('Input &amp; Calc'!DM78*0.75&gt;'Input &amp; Calc'!DM103,3,2)))</f>
        <v>1</v>
      </c>
    </row>
    <row r="83" spans="1:47" s="465" customFormat="1">
      <c r="A83" s="633" t="s">
        <v>207</v>
      </c>
      <c r="B83" s="551" t="s">
        <v>227</v>
      </c>
      <c r="C83" s="523"/>
      <c r="D83" s="524"/>
      <c r="E83" s="525"/>
      <c r="F83" s="515">
        <f>'Input &amp; Calc'!EH850</f>
        <v>4</v>
      </c>
      <c r="G83" s="451"/>
      <c r="H83" s="453" t="s">
        <v>16</v>
      </c>
      <c r="I83" s="560"/>
      <c r="J83" s="521"/>
      <c r="K83" s="522"/>
      <c r="L83" s="530"/>
      <c r="M83" s="531"/>
      <c r="N83" s="516">
        <f>'Input &amp; Calc'!EI850</f>
        <v>4</v>
      </c>
      <c r="O83" s="562"/>
      <c r="P83" s="521"/>
      <c r="Q83" s="536"/>
      <c r="R83" s="537"/>
      <c r="S83" s="517">
        <f>'Input &amp; Calc'!EJ850</f>
        <v>4</v>
      </c>
      <c r="T83" s="542"/>
      <c r="U83" s="543"/>
      <c r="V83" s="544"/>
      <c r="W83" s="554" t="s">
        <v>227</v>
      </c>
      <c r="X83" s="271"/>
      <c r="Y83" s="268"/>
      <c r="Z83" s="268"/>
      <c r="AA83" s="268"/>
      <c r="AB83" s="268"/>
      <c r="AC83" s="268"/>
      <c r="AD83" s="268"/>
      <c r="AE83" s="268"/>
      <c r="AF83" s="268"/>
      <c r="AG83" s="268"/>
      <c r="AH83" s="268"/>
      <c r="AI83" s="270"/>
      <c r="AJ83" s="268"/>
      <c r="AK83" s="268"/>
      <c r="AL83" s="268"/>
      <c r="AM83" s="268"/>
      <c r="AN83" s="268"/>
      <c r="AO83" s="268"/>
      <c r="AP83" s="268"/>
      <c r="AQ83" s="268"/>
      <c r="AR83" s="268"/>
      <c r="AS83" s="268"/>
      <c r="AT83" s="268"/>
      <c r="AU83" s="268"/>
    </row>
    <row r="84" spans="1:47" s="465" customFormat="1">
      <c r="A84" s="656"/>
      <c r="B84" s="551" t="s">
        <v>228</v>
      </c>
      <c r="C84" s="523"/>
      <c r="D84" s="524"/>
      <c r="E84" s="525"/>
      <c r="F84" s="515">
        <f>'Input &amp; Calc'!EH866</f>
        <v>0</v>
      </c>
      <c r="G84" s="451"/>
      <c r="H84" s="453" t="s">
        <v>16</v>
      </c>
      <c r="I84" s="560"/>
      <c r="J84" s="523"/>
      <c r="K84" s="524"/>
      <c r="L84" s="532"/>
      <c r="M84" s="533"/>
      <c r="N84" s="516">
        <f>'Input &amp; Calc'!EI866</f>
        <v>0</v>
      </c>
      <c r="O84" s="562"/>
      <c r="P84" s="523"/>
      <c r="Q84" s="538"/>
      <c r="R84" s="539"/>
      <c r="S84" s="517">
        <f>'Input &amp; Calc'!EJ866</f>
        <v>0</v>
      </c>
      <c r="T84" s="545"/>
      <c r="U84" s="546"/>
      <c r="V84" s="547"/>
      <c r="W84" s="554" t="s">
        <v>228</v>
      </c>
      <c r="X84" s="271"/>
      <c r="Y84" s="268"/>
      <c r="Z84" s="268"/>
      <c r="AA84" s="268"/>
      <c r="AB84" s="268"/>
      <c r="AC84" s="268"/>
      <c r="AD84" s="268"/>
      <c r="AE84" s="268"/>
      <c r="AF84" s="268"/>
      <c r="AG84" s="268"/>
      <c r="AH84" s="268"/>
      <c r="AI84" s="270"/>
      <c r="AJ84" s="268"/>
      <c r="AK84" s="268"/>
      <c r="AL84" s="268"/>
      <c r="AM84" s="268"/>
      <c r="AN84" s="268"/>
      <c r="AO84" s="268"/>
      <c r="AP84" s="268"/>
      <c r="AQ84" s="268"/>
      <c r="AR84" s="268"/>
      <c r="AS84" s="268"/>
      <c r="AT84" s="268"/>
      <c r="AU84" s="268"/>
    </row>
    <row r="85" spans="1:47" s="465" customFormat="1">
      <c r="A85" s="655"/>
      <c r="B85" s="551" t="s">
        <v>234</v>
      </c>
      <c r="C85" s="526"/>
      <c r="D85" s="527"/>
      <c r="E85" s="528"/>
      <c r="F85" s="495">
        <f>'Input &amp; Calc'!EH881</f>
        <v>2E-3</v>
      </c>
      <c r="G85" s="451"/>
      <c r="H85" s="453" t="s">
        <v>16</v>
      </c>
      <c r="I85" s="560"/>
      <c r="J85" s="526"/>
      <c r="K85" s="527"/>
      <c r="L85" s="534"/>
      <c r="M85" s="535"/>
      <c r="N85" s="496">
        <f>'Input &amp; Calc'!EI881</f>
        <v>2E-3</v>
      </c>
      <c r="O85" s="562"/>
      <c r="P85" s="526"/>
      <c r="Q85" s="540"/>
      <c r="R85" s="541"/>
      <c r="S85" s="497">
        <f>'Input &amp; Calc'!EJ881</f>
        <v>2E-3</v>
      </c>
      <c r="T85" s="548"/>
      <c r="U85" s="549"/>
      <c r="V85" s="550"/>
      <c r="W85" s="554" t="s">
        <v>208</v>
      </c>
      <c r="X85" s="271"/>
      <c r="Y85" s="268"/>
      <c r="Z85" s="268"/>
      <c r="AA85" s="268"/>
      <c r="AB85" s="268"/>
      <c r="AC85" s="268"/>
      <c r="AD85" s="268"/>
      <c r="AE85" s="268"/>
      <c r="AF85" s="268"/>
      <c r="AG85" s="268"/>
      <c r="AH85" s="268"/>
      <c r="AI85" s="270"/>
      <c r="AJ85" s="268"/>
      <c r="AK85" s="268"/>
      <c r="AL85" s="268"/>
      <c r="AM85" s="268"/>
      <c r="AN85" s="268"/>
      <c r="AO85" s="268"/>
      <c r="AP85" s="268"/>
      <c r="AQ85" s="268"/>
      <c r="AR85" s="268"/>
      <c r="AS85" s="268"/>
      <c r="AT85" s="268"/>
      <c r="AU85" s="268"/>
    </row>
    <row r="86" spans="1:47" ht="16.5" thickBot="1">
      <c r="A86" s="86" t="s">
        <v>139</v>
      </c>
      <c r="B86" s="321"/>
      <c r="C86" s="645" t="s">
        <v>164</v>
      </c>
      <c r="D86" s="645"/>
      <c r="E86" s="87" t="s">
        <v>140</v>
      </c>
      <c r="F86" s="448"/>
      <c r="G86" s="448"/>
      <c r="H86" s="645" t="s">
        <v>165</v>
      </c>
      <c r="I86" s="645"/>
      <c r="J86" s="645"/>
      <c r="K86" s="88" t="s">
        <v>141</v>
      </c>
      <c r="L86" s="448"/>
      <c r="M86" s="448"/>
      <c r="N86" s="647" t="s">
        <v>166</v>
      </c>
      <c r="O86" s="647"/>
      <c r="P86" s="647"/>
      <c r="Q86" s="89" t="s">
        <v>142</v>
      </c>
      <c r="R86" s="257"/>
      <c r="S86" s="68"/>
      <c r="T86" s="68"/>
      <c r="U86" s="69"/>
      <c r="V86" s="69"/>
      <c r="W86" s="69"/>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row>
    <row r="87" spans="1:47">
      <c r="A87" s="519" t="s">
        <v>229</v>
      </c>
      <c r="F87" s="629"/>
      <c r="G87" s="629"/>
      <c r="H87" s="629"/>
      <c r="I87" s="629"/>
      <c r="J87" s="629"/>
      <c r="K87" s="629"/>
      <c r="L87" s="629"/>
      <c r="M87" s="629"/>
      <c r="N87" s="629"/>
      <c r="O87" s="629"/>
      <c r="P87" s="629"/>
      <c r="Q87" s="629"/>
    </row>
    <row r="88" spans="1:47" hidden="1"/>
    <row r="89" spans="1:47" hidden="1"/>
    <row r="90" spans="1:47" hidden="1"/>
    <row r="91" spans="1:47" hidden="1"/>
    <row r="92" spans="1:47" hidden="1"/>
    <row r="93" spans="1:47" hidden="1"/>
    <row r="94" spans="1:47" hidden="1"/>
    <row r="95" spans="1:47" hidden="1"/>
    <row r="96" spans="1:47"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spans="1:47" hidden="1"/>
    <row r="130" spans="1:47" hidden="1"/>
    <row r="131" spans="1:47" hidden="1"/>
    <row r="132" spans="1:47" hidden="1"/>
    <row r="133" spans="1:47">
      <c r="A133" s="76" t="s">
        <v>148</v>
      </c>
      <c r="B133" s="76"/>
      <c r="C133" s="77"/>
      <c r="D133" s="77"/>
      <c r="E133" s="78"/>
      <c r="F133" s="67"/>
      <c r="G133" s="77"/>
      <c r="H133" s="77"/>
      <c r="I133" s="77"/>
      <c r="J133" s="106" t="str">
        <f>'Input &amp; Calc'!A133</f>
        <v>Ephraim SBDC</v>
      </c>
      <c r="K133" s="77"/>
      <c r="L133" s="78"/>
      <c r="M133" s="78"/>
      <c r="N133" s="77"/>
      <c r="O133" s="77"/>
      <c r="P133" s="67"/>
      <c r="Q133" s="105" t="s">
        <v>146</v>
      </c>
      <c r="R133" s="105"/>
      <c r="S133" s="106" t="str">
        <f>'Input &amp; Calc'!C133</f>
        <v>Alan Christensen</v>
      </c>
      <c r="T133" s="79"/>
      <c r="U133" s="80"/>
      <c r="V133" s="80"/>
      <c r="W133" s="76"/>
      <c r="X133" s="469"/>
      <c r="Y133" s="469"/>
      <c r="Z133" s="469"/>
      <c r="AA133" s="469"/>
      <c r="AB133" s="469"/>
      <c r="AC133" s="469"/>
      <c r="AD133" s="469"/>
      <c r="AJ133" s="502" t="str">
        <f>J133</f>
        <v>Ephraim SBDC</v>
      </c>
      <c r="AK133" s="502"/>
      <c r="AL133" s="502"/>
      <c r="AM133" s="503" t="s">
        <v>146</v>
      </c>
      <c r="AN133" s="502" t="str">
        <f>S133</f>
        <v>Alan Christensen</v>
      </c>
      <c r="AP133" s="469"/>
      <c r="AQ133" s="464"/>
      <c r="AR133" s="464"/>
      <c r="AS133" s="464"/>
      <c r="AT133" s="464"/>
      <c r="AU133" s="464"/>
    </row>
    <row r="134" spans="1:47">
      <c r="A134" s="81" t="s">
        <v>205</v>
      </c>
      <c r="B134" s="322"/>
      <c r="C134" s="82"/>
      <c r="D134" s="82"/>
      <c r="E134" s="83"/>
      <c r="F134" s="82"/>
      <c r="G134" s="82"/>
      <c r="H134" s="82"/>
      <c r="I134" s="82"/>
      <c r="J134" s="82"/>
      <c r="K134" s="82"/>
      <c r="L134" s="83"/>
      <c r="M134" s="83"/>
      <c r="N134" s="82"/>
      <c r="O134" s="82"/>
      <c r="P134" s="84"/>
      <c r="Q134" s="82"/>
      <c r="R134" s="82"/>
      <c r="S134" s="82"/>
      <c r="T134" s="82"/>
      <c r="U134" s="128"/>
      <c r="V134" s="128"/>
      <c r="W134" s="322"/>
      <c r="X134" s="464"/>
      <c r="Y134" s="464"/>
      <c r="Z134" s="464"/>
      <c r="AA134" s="464"/>
      <c r="AB134" s="464"/>
      <c r="AC134" s="464"/>
      <c r="AD134" s="464"/>
      <c r="AE134" s="464"/>
      <c r="AF134" s="464"/>
      <c r="AG134" s="464"/>
      <c r="AH134" s="464"/>
      <c r="AI134" s="464"/>
      <c r="AJ134" s="464"/>
      <c r="AK134" s="464"/>
      <c r="AL134" s="464"/>
      <c r="AM134" s="464"/>
      <c r="AN134" s="464"/>
      <c r="AO134" s="464"/>
      <c r="AP134" s="464"/>
      <c r="AQ134" s="464"/>
      <c r="AR134" s="464"/>
      <c r="AS134" s="464"/>
      <c r="AT134" s="464"/>
      <c r="AU134" s="464"/>
    </row>
    <row r="135" spans="1:47" ht="16.5" thickBot="1"/>
    <row r="136" spans="1:47" ht="14.25" customHeight="1" thickBot="1">
      <c r="A136" s="96" t="s">
        <v>134</v>
      </c>
      <c r="B136" s="460"/>
      <c r="C136" s="90"/>
      <c r="D136" s="93" t="s">
        <v>238</v>
      </c>
      <c r="E136" s="94">
        <f>'Input &amp; Calc'!I133</f>
        <v>40391</v>
      </c>
      <c r="F136" s="95"/>
      <c r="G136" s="92"/>
      <c r="H136" s="92"/>
      <c r="I136" s="92"/>
      <c r="J136" s="90"/>
      <c r="K136" s="90"/>
      <c r="L136" s="93" t="s">
        <v>237</v>
      </c>
      <c r="M136" s="93"/>
      <c r="N136" s="463"/>
      <c r="O136" s="92"/>
      <c r="P136" s="90"/>
      <c r="Q136" s="90"/>
      <c r="R136" s="90"/>
      <c r="S136" s="91" t="s">
        <v>133</v>
      </c>
      <c r="T136" s="103">
        <f>'Input &amp; Calc'!EK133</f>
        <v>11</v>
      </c>
      <c r="U136" s="325" t="s">
        <v>159</v>
      </c>
      <c r="V136" s="104"/>
      <c r="W136" s="70"/>
      <c r="X136" s="70"/>
      <c r="Y136" s="70"/>
      <c r="Z136" s="70"/>
      <c r="AA136" s="70"/>
      <c r="AB136" s="70"/>
      <c r="AC136" s="70"/>
      <c r="AD136" s="70"/>
      <c r="AE136" s="70"/>
      <c r="AF136" s="70"/>
      <c r="AG136" s="70"/>
      <c r="AH136" s="70"/>
      <c r="AI136" s="70"/>
      <c r="AJ136" s="70"/>
      <c r="AK136" s="70"/>
      <c r="AL136" s="70"/>
      <c r="AM136" s="464"/>
      <c r="AN136" s="464"/>
      <c r="AO136" s="464"/>
      <c r="AP136" s="464"/>
      <c r="AQ136" s="464"/>
      <c r="AR136" s="464"/>
      <c r="AS136" s="464"/>
      <c r="AT136" s="464"/>
      <c r="AU136" s="464"/>
    </row>
    <row r="137" spans="1:47" ht="13.5" customHeight="1" thickBot="1">
      <c r="A137" s="654" t="s">
        <v>99</v>
      </c>
      <c r="B137" s="638" t="s">
        <v>100</v>
      </c>
      <c r="C137" s="621" t="s">
        <v>101</v>
      </c>
      <c r="D137" s="621" t="s">
        <v>104</v>
      </c>
      <c r="E137" s="643" t="s">
        <v>105</v>
      </c>
      <c r="F137" s="621" t="s">
        <v>106</v>
      </c>
      <c r="G137" s="449"/>
      <c r="H137" s="638" t="s">
        <v>137</v>
      </c>
      <c r="I137" s="449"/>
      <c r="J137" s="621" t="s">
        <v>101</v>
      </c>
      <c r="K137" s="621" t="s">
        <v>104</v>
      </c>
      <c r="L137" s="621" t="s">
        <v>192</v>
      </c>
      <c r="M137" s="638" t="s">
        <v>194</v>
      </c>
      <c r="N137" s="621" t="s">
        <v>193</v>
      </c>
      <c r="O137" s="449"/>
      <c r="P137" s="642" t="s">
        <v>101</v>
      </c>
      <c r="Q137" s="638" t="s">
        <v>102</v>
      </c>
      <c r="R137" s="638" t="s">
        <v>191</v>
      </c>
      <c r="S137" s="638" t="s">
        <v>103</v>
      </c>
      <c r="T137" s="639" t="s">
        <v>131</v>
      </c>
      <c r="U137" s="641" t="s">
        <v>209</v>
      </c>
      <c r="V137" s="623" t="s">
        <v>203</v>
      </c>
      <c r="W137" s="70"/>
      <c r="X137" s="464"/>
      <c r="Y137" s="464"/>
      <c r="Z137" s="464"/>
      <c r="AA137" s="640"/>
      <c r="AB137" s="640"/>
      <c r="AC137" s="640"/>
      <c r="AD137" s="640"/>
      <c r="AE137" s="640"/>
      <c r="AF137" s="640"/>
      <c r="AG137" s="640"/>
      <c r="AH137" s="640"/>
      <c r="AI137" s="640"/>
      <c r="AJ137" s="640"/>
      <c r="AK137" s="640"/>
      <c r="AL137" s="640"/>
      <c r="AM137" s="630" t="s">
        <v>149</v>
      </c>
      <c r="AN137" s="631"/>
      <c r="AO137" s="631"/>
      <c r="AP137" s="631"/>
      <c r="AQ137" s="631"/>
      <c r="AR137" s="631"/>
      <c r="AS137" s="631"/>
      <c r="AT137" s="631"/>
      <c r="AU137" s="632"/>
    </row>
    <row r="138" spans="1:47" ht="12.75" customHeight="1" thickBot="1">
      <c r="A138" s="637"/>
      <c r="B138" s="621"/>
      <c r="C138" s="622"/>
      <c r="D138" s="622"/>
      <c r="E138" s="644"/>
      <c r="F138" s="622"/>
      <c r="G138" s="449"/>
      <c r="H138" s="638"/>
      <c r="I138" s="449"/>
      <c r="J138" s="650"/>
      <c r="K138" s="622"/>
      <c r="L138" s="622"/>
      <c r="M138" s="638"/>
      <c r="N138" s="622"/>
      <c r="O138" s="449"/>
      <c r="P138" s="642"/>
      <c r="Q138" s="638"/>
      <c r="R138" s="638"/>
      <c r="S138" s="638"/>
      <c r="T138" s="639"/>
      <c r="U138" s="641"/>
      <c r="V138" s="624"/>
      <c r="W138" s="452" t="s">
        <v>100</v>
      </c>
      <c r="X138" s="473">
        <v>39630</v>
      </c>
      <c r="Y138" s="473">
        <v>39661</v>
      </c>
      <c r="Z138" s="473">
        <v>39692</v>
      </c>
      <c r="AA138" s="473">
        <v>39722</v>
      </c>
      <c r="AB138" s="473">
        <v>39753</v>
      </c>
      <c r="AC138" s="473">
        <v>39783</v>
      </c>
      <c r="AD138" s="473">
        <v>39814</v>
      </c>
      <c r="AE138" s="473">
        <v>39845</v>
      </c>
      <c r="AF138" s="473">
        <v>39873</v>
      </c>
      <c r="AG138" s="473">
        <v>39904</v>
      </c>
      <c r="AH138" s="473">
        <v>39934</v>
      </c>
      <c r="AI138" s="473">
        <v>39965</v>
      </c>
      <c r="AJ138" s="473">
        <v>39995</v>
      </c>
      <c r="AK138" s="473">
        <v>40026</v>
      </c>
      <c r="AL138" s="474">
        <v>40057</v>
      </c>
      <c r="AM138" s="471">
        <v>40087</v>
      </c>
      <c r="AN138" s="450">
        <v>40118</v>
      </c>
      <c r="AO138" s="450">
        <v>40148</v>
      </c>
      <c r="AP138" s="450">
        <v>40179</v>
      </c>
      <c r="AQ138" s="450">
        <v>40210</v>
      </c>
      <c r="AR138" s="450">
        <v>40238</v>
      </c>
      <c r="AS138" s="450">
        <v>40269</v>
      </c>
      <c r="AT138" s="450">
        <v>40299</v>
      </c>
      <c r="AU138" s="472">
        <v>40330</v>
      </c>
    </row>
    <row r="139" spans="1:47" ht="26.25">
      <c r="A139" s="470" t="s">
        <v>196</v>
      </c>
      <c r="B139" s="555" t="s">
        <v>132</v>
      </c>
      <c r="C139" s="252">
        <f>IF(F139/E139&gt;0.899999999,1,IF(F139/E139&lt;0.75,3,2))</f>
        <v>1</v>
      </c>
      <c r="D139" s="46" t="str">
        <f>'Input &amp; Calc'!EO160</f>
        <v>Ç</v>
      </c>
      <c r="E139" s="590">
        <f>'Input &amp; Calc'!EE137</f>
        <v>2.0833000000000013</v>
      </c>
      <c r="F139" s="567">
        <f>'Input &amp; Calc'!EH160</f>
        <v>4</v>
      </c>
      <c r="G139" s="591"/>
      <c r="H139" s="592" t="s">
        <v>16</v>
      </c>
      <c r="I139" s="593"/>
      <c r="J139" s="594">
        <f>IF(N139/M139&gt;0.899999999,1,IF(N139/M139&lt;0.75,3,2))</f>
        <v>1</v>
      </c>
      <c r="K139" s="595" t="str">
        <f>'Input &amp; Calc'!EP160</f>
        <v>È</v>
      </c>
      <c r="L139" s="589">
        <f>Q139/4</f>
        <v>6.2499000000000011</v>
      </c>
      <c r="M139" s="589">
        <f>L139/3*$T$3</f>
        <v>4.1666000000000007</v>
      </c>
      <c r="N139" s="565">
        <f>'Input &amp; Calc'!EI160</f>
        <v>7</v>
      </c>
      <c r="O139" s="596"/>
      <c r="P139" s="594">
        <f>IF(S139/R139&gt;0.899999999,1,IF(S139/R139&lt;0.75,3,2))</f>
        <v>1</v>
      </c>
      <c r="Q139" s="565">
        <f>'Input &amp; Calc'!EG137</f>
        <v>24.999600000000004</v>
      </c>
      <c r="R139" s="602">
        <f>Q139/12*$T$4</f>
        <v>22.916300000000003</v>
      </c>
      <c r="S139" s="603">
        <f>'Input &amp; Calc'!EJ160</f>
        <v>37</v>
      </c>
      <c r="T139" s="488">
        <f>S139/R139</f>
        <v>1.6145712876860574</v>
      </c>
      <c r="U139" s="455"/>
      <c r="V139" s="563">
        <f>$V$733</f>
        <v>1</v>
      </c>
      <c r="W139" s="554" t="str">
        <f>B139</f>
        <v># of Ext Engag Clients; &gt;5 Hrs contact since 10/05</v>
      </c>
      <c r="X139" s="268">
        <v>1</v>
      </c>
      <c r="Y139" s="268">
        <v>1</v>
      </c>
      <c r="Z139" s="268">
        <v>1</v>
      </c>
      <c r="AA139" s="268">
        <v>1</v>
      </c>
      <c r="AB139" s="268">
        <v>1</v>
      </c>
      <c r="AC139" s="268">
        <v>1</v>
      </c>
      <c r="AD139" s="268">
        <v>1</v>
      </c>
      <c r="AE139" s="268">
        <v>1</v>
      </c>
      <c r="AF139" s="268">
        <v>1</v>
      </c>
      <c r="AG139" s="268">
        <v>1</v>
      </c>
      <c r="AH139" s="268">
        <v>1</v>
      </c>
      <c r="AI139" s="268">
        <v>1</v>
      </c>
      <c r="AJ139" s="268">
        <f>IF('Input &amp; Calc'!V160="","",IF('Input &amp; Calc'!DB160/'Input &amp; Calc'!DB137&gt;=0.9,1,IF('Input &amp; Calc'!DB160/'Input &amp; Calc'!DB137&lt;0.75,3,2)))</f>
        <v>2</v>
      </c>
      <c r="AK139" s="268">
        <f>IF('Input &amp; Calc'!W160="","",IF('Input &amp; Calc'!DC160/'Input &amp; Calc'!DC137&gt;=0.9,1,IF('Input &amp; Calc'!DC160/'Input &amp; Calc'!DC137&lt;0.75,3,2)))</f>
        <v>2</v>
      </c>
      <c r="AL139" s="270">
        <f>IF('Input &amp; Calc'!X160="","",IF('Input &amp; Calc'!DD160/'Input &amp; Calc'!DD137&gt;=0.9,1,IF('Input &amp; Calc'!DD160/'Input &amp; Calc'!DD137&lt;0.75,3,2)))</f>
        <v>2</v>
      </c>
      <c r="AM139" s="268">
        <f>IF('Input &amp; Calc'!Y160="","",IF('Input &amp; Calc'!DE160/'Input &amp; Calc'!DE137&gt;=0.9,1,IF('Input &amp; Calc'!DE160/'Input &amp; Calc'!DE137&lt;0.75,3,2)))</f>
        <v>1</v>
      </c>
      <c r="AN139" s="268">
        <f>IF('Input &amp; Calc'!Z160="","",IF('Input &amp; Calc'!DF160/'Input &amp; Calc'!DF137&gt;=0.9,1,IF('Input &amp; Calc'!DF160/'Input &amp; Calc'!DF137&lt;0.75,3,2)))</f>
        <v>1</v>
      </c>
      <c r="AO139" s="271">
        <f>IF('Input &amp; Calc'!AA160="","",IF('Input &amp; Calc'!DG160/'Input &amp; Calc'!DG137&gt;=0.9,1,IF('Input &amp; Calc'!DG160/'Input &amp; Calc'!DG137&lt;0.75,3,2)))</f>
        <v>1</v>
      </c>
      <c r="AP139" s="271">
        <f>IF('Input &amp; Calc'!AB160="","",IF('Input &amp; Calc'!DH160/'Input &amp; Calc'!DH137&gt;=0.9,1,IF('Input &amp; Calc'!DH160/'Input &amp; Calc'!DH137&lt;0.75,3,2)))</f>
        <v>1</v>
      </c>
      <c r="AQ139" s="271">
        <f>IF('Input &amp; Calc'!AC160="","",IF('Input &amp; Calc'!DI160/'Input &amp; Calc'!DI137&gt;=0.9,1,IF('Input &amp; Calc'!DI160/'Input &amp; Calc'!DI137&lt;0.75,3,2)))</f>
        <v>1</v>
      </c>
      <c r="AR139" s="271">
        <f>IF('Input &amp; Calc'!AD160="","",IF('Input &amp; Calc'!DJ160/'Input &amp; Calc'!DJ137&gt;=0.9,1,IF('Input &amp; Calc'!DJ160/'Input &amp; Calc'!DJ137&lt;0.75,3,2)))</f>
        <v>1</v>
      </c>
      <c r="AS139" s="271">
        <f>IF('Input &amp; Calc'!AE160="","",IF('Input &amp; Calc'!DK160/'Input &amp; Calc'!DK137&gt;=0.9,1,IF('Input &amp; Calc'!DK160/'Input &amp; Calc'!DK137&lt;0.75,3,2)))</f>
        <v>1</v>
      </c>
      <c r="AT139" s="271">
        <f>IF('Input &amp; Calc'!AF160="","",IF('Input &amp; Calc'!DL160/'Input &amp; Calc'!DL137&gt;=0.9,1,IF('Input &amp; Calc'!DL160/'Input &amp; Calc'!DL137&lt;0.75,3,2)))</f>
        <v>1</v>
      </c>
      <c r="AU139" s="271">
        <f>IF('Input &amp; Calc'!AG160="","",IF('Input &amp; Calc'!DM160/'Input &amp; Calc'!DM137&gt;=0.9,1,IF('Input &amp; Calc'!DM160/'Input &amp; Calc'!DM137&lt;0.75,3,2)))</f>
        <v>1</v>
      </c>
    </row>
    <row r="140" spans="1:47">
      <c r="A140" s="633" t="s">
        <v>206</v>
      </c>
      <c r="B140" s="556" t="s">
        <v>107</v>
      </c>
      <c r="C140" s="252">
        <f>IF(F140/E140&gt;0.899999999,1,IF(F140/E140&lt;0.75,3,2))</f>
        <v>3</v>
      </c>
      <c r="D140" s="97" t="str">
        <f>'Input &amp; Calc'!EO162</f>
        <v>È</v>
      </c>
      <c r="E140" s="590">
        <f>'Input &amp; Calc'!EE139</f>
        <v>0.66000000000000014</v>
      </c>
      <c r="F140" s="567">
        <f>'Input &amp; Calc'!EH162</f>
        <v>0</v>
      </c>
      <c r="G140" s="591"/>
      <c r="H140" s="592" t="s">
        <v>16</v>
      </c>
      <c r="I140" s="593"/>
      <c r="J140" s="594">
        <f>IF(N140/M140&gt;0.899999999,1,IF(N140/M140&lt;0.75,3,2))</f>
        <v>3</v>
      </c>
      <c r="K140" s="597" t="str">
        <f>'Input &amp; Calc'!EP162</f>
        <v>È</v>
      </c>
      <c r="L140" s="589">
        <f>Q140/4</f>
        <v>1.9800000000000002</v>
      </c>
      <c r="M140" s="589">
        <f>L140/3*$T$3</f>
        <v>1.32</v>
      </c>
      <c r="N140" s="565">
        <f>'Input &amp; Calc'!EI162</f>
        <v>0</v>
      </c>
      <c r="O140" s="596"/>
      <c r="P140" s="594">
        <f>IF(S140/R140&gt;0.899999999,1,IF(S140/R140&lt;0.75,3,2))</f>
        <v>1</v>
      </c>
      <c r="Q140" s="565">
        <f>'Input &amp; Calc'!EG139</f>
        <v>7.9200000000000008</v>
      </c>
      <c r="R140" s="602">
        <f>Q140/12*$T$4</f>
        <v>7.2600000000000007</v>
      </c>
      <c r="S140" s="566">
        <f>'Input &amp; Calc'!EJ162</f>
        <v>9</v>
      </c>
      <c r="T140" s="488">
        <f>S140/R140</f>
        <v>1.2396694214876032</v>
      </c>
      <c r="U140" s="455"/>
      <c r="V140" s="563">
        <f>$V$734</f>
        <v>1</v>
      </c>
      <c r="W140" s="554" t="str">
        <f>B140</f>
        <v># of Business Starts</v>
      </c>
      <c r="X140" s="268">
        <v>1</v>
      </c>
      <c r="Y140" s="268">
        <v>1</v>
      </c>
      <c r="Z140" s="268">
        <v>1</v>
      </c>
      <c r="AA140" s="268">
        <v>1</v>
      </c>
      <c r="AB140" s="272">
        <v>1</v>
      </c>
      <c r="AC140" s="272">
        <v>1</v>
      </c>
      <c r="AD140" s="272">
        <v>1</v>
      </c>
      <c r="AE140" s="272">
        <v>1</v>
      </c>
      <c r="AF140" s="272">
        <v>1</v>
      </c>
      <c r="AG140" s="272">
        <v>1</v>
      </c>
      <c r="AH140" s="272">
        <v>1</v>
      </c>
      <c r="AI140" s="272">
        <v>1</v>
      </c>
      <c r="AJ140" s="272">
        <f>IF('Input &amp; Calc'!V160="","",IF('Input &amp; Calc'!DB162/'Input &amp; Calc'!DB139&gt;=0.9,1,IF('Input &amp; Calc'!DB162/'Input &amp; Calc'!DB139&lt;0.75,3,2)))</f>
        <v>2</v>
      </c>
      <c r="AK140" s="272">
        <f>IF('Input &amp; Calc'!W160="","",IF('Input &amp; Calc'!DC162/'Input &amp; Calc'!DC139&gt;=0.9,1,IF('Input &amp; Calc'!DC162/'Input &amp; Calc'!DC139&lt;0.75,3,2)))</f>
        <v>2</v>
      </c>
      <c r="AL140" s="272">
        <f>IF('Input &amp; Calc'!X160="","",IF('Input &amp; Calc'!DD162/'Input &amp; Calc'!DD139&gt;=0.9,1,IF('Input &amp; Calc'!DD162/'Input &amp; Calc'!DD139&lt;0.75,3,2)))</f>
        <v>1</v>
      </c>
      <c r="AM140" s="272">
        <f>IF('Input &amp; Calc'!Y160="","",IF('Input &amp; Calc'!DE162/'Input &amp; Calc'!DE139&gt;=0.9,1,IF('Input &amp; Calc'!DE162/'Input &amp; Calc'!DE139&lt;0.75,3,2)))</f>
        <v>1</v>
      </c>
      <c r="AN140" s="272">
        <f>IF('Input &amp; Calc'!Z160="","",IF('Input &amp; Calc'!DF162/'Input &amp; Calc'!DF139&gt;=0.9,1,IF('Input &amp; Calc'!DF162/'Input &amp; Calc'!DF139&lt;0.75,3,2)))</f>
        <v>1</v>
      </c>
      <c r="AO140" s="272">
        <f>IF('Input &amp; Calc'!AA160="","",IF('Input &amp; Calc'!DG162/'Input &amp; Calc'!DG139&gt;=0.9,1,IF('Input &amp; Calc'!DG162/'Input &amp; Calc'!DG139&lt;0.75,3,2)))</f>
        <v>1</v>
      </c>
      <c r="AP140" s="272">
        <f>IF('Input &amp; Calc'!AB160="","",IF('Input &amp; Calc'!DH162/'Input &amp; Calc'!DH139&lt;=0.9,1,IF('Input &amp; Calc'!DH162/'Input &amp; Calc'!DH139&lt;0.75,3,2)))</f>
        <v>1</v>
      </c>
      <c r="AQ140" s="272">
        <f>IF('Input &amp; Calc'!AC160="","",IF('Input &amp; Calc'!DI162/'Input &amp; Calc'!DI139&lt;=0.9,1,IF('Input &amp; Calc'!DI162/'Input &amp; Calc'!DI139&lt;0.75,3,2)))</f>
        <v>2</v>
      </c>
      <c r="AR140" s="272">
        <f>IF('Input &amp; Calc'!AD160="","",IF('Input &amp; Calc'!DJ162/'Input &amp; Calc'!DJ139&gt;=0.9,1,IF('Input &amp; Calc'!DJ162/'Input &amp; Calc'!DJ139&lt;0.75,3,2)))</f>
        <v>1</v>
      </c>
      <c r="AS140" s="272">
        <f>IF('Input &amp; Calc'!AE160="","",IF('Input &amp; Calc'!DK162/'Input &amp; Calc'!DK139&gt;=0.9,1,IF('Input &amp; Calc'!DK162/'Input &amp; Calc'!DK139&lt;0.75,3,2)))</f>
        <v>1</v>
      </c>
      <c r="AT140" s="272">
        <f>IF('Input &amp; Calc'!AF160="","",IF('Input &amp; Calc'!DL162/'Input &amp; Calc'!DL139&gt;=0.9,1,IF('Input &amp; Calc'!DL162/'Input &amp; Calc'!DL139&lt;0.75,3,2)))</f>
        <v>1</v>
      </c>
      <c r="AU140" s="272">
        <f>IF('Input &amp; Calc'!AG160="","",IF('Input &amp; Calc'!DM162/'Input &amp; Calc'!DM139&gt;=0.9,1,IF('Input &amp; Calc'!DM162/'Input &amp; Calc'!DM139&lt;0.75,3,2)))</f>
        <v>1</v>
      </c>
    </row>
    <row r="141" spans="1:47" ht="16.5" thickBot="1">
      <c r="A141" s="634"/>
      <c r="B141" s="557" t="s">
        <v>138</v>
      </c>
      <c r="C141" s="252">
        <f>IF(F141/E141&gt;0.899999999,1,IF(F141/E141&lt;0.75,3,2))</f>
        <v>3</v>
      </c>
      <c r="D141" s="85">
        <f>'Input &amp; Calc'!EO163</f>
        <v>0</v>
      </c>
      <c r="E141" s="279">
        <f>'Input &amp; Calc'!EE140</f>
        <v>0.25</v>
      </c>
      <c r="F141" s="485">
        <f>'Input &amp; Calc'!EH163</f>
        <v>-5.0000000000000044E-4</v>
      </c>
      <c r="G141" s="458"/>
      <c r="H141" s="467" t="s">
        <v>16</v>
      </c>
      <c r="I141" s="459"/>
      <c r="J141" s="252">
        <f>IF(N141/M141&gt;0.899999999,1,IF(N141/M141&lt;0.75,3,2))</f>
        <v>3</v>
      </c>
      <c r="K141" s="85" t="str">
        <f>'Input &amp; Calc'!EP163</f>
        <v>È</v>
      </c>
      <c r="L141" s="442">
        <f>Q141/4</f>
        <v>0.75</v>
      </c>
      <c r="M141" s="442">
        <f>L141/3*$T$3</f>
        <v>0.5</v>
      </c>
      <c r="N141" s="388">
        <f>'Input &amp; Calc'!EI163</f>
        <v>9.000000000000008E-3</v>
      </c>
      <c r="O141" s="457"/>
      <c r="P141" s="252">
        <f>IF(S141/R141&gt;0.899999999,1,IF(S141/R141&lt;0.75,3,2))</f>
        <v>3</v>
      </c>
      <c r="Q141" s="389">
        <f>'Input &amp; Calc'!EG140</f>
        <v>3</v>
      </c>
      <c r="R141" s="389">
        <f>Q141/12*$T$4</f>
        <v>2.75</v>
      </c>
      <c r="S141" s="487">
        <f>'Input &amp; Calc'!EJ163</f>
        <v>0.33550000000000002</v>
      </c>
      <c r="T141" s="488">
        <f>S141/R141</f>
        <v>0.12200000000000001</v>
      </c>
      <c r="U141" s="468"/>
      <c r="V141" s="563">
        <f>$V$735</f>
        <v>1</v>
      </c>
      <c r="W141" s="554" t="str">
        <f>B141</f>
        <v>Capital Infusion $ - Million</v>
      </c>
      <c r="X141" s="275">
        <v>1</v>
      </c>
      <c r="Y141" s="275">
        <v>1</v>
      </c>
      <c r="Z141" s="275">
        <v>1</v>
      </c>
      <c r="AA141" s="275">
        <v>1</v>
      </c>
      <c r="AB141" s="323">
        <v>1</v>
      </c>
      <c r="AC141" s="323">
        <v>2</v>
      </c>
      <c r="AD141" s="323">
        <v>3</v>
      </c>
      <c r="AE141" s="323">
        <v>3</v>
      </c>
      <c r="AF141" s="323">
        <v>3</v>
      </c>
      <c r="AG141" s="323">
        <v>1</v>
      </c>
      <c r="AH141" s="323">
        <v>1</v>
      </c>
      <c r="AI141" s="323">
        <v>1</v>
      </c>
      <c r="AJ141" s="272">
        <f>IF('Input &amp; Calc'!V161="","",IF('Input &amp; Calc'!DB163/'Input &amp; Calc'!DB140&gt;=0.9,1,IF('Input &amp; Calc'!DB163/'Input &amp; Calc'!DB140&lt;0.75,3,2)))</f>
        <v>1</v>
      </c>
      <c r="AK141" s="272">
        <f>IF('Input &amp; Calc'!W161="","",IF('Input &amp; Calc'!DC163/'Input &amp; Calc'!DC140&gt;=0.9,1,IF('Input &amp; Calc'!DC163/'Input &amp; Calc'!DC140&lt;0.75,3,2)))</f>
        <v>1</v>
      </c>
      <c r="AL141" s="272">
        <f>IF('Input &amp; Calc'!X161="","",IF('Input &amp; Calc'!DD163/'Input &amp; Calc'!DD140&gt;=0.9,1,IF('Input &amp; Calc'!DD163/'Input &amp; Calc'!DD140&lt;0.75,3,2)))</f>
        <v>1</v>
      </c>
      <c r="AM141" s="272">
        <f>IF('Input &amp; Calc'!Y161="","",IF('Input &amp; Calc'!DE163/'Input &amp; Calc'!DE140&gt;=0.9,1,IF('Input &amp; Calc'!DE163/'Input &amp; Calc'!DE140&lt;0.75,3,2)))</f>
        <v>3</v>
      </c>
      <c r="AN141" s="272">
        <f>IF('Input &amp; Calc'!Z161="","",IF('Input &amp; Calc'!DF163/'Input &amp; Calc'!DF140&gt;=0.9,1,IF('Input &amp; Calc'!DF163/'Input &amp; Calc'!DF140&lt;0.75,3,2)))</f>
        <v>3</v>
      </c>
      <c r="AO141" s="272">
        <f>IF('Input &amp; Calc'!AA161="","",IF('Input &amp; Calc'!DG163/'Input &amp; Calc'!DG140&gt;=0.9,1,IF('Input &amp; Calc'!DG163/'Input &amp; Calc'!DG140&lt;0.75,3,2)))</f>
        <v>3</v>
      </c>
      <c r="AP141" s="272">
        <f>IF('Input &amp; Calc'!AB161="","",IF('Input &amp; Calc'!DH163/'Input &amp; Calc'!DH140&gt;=0.9,1,IF('Input &amp; Calc'!DH163/'Input &amp; Calc'!DH140&lt;0.75,3,2)))</f>
        <v>3</v>
      </c>
      <c r="AQ141" s="272">
        <f>IF('Input &amp; Calc'!AC161="","",IF('Input &amp; Calc'!DI163/'Input &amp; Calc'!DI140&gt;=0.9,1,IF('Input &amp; Calc'!DI163/'Input &amp; Calc'!DI140&lt;0.75,3,2)))</f>
        <v>3</v>
      </c>
      <c r="AR141" s="272">
        <f>IF('Input &amp; Calc'!AD161="","",IF('Input &amp; Calc'!DJ163/'Input &amp; Calc'!DJ140&gt;=0.9,1,IF('Input &amp; Calc'!DJ163/'Input &amp; Calc'!DJ140&lt;0.75,3,2)))</f>
        <v>3</v>
      </c>
      <c r="AS141" s="272">
        <f>IF('Input &amp; Calc'!AE161="","",IF('Input &amp; Calc'!DK163/'Input &amp; Calc'!DK140&gt;=0.9,1,IF('Input &amp; Calc'!DK163/'Input &amp; Calc'!DK140&lt;0.75,3,2)))</f>
        <v>3</v>
      </c>
      <c r="AT141" s="272">
        <f>IF('Input &amp; Calc'!AF161="","",IF('Input &amp; Calc'!DL163/'Input &amp; Calc'!DL140&gt;=0.9,1,IF('Input &amp; Calc'!DL163/'Input &amp; Calc'!DL140&lt;0.75,3,2)))</f>
        <v>3</v>
      </c>
      <c r="AU141" s="272">
        <f>IF('Input &amp; Calc'!AG161="","",IF('Input &amp; Calc'!DM163/'Input &amp; Calc'!DM140&gt;=0.9,1,IF('Input &amp; Calc'!DM163/'Input &amp; Calc'!DM140&lt;0.75,3,2)))</f>
        <v>3</v>
      </c>
    </row>
    <row r="142" spans="1:47" ht="14.25" customHeight="1" thickBot="1">
      <c r="A142" s="96" t="s">
        <v>135</v>
      </c>
      <c r="B142" s="460"/>
      <c r="C142" s="90"/>
      <c r="D142" s="93" t="s">
        <v>238</v>
      </c>
      <c r="E142" s="94">
        <f>'Input &amp; Calc'!$I$67</f>
        <v>40391</v>
      </c>
      <c r="F142" s="95"/>
      <c r="G142" s="461"/>
      <c r="H142" s="635" t="s">
        <v>130</v>
      </c>
      <c r="I142" s="635"/>
      <c r="J142" s="635"/>
      <c r="K142" s="635"/>
      <c r="L142" s="635"/>
      <c r="M142" s="635"/>
      <c r="N142" s="635"/>
      <c r="O142" s="461"/>
      <c r="P142" s="90"/>
      <c r="Q142" s="277"/>
      <c r="R142" s="277"/>
      <c r="S142" s="91" t="s">
        <v>136</v>
      </c>
      <c r="T142" s="278">
        <f>'Input &amp; Calc'!EK134</f>
        <v>2</v>
      </c>
      <c r="U142" s="325" t="s">
        <v>159</v>
      </c>
      <c r="V142" s="462"/>
      <c r="W142" s="392"/>
      <c r="X142" s="469"/>
      <c r="Y142" s="469"/>
      <c r="Z142" s="469"/>
      <c r="AA142" s="469"/>
      <c r="AB142" s="469"/>
      <c r="AC142" s="469"/>
      <c r="AD142" s="469"/>
      <c r="AE142" s="469"/>
      <c r="AF142" s="469"/>
      <c r="AG142" s="469"/>
      <c r="AH142" s="469"/>
      <c r="AI142" s="469"/>
      <c r="AJ142" s="469"/>
      <c r="AK142" s="469"/>
      <c r="AL142" s="469"/>
      <c r="AM142" s="469"/>
      <c r="AN142" s="469"/>
      <c r="AO142" s="469"/>
      <c r="AP142" s="469"/>
      <c r="AQ142" s="469"/>
      <c r="AR142" s="469"/>
      <c r="AS142" s="469"/>
      <c r="AT142" s="469"/>
      <c r="AU142" s="469"/>
    </row>
    <row r="143" spans="1:47" ht="12" customHeight="1" thickBot="1">
      <c r="A143" s="636" t="s">
        <v>99</v>
      </c>
      <c r="B143" s="638" t="s">
        <v>100</v>
      </c>
      <c r="C143" s="621" t="s">
        <v>101</v>
      </c>
      <c r="D143" s="621" t="s">
        <v>104</v>
      </c>
      <c r="E143" s="643" t="s">
        <v>105</v>
      </c>
      <c r="F143" s="621" t="s">
        <v>106</v>
      </c>
      <c r="G143" s="449"/>
      <c r="H143" s="638" t="s">
        <v>137</v>
      </c>
      <c r="I143" s="449"/>
      <c r="J143" s="621" t="s">
        <v>101</v>
      </c>
      <c r="K143" s="621" t="s">
        <v>104</v>
      </c>
      <c r="L143" s="621" t="s">
        <v>192</v>
      </c>
      <c r="M143" s="638" t="s">
        <v>194</v>
      </c>
      <c r="N143" s="621" t="s">
        <v>193</v>
      </c>
      <c r="O143" s="449"/>
      <c r="P143" s="642" t="s">
        <v>101</v>
      </c>
      <c r="Q143" s="638" t="s">
        <v>102</v>
      </c>
      <c r="R143" s="638" t="s">
        <v>191</v>
      </c>
      <c r="S143" s="638" t="s">
        <v>103</v>
      </c>
      <c r="T143" s="649" t="s">
        <v>108</v>
      </c>
      <c r="U143" s="641" t="s">
        <v>209</v>
      </c>
      <c r="V143" s="623" t="s">
        <v>203</v>
      </c>
      <c r="W143" s="393"/>
      <c r="X143" s="464"/>
      <c r="Y143" s="464"/>
      <c r="Z143" s="464"/>
      <c r="AA143" s="464"/>
      <c r="AB143" s="464"/>
      <c r="AC143" s="464"/>
      <c r="AD143" s="464"/>
      <c r="AE143" s="464"/>
      <c r="AF143" s="464"/>
      <c r="AG143" s="464"/>
      <c r="AH143" s="464"/>
      <c r="AI143" s="464"/>
      <c r="AJ143" s="464"/>
      <c r="AK143" s="464"/>
      <c r="AL143" s="464"/>
      <c r="AM143" s="464"/>
      <c r="AN143" s="464"/>
      <c r="AO143" s="464"/>
      <c r="AP143" s="464"/>
      <c r="AQ143" s="464"/>
      <c r="AR143" s="464"/>
      <c r="AS143" s="464"/>
      <c r="AT143" s="464"/>
      <c r="AU143" s="464"/>
    </row>
    <row r="144" spans="1:47" ht="14.25" customHeight="1" thickBot="1">
      <c r="A144" s="637"/>
      <c r="B144" s="621"/>
      <c r="C144" s="622"/>
      <c r="D144" s="622"/>
      <c r="E144" s="644"/>
      <c r="F144" s="622"/>
      <c r="G144" s="449"/>
      <c r="H144" s="638"/>
      <c r="I144" s="449"/>
      <c r="J144" s="622"/>
      <c r="K144" s="622"/>
      <c r="L144" s="622"/>
      <c r="M144" s="638"/>
      <c r="N144" s="622"/>
      <c r="O144" s="449"/>
      <c r="P144" s="642"/>
      <c r="Q144" s="638"/>
      <c r="R144" s="638"/>
      <c r="S144" s="638"/>
      <c r="T144" s="649"/>
      <c r="U144" s="641"/>
      <c r="V144" s="624"/>
      <c r="W144" s="564"/>
      <c r="X144" s="625" t="s">
        <v>150</v>
      </c>
      <c r="Y144" s="626"/>
      <c r="Z144" s="626"/>
      <c r="AA144" s="626"/>
      <c r="AB144" s="626"/>
      <c r="AC144" s="626"/>
      <c r="AD144" s="626"/>
      <c r="AE144" s="626"/>
      <c r="AF144" s="626"/>
      <c r="AG144" s="626"/>
      <c r="AH144" s="626"/>
      <c r="AI144" s="627"/>
      <c r="AJ144" s="625" t="s">
        <v>151</v>
      </c>
      <c r="AK144" s="626"/>
      <c r="AL144" s="626"/>
      <c r="AM144" s="626"/>
      <c r="AN144" s="626"/>
      <c r="AO144" s="626"/>
      <c r="AP144" s="626"/>
      <c r="AQ144" s="626"/>
      <c r="AR144" s="626"/>
      <c r="AS144" s="626"/>
      <c r="AT144" s="626"/>
      <c r="AU144" s="628"/>
    </row>
    <row r="145" spans="1:47" ht="25.5">
      <c r="A145" s="470" t="s">
        <v>197</v>
      </c>
      <c r="B145" s="551" t="s">
        <v>190</v>
      </c>
      <c r="C145" s="252">
        <f>IF(F145/E145&gt;0.899999999,1,IF(F145/E145&lt;0.75,3,2))</f>
        <v>1</v>
      </c>
      <c r="D145" s="46" t="str">
        <f>'Input &amp; Calc'!EO179</f>
        <v>Ç</v>
      </c>
      <c r="E145" s="590">
        <f>'Input &amp; Calc'!EE154</f>
        <v>9.5</v>
      </c>
      <c r="F145" s="567">
        <f>'Input &amp; Calc'!EH179</f>
        <v>15</v>
      </c>
      <c r="G145" s="598"/>
      <c r="H145" s="592" t="s">
        <v>16</v>
      </c>
      <c r="I145" s="599"/>
      <c r="J145" s="594">
        <f>IF(N145/M145&lt;0.899999999,1,IF(N145/M145&gt;0.75,3,2))</f>
        <v>3</v>
      </c>
      <c r="K145" s="595" t="str">
        <f>'Input &amp; Calc'!EP179</f>
        <v>Ç</v>
      </c>
      <c r="L145" s="589">
        <f>Q145/4</f>
        <v>28.5</v>
      </c>
      <c r="M145" s="589">
        <f>L145/3*$T$3</f>
        <v>19</v>
      </c>
      <c r="N145" s="565">
        <f>'Input &amp; Calc'!EI179</f>
        <v>29</v>
      </c>
      <c r="O145" s="601"/>
      <c r="P145" s="594">
        <f>IF(S145/R145&gt;0.899999999,1,IF(S145/R145&lt;0.75,3,2))</f>
        <v>1</v>
      </c>
      <c r="Q145" s="565">
        <f>'Input &amp; Calc'!EG154</f>
        <v>114</v>
      </c>
      <c r="R145" s="602">
        <f>Q145/12*$T$10</f>
        <v>19</v>
      </c>
      <c r="S145" s="566">
        <f>'Input &amp; Calc'!EJ179</f>
        <v>29</v>
      </c>
      <c r="T145" s="491">
        <f>S145/R145</f>
        <v>1.5263157894736843</v>
      </c>
      <c r="U145" s="454"/>
      <c r="V145" s="563">
        <f>$V$739</f>
        <v>1</v>
      </c>
      <c r="W145" s="476" t="str">
        <f>B145</f>
        <v># of Unique Clients YTD</v>
      </c>
      <c r="X145" s="269">
        <v>1</v>
      </c>
      <c r="Y145" s="268">
        <v>1</v>
      </c>
      <c r="Z145" s="268">
        <v>1</v>
      </c>
      <c r="AA145" s="268">
        <v>1</v>
      </c>
      <c r="AB145" s="268">
        <v>1</v>
      </c>
      <c r="AC145" s="268">
        <v>1</v>
      </c>
      <c r="AD145" s="268">
        <v>1</v>
      </c>
      <c r="AE145" s="268">
        <v>1</v>
      </c>
      <c r="AF145" s="268">
        <v>1</v>
      </c>
      <c r="AG145" s="268">
        <v>1</v>
      </c>
      <c r="AH145" s="268">
        <v>1</v>
      </c>
      <c r="AI145" s="270">
        <v>1</v>
      </c>
      <c r="AJ145" s="268">
        <f>IF('Input &amp; Calc'!V179="","",IF('Input &amp; Calc'!DB179/'Input &amp; Calc'!DB154&gt;=0.9,1,IF('Input &amp; Calc'!DB179/'Input &amp; Calc'!DB154&lt;0.75,3,2)))</f>
        <v>1</v>
      </c>
      <c r="AK145" s="268">
        <f>IF('Input &amp; Calc'!W179="","",IF('Input &amp; Calc'!DC179/'Input &amp; Calc'!DC154&gt;=0.9,1,IF('Input &amp; Calc'!DC179/'Input &amp; Calc'!DC154&lt;0.75,3,2)))</f>
        <v>1</v>
      </c>
      <c r="AL145" s="268">
        <f>IF('Input &amp; Calc'!X179="","",IF('Input &amp; Calc'!DD179/'Input &amp; Calc'!DD154&gt;=0.9,1,IF('Input &amp; Calc'!DD179/'Input &amp; Calc'!DD154&lt;0.75,3,2)))</f>
        <v>1</v>
      </c>
      <c r="AM145" s="268">
        <f>IF('Input &amp; Calc'!Y179="","",IF('Input &amp; Calc'!DE179/'Input &amp; Calc'!DE154&gt;=0.9,1,IF('Input &amp; Calc'!DE179/'Input &amp; Calc'!DE154&lt;0.75,3,2)))</f>
        <v>1</v>
      </c>
      <c r="AN145" s="268">
        <f>IF('Input &amp; Calc'!Z179="","",IF('Input &amp; Calc'!DF179/'Input &amp; Calc'!DF154&gt;=0.9,1,IF('Input &amp; Calc'!DF179/'Input &amp; Calc'!DF154&lt;0.75,3,2)))</f>
        <v>1</v>
      </c>
      <c r="AO145" s="268">
        <f>IF('Input &amp; Calc'!AA179="","",IF('Input &amp; Calc'!DG179/'Input &amp; Calc'!DG154&gt;=0.9,1,IF('Input &amp; Calc'!DG179/'Input &amp; Calc'!DG154&lt;0.75,3,2)))</f>
        <v>1</v>
      </c>
      <c r="AP145" s="268">
        <f>IF('Input &amp; Calc'!AB179="","",IF('Input &amp; Calc'!DH179/'Input &amp; Calc'!DH154&gt;=0.9,1,IF('Input &amp; Calc'!DH179/'Input &amp; Calc'!DH154&lt;0.75,3,2)))</f>
        <v>1</v>
      </c>
      <c r="AQ145" s="268">
        <f>IF('Input &amp; Calc'!AC179="","",IF('Input &amp; Calc'!DI179/'Input &amp; Calc'!DI154&gt;=0.9,1,IF('Input &amp; Calc'!DI179/'Input &amp; Calc'!DI154&lt;0.75,3,2)))</f>
        <v>1</v>
      </c>
      <c r="AR145" s="268">
        <f>IF('Input &amp; Calc'!AD179="","",IF('Input &amp; Calc'!DJ179/'Input &amp; Calc'!DJ154&gt;=0.9,1,IF('Input &amp; Calc'!DJ179/'Input &amp; Calc'!DJ154&lt;0.75,3,2)))</f>
        <v>1</v>
      </c>
      <c r="AS145" s="268">
        <f>IF('Input &amp; Calc'!AE179="","",IF('Input &amp; Calc'!DK179/'Input &amp; Calc'!DK154&lt;=0.9,1,IF('Input &amp; Calc'!DK179/'Input &amp; Calc'!DK154&lt;0.75,3,2)))</f>
        <v>1</v>
      </c>
      <c r="AT145" s="268">
        <f>IF('Input &amp; Calc'!AF179="","",IF('Input &amp; Calc'!DL179/'Input &amp; Calc'!DL154&lt;=0.9,1,IF('Input &amp; Calc'!DL179/'Input &amp; Calc'!DL154&lt;0.75,3,2)))</f>
        <v>1</v>
      </c>
      <c r="AU145" s="268">
        <f>IF('Input &amp; Calc'!AG179="","",IF('Input &amp; Calc'!DM179/'Input &amp; Calc'!DM154&lt;=0.9,1,IF('Input &amp; Calc'!DM179/'Input &amp; Calc'!DM154&lt;0.75,3,2)))</f>
        <v>1</v>
      </c>
    </row>
    <row r="146" spans="1:47" ht="27.75" customHeight="1">
      <c r="A146" s="620" t="s">
        <v>198</v>
      </c>
      <c r="B146" s="551" t="s">
        <v>199</v>
      </c>
      <c r="C146" s="252">
        <f>IF(F146/E146&gt;0.899999999,1,IF(F146/E146&lt;0.75,3,2))</f>
        <v>2</v>
      </c>
      <c r="D146" s="46" t="str">
        <f>'Input &amp; Calc'!EO192</f>
        <v>È</v>
      </c>
      <c r="E146" s="489">
        <f>'Input &amp; Calc'!EE185</f>
        <v>0.5074626865671642</v>
      </c>
      <c r="F146" s="494">
        <f>'Input &amp; Calc'!EH192</f>
        <v>0.42857142857142855</v>
      </c>
      <c r="G146" s="558"/>
      <c r="H146" s="453" t="s">
        <v>16</v>
      </c>
      <c r="I146" s="559"/>
      <c r="J146" s="252">
        <f>IF(N146/M146&gt;0.899999999,1,IF(N146/M146&lt;0.75,3,2))</f>
        <v>2</v>
      </c>
      <c r="K146" s="46" t="str">
        <f>'Input &amp; Calc'!EP192</f>
        <v>È</v>
      </c>
      <c r="L146" s="490">
        <f>'Input &amp; Calc'!EF185</f>
        <v>0.5074626865671642</v>
      </c>
      <c r="M146" s="490">
        <f>L146</f>
        <v>0.5074626865671642</v>
      </c>
      <c r="N146" s="491">
        <f>'Input &amp; Calc'!EI192</f>
        <v>0.45454545454545453</v>
      </c>
      <c r="O146" s="561"/>
      <c r="P146" s="252">
        <f>IF(S146/R146&gt;0.899999999,1,IF(S146/R146&lt;0.75,3,2))</f>
        <v>2</v>
      </c>
      <c r="Q146" s="491">
        <f>'Input &amp; Calc'!EG185</f>
        <v>0.5074626865671642</v>
      </c>
      <c r="R146" s="491">
        <f>Q146</f>
        <v>0.5074626865671642</v>
      </c>
      <c r="S146" s="493">
        <f>'Input &amp; Calc'!EJ192</f>
        <v>0.45454545454545453</v>
      </c>
      <c r="T146" s="488">
        <f>+S146-R146</f>
        <v>-5.291723202170967E-2</v>
      </c>
      <c r="U146" s="455"/>
      <c r="V146" s="563">
        <f>$V$740</f>
        <v>1</v>
      </c>
      <c r="W146" s="476" t="str">
        <f>B146</f>
        <v>% of existing business new clients to initial clients</v>
      </c>
      <c r="X146" s="475">
        <v>1</v>
      </c>
      <c r="Y146" s="274">
        <v>1</v>
      </c>
      <c r="Z146" s="274">
        <v>1</v>
      </c>
      <c r="AA146" s="274">
        <v>1</v>
      </c>
      <c r="AB146" s="274">
        <v>1</v>
      </c>
      <c r="AC146" s="274">
        <v>1</v>
      </c>
      <c r="AD146" s="274">
        <v>1</v>
      </c>
      <c r="AE146" s="274">
        <v>1</v>
      </c>
      <c r="AF146" s="274">
        <v>1</v>
      </c>
      <c r="AG146" s="274">
        <v>1</v>
      </c>
      <c r="AH146" s="274">
        <v>1</v>
      </c>
      <c r="AI146" s="514">
        <v>1</v>
      </c>
      <c r="AJ146" s="274">
        <f>IF('Input &amp; Calc'!V192="","",IF('Input &amp; Calc'!DB185*0.9&lt;'Input &amp; Calc'!V192,1,IF('Input &amp; Calc'!DB185*0.75&gt;'Input &amp; Calc'!DB192,3,2)))</f>
        <v>1</v>
      </c>
      <c r="AK146" s="273">
        <f>IF('Input &amp; Calc'!W192="","",IF('Input &amp; Calc'!DC185*0.9&lt;'Input &amp; Calc'!W192,1,IF('Input &amp; Calc'!DC185*0.75&gt;'Input &amp; Calc'!DC192,3,2)))</f>
        <v>1</v>
      </c>
      <c r="AL146" s="273">
        <f>IF('Input &amp; Calc'!X192="","",IF('Input &amp; Calc'!DD185*0.9&lt;'Input &amp; Calc'!X192,1,IF('Input &amp; Calc'!DD185*0.75&gt;'Input &amp; Calc'!DD192,3,2)))</f>
        <v>1</v>
      </c>
      <c r="AM146" s="273">
        <f>IF('Input &amp; Calc'!Y192="","",IF('Input &amp; Calc'!DE185*0.9&lt;'Input &amp; Calc'!Y192,1,IF('Input &amp; Calc'!DE185*0.75&gt;'Input &amp; Calc'!DE192,3,2)))</f>
        <v>1</v>
      </c>
      <c r="AN146" s="273">
        <f>IF('Input &amp; Calc'!Z192="","",IF('Input &amp; Calc'!DF185*0.9&lt;'Input &amp; Calc'!Z192,1,IF('Input &amp; Calc'!DF185*0.75&gt;'Input &amp; Calc'!DF192,3,2)))</f>
        <v>1</v>
      </c>
      <c r="AO146" s="273">
        <f>IF('Input &amp; Calc'!AA192="","",IF('Input &amp; Calc'!DG185*0.9&lt;'Input &amp; Calc'!AA192,1,IF('Input &amp; Calc'!DG185*0.75&gt;'Input &amp; Calc'!DG192,3,2)))</f>
        <v>1</v>
      </c>
      <c r="AP146" s="273">
        <f>IF('Input &amp; Calc'!AB192="","",IF('Input &amp; Calc'!DH185*0.9&lt;'Input &amp; Calc'!AB192,1,IF('Input &amp; Calc'!DH185*0.75&gt;'Input &amp; Calc'!DH192,3,2)))</f>
        <v>1</v>
      </c>
      <c r="AQ146" s="273">
        <f>IF('Input &amp; Calc'!AC192="","",IF('Input &amp; Calc'!DI185*0.9&lt;'Input &amp; Calc'!AC192,1,IF('Input &amp; Calc'!DI185*0.75&gt;'Input &amp; Calc'!DI192,3,2)))</f>
        <v>1</v>
      </c>
      <c r="AR146" s="273">
        <v>2</v>
      </c>
      <c r="AS146" s="273">
        <f>IF('Input &amp; Calc'!AE192="","",IF('Input &amp; Calc'!DK185*0.9&lt;'Input &amp; Calc'!AE192,1,IF('Input &amp; Calc'!DK185*0.75&gt;'Input &amp; Calc'!DK192,3,2)))</f>
        <v>1</v>
      </c>
      <c r="AT146" s="273">
        <f>IF('Input &amp; Calc'!AF192="","",IF('Input &amp; Calc'!DL185*0.9&lt;'Input &amp; Calc'!AF192,1,IF('Input &amp; Calc'!DL185*0.75&gt;'Input &amp; Calc'!DL192,3,2)))</f>
        <v>1</v>
      </c>
      <c r="AU146" s="273">
        <v>2</v>
      </c>
    </row>
    <row r="147" spans="1:47">
      <c r="A147" s="620"/>
      <c r="B147" s="551" t="s">
        <v>200</v>
      </c>
      <c r="C147" s="252">
        <v>3</v>
      </c>
      <c r="D147" s="46" t="str">
        <f>'Input &amp; Calc'!EO897</f>
        <v>È</v>
      </c>
      <c r="E147" s="279">
        <v>5.2</v>
      </c>
      <c r="F147" s="279">
        <f>'Input &amp; Calc'!EH897</f>
        <v>3.0333333333333332</v>
      </c>
      <c r="G147" s="558"/>
      <c r="H147" s="453" t="s">
        <v>16</v>
      </c>
      <c r="I147" s="559"/>
      <c r="J147" s="252">
        <f>'Input &amp; Calc'!ER897</f>
        <v>3</v>
      </c>
      <c r="K147" s="46" t="str">
        <f>'Input &amp; Calc'!EP897</f>
        <v>È</v>
      </c>
      <c r="L147" s="279">
        <v>5.2</v>
      </c>
      <c r="M147" s="442">
        <v>5.2</v>
      </c>
      <c r="N147" s="388">
        <f>'Input &amp; Calc'!EI897</f>
        <v>2.5548275862068968</v>
      </c>
      <c r="O147" s="561"/>
      <c r="P147" s="252">
        <f>'Input &amp; Calc'!ES897</f>
        <v>3</v>
      </c>
      <c r="Q147" s="388">
        <v>5.2</v>
      </c>
      <c r="R147" s="604">
        <v>5.2</v>
      </c>
      <c r="S147" s="486">
        <f>'Input &amp; Calc'!EJ897</f>
        <v>2.5548275862068968</v>
      </c>
      <c r="T147" s="491">
        <f>S147/R147</f>
        <v>0.49131299734748013</v>
      </c>
      <c r="U147" s="456"/>
      <c r="V147" s="563">
        <f>$V$741</f>
        <v>3</v>
      </c>
      <c r="W147" s="476" t="str">
        <f>B147</f>
        <v>Average Hours/Client</v>
      </c>
      <c r="X147" s="269">
        <v>1</v>
      </c>
      <c r="Y147" s="268">
        <v>1</v>
      </c>
      <c r="Z147" s="268">
        <v>1</v>
      </c>
      <c r="AA147" s="268">
        <v>1</v>
      </c>
      <c r="AB147" s="268">
        <v>1</v>
      </c>
      <c r="AC147" s="268">
        <v>1</v>
      </c>
      <c r="AD147" s="268">
        <v>1</v>
      </c>
      <c r="AE147" s="268">
        <v>1</v>
      </c>
      <c r="AF147" s="268">
        <v>1</v>
      </c>
      <c r="AG147" s="268">
        <v>1</v>
      </c>
      <c r="AH147" s="268">
        <v>1</v>
      </c>
      <c r="AI147" s="270">
        <v>1</v>
      </c>
      <c r="AJ147" s="274">
        <f>IF('Input &amp; Calc'!V179="","",IF('Input &amp; Calc'!DB146/'Input &amp; Calc'!DB154*0.9/12*'Input &amp; Calc'!DB$51&lt;'Input &amp; Calc'!DB171/'Input &amp; Calc'!DB179,1,IF('Input &amp; Calc'!DB146/'Input &amp; Calc'!DB154*0.75/12*'Input &amp; Calc'!DB$51&gt;'Input &amp; Calc'!DB171/'Input &amp; Calc'!DB179,3,2)))</f>
        <v>1</v>
      </c>
      <c r="AK147" s="273">
        <f>IF('Input &amp; Calc'!W179="","",IF('Input &amp; Calc'!DC146/'Input &amp; Calc'!DC154*0.9/12*'Input &amp; Calc'!DC$51&lt;'Input &amp; Calc'!DC171/'Input &amp; Calc'!DC179,1,IF('Input &amp; Calc'!DC146/'Input &amp; Calc'!DC154*0.75/12*'Input &amp; Calc'!DC$51&gt;'Input &amp; Calc'!DC171/'Input &amp; Calc'!DC179,3,2)))</f>
        <v>1</v>
      </c>
      <c r="AL147" s="273">
        <f>IF('Input &amp; Calc'!X179="","",IF('Input &amp; Calc'!DD146/'Input &amp; Calc'!DD154*0.9/12*'Input &amp; Calc'!DD$51&lt;'Input &amp; Calc'!DD171/'Input &amp; Calc'!DD179,1,IF('Input &amp; Calc'!DD146/'Input &amp; Calc'!DD154*0.75/12*'Input &amp; Calc'!DD$51&gt;'Input &amp; Calc'!DD171/'Input &amp; Calc'!DD179,3,2)))</f>
        <v>1</v>
      </c>
      <c r="AM147" s="273">
        <f>IF('Input &amp; Calc'!Y179="","",IF('Input &amp; Calc'!DE146/'Input &amp; Calc'!DE154*0.9/12*'Input &amp; Calc'!DE$51&lt;'Input &amp; Calc'!DE171/'Input &amp; Calc'!DE179,1,IF('Input &amp; Calc'!DE146/'Input &amp; Calc'!DE154*0.75/12*'Input &amp; Calc'!DE$51&gt;'Input &amp; Calc'!DE171/'Input &amp; Calc'!DE179,3,2)))</f>
        <v>1</v>
      </c>
      <c r="AN147" s="273">
        <f>IF('Input &amp; Calc'!Z179="","",IF('Input &amp; Calc'!DF146/'Input &amp; Calc'!DF154*0.9/12*'Input &amp; Calc'!DF$51&lt;'Input &amp; Calc'!DF171/'Input &amp; Calc'!DF179,1,IF('Input &amp; Calc'!DF146/'Input &amp; Calc'!DF154*0.75/12*'Input &amp; Calc'!DF$51&gt;'Input &amp; Calc'!DF171/'Input &amp; Calc'!DF179,3,2)))</f>
        <v>1</v>
      </c>
      <c r="AO147" s="273">
        <f>IF('Input &amp; Calc'!AA179="","",IF('Input &amp; Calc'!DG146/'Input &amp; Calc'!DG154*0.9/12*'Input &amp; Calc'!DG$51&lt;'Input &amp; Calc'!DG171/'Input &amp; Calc'!DG179,1,IF('Input &amp; Calc'!DG146/'Input &amp; Calc'!DG154*0.75/12*'Input &amp; Calc'!DG$51&gt;'Input &amp; Calc'!DG171/'Input &amp; Calc'!DG179,3,2)))</f>
        <v>1</v>
      </c>
      <c r="AP147" s="273">
        <f>IF('Input &amp; Calc'!AB179="","",IF('Input &amp; Calc'!DH146/'Input &amp; Calc'!DH154*0.9/12*'Input &amp; Calc'!DH$51&lt;'Input &amp; Calc'!DH171/'Input &amp; Calc'!DH179,1,IF('Input &amp; Calc'!DH146/'Input &amp; Calc'!DH154*0.75/12*'Input &amp; Calc'!DH$51&gt;'Input &amp; Calc'!DH171/'Input &amp; Calc'!DH179,3,2)))</f>
        <v>1</v>
      </c>
      <c r="AQ147" s="273">
        <f>IF('Input &amp; Calc'!AC179="","",IF('Input &amp; Calc'!DI146/'Input &amp; Calc'!DI154*0.9/12*'Input &amp; Calc'!DI$51&lt;'Input &amp; Calc'!DI171/'Input &amp; Calc'!DI179,1,IF('Input &amp; Calc'!DI146/'Input &amp; Calc'!DI154*0.75/12*'Input &amp; Calc'!DI$51&gt;'Input &amp; Calc'!DI171/'Input &amp; Calc'!DI179,3,2)))</f>
        <v>1</v>
      </c>
      <c r="AR147" s="273">
        <v>3</v>
      </c>
      <c r="AS147" s="273">
        <f>IF('Input &amp; Calc'!AE179="","",IF('Input &amp; Calc'!DK146/'Input &amp; Calc'!DK154*0.9/12*'Input &amp; Calc'!DK$51&lt;'Input &amp; Calc'!DK171/'Input &amp; Calc'!DK179,1,IF('Input &amp; Calc'!DK146/'Input &amp; Calc'!DK154*0.75/12*'Input &amp; Calc'!DK$51&gt;'Input &amp; Calc'!DK171/'Input &amp; Calc'!DK179,3,2)))</f>
        <v>1</v>
      </c>
      <c r="AT147" s="273">
        <f>IF('Input &amp; Calc'!AF179="","",IF('Input &amp; Calc'!DL146/'Input &amp; Calc'!DL154*0.9/12*'Input &amp; Calc'!DL$51&lt;'Input &amp; Calc'!DL171/'Input &amp; Calc'!DL179,1,IF('Input &amp; Calc'!DL146/'Input &amp; Calc'!DL154*0.75/12*'Input &amp; Calc'!DL$51&gt;'Input &amp; Calc'!DL171/'Input &amp; Calc'!DL179,3,2)))</f>
        <v>1</v>
      </c>
      <c r="AU147" s="273">
        <f>IF('Input &amp; Calc'!AG179="","",IF('Input &amp; Calc'!DM146/'Input &amp; Calc'!DM154*0.9/12*'Input &amp; Calc'!DM$51&gt;'Input &amp; Calc'!DM171/'Input &amp; Calc'!DM179,1,IF('Input &amp; Calc'!DM146/'Input &amp; Calc'!DM154*0.75/12*'Input &amp; Calc'!DM$51&lt;'Input &amp; Calc'!DM171/'Input &amp; Calc'!DM179,3,2)))</f>
        <v>3</v>
      </c>
    </row>
    <row r="148" spans="1:47">
      <c r="A148" s="470" t="s">
        <v>109</v>
      </c>
      <c r="B148" s="551" t="s">
        <v>201</v>
      </c>
      <c r="C148" s="521"/>
      <c r="D148" s="522"/>
      <c r="E148" s="529"/>
      <c r="F148" s="520"/>
      <c r="G148" s="558"/>
      <c r="H148" s="453" t="s">
        <v>16</v>
      </c>
      <c r="I148" s="559"/>
      <c r="J148" s="252">
        <f>IF(N148/M148&gt;0.899999999,1,IF(N148/M148&lt;0.75,3,2))</f>
        <v>2</v>
      </c>
      <c r="K148" s="46" t="str">
        <f>'Input &amp; Calc'!EP169</f>
        <v>È</v>
      </c>
      <c r="L148" s="490">
        <f>Q148</f>
        <v>0.95000000000000018</v>
      </c>
      <c r="M148" s="490">
        <f>L148</f>
        <v>0.95000000000000018</v>
      </c>
      <c r="N148" s="491">
        <f>'Input &amp; Calc'!EI169</f>
        <v>0.75</v>
      </c>
      <c r="O148" s="561"/>
      <c r="P148" s="252">
        <f>IF(S148/R148&gt;0.899999999,1,IF(S148/R148&lt;0.75,3,2))</f>
        <v>1</v>
      </c>
      <c r="Q148" s="491">
        <f>'Input &amp; Calc'!EG144</f>
        <v>0.95000000000000018</v>
      </c>
      <c r="R148" s="491">
        <f>Q148</f>
        <v>0.95000000000000018</v>
      </c>
      <c r="S148" s="493">
        <f>'Input &amp; Calc'!EJ169</f>
        <v>1</v>
      </c>
      <c r="T148" s="491">
        <f>S148-R148</f>
        <v>4.9999999999999822E-2</v>
      </c>
      <c r="U148" s="455"/>
      <c r="V148" s="563">
        <f>$V$742</f>
        <v>1</v>
      </c>
      <c r="W148" s="476" t="str">
        <f>B148</f>
        <v>Client satisfaction rating %</v>
      </c>
      <c r="X148" s="269">
        <v>3</v>
      </c>
      <c r="Y148" s="268">
        <v>1</v>
      </c>
      <c r="Z148" s="268">
        <v>1</v>
      </c>
      <c r="AA148" s="268">
        <v>1</v>
      </c>
      <c r="AB148" s="268">
        <v>1</v>
      </c>
      <c r="AC148" s="268">
        <v>1</v>
      </c>
      <c r="AD148" s="268">
        <v>1</v>
      </c>
      <c r="AE148" s="268">
        <v>1</v>
      </c>
      <c r="AF148" s="268">
        <v>1</v>
      </c>
      <c r="AG148" s="268">
        <v>1</v>
      </c>
      <c r="AH148" s="268">
        <v>1</v>
      </c>
      <c r="AI148" s="270">
        <v>1</v>
      </c>
      <c r="AJ148" s="268">
        <f>IF('Input &amp; Calc'!V169="","",IF('Input &amp; Calc'!DB144*0.9&lt;'Input &amp; Calc'!DB169,1,IF('Input &amp; Calc'!DB144*0.75&gt;'Input &amp; Calc'!DB169,3,2)))</f>
        <v>1</v>
      </c>
      <c r="AK148" s="268">
        <f>IF('Input &amp; Calc'!W169="","",IF('Input &amp; Calc'!DC144*0.9&lt;'Input &amp; Calc'!DC169,1,IF('Input &amp; Calc'!DC144*0.75&gt;'Input &amp; Calc'!DC169,3,2)))</f>
        <v>1</v>
      </c>
      <c r="AL148" s="268">
        <f>IF('Input &amp; Calc'!X169="","",IF('Input &amp; Calc'!DD144*0.9&lt;'Input &amp; Calc'!DD169,1,IF('Input &amp; Calc'!DD144*0.75&gt;'Input &amp; Calc'!DD169,3,2)))</f>
        <v>1</v>
      </c>
      <c r="AM148" s="268">
        <f>IF('Input &amp; Calc'!Y169="","",IF('Input &amp; Calc'!DE144*0.9&lt;'Input &amp; Calc'!DE169,1,IF('Input &amp; Calc'!DE144*0.75&gt;'Input &amp; Calc'!DE169,3,2)))</f>
        <v>1</v>
      </c>
      <c r="AN148" s="268">
        <f>IF('Input &amp; Calc'!Z169="","",IF('Input &amp; Calc'!DF144*0.9&lt;'Input &amp; Calc'!DF169,1,IF('Input &amp; Calc'!DF144*0.75&gt;'Input &amp; Calc'!DF169,3,2)))</f>
        <v>1</v>
      </c>
      <c r="AO148" s="268">
        <f>IF('Input &amp; Calc'!AA169="","",IF('Input &amp; Calc'!DG144*0.9&lt;'Input &amp; Calc'!DG169,1,IF('Input &amp; Calc'!DG144*0.75&gt;'Input &amp; Calc'!DG169,3,2)))</f>
        <v>1</v>
      </c>
      <c r="AP148" s="268">
        <f>IF('Input &amp; Calc'!AB169="","",IF('Input &amp; Calc'!DH144*0.9&lt;'Input &amp; Calc'!DH169,1,IF('Input &amp; Calc'!DH144*0.75&gt;'Input &amp; Calc'!DH169,3,2)))</f>
        <v>1</v>
      </c>
      <c r="AQ148" s="268">
        <f>IF('Input &amp; Calc'!AC169="","",IF('Input &amp; Calc'!DI144*0.9&lt;'Input &amp; Calc'!DI169,1,IF('Input &amp; Calc'!DI144*0.75&gt;'Input &amp; Calc'!DI169,3,2)))</f>
        <v>1</v>
      </c>
      <c r="AR148" s="268">
        <f>IF('Input &amp; Calc'!AD169="","",IF('Input &amp; Calc'!DJ144*0.9&lt;'Input &amp; Calc'!DJ169,1,IF('Input &amp; Calc'!DJ144*0.75&gt;'Input &amp; Calc'!DJ169,3,2)))</f>
        <v>1</v>
      </c>
      <c r="AS148" s="268">
        <f>IF('Input &amp; Calc'!AE169="","",IF('Input &amp; Calc'!DK144*0.9&lt;'Input &amp; Calc'!DK169,1,IF('Input &amp; Calc'!DK144*0.75&gt;'Input &amp; Calc'!DK169,3,2)))</f>
        <v>1</v>
      </c>
      <c r="AT148" s="268">
        <f>IF('Input &amp; Calc'!AF169="","",IF('Input &amp; Calc'!DL144*0.9&lt;'Input &amp; Calc'!DL169,1,IF('Input &amp; Calc'!DL144*0.75&gt;'Input &amp; Calc'!DL169,3,2)))</f>
        <v>1</v>
      </c>
      <c r="AU148" s="268">
        <f>IF('Input &amp; Calc'!AG169="","",IF('Input &amp; Calc'!DM144*0.9&lt;'Input &amp; Calc'!DM169,1,IF('Input &amp; Calc'!DM144*0.75&gt;'Input &amp; Calc'!DM169,3,2)))</f>
        <v>1</v>
      </c>
    </row>
    <row r="149" spans="1:47" s="465" customFormat="1">
      <c r="A149" s="620" t="s">
        <v>207</v>
      </c>
      <c r="B149" s="551" t="s">
        <v>227</v>
      </c>
      <c r="C149" s="523"/>
      <c r="D149" s="524"/>
      <c r="E149" s="525"/>
      <c r="F149" s="515">
        <f>'Input &amp; Calc'!EH851</f>
        <v>0</v>
      </c>
      <c r="G149" s="451"/>
      <c r="H149" s="453" t="s">
        <v>16</v>
      </c>
      <c r="I149" s="560"/>
      <c r="J149" s="521"/>
      <c r="K149" s="522"/>
      <c r="L149" s="530"/>
      <c r="M149" s="531"/>
      <c r="N149" s="516">
        <f>'Input &amp; Calc'!EI851</f>
        <v>5</v>
      </c>
      <c r="O149" s="562"/>
      <c r="P149" s="521"/>
      <c r="Q149" s="536"/>
      <c r="R149" s="537"/>
      <c r="S149" s="517">
        <f>'Input &amp; Calc'!EJ851</f>
        <v>5</v>
      </c>
      <c r="T149" s="542"/>
      <c r="U149" s="543"/>
      <c r="V149" s="544"/>
      <c r="W149" s="554" t="s">
        <v>227</v>
      </c>
      <c r="X149" s="271"/>
      <c r="Y149" s="268"/>
      <c r="Z149" s="268"/>
      <c r="AA149" s="268"/>
      <c r="AB149" s="268"/>
      <c r="AC149" s="268"/>
      <c r="AD149" s="268"/>
      <c r="AE149" s="268"/>
      <c r="AF149" s="268"/>
      <c r="AG149" s="268"/>
      <c r="AH149" s="268"/>
      <c r="AI149" s="270"/>
      <c r="AJ149" s="268"/>
      <c r="AK149" s="268"/>
      <c r="AL149" s="268"/>
      <c r="AM149" s="268"/>
      <c r="AN149" s="268"/>
      <c r="AO149" s="268"/>
      <c r="AP149" s="268"/>
      <c r="AQ149" s="268"/>
      <c r="AR149" s="268"/>
      <c r="AS149" s="268"/>
      <c r="AT149" s="268"/>
      <c r="AU149" s="268"/>
    </row>
    <row r="150" spans="1:47" s="465" customFormat="1">
      <c r="A150" s="620"/>
      <c r="B150" s="551" t="s">
        <v>228</v>
      </c>
      <c r="C150" s="523"/>
      <c r="D150" s="524"/>
      <c r="E150" s="525"/>
      <c r="F150" s="515">
        <f>'Input &amp; Calc'!EH867</f>
        <v>0</v>
      </c>
      <c r="G150" s="451"/>
      <c r="H150" s="453" t="s">
        <v>16</v>
      </c>
      <c r="I150" s="560"/>
      <c r="J150" s="523"/>
      <c r="K150" s="524"/>
      <c r="L150" s="532"/>
      <c r="M150" s="533"/>
      <c r="N150" s="516">
        <f>'Input &amp; Calc'!EI867</f>
        <v>0</v>
      </c>
      <c r="O150" s="562"/>
      <c r="P150" s="523"/>
      <c r="Q150" s="538"/>
      <c r="R150" s="539"/>
      <c r="S150" s="517">
        <f>'Input &amp; Calc'!EJ867</f>
        <v>0</v>
      </c>
      <c r="T150" s="545"/>
      <c r="U150" s="546"/>
      <c r="V150" s="547"/>
      <c r="W150" s="554" t="s">
        <v>228</v>
      </c>
      <c r="X150" s="271"/>
      <c r="Y150" s="268"/>
      <c r="Z150" s="268"/>
      <c r="AA150" s="268"/>
      <c r="AB150" s="268"/>
      <c r="AC150" s="268"/>
      <c r="AD150" s="268"/>
      <c r="AE150" s="268"/>
      <c r="AF150" s="268"/>
      <c r="AG150" s="268"/>
      <c r="AH150" s="268"/>
      <c r="AI150" s="270"/>
      <c r="AJ150" s="268"/>
      <c r="AK150" s="268"/>
      <c r="AL150" s="268"/>
      <c r="AM150" s="268"/>
      <c r="AN150" s="268"/>
      <c r="AO150" s="268"/>
      <c r="AP150" s="268"/>
      <c r="AQ150" s="268"/>
      <c r="AR150" s="268"/>
      <c r="AS150" s="268"/>
      <c r="AT150" s="268"/>
      <c r="AU150" s="268"/>
    </row>
    <row r="151" spans="1:47" s="465" customFormat="1">
      <c r="A151" s="620"/>
      <c r="B151" s="551" t="s">
        <v>234</v>
      </c>
      <c r="C151" s="526"/>
      <c r="D151" s="527"/>
      <c r="E151" s="528"/>
      <c r="F151" s="495">
        <f>'Input &amp; Calc'!EH882</f>
        <v>0</v>
      </c>
      <c r="G151" s="451"/>
      <c r="H151" s="453" t="s">
        <v>16</v>
      </c>
      <c r="I151" s="560"/>
      <c r="J151" s="526"/>
      <c r="K151" s="527"/>
      <c r="L151" s="534"/>
      <c r="M151" s="535"/>
      <c r="N151" s="496">
        <f>'Input &amp; Calc'!EI882</f>
        <v>0</v>
      </c>
      <c r="O151" s="562"/>
      <c r="P151" s="526"/>
      <c r="Q151" s="540"/>
      <c r="R151" s="541"/>
      <c r="S151" s="497">
        <f>'Input &amp; Calc'!EJ882</f>
        <v>0</v>
      </c>
      <c r="T151" s="548"/>
      <c r="U151" s="549"/>
      <c r="V151" s="550"/>
      <c r="W151" s="554" t="s">
        <v>208</v>
      </c>
      <c r="X151" s="271"/>
      <c r="Y151" s="268"/>
      <c r="Z151" s="268"/>
      <c r="AA151" s="268"/>
      <c r="AB151" s="268"/>
      <c r="AC151" s="268"/>
      <c r="AD151" s="268"/>
      <c r="AE151" s="268"/>
      <c r="AF151" s="268"/>
      <c r="AG151" s="268"/>
      <c r="AH151" s="268"/>
      <c r="AI151" s="270"/>
      <c r="AJ151" s="268"/>
      <c r="AK151" s="268"/>
      <c r="AL151" s="268"/>
      <c r="AM151" s="268"/>
      <c r="AN151" s="268"/>
      <c r="AO151" s="268"/>
      <c r="AP151" s="268"/>
      <c r="AQ151" s="268"/>
      <c r="AR151" s="268"/>
      <c r="AS151" s="268"/>
      <c r="AT151" s="268"/>
      <c r="AU151" s="268"/>
    </row>
    <row r="152" spans="1:47" ht="16.5" thickBot="1">
      <c r="A152" s="86" t="s">
        <v>139</v>
      </c>
      <c r="B152" s="321"/>
      <c r="C152" s="645" t="s">
        <v>164</v>
      </c>
      <c r="D152" s="645"/>
      <c r="E152" s="87" t="s">
        <v>140</v>
      </c>
      <c r="F152" s="448"/>
      <c r="G152" s="448"/>
      <c r="H152" s="645" t="s">
        <v>165</v>
      </c>
      <c r="I152" s="645"/>
      <c r="J152" s="645"/>
      <c r="K152" s="88" t="s">
        <v>141</v>
      </c>
      <c r="L152" s="448"/>
      <c r="M152" s="448"/>
      <c r="N152" s="647" t="s">
        <v>166</v>
      </c>
      <c r="O152" s="647"/>
      <c r="P152" s="647"/>
      <c r="Q152" s="89" t="s">
        <v>142</v>
      </c>
      <c r="R152" s="257"/>
      <c r="S152" s="68"/>
      <c r="T152" s="68"/>
      <c r="U152" s="69"/>
      <c r="V152" s="69"/>
      <c r="W152" s="69"/>
      <c r="X152" s="464"/>
      <c r="Y152" s="464"/>
      <c r="Z152" s="464"/>
      <c r="AA152" s="464"/>
      <c r="AB152" s="464"/>
      <c r="AC152" s="464"/>
      <c r="AD152" s="464"/>
      <c r="AE152" s="464"/>
      <c r="AF152" s="464"/>
      <c r="AG152" s="464"/>
      <c r="AH152" s="464"/>
      <c r="AI152" s="464"/>
      <c r="AJ152" s="464"/>
      <c r="AK152" s="464"/>
      <c r="AL152" s="464"/>
      <c r="AM152" s="464"/>
      <c r="AN152" s="464"/>
      <c r="AO152" s="464"/>
      <c r="AP152" s="464"/>
      <c r="AQ152" s="464"/>
      <c r="AR152" s="464"/>
      <c r="AS152" s="464"/>
      <c r="AT152" s="464"/>
      <c r="AU152" s="464"/>
    </row>
    <row r="153" spans="1:47">
      <c r="A153" s="519" t="s">
        <v>229</v>
      </c>
    </row>
    <row r="154" spans="1:47" hidden="1"/>
    <row r="155" spans="1:47" hidden="1"/>
    <row r="156" spans="1:47" hidden="1"/>
    <row r="157" spans="1:47" hidden="1"/>
    <row r="158" spans="1:47" hidden="1"/>
    <row r="159" spans="1:47" hidden="1"/>
    <row r="160" spans="1:47"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spans="1:47" hidden="1"/>
    <row r="194" spans="1:47" hidden="1"/>
    <row r="195" spans="1:47" hidden="1"/>
    <row r="196" spans="1:47" hidden="1"/>
    <row r="197" spans="1:47" hidden="1"/>
    <row r="198" spans="1:47" hidden="1"/>
    <row r="199" spans="1:47">
      <c r="A199" s="76" t="s">
        <v>148</v>
      </c>
      <c r="B199" s="76"/>
      <c r="C199" s="77"/>
      <c r="D199" s="77"/>
      <c r="E199" s="78"/>
      <c r="F199" s="67"/>
      <c r="G199" s="77"/>
      <c r="H199" s="77"/>
      <c r="I199" s="77"/>
      <c r="J199" s="106" t="str">
        <f>'Input &amp; Calc'!A199</f>
        <v>Kaysville SBDC</v>
      </c>
      <c r="K199" s="77"/>
      <c r="L199" s="78"/>
      <c r="M199" s="78"/>
      <c r="N199" s="77"/>
      <c r="O199" s="77"/>
      <c r="P199" s="67"/>
      <c r="Q199" s="105" t="s">
        <v>146</v>
      </c>
      <c r="R199" s="105"/>
      <c r="S199" s="106" t="str">
        <f>'Input &amp; Calc'!C199</f>
        <v>Brent Miekle</v>
      </c>
      <c r="T199" s="79"/>
      <c r="U199" s="80"/>
      <c r="V199" s="80"/>
      <c r="W199" s="76"/>
      <c r="X199" s="469"/>
      <c r="Y199" s="469"/>
      <c r="Z199" s="469"/>
      <c r="AA199" s="469"/>
      <c r="AB199" s="469"/>
      <c r="AC199" s="469"/>
      <c r="AD199" s="469"/>
      <c r="AJ199" s="502" t="str">
        <f>J199</f>
        <v>Kaysville SBDC</v>
      </c>
      <c r="AK199" s="502"/>
      <c r="AL199" s="502"/>
      <c r="AM199" s="503" t="s">
        <v>146</v>
      </c>
      <c r="AN199" s="502" t="str">
        <f>S199</f>
        <v>Brent Miekle</v>
      </c>
      <c r="AP199" s="469"/>
      <c r="AQ199" s="464"/>
      <c r="AR199" s="464"/>
      <c r="AS199" s="464"/>
      <c r="AT199" s="464"/>
      <c r="AU199" s="464"/>
    </row>
    <row r="200" spans="1:47">
      <c r="A200" s="81" t="s">
        <v>205</v>
      </c>
      <c r="B200" s="322"/>
      <c r="C200" s="82"/>
      <c r="D200" s="82"/>
      <c r="E200" s="83"/>
      <c r="F200" s="82"/>
      <c r="G200" s="82"/>
      <c r="H200" s="82"/>
      <c r="I200" s="82"/>
      <c r="J200" s="82"/>
      <c r="K200" s="82"/>
      <c r="L200" s="83"/>
      <c r="M200" s="83"/>
      <c r="N200" s="82"/>
      <c r="O200" s="82"/>
      <c r="P200" s="84"/>
      <c r="Q200" s="82"/>
      <c r="R200" s="82"/>
      <c r="S200" s="82"/>
      <c r="T200" s="82"/>
      <c r="U200" s="128"/>
      <c r="V200" s="128"/>
      <c r="W200" s="322"/>
      <c r="X200" s="464"/>
      <c r="Y200" s="464"/>
      <c r="Z200" s="464"/>
      <c r="AA200" s="464"/>
      <c r="AB200" s="464"/>
      <c r="AC200" s="464"/>
      <c r="AD200" s="464"/>
      <c r="AE200" s="464"/>
      <c r="AF200" s="464"/>
      <c r="AG200" s="464"/>
      <c r="AH200" s="464"/>
      <c r="AI200" s="464"/>
      <c r="AJ200" s="464"/>
      <c r="AK200" s="464"/>
      <c r="AL200" s="464"/>
      <c r="AM200" s="464"/>
      <c r="AN200" s="464"/>
      <c r="AO200" s="464"/>
      <c r="AP200" s="464"/>
      <c r="AQ200" s="464"/>
      <c r="AR200" s="464"/>
      <c r="AS200" s="464"/>
      <c r="AT200" s="464"/>
      <c r="AU200" s="464"/>
    </row>
    <row r="201" spans="1:47" ht="16.5" thickBot="1"/>
    <row r="202" spans="1:47" ht="14.25" customHeight="1" thickBot="1">
      <c r="A202" s="96" t="s">
        <v>134</v>
      </c>
      <c r="B202" s="460"/>
      <c r="C202" s="90"/>
      <c r="D202" s="93" t="s">
        <v>238</v>
      </c>
      <c r="E202" s="94">
        <f>'Input &amp; Calc'!I199</f>
        <v>40391</v>
      </c>
      <c r="F202" s="95"/>
      <c r="G202" s="92"/>
      <c r="H202" s="92"/>
      <c r="I202" s="92"/>
      <c r="J202" s="90"/>
      <c r="K202" s="90"/>
      <c r="L202" s="93" t="s">
        <v>237</v>
      </c>
      <c r="M202" s="93"/>
      <c r="N202" s="463"/>
      <c r="O202" s="92"/>
      <c r="P202" s="90"/>
      <c r="Q202" s="90"/>
      <c r="R202" s="90"/>
      <c r="S202" s="91" t="s">
        <v>133</v>
      </c>
      <c r="T202" s="103">
        <f>'Input &amp; Calc'!EK199</f>
        <v>11</v>
      </c>
      <c r="U202" s="325" t="s">
        <v>159</v>
      </c>
      <c r="V202" s="104"/>
      <c r="W202" s="70"/>
      <c r="X202" s="70"/>
      <c r="Y202" s="70"/>
      <c r="Z202" s="70"/>
      <c r="AA202" s="70"/>
      <c r="AB202" s="70"/>
      <c r="AC202" s="70"/>
      <c r="AD202" s="70"/>
      <c r="AE202" s="70"/>
      <c r="AF202" s="70"/>
      <c r="AG202" s="70"/>
      <c r="AH202" s="70"/>
      <c r="AI202" s="70"/>
      <c r="AJ202" s="70"/>
      <c r="AK202" s="70"/>
      <c r="AL202" s="70"/>
      <c r="AM202" s="464"/>
      <c r="AN202" s="464"/>
      <c r="AO202" s="464"/>
      <c r="AP202" s="464"/>
      <c r="AQ202" s="464"/>
      <c r="AR202" s="464"/>
      <c r="AS202" s="464"/>
      <c r="AT202" s="464"/>
      <c r="AU202" s="464"/>
    </row>
    <row r="203" spans="1:47" ht="13.5" customHeight="1" thickBot="1">
      <c r="A203" s="654" t="s">
        <v>99</v>
      </c>
      <c r="B203" s="638" t="s">
        <v>100</v>
      </c>
      <c r="C203" s="621" t="s">
        <v>101</v>
      </c>
      <c r="D203" s="621" t="s">
        <v>104</v>
      </c>
      <c r="E203" s="643" t="s">
        <v>105</v>
      </c>
      <c r="F203" s="621" t="s">
        <v>106</v>
      </c>
      <c r="G203" s="449"/>
      <c r="H203" s="638" t="s">
        <v>137</v>
      </c>
      <c r="I203" s="449"/>
      <c r="J203" s="621" t="s">
        <v>101</v>
      </c>
      <c r="K203" s="621" t="s">
        <v>104</v>
      </c>
      <c r="L203" s="621" t="s">
        <v>192</v>
      </c>
      <c r="M203" s="638" t="s">
        <v>194</v>
      </c>
      <c r="N203" s="621" t="s">
        <v>193</v>
      </c>
      <c r="O203" s="449"/>
      <c r="P203" s="642" t="s">
        <v>101</v>
      </c>
      <c r="Q203" s="638" t="s">
        <v>102</v>
      </c>
      <c r="R203" s="638" t="s">
        <v>191</v>
      </c>
      <c r="S203" s="638" t="s">
        <v>103</v>
      </c>
      <c r="T203" s="639" t="s">
        <v>131</v>
      </c>
      <c r="U203" s="641" t="s">
        <v>209</v>
      </c>
      <c r="V203" s="623" t="s">
        <v>203</v>
      </c>
      <c r="W203" s="70"/>
      <c r="X203" s="464"/>
      <c r="Y203" s="464"/>
      <c r="Z203" s="464"/>
      <c r="AA203" s="640"/>
      <c r="AB203" s="640"/>
      <c r="AC203" s="640"/>
      <c r="AD203" s="640"/>
      <c r="AE203" s="640"/>
      <c r="AF203" s="640"/>
      <c r="AG203" s="640"/>
      <c r="AH203" s="640"/>
      <c r="AI203" s="640"/>
      <c r="AJ203" s="640"/>
      <c r="AK203" s="640"/>
      <c r="AL203" s="640"/>
      <c r="AM203" s="630" t="s">
        <v>149</v>
      </c>
      <c r="AN203" s="631"/>
      <c r="AO203" s="631"/>
      <c r="AP203" s="631"/>
      <c r="AQ203" s="631"/>
      <c r="AR203" s="631"/>
      <c r="AS203" s="631"/>
      <c r="AT203" s="631"/>
      <c r="AU203" s="632"/>
    </row>
    <row r="204" spans="1:47" ht="12.75" customHeight="1" thickBot="1">
      <c r="A204" s="637"/>
      <c r="B204" s="621"/>
      <c r="C204" s="622"/>
      <c r="D204" s="622"/>
      <c r="E204" s="644"/>
      <c r="F204" s="622"/>
      <c r="G204" s="449"/>
      <c r="H204" s="638"/>
      <c r="I204" s="449"/>
      <c r="J204" s="650"/>
      <c r="K204" s="622"/>
      <c r="L204" s="622"/>
      <c r="M204" s="638"/>
      <c r="N204" s="622"/>
      <c r="O204" s="449"/>
      <c r="P204" s="642"/>
      <c r="Q204" s="638"/>
      <c r="R204" s="638"/>
      <c r="S204" s="638"/>
      <c r="T204" s="639"/>
      <c r="U204" s="641"/>
      <c r="V204" s="624"/>
      <c r="W204" s="452" t="s">
        <v>100</v>
      </c>
      <c r="X204" s="473">
        <v>39630</v>
      </c>
      <c r="Y204" s="473">
        <v>39661</v>
      </c>
      <c r="Z204" s="473">
        <v>39692</v>
      </c>
      <c r="AA204" s="473">
        <v>39722</v>
      </c>
      <c r="AB204" s="473">
        <v>39753</v>
      </c>
      <c r="AC204" s="473">
        <v>39783</v>
      </c>
      <c r="AD204" s="473">
        <v>39814</v>
      </c>
      <c r="AE204" s="473">
        <v>39845</v>
      </c>
      <c r="AF204" s="473">
        <v>39873</v>
      </c>
      <c r="AG204" s="473">
        <v>39904</v>
      </c>
      <c r="AH204" s="473">
        <v>39934</v>
      </c>
      <c r="AI204" s="473">
        <v>39965</v>
      </c>
      <c r="AJ204" s="473">
        <v>39995</v>
      </c>
      <c r="AK204" s="473">
        <v>40026</v>
      </c>
      <c r="AL204" s="474">
        <v>40057</v>
      </c>
      <c r="AM204" s="471">
        <v>40087</v>
      </c>
      <c r="AN204" s="450">
        <v>40118</v>
      </c>
      <c r="AO204" s="450">
        <v>40148</v>
      </c>
      <c r="AP204" s="450">
        <v>40179</v>
      </c>
      <c r="AQ204" s="450">
        <v>40210</v>
      </c>
      <c r="AR204" s="450">
        <v>40238</v>
      </c>
      <c r="AS204" s="450">
        <v>40269</v>
      </c>
      <c r="AT204" s="450">
        <v>40299</v>
      </c>
      <c r="AU204" s="472">
        <v>40330</v>
      </c>
    </row>
    <row r="205" spans="1:47" ht="26.25">
      <c r="A205" s="470" t="s">
        <v>196</v>
      </c>
      <c r="B205" s="555" t="s">
        <v>132</v>
      </c>
      <c r="C205" s="252">
        <f>IF(F205/E205&gt;0.899999999,1,IF(F205/E205&lt;0.75,3,2))</f>
        <v>1</v>
      </c>
      <c r="D205" s="46" t="str">
        <f>'Input &amp; Calc'!EO226</f>
        <v>È</v>
      </c>
      <c r="E205" s="590">
        <f>'Input &amp; Calc'!EE203</f>
        <v>3.0833000000000013</v>
      </c>
      <c r="F205" s="567">
        <f>'Input &amp; Calc'!EH226</f>
        <v>3</v>
      </c>
      <c r="G205" s="591"/>
      <c r="H205" s="592" t="s">
        <v>16</v>
      </c>
      <c r="I205" s="593"/>
      <c r="J205" s="594">
        <f>IF(N205/M205&gt;0.899999999,1,IF(N205/M205&lt;0.75,3,2))</f>
        <v>3</v>
      </c>
      <c r="K205" s="600" t="str">
        <f>'Input &amp; Calc'!EP226</f>
        <v>È</v>
      </c>
      <c r="L205" s="589">
        <f>Q205/4</f>
        <v>9.249900000000002</v>
      </c>
      <c r="M205" s="589">
        <f>L205/3*$T$3</f>
        <v>6.1666000000000016</v>
      </c>
      <c r="N205" s="565">
        <f>'Input &amp; Calc'!EI226</f>
        <v>4</v>
      </c>
      <c r="O205" s="596"/>
      <c r="P205" s="594">
        <f>IF(S205/R205&gt;0.899999999,1,IF(S205/R205&lt;0.75,3,2))</f>
        <v>1</v>
      </c>
      <c r="Q205" s="565">
        <f>'Input &amp; Calc'!EG203</f>
        <v>36.999600000000008</v>
      </c>
      <c r="R205" s="602">
        <f>Q205/12*$T$4</f>
        <v>33.916300000000007</v>
      </c>
      <c r="S205" s="566">
        <f>'Input &amp; Calc'!EJ226</f>
        <v>33</v>
      </c>
      <c r="T205" s="488">
        <f>S205/R205</f>
        <v>0.97298349171342369</v>
      </c>
      <c r="U205" s="455"/>
      <c r="V205" s="563">
        <f>$V$733</f>
        <v>1</v>
      </c>
      <c r="W205" s="554" t="str">
        <f>B205</f>
        <v># of Ext Engag Clients; &gt;5 Hrs contact since 10/05</v>
      </c>
      <c r="X205" s="268">
        <v>1</v>
      </c>
      <c r="Y205" s="268">
        <v>1</v>
      </c>
      <c r="Z205" s="268">
        <v>1</v>
      </c>
      <c r="AA205" s="268">
        <v>1</v>
      </c>
      <c r="AB205" s="268">
        <v>1</v>
      </c>
      <c r="AC205" s="268">
        <v>1</v>
      </c>
      <c r="AD205" s="268">
        <v>1</v>
      </c>
      <c r="AE205" s="268">
        <v>1</v>
      </c>
      <c r="AF205" s="268">
        <v>1</v>
      </c>
      <c r="AG205" s="268">
        <v>1</v>
      </c>
      <c r="AH205" s="268">
        <v>1</v>
      </c>
      <c r="AI205" s="268">
        <v>1</v>
      </c>
      <c r="AJ205" s="268">
        <f>IF('Input &amp; Calc'!V226="","",IF('Input &amp; Calc'!DB226/'Input &amp; Calc'!DB203&gt;=0.9,1,IF('Input &amp; Calc'!DB226/'Input &amp; Calc'!DB203&lt;0.75,3,2)))</f>
        <v>1</v>
      </c>
      <c r="AK205" s="268">
        <f>IF('Input &amp; Calc'!W226="","",IF('Input &amp; Calc'!DC226/'Input &amp; Calc'!DC203&gt;=0.9,1,IF('Input &amp; Calc'!DC226/'Input &amp; Calc'!DC203&lt;0.75,3,2)))</f>
        <v>1</v>
      </c>
      <c r="AL205" s="270">
        <f>IF('Input &amp; Calc'!X226="","",IF('Input &amp; Calc'!DD226/'Input &amp; Calc'!DD203&gt;=0.9,1,IF('Input &amp; Calc'!DD226/'Input &amp; Calc'!DD203&lt;0.75,3,2)))</f>
        <v>1</v>
      </c>
      <c r="AM205" s="268">
        <f>IF('Input &amp; Calc'!Y226="","",IF('Input &amp; Calc'!DE226/'Input &amp; Calc'!DE203&gt;=0.9,1,IF('Input &amp; Calc'!DE226/'Input &amp; Calc'!DE203&lt;0.75,3,2)))</f>
        <v>1</v>
      </c>
      <c r="AN205" s="268">
        <f>IF('Input &amp; Calc'!Z226="","",IF('Input &amp; Calc'!DF226/'Input &amp; Calc'!DF203&gt;=0.9,1,IF('Input &amp; Calc'!DF226/'Input &amp; Calc'!DF203&lt;0.75,3,2)))</f>
        <v>1</v>
      </c>
      <c r="AO205" s="271">
        <f>IF('Input &amp; Calc'!AA226="","",IF('Input &amp; Calc'!DG226/'Input &amp; Calc'!DG203&gt;=0.9,1,IF('Input &amp; Calc'!DG226/'Input &amp; Calc'!DG203&lt;0.75,3,2)))</f>
        <v>1</v>
      </c>
      <c r="AP205" s="271">
        <f>IF('Input &amp; Calc'!AB226="","",IF('Input &amp; Calc'!DH226/'Input &amp; Calc'!DH203&lt;=0.9,1,IF('Input &amp; Calc'!DH226/'Input &amp; Calc'!DH203&lt;0.75,3,2)))</f>
        <v>1</v>
      </c>
      <c r="AQ205" s="271">
        <f>IF('Input &amp; Calc'!AC226="","",IF('Input &amp; Calc'!DI226/'Input &amp; Calc'!DI203&gt;=0.9,1,IF('Input &amp; Calc'!DI226/'Input &amp; Calc'!DI203&lt;0.75,3,2)))</f>
        <v>1</v>
      </c>
      <c r="AR205" s="271">
        <f>IF('Input &amp; Calc'!AD226="","",IF('Input &amp; Calc'!DJ226/'Input &amp; Calc'!DJ203&gt;=0.9,1,IF('Input &amp; Calc'!DJ226/'Input &amp; Calc'!DJ203&lt;0.75,3,2)))</f>
        <v>1</v>
      </c>
      <c r="AS205" s="271">
        <f>IF('Input &amp; Calc'!AE226="","",IF('Input &amp; Calc'!DK226/'Input &amp; Calc'!DK203&gt;=0.9,1,IF('Input &amp; Calc'!DK226/'Input &amp; Calc'!DK203&lt;0.75,3,2)))</f>
        <v>1</v>
      </c>
      <c r="AT205" s="271">
        <f>IF('Input &amp; Calc'!AF226="","",IF('Input &amp; Calc'!DL226/'Input &amp; Calc'!DL203&gt;=0.9,1,IF('Input &amp; Calc'!DL226/'Input &amp; Calc'!DL203&lt;0.75,3,2)))</f>
        <v>1</v>
      </c>
      <c r="AU205" s="271">
        <f>IF('Input &amp; Calc'!AG226="","",IF('Input &amp; Calc'!DM226/'Input &amp; Calc'!DM203&gt;=0.9,1,IF('Input &amp; Calc'!DM226/'Input &amp; Calc'!DM203&lt;0.75,3,2)))</f>
        <v>1</v>
      </c>
    </row>
    <row r="206" spans="1:47">
      <c r="A206" s="633" t="s">
        <v>206</v>
      </c>
      <c r="B206" s="556" t="s">
        <v>107</v>
      </c>
      <c r="C206" s="252">
        <f>IF(F206/E206&gt;0.899999999,1,IF(F206/E206&lt;0.75,3,2))</f>
        <v>1</v>
      </c>
      <c r="D206" s="97" t="str">
        <f>'Input &amp; Calc'!EO228</f>
        <v>Ç</v>
      </c>
      <c r="E206" s="590">
        <f>'Input &amp; Calc'!EE205</f>
        <v>0.66000000000000014</v>
      </c>
      <c r="F206" s="567">
        <f>'Input &amp; Calc'!EH228</f>
        <v>3</v>
      </c>
      <c r="G206" s="591"/>
      <c r="H206" s="592" t="s">
        <v>16</v>
      </c>
      <c r="I206" s="593"/>
      <c r="J206" s="594">
        <f>IF(N206/M206&gt;0.899999999,1,IF(N206/M206&lt;0.75,3,2))</f>
        <v>1</v>
      </c>
      <c r="K206" s="597" t="str">
        <f>'Input &amp; Calc'!EP228</f>
        <v>Ç</v>
      </c>
      <c r="L206" s="589">
        <f>Q206/4</f>
        <v>1.9800000000000002</v>
      </c>
      <c r="M206" s="589">
        <f>L206/3*$T$3</f>
        <v>1.32</v>
      </c>
      <c r="N206" s="565">
        <f>'Input &amp; Calc'!EI228</f>
        <v>5</v>
      </c>
      <c r="O206" s="596"/>
      <c r="P206" s="594">
        <f>IF(S206/R206&gt;0.899999999,1,IF(S206/R206&lt;0.75,3,2))</f>
        <v>1</v>
      </c>
      <c r="Q206" s="565">
        <f>'Input &amp; Calc'!EG205</f>
        <v>7.9200000000000008</v>
      </c>
      <c r="R206" s="602">
        <f>Q206/12*$T$4</f>
        <v>7.2600000000000007</v>
      </c>
      <c r="S206" s="566">
        <f>'Input &amp; Calc'!EJ228</f>
        <v>14</v>
      </c>
      <c r="T206" s="488">
        <f>S206/R206</f>
        <v>1.9283746556473826</v>
      </c>
      <c r="U206" s="455"/>
      <c r="V206" s="563">
        <f>$V$734</f>
        <v>1</v>
      </c>
      <c r="W206" s="554" t="str">
        <f>B206</f>
        <v># of Business Starts</v>
      </c>
      <c r="X206" s="268">
        <v>1</v>
      </c>
      <c r="Y206" s="268">
        <v>1</v>
      </c>
      <c r="Z206" s="268">
        <v>1</v>
      </c>
      <c r="AA206" s="268">
        <v>1</v>
      </c>
      <c r="AB206" s="272">
        <v>1</v>
      </c>
      <c r="AC206" s="272">
        <v>1</v>
      </c>
      <c r="AD206" s="272">
        <v>1</v>
      </c>
      <c r="AE206" s="272">
        <v>1</v>
      </c>
      <c r="AF206" s="272">
        <v>1</v>
      </c>
      <c r="AG206" s="272">
        <v>1</v>
      </c>
      <c r="AH206" s="272">
        <v>1</v>
      </c>
      <c r="AI206" s="272">
        <v>1</v>
      </c>
      <c r="AJ206" s="272">
        <f>IF('Input &amp; Calc'!V226="","",IF('Input &amp; Calc'!DB228/'Input &amp; Calc'!DB205&gt;=0.9,1,IF('Input &amp; Calc'!DB228/'Input &amp; Calc'!DB205&lt;0.75,3,2)))</f>
        <v>3</v>
      </c>
      <c r="AK206" s="272">
        <f>IF('Input &amp; Calc'!W226="","",IF('Input &amp; Calc'!DC228/'Input &amp; Calc'!DC205&gt;=0.9,1,IF('Input &amp; Calc'!DC228/'Input &amp; Calc'!DC205&lt;0.75,3,2)))</f>
        <v>1</v>
      </c>
      <c r="AL206" s="272">
        <f>IF('Input &amp; Calc'!X226="","",IF('Input &amp; Calc'!DD228/'Input &amp; Calc'!DD205&gt;=0.9,1,IF('Input &amp; Calc'!DD228/'Input &amp; Calc'!DD205&lt;0.75,3,2)))</f>
        <v>1</v>
      </c>
      <c r="AM206" s="272">
        <f>IF('Input &amp; Calc'!Y226="","",IF('Input &amp; Calc'!DE228/'Input &amp; Calc'!DE205&gt;=0.9,1,IF('Input &amp; Calc'!DE228/'Input &amp; Calc'!DE205&lt;0.75,3,2)))</f>
        <v>1</v>
      </c>
      <c r="AN206" s="272">
        <f>IF('Input &amp; Calc'!Z226="","",IF('Input &amp; Calc'!DF228/'Input &amp; Calc'!DF205&gt;=0.9,1,IF('Input &amp; Calc'!DF228/'Input &amp; Calc'!DF205&lt;0.75,3,2)))</f>
        <v>1</v>
      </c>
      <c r="AO206" s="272">
        <f>IF('Input &amp; Calc'!AA226="","",IF('Input &amp; Calc'!DG228/'Input &amp; Calc'!DG205&gt;=0.9,1,IF('Input &amp; Calc'!DG228/'Input &amp; Calc'!DG205&lt;0.75,3,2)))</f>
        <v>1</v>
      </c>
      <c r="AP206" s="272">
        <f>IF('Input &amp; Calc'!AB226="","",IF('Input &amp; Calc'!DH228/'Input &amp; Calc'!DH205&gt;=0.9,1,IF('Input &amp; Calc'!DH228/'Input &amp; Calc'!DH205&lt;0.75,3,2)))</f>
        <v>1</v>
      </c>
      <c r="AQ206" s="272">
        <f>IF('Input &amp; Calc'!AC226="","",IF('Input &amp; Calc'!DI228/'Input &amp; Calc'!DI205&gt;=0.9,1,IF('Input &amp; Calc'!DI228/'Input &amp; Calc'!DI205&lt;0.75,3,2)))</f>
        <v>1</v>
      </c>
      <c r="AR206" s="272">
        <f>IF('Input &amp; Calc'!AD226="","",IF('Input &amp; Calc'!DJ228/'Input &amp; Calc'!DJ205&gt;=0.9,1,IF('Input &amp; Calc'!DJ228/'Input &amp; Calc'!DJ205&lt;0.75,3,2)))</f>
        <v>1</v>
      </c>
      <c r="AS206" s="272">
        <f>IF('Input &amp; Calc'!AE226="","",IF('Input &amp; Calc'!DK228/'Input &amp; Calc'!DK205&gt;=0.9,1,IF('Input &amp; Calc'!DK228/'Input &amp; Calc'!DK205&lt;0.75,3,2)))</f>
        <v>1</v>
      </c>
      <c r="AT206" s="272">
        <f>IF('Input &amp; Calc'!AF226="","",IF('Input &amp; Calc'!DL228/'Input &amp; Calc'!DL205&gt;=0.9,1,IF('Input &amp; Calc'!DL228/'Input &amp; Calc'!DL205&lt;0.75,3,2)))</f>
        <v>1</v>
      </c>
      <c r="AU206" s="272">
        <f>IF('Input &amp; Calc'!AG226="","",IF('Input &amp; Calc'!DM228/'Input &amp; Calc'!DM205&gt;=0.9,1,IF('Input &amp; Calc'!DM228/'Input &amp; Calc'!DM205&lt;0.75,3,2)))</f>
        <v>1</v>
      </c>
    </row>
    <row r="207" spans="1:47" ht="16.5" thickBot="1">
      <c r="A207" s="634"/>
      <c r="B207" s="557" t="s">
        <v>138</v>
      </c>
      <c r="C207" s="252">
        <f>IF(F207/E207&gt;0.899999999,1,IF(F207/E207&lt;0.75,3,2))</f>
        <v>3</v>
      </c>
      <c r="D207" s="85" t="str">
        <f>'Input &amp; Calc'!EO258</f>
        <v>È</v>
      </c>
      <c r="E207" s="279">
        <f>'Input &amp; Calc'!EE206</f>
        <v>0.16599999999999993</v>
      </c>
      <c r="F207" s="605">
        <f>'Input &amp; Calc'!EH229</f>
        <v>-4.9999999999994493E-4</v>
      </c>
      <c r="G207" s="458"/>
      <c r="H207" s="467" t="s">
        <v>16</v>
      </c>
      <c r="I207" s="459"/>
      <c r="J207" s="252">
        <f>IF(N207/M207&gt;0.899999999,1,IF(N207/M207&lt;0.75,3,2))</f>
        <v>1</v>
      </c>
      <c r="K207" s="85" t="str">
        <f>'Input &amp; Calc'!EP229</f>
        <v>Ç</v>
      </c>
      <c r="L207" s="442">
        <f>Q207/4</f>
        <v>0.49814999999999993</v>
      </c>
      <c r="M207" s="442">
        <f>L207/3*$T$3</f>
        <v>0.33209999999999995</v>
      </c>
      <c r="N207" s="388">
        <f>'Input &amp; Calc'!EI229</f>
        <v>0.77900000000000003</v>
      </c>
      <c r="O207" s="457"/>
      <c r="P207" s="252">
        <f>IF(S207/R207&gt;0.899999999,1,IF(S207/R207&lt;0.75,3,2))</f>
        <v>3</v>
      </c>
      <c r="Q207" s="389">
        <f>'Input &amp; Calc'!EG206</f>
        <v>1.9925999999999997</v>
      </c>
      <c r="R207" s="611">
        <f>Q207/12*$T$4</f>
        <v>1.8265499999999997</v>
      </c>
      <c r="S207" s="610">
        <f>'Input &amp; Calc'!EJ229</f>
        <v>0.95150000000000001</v>
      </c>
      <c r="T207" s="488">
        <f>S207/R207</f>
        <v>0.52092743149653731</v>
      </c>
      <c r="U207" s="468"/>
      <c r="V207" s="563">
        <f>$V$735</f>
        <v>1</v>
      </c>
      <c r="W207" s="554" t="str">
        <f>B207</f>
        <v>Capital Infusion $ - Million</v>
      </c>
      <c r="X207" s="275">
        <v>1</v>
      </c>
      <c r="Y207" s="275">
        <v>1</v>
      </c>
      <c r="Z207" s="275">
        <v>1</v>
      </c>
      <c r="AA207" s="275">
        <v>1</v>
      </c>
      <c r="AB207" s="323">
        <v>1</v>
      </c>
      <c r="AC207" s="323">
        <v>2</v>
      </c>
      <c r="AD207" s="323">
        <v>3</v>
      </c>
      <c r="AE207" s="323">
        <v>3</v>
      </c>
      <c r="AF207" s="323">
        <v>3</v>
      </c>
      <c r="AG207" s="323">
        <v>1</v>
      </c>
      <c r="AH207" s="323">
        <v>1</v>
      </c>
      <c r="AI207" s="323">
        <v>1</v>
      </c>
      <c r="AJ207" s="272">
        <f>IF('Input &amp; Calc'!V227="","",IF('Input &amp; Calc'!DB229/'Input &amp; Calc'!DB206&gt;=0.9,1,IF('Input &amp; Calc'!DB229/'Input &amp; Calc'!DB206&lt;0.75,3,2)))</f>
        <v>1</v>
      </c>
      <c r="AK207" s="272">
        <f>IF('Input &amp; Calc'!W227="","",IF('Input &amp; Calc'!DC229/'Input &amp; Calc'!DC206&gt;=0.9,1,IF('Input &amp; Calc'!DC229/'Input &amp; Calc'!DC206&lt;0.75,3,2)))</f>
        <v>1</v>
      </c>
      <c r="AL207" s="272">
        <f>IF('Input &amp; Calc'!X227="","",IF('Input &amp; Calc'!DD229/'Input &amp; Calc'!DD206&gt;=0.9,1,IF('Input &amp; Calc'!DD229/'Input &amp; Calc'!DD206&lt;0.75,3,2)))</f>
        <v>1</v>
      </c>
      <c r="AM207" s="272">
        <f>IF('Input &amp; Calc'!Y227="","",IF('Input &amp; Calc'!DE229/'Input &amp; Calc'!DE206&gt;=0.9,1,IF('Input &amp; Calc'!DE229/'Input &amp; Calc'!DE206&lt;0.75,3,2)))</f>
        <v>3</v>
      </c>
      <c r="AN207" s="272">
        <f>IF('Input &amp; Calc'!Z227="","",IF('Input &amp; Calc'!DF229/'Input &amp; Calc'!DF206&gt;=0.9,1,IF('Input &amp; Calc'!DF229/'Input &amp; Calc'!DF206&lt;0.75,3,2)))</f>
        <v>3</v>
      </c>
      <c r="AO207" s="272">
        <f>IF('Input &amp; Calc'!AA227="","",IF('Input &amp; Calc'!DG229/'Input &amp; Calc'!DG206&gt;=0.9,1,IF('Input &amp; Calc'!DG229/'Input &amp; Calc'!DG206&lt;0.75,3,2)))</f>
        <v>3</v>
      </c>
      <c r="AP207" s="272">
        <f>IF('Input &amp; Calc'!AB227="","",IF('Input &amp; Calc'!DH229/'Input &amp; Calc'!DH206&gt;=0.9,1,IF('Input &amp; Calc'!DH229/'Input &amp; Calc'!DH206&lt;0.75,3,2)))</f>
        <v>3</v>
      </c>
      <c r="AQ207" s="272">
        <f>IF('Input &amp; Calc'!AC227="","",IF('Input &amp; Calc'!DI229/'Input &amp; Calc'!DI206&gt;=0.9,1,IF('Input &amp; Calc'!DI229/'Input &amp; Calc'!DI206&lt;0.75,3,2)))</f>
        <v>3</v>
      </c>
      <c r="AR207" s="272">
        <f>IF('Input &amp; Calc'!AD227="","",IF('Input &amp; Calc'!DJ229/'Input &amp; Calc'!DJ206&gt;=0.9,1,IF('Input &amp; Calc'!DJ229/'Input &amp; Calc'!DJ206&lt;0.75,3,2)))</f>
        <v>3</v>
      </c>
      <c r="AS207" s="272">
        <f>IF('Input &amp; Calc'!AE227="","",IF('Input &amp; Calc'!DK229/'Input &amp; Calc'!DK206&gt;=0.9,1,IF('Input &amp; Calc'!DK229/'Input &amp; Calc'!DK206&lt;0.75,3,2)))</f>
        <v>3</v>
      </c>
      <c r="AT207" s="272">
        <f>IF('Input &amp; Calc'!AF227="","",IF('Input &amp; Calc'!DL229/'Input &amp; Calc'!DL206&gt;=0.9,1,IF('Input &amp; Calc'!DL229/'Input &amp; Calc'!DL206&lt;0.75,3,2)))</f>
        <v>3</v>
      </c>
      <c r="AU207" s="272">
        <f>IF('Input &amp; Calc'!AG227="","",IF('Input &amp; Calc'!DM229/'Input &amp; Calc'!DM206&gt;=0.9,1,IF('Input &amp; Calc'!DM229/'Input &amp; Calc'!DM206&lt;0.75,3,2)))</f>
        <v>3</v>
      </c>
    </row>
    <row r="208" spans="1:47" ht="14.25" customHeight="1" thickBot="1">
      <c r="A208" s="96" t="s">
        <v>135</v>
      </c>
      <c r="B208" s="460"/>
      <c r="C208" s="90"/>
      <c r="D208" s="93" t="s">
        <v>238</v>
      </c>
      <c r="E208" s="94">
        <f>'Input &amp; Calc'!$I$67</f>
        <v>40391</v>
      </c>
      <c r="F208" s="95"/>
      <c r="G208" s="461"/>
      <c r="H208" s="635" t="s">
        <v>130</v>
      </c>
      <c r="I208" s="635"/>
      <c r="J208" s="635"/>
      <c r="K208" s="635"/>
      <c r="L208" s="635"/>
      <c r="M208" s="635"/>
      <c r="N208" s="635"/>
      <c r="O208" s="461"/>
      <c r="P208" s="90"/>
      <c r="Q208" s="277"/>
      <c r="R208" s="277"/>
      <c r="S208" s="91" t="s">
        <v>136</v>
      </c>
      <c r="T208" s="278">
        <f>'Input &amp; Calc'!EK200</f>
        <v>2</v>
      </c>
      <c r="U208" s="325" t="s">
        <v>159</v>
      </c>
      <c r="V208" s="462"/>
      <c r="W208" s="392"/>
      <c r="X208" s="469"/>
      <c r="Y208" s="469"/>
      <c r="Z208" s="469"/>
      <c r="AA208" s="469"/>
      <c r="AB208" s="469"/>
      <c r="AC208" s="469"/>
      <c r="AD208" s="469"/>
      <c r="AE208" s="469"/>
      <c r="AF208" s="469"/>
      <c r="AG208" s="469"/>
      <c r="AH208" s="469"/>
      <c r="AI208" s="469"/>
      <c r="AJ208" s="469"/>
      <c r="AK208" s="469"/>
      <c r="AL208" s="469"/>
      <c r="AM208" s="469"/>
      <c r="AN208" s="469"/>
      <c r="AO208" s="469"/>
      <c r="AP208" s="469"/>
      <c r="AQ208" s="469"/>
      <c r="AR208" s="469"/>
      <c r="AS208" s="469"/>
      <c r="AT208" s="469"/>
      <c r="AU208" s="469"/>
    </row>
    <row r="209" spans="1:47" ht="12" customHeight="1" thickBot="1">
      <c r="A209" s="636" t="s">
        <v>99</v>
      </c>
      <c r="B209" s="638" t="s">
        <v>100</v>
      </c>
      <c r="C209" s="621" t="s">
        <v>101</v>
      </c>
      <c r="D209" s="621" t="s">
        <v>104</v>
      </c>
      <c r="E209" s="643" t="s">
        <v>105</v>
      </c>
      <c r="F209" s="621" t="s">
        <v>106</v>
      </c>
      <c r="G209" s="449"/>
      <c r="H209" s="638" t="s">
        <v>137</v>
      </c>
      <c r="I209" s="449"/>
      <c r="J209" s="621" t="s">
        <v>101</v>
      </c>
      <c r="K209" s="621" t="s">
        <v>104</v>
      </c>
      <c r="L209" s="621" t="s">
        <v>192</v>
      </c>
      <c r="M209" s="638" t="s">
        <v>194</v>
      </c>
      <c r="N209" s="621" t="s">
        <v>193</v>
      </c>
      <c r="O209" s="449"/>
      <c r="P209" s="642" t="s">
        <v>101</v>
      </c>
      <c r="Q209" s="638" t="s">
        <v>102</v>
      </c>
      <c r="R209" s="638" t="s">
        <v>191</v>
      </c>
      <c r="S209" s="638" t="s">
        <v>103</v>
      </c>
      <c r="T209" s="649" t="s">
        <v>108</v>
      </c>
      <c r="U209" s="641" t="s">
        <v>209</v>
      </c>
      <c r="V209" s="623" t="s">
        <v>203</v>
      </c>
      <c r="W209" s="393"/>
      <c r="X209" s="464"/>
      <c r="Y209" s="464"/>
      <c r="Z209" s="464"/>
      <c r="AA209" s="464"/>
      <c r="AB209" s="464"/>
      <c r="AC209" s="464"/>
      <c r="AD209" s="464"/>
      <c r="AE209" s="464"/>
      <c r="AF209" s="464"/>
      <c r="AG209" s="464"/>
      <c r="AH209" s="464"/>
      <c r="AI209" s="464"/>
      <c r="AJ209" s="464"/>
      <c r="AK209" s="464"/>
      <c r="AL209" s="464"/>
      <c r="AM209" s="464"/>
      <c r="AN209" s="464"/>
      <c r="AO209" s="464"/>
      <c r="AP209" s="464"/>
      <c r="AQ209" s="464"/>
      <c r="AR209" s="464"/>
      <c r="AS209" s="464"/>
      <c r="AT209" s="464"/>
      <c r="AU209" s="464"/>
    </row>
    <row r="210" spans="1:47" ht="15.75" customHeight="1" thickBot="1">
      <c r="A210" s="637"/>
      <c r="B210" s="621"/>
      <c r="C210" s="622"/>
      <c r="D210" s="622"/>
      <c r="E210" s="644"/>
      <c r="F210" s="622"/>
      <c r="G210" s="449"/>
      <c r="H210" s="638"/>
      <c r="I210" s="449"/>
      <c r="J210" s="622"/>
      <c r="K210" s="622"/>
      <c r="L210" s="622"/>
      <c r="M210" s="638"/>
      <c r="N210" s="622"/>
      <c r="O210" s="449"/>
      <c r="P210" s="642"/>
      <c r="Q210" s="638"/>
      <c r="R210" s="638"/>
      <c r="S210" s="638"/>
      <c r="T210" s="649"/>
      <c r="U210" s="641"/>
      <c r="V210" s="624"/>
      <c r="W210" s="564"/>
      <c r="X210" s="625" t="s">
        <v>150</v>
      </c>
      <c r="Y210" s="626"/>
      <c r="Z210" s="626"/>
      <c r="AA210" s="626"/>
      <c r="AB210" s="626"/>
      <c r="AC210" s="626"/>
      <c r="AD210" s="626"/>
      <c r="AE210" s="626"/>
      <c r="AF210" s="626"/>
      <c r="AG210" s="626"/>
      <c r="AH210" s="626"/>
      <c r="AI210" s="627"/>
      <c r="AJ210" s="625" t="s">
        <v>151</v>
      </c>
      <c r="AK210" s="626"/>
      <c r="AL210" s="626"/>
      <c r="AM210" s="626"/>
      <c r="AN210" s="626"/>
      <c r="AO210" s="626"/>
      <c r="AP210" s="626"/>
      <c r="AQ210" s="626"/>
      <c r="AR210" s="626"/>
      <c r="AS210" s="626"/>
      <c r="AT210" s="626"/>
      <c r="AU210" s="628"/>
    </row>
    <row r="211" spans="1:47" ht="25.5">
      <c r="A211" s="470" t="s">
        <v>197</v>
      </c>
      <c r="B211" s="551" t="s">
        <v>190</v>
      </c>
      <c r="C211" s="252">
        <f>IF(F211/E211&gt;0.899999999,1,IF(F211/E211&lt;0.75,3,2))</f>
        <v>1</v>
      </c>
      <c r="D211" s="46" t="str">
        <f>'Input &amp; Calc'!EO245</f>
        <v>Ç</v>
      </c>
      <c r="E211" s="590">
        <f>'Input &amp; Calc'!EE220</f>
        <v>10</v>
      </c>
      <c r="F211" s="567">
        <f>'Input &amp; Calc'!EH245</f>
        <v>11</v>
      </c>
      <c r="G211" s="598"/>
      <c r="H211" s="592" t="s">
        <v>16</v>
      </c>
      <c r="I211" s="599"/>
      <c r="J211" s="594">
        <f>IF(N211/M211&gt;0.899999999,1,IF(N211/M211&lt;0.75,3,2))</f>
        <v>1</v>
      </c>
      <c r="K211" s="600" t="str">
        <f>'Input &amp; Calc'!EP245</f>
        <v>È</v>
      </c>
      <c r="L211" s="589">
        <f>Q211/4</f>
        <v>30</v>
      </c>
      <c r="M211" s="589">
        <f>L211/3*$T$3</f>
        <v>20</v>
      </c>
      <c r="N211" s="565">
        <f>'Input &amp; Calc'!EI245</f>
        <v>24</v>
      </c>
      <c r="O211" s="601"/>
      <c r="P211" s="594">
        <f>IF(S211/R211&gt;0.899999999,1,IF(S211/R211&lt;0.75,3,2))</f>
        <v>1</v>
      </c>
      <c r="Q211" s="565">
        <f>'Input &amp; Calc'!EG220</f>
        <v>120</v>
      </c>
      <c r="R211" s="565">
        <f>Q211/12*$T$10</f>
        <v>20</v>
      </c>
      <c r="S211" s="566">
        <f>'Input &amp; Calc'!EJ245</f>
        <v>24</v>
      </c>
      <c r="T211" s="491">
        <f>S211/R211</f>
        <v>1.2</v>
      </c>
      <c r="U211" s="454"/>
      <c r="V211" s="563">
        <f>$V$739</f>
        <v>1</v>
      </c>
      <c r="W211" s="476" t="str">
        <f>B211</f>
        <v># of Unique Clients YTD</v>
      </c>
      <c r="X211" s="269">
        <v>1</v>
      </c>
      <c r="Y211" s="268">
        <v>1</v>
      </c>
      <c r="Z211" s="268">
        <v>1</v>
      </c>
      <c r="AA211" s="268">
        <v>1</v>
      </c>
      <c r="AB211" s="268">
        <v>1</v>
      </c>
      <c r="AC211" s="268">
        <v>1</v>
      </c>
      <c r="AD211" s="268">
        <v>1</v>
      </c>
      <c r="AE211" s="268">
        <v>1</v>
      </c>
      <c r="AF211" s="268">
        <v>1</v>
      </c>
      <c r="AG211" s="268">
        <v>1</v>
      </c>
      <c r="AH211" s="268">
        <v>1</v>
      </c>
      <c r="AI211" s="270">
        <v>1</v>
      </c>
      <c r="AJ211" s="268">
        <f>IF('Input &amp; Calc'!V245="","",IF('Input &amp; Calc'!DB245/'Input &amp; Calc'!DB220&gt;=0.9,1,IF('Input &amp; Calc'!DB245/'Input &amp; Calc'!DB220&lt;0.75,3,2)))</f>
        <v>1</v>
      </c>
      <c r="AK211" s="268">
        <f>IF('Input &amp; Calc'!W245="","",IF('Input &amp; Calc'!DC245/'Input &amp; Calc'!DC220&gt;=0.9,1,IF('Input &amp; Calc'!DC245/'Input &amp; Calc'!DC220&lt;0.75,3,2)))</f>
        <v>1</v>
      </c>
      <c r="AL211" s="268">
        <f>IF('Input &amp; Calc'!X245="","",IF('Input &amp; Calc'!DD245/'Input &amp; Calc'!DD220&gt;=0.9,1,IF('Input &amp; Calc'!DD245/'Input &amp; Calc'!DD220&lt;0.75,3,2)))</f>
        <v>1</v>
      </c>
      <c r="AM211" s="268">
        <f>IF('Input &amp; Calc'!Y245="","",IF('Input &amp; Calc'!DE245/'Input &amp; Calc'!DE220&gt;=0.9,1,IF('Input &amp; Calc'!DE245/'Input &amp; Calc'!DE220&lt;0.75,3,2)))</f>
        <v>1</v>
      </c>
      <c r="AN211" s="268">
        <f>IF('Input &amp; Calc'!Z245="","",IF('Input &amp; Calc'!DF245/'Input &amp; Calc'!DF220&gt;=0.9,1,IF('Input &amp; Calc'!DF245/'Input &amp; Calc'!DF220&lt;0.75,3,2)))</f>
        <v>1</v>
      </c>
      <c r="AO211" s="268">
        <f>IF('Input &amp; Calc'!AA245="","",IF('Input &amp; Calc'!DG245/'Input &amp; Calc'!DG220&gt;=0.9,1,IF('Input &amp; Calc'!DG245/'Input &amp; Calc'!DG220&lt;0.75,3,2)))</f>
        <v>1</v>
      </c>
      <c r="AP211" s="268">
        <f>IF('Input &amp; Calc'!AB245="","",IF('Input &amp; Calc'!DH245/'Input &amp; Calc'!DH220&gt;=0.9,1,IF('Input &amp; Calc'!DH245/'Input &amp; Calc'!DH220&lt;0.75,3,2)))</f>
        <v>1</v>
      </c>
      <c r="AQ211" s="268">
        <f>IF('Input &amp; Calc'!AC245="","",IF('Input &amp; Calc'!DI245/'Input &amp; Calc'!DI220&gt;=0.9,1,IF('Input &amp; Calc'!DI245/'Input &amp; Calc'!DI220&lt;0.75,3,2)))</f>
        <v>1</v>
      </c>
      <c r="AR211" s="268">
        <f>IF('Input &amp; Calc'!AD245="","",IF('Input &amp; Calc'!DJ245/'Input &amp; Calc'!DJ220&gt;=0.9,1,IF('Input &amp; Calc'!DJ245/'Input &amp; Calc'!DJ220&lt;0.75,3,2)))</f>
        <v>1</v>
      </c>
      <c r="AS211" s="268">
        <f>IF('Input &amp; Calc'!AE245="","",IF('Input &amp; Calc'!DK245/'Input &amp; Calc'!DK220&gt;=0.9,1,IF('Input &amp; Calc'!DK245/'Input &amp; Calc'!DK220&lt;0.75,3,2)))</f>
        <v>1</v>
      </c>
      <c r="AT211" s="268">
        <f>IF('Input &amp; Calc'!AF245="","",IF('Input &amp; Calc'!DL245/'Input &amp; Calc'!DL220&gt;=0.9,1,IF('Input &amp; Calc'!DL245/'Input &amp; Calc'!DL220&lt;0.75,3,2)))</f>
        <v>1</v>
      </c>
      <c r="AU211" s="268">
        <f>IF('Input &amp; Calc'!AG245="","",IF('Input &amp; Calc'!DM245/'Input &amp; Calc'!DM220&gt;=0.9,1,IF('Input &amp; Calc'!DM245/'Input &amp; Calc'!DM220&lt;0.75,3,2)))</f>
        <v>1</v>
      </c>
    </row>
    <row r="212" spans="1:47" ht="27.75" customHeight="1">
      <c r="A212" s="620" t="s">
        <v>198</v>
      </c>
      <c r="B212" s="551" t="s">
        <v>199</v>
      </c>
      <c r="C212" s="252">
        <f>IF(F212/E212&gt;0.899999999,1,IF(F212/E212&lt;0.75,3,2))</f>
        <v>1</v>
      </c>
      <c r="D212" s="46" t="str">
        <f>'Input &amp; Calc'!EO258</f>
        <v>È</v>
      </c>
      <c r="E212" s="581">
        <v>0.504</v>
      </c>
      <c r="F212" s="494">
        <f>'Input &amp; Calc'!EH257</f>
        <v>0.66666666666666663</v>
      </c>
      <c r="G212" s="558"/>
      <c r="H212" s="453" t="s">
        <v>16</v>
      </c>
      <c r="I212" s="559"/>
      <c r="J212" s="252">
        <f>IF(N212/M212&gt;0.899999999,1,IF(N212/M212&gt;0.75,2,3))</f>
        <v>1</v>
      </c>
      <c r="K212" s="46" t="str">
        <f>'Input &amp; Calc'!EP258</f>
        <v>È</v>
      </c>
      <c r="L212" s="582">
        <f>'Input &amp; Calc'!EF250</f>
        <v>0.50442477876106195</v>
      </c>
      <c r="M212" s="582">
        <f>L212</f>
        <v>0.50442477876106195</v>
      </c>
      <c r="N212" s="491">
        <f>'Input &amp; Calc'!EI257</f>
        <v>0.66666666666666663</v>
      </c>
      <c r="O212" s="561"/>
      <c r="P212" s="252">
        <f>IF(S212/R212&gt;0.899999999,1,IF(S212/R212&lt;0.75,3,2))</f>
        <v>1</v>
      </c>
      <c r="Q212" s="583">
        <f>'Input &amp; Calc'!EG250</f>
        <v>0.50442477876106195</v>
      </c>
      <c r="R212" s="584">
        <f>Q212</f>
        <v>0.50442477876106195</v>
      </c>
      <c r="S212" s="493">
        <f>'Input &amp; Calc'!EJ257</f>
        <v>0.66666666666666663</v>
      </c>
      <c r="T212" s="488">
        <f>+S212-R212</f>
        <v>0.16224188790560468</v>
      </c>
      <c r="U212" s="455"/>
      <c r="V212" s="563">
        <f>$V$740</f>
        <v>1</v>
      </c>
      <c r="W212" s="476" t="str">
        <f>B212</f>
        <v>% of existing business new clients to initial clients</v>
      </c>
      <c r="X212" s="475">
        <v>1</v>
      </c>
      <c r="Y212" s="274">
        <v>1</v>
      </c>
      <c r="Z212" s="274">
        <v>1</v>
      </c>
      <c r="AA212" s="274">
        <v>1</v>
      </c>
      <c r="AB212" s="274">
        <v>1</v>
      </c>
      <c r="AC212" s="274">
        <v>1</v>
      </c>
      <c r="AD212" s="274">
        <v>1</v>
      </c>
      <c r="AE212" s="274">
        <v>1</v>
      </c>
      <c r="AF212" s="274">
        <v>1</v>
      </c>
      <c r="AG212" s="274">
        <v>1</v>
      </c>
      <c r="AH212" s="274">
        <v>1</v>
      </c>
      <c r="AI212" s="514">
        <v>1</v>
      </c>
      <c r="AJ212" s="274">
        <f>IF('Input &amp; Calc'!V258="","",IF('Input &amp; Calc'!DB251*0.9&lt;'Input &amp; Calc'!V258,1,IF('Input &amp; Calc'!DB251*0.75&gt;'Input &amp; Calc'!DB258,3,2)))</f>
        <v>3</v>
      </c>
      <c r="AK212" s="273">
        <f>IF('Input &amp; Calc'!W258="","",IF('Input &amp; Calc'!DC251*0.9&lt;'Input &amp; Calc'!W258,1,IF('Input &amp; Calc'!DC251*0.75&gt;'Input &amp; Calc'!DC258,3,2)))</f>
        <v>1</v>
      </c>
      <c r="AL212" s="273">
        <f>IF('Input &amp; Calc'!X258="","",IF('Input &amp; Calc'!DD251*0.9&lt;'Input &amp; Calc'!X258,1,IF('Input &amp; Calc'!DD251*0.75&gt;'Input &amp; Calc'!DD258,3,2)))</f>
        <v>3</v>
      </c>
      <c r="AM212" s="273">
        <f>IF('Input &amp; Calc'!Y258="","",IF('Input &amp; Calc'!DE251*0.9&lt;'Input &amp; Calc'!Y258,1,IF('Input &amp; Calc'!DE251*0.75&gt;'Input &amp; Calc'!DE258,3,2)))</f>
        <v>3</v>
      </c>
      <c r="AN212" s="273">
        <f>IF('Input &amp; Calc'!Z258="","",IF('Input &amp; Calc'!DF251*0.9&lt;'Input &amp; Calc'!Z258,1,IF('Input &amp; Calc'!DF251*0.75&gt;'Input &amp; Calc'!DF258,3,2)))</f>
        <v>3</v>
      </c>
      <c r="AO212" s="273">
        <f>IF('Input &amp; Calc'!AA258="","",IF('Input &amp; Calc'!DG251*0.9&lt;'Input &amp; Calc'!AA258,1,IF('Input &amp; Calc'!DG251*0.75&gt;'Input &amp; Calc'!DG258,3,2)))</f>
        <v>3</v>
      </c>
      <c r="AP212" s="273">
        <f>IF('Input &amp; Calc'!AB258="","",IF('Input &amp; Calc'!DH251*0.9&lt;'Input &amp; Calc'!AB258,1,IF('Input &amp; Calc'!DH251*0.75&gt;'Input &amp; Calc'!DH258,3,2)))</f>
        <v>3</v>
      </c>
      <c r="AQ212" s="273">
        <f>IF('Input &amp; Calc'!AC258="","",IF('Input &amp; Calc'!DI251*0.9&gt;'Input &amp; Calc'!AC258,1,IF('Input &amp; Calc'!DI251*0.75&gt;'Input &amp; Calc'!DI258,3,2)))</f>
        <v>3</v>
      </c>
      <c r="AR212" s="273">
        <v>1</v>
      </c>
      <c r="AS212" s="273">
        <f>IF('Input &amp; Calc'!AE258="","",IF('Input &amp; Calc'!DK251*0.9&lt;'Input &amp; Calc'!AE258,1,IF('Input &amp; Calc'!DK251*0.75&gt;'Input &amp; Calc'!DK258,3,2)))</f>
        <v>3</v>
      </c>
      <c r="AT212" s="273">
        <f>IF('Input &amp; Calc'!AF258="","",IF('Input &amp; Calc'!DL251*0.9&lt;'Input &amp; Calc'!AF258,1,IF('Input &amp; Calc'!DL251*0.75&gt;'Input &amp; Calc'!DL258,3,2)))</f>
        <v>3</v>
      </c>
      <c r="AU212" s="273">
        <f>IF('Input &amp; Calc'!AG258="","",IF('Input &amp; Calc'!DM251*0.9&gt;'Input &amp; Calc'!AG258,1,IF('Input &amp; Calc'!DM251*0.75&gt;'Input &amp; Calc'!DM258,3,2)))</f>
        <v>1</v>
      </c>
    </row>
    <row r="213" spans="1:47">
      <c r="A213" s="620"/>
      <c r="B213" s="551" t="s">
        <v>200</v>
      </c>
      <c r="C213" s="252">
        <v>1</v>
      </c>
      <c r="D213" s="46" t="str">
        <f>'Input &amp; Calc'!EO898</f>
        <v>È</v>
      </c>
      <c r="E213" s="279">
        <v>4.5</v>
      </c>
      <c r="F213" s="607">
        <f>'Input &amp; Calc'!EH898</f>
        <v>4.1818181818181817</v>
      </c>
      <c r="G213" s="558"/>
      <c r="H213" s="453" t="s">
        <v>16</v>
      </c>
      <c r="I213" s="559"/>
      <c r="J213" s="252">
        <f>'Input &amp; Calc'!ER898</f>
        <v>2</v>
      </c>
      <c r="K213" s="46" t="str">
        <f>'Input &amp; Calc'!EP898</f>
        <v>È</v>
      </c>
      <c r="L213" s="279">
        <v>4.5</v>
      </c>
      <c r="M213" s="442">
        <v>4.5</v>
      </c>
      <c r="N213" s="388">
        <f>'Input &amp; Calc'!EI898</f>
        <v>4.020833333333333</v>
      </c>
      <c r="O213" s="561"/>
      <c r="P213" s="252">
        <f>'Input &amp; Calc'!ES898</f>
        <v>2</v>
      </c>
      <c r="Q213" s="388">
        <v>4.5</v>
      </c>
      <c r="R213" s="442">
        <v>4.5</v>
      </c>
      <c r="S213" s="486">
        <f>'Input &amp; Calc'!EJ898</f>
        <v>4.020833333333333</v>
      </c>
      <c r="T213" s="491">
        <f>S213/R213</f>
        <v>0.89351851851851849</v>
      </c>
      <c r="U213" s="456"/>
      <c r="V213" s="563">
        <f>$V$741</f>
        <v>3</v>
      </c>
      <c r="W213" s="476" t="str">
        <f>B213</f>
        <v>Average Hours/Client</v>
      </c>
      <c r="X213" s="269">
        <v>1</v>
      </c>
      <c r="Y213" s="268">
        <v>1</v>
      </c>
      <c r="Z213" s="268">
        <v>1</v>
      </c>
      <c r="AA213" s="268">
        <v>1</v>
      </c>
      <c r="AB213" s="268">
        <v>1</v>
      </c>
      <c r="AC213" s="268">
        <v>1</v>
      </c>
      <c r="AD213" s="268">
        <v>1</v>
      </c>
      <c r="AE213" s="268">
        <v>1</v>
      </c>
      <c r="AF213" s="268">
        <v>1</v>
      </c>
      <c r="AG213" s="268">
        <v>1</v>
      </c>
      <c r="AH213" s="268">
        <v>1</v>
      </c>
      <c r="AI213" s="270">
        <v>1</v>
      </c>
      <c r="AJ213" s="274">
        <f>IF('Input &amp; Calc'!V245="","",IF('Input &amp; Calc'!DB212/'Input &amp; Calc'!DB220*0.9/12*'Input &amp; Calc'!DB$51&lt;'Input &amp; Calc'!DB237/'Input &amp; Calc'!DB245,1,IF('Input &amp; Calc'!DB212/'Input &amp; Calc'!DB220*0.75/12*'Input &amp; Calc'!DB$51&gt;'Input &amp; Calc'!DB237/'Input &amp; Calc'!DB245,3,2)))</f>
        <v>1</v>
      </c>
      <c r="AK213" s="273">
        <f>IF('Input &amp; Calc'!W245="","",IF('Input &amp; Calc'!DC212/'Input &amp; Calc'!DC220*0.9/12*'Input &amp; Calc'!DC$51&lt;'Input &amp; Calc'!DC237/'Input &amp; Calc'!DC245,1,IF('Input &amp; Calc'!DC212/'Input &amp; Calc'!DC220*0.75/12*'Input &amp; Calc'!DC$51&gt;'Input &amp; Calc'!DC237/'Input &amp; Calc'!DC245,3,2)))</f>
        <v>1</v>
      </c>
      <c r="AL213" s="273">
        <f>IF('Input &amp; Calc'!X245="","",IF('Input &amp; Calc'!DD212/'Input &amp; Calc'!DD220*0.9/12*'Input &amp; Calc'!DD$51&lt;'Input &amp; Calc'!DD237/'Input &amp; Calc'!DD245,1,IF('Input &amp; Calc'!DD212/'Input &amp; Calc'!DD220*0.75/12*'Input &amp; Calc'!DD$51&gt;'Input &amp; Calc'!DD237/'Input &amp; Calc'!DD245,3,2)))</f>
        <v>1</v>
      </c>
      <c r="AM213" s="273">
        <f>IF('Input &amp; Calc'!Y245="","",IF('Input &amp; Calc'!DE212/'Input &amp; Calc'!DE220*0.9/12*'Input &amp; Calc'!DE$51&lt;'Input &amp; Calc'!DE237/'Input &amp; Calc'!DE245,1,IF('Input &amp; Calc'!DE212/'Input &amp; Calc'!DE220*0.75/12*'Input &amp; Calc'!DE$51&gt;'Input &amp; Calc'!DE237/'Input &amp; Calc'!DE245,3,2)))</f>
        <v>1</v>
      </c>
      <c r="AN213" s="273">
        <f>IF('Input &amp; Calc'!Z245="","",IF('Input &amp; Calc'!DF212/'Input &amp; Calc'!DF220*0.9/12*'Input &amp; Calc'!DF$51&lt;'Input &amp; Calc'!DF237/'Input &amp; Calc'!DF245,1,IF('Input &amp; Calc'!DF212/'Input &amp; Calc'!DF220*0.75/12*'Input &amp; Calc'!DF$51&gt;'Input &amp; Calc'!DF237/'Input &amp; Calc'!DF245,3,2)))</f>
        <v>1</v>
      </c>
      <c r="AO213" s="273">
        <f>IF('Input &amp; Calc'!AA245="","",IF('Input &amp; Calc'!DG212/'Input &amp; Calc'!DG220*0.9/12*'Input &amp; Calc'!DG$51&lt;'Input &amp; Calc'!DG237/'Input &amp; Calc'!DG245,1,IF('Input &amp; Calc'!DG212/'Input &amp; Calc'!DG220*0.75/12*'Input &amp; Calc'!DG$51&lt;'Input &amp; Calc'!DG237/'Input &amp; Calc'!DG245,3,2)))</f>
        <v>1</v>
      </c>
      <c r="AP213" s="273">
        <f>IF('Input &amp; Calc'!AB245="","",IF('Input &amp; Calc'!DH212/'Input &amp; Calc'!DH220*0.9/12*'Input &amp; Calc'!DH$51&lt;'Input &amp; Calc'!DH237/'Input &amp; Calc'!DH245,1,IF('Input &amp; Calc'!DH212/'Input &amp; Calc'!DH220*0.75/12*'Input &amp; Calc'!DH$51&lt;'Input &amp; Calc'!DH237/'Input &amp; Calc'!DH245,3,2)))</f>
        <v>1</v>
      </c>
      <c r="AQ213" s="273">
        <f>IF('Input &amp; Calc'!AC245="","",IF('Input &amp; Calc'!DI212/'Input &amp; Calc'!DI220*0.9/12*'Input &amp; Calc'!DI$51&lt;'Input &amp; Calc'!DI237/'Input &amp; Calc'!DI245,1,IF('Input &amp; Calc'!DI212/'Input &amp; Calc'!DI220*0.75/12*'Input &amp; Calc'!DI$51&lt;'Input &amp; Calc'!DI237/'Input &amp; Calc'!DI245,3,2)))</f>
        <v>1</v>
      </c>
      <c r="AR213" s="273">
        <v>2</v>
      </c>
      <c r="AS213" s="273">
        <f>IF('Input &amp; Calc'!AE245="","",IF('Input &amp; Calc'!DK212/'Input &amp; Calc'!DK220*0.9/12*'Input &amp; Calc'!DK$51&lt;'Input &amp; Calc'!DK237/'Input &amp; Calc'!DK245,1,IF('Input &amp; Calc'!DK212/'Input &amp; Calc'!DK220*0.75/12*'Input &amp; Calc'!DK$51&lt;'Input &amp; Calc'!DK237/'Input &amp; Calc'!DK245,3,2)))</f>
        <v>1</v>
      </c>
      <c r="AT213" s="273">
        <f>IF('Input &amp; Calc'!AF245="","",IF('Input &amp; Calc'!DL212/'Input &amp; Calc'!DL220*0.9/12*'Input &amp; Calc'!DL$51&lt;'Input &amp; Calc'!DL237/'Input &amp; Calc'!DL245,1,IF('Input &amp; Calc'!DL212/'Input &amp; Calc'!DL220*0.75/12*'Input &amp; Calc'!DL$51&lt;'Input &amp; Calc'!DL237/'Input &amp; Calc'!DL245,3,2)))</f>
        <v>1</v>
      </c>
      <c r="AU213" s="273">
        <f>IF('Input &amp; Calc'!AG245="","",IF('Input &amp; Calc'!DM212/'Input &amp; Calc'!DM220*0.9/12*'Input &amp; Calc'!DM$51&lt;'Input &amp; Calc'!DM237/'Input &amp; Calc'!DM245,1,IF('Input &amp; Calc'!DM212/'Input &amp; Calc'!DM220*0.75/12*'Input &amp; Calc'!DM$51&gt;'Input &amp; Calc'!DM237/'Input &amp; Calc'!DM245,3,2)))</f>
        <v>2</v>
      </c>
    </row>
    <row r="214" spans="1:47">
      <c r="A214" s="470" t="s">
        <v>109</v>
      </c>
      <c r="B214" s="551" t="s">
        <v>201</v>
      </c>
      <c r="C214" s="521"/>
      <c r="D214" s="522"/>
      <c r="E214" s="529"/>
      <c r="F214" s="520"/>
      <c r="G214" s="558"/>
      <c r="H214" s="453" t="s">
        <v>16</v>
      </c>
      <c r="I214" s="559"/>
      <c r="J214" s="252">
        <f>IF(N214/M214&gt;0.899999999,1,IF(N214/M214&lt;0.75,3,2))</f>
        <v>1</v>
      </c>
      <c r="K214" s="46" t="str">
        <f>'Input &amp; Calc'!EP235</f>
        <v>Ç</v>
      </c>
      <c r="L214" s="490">
        <f>Q214</f>
        <v>0.94999999999999973</v>
      </c>
      <c r="M214" s="490">
        <f>L214</f>
        <v>0.94999999999999973</v>
      </c>
      <c r="N214" s="491">
        <f>'Input &amp; Calc'!EI235</f>
        <v>1</v>
      </c>
      <c r="O214" s="561"/>
      <c r="P214" s="252">
        <f>IF(S214/R214&gt;0.899999999,1,IF(S214/R214&lt;0.75,3,2))</f>
        <v>1</v>
      </c>
      <c r="Q214" s="491">
        <f>'Input &amp; Calc'!EG210</f>
        <v>0.94999999999999973</v>
      </c>
      <c r="R214" s="491">
        <f>Q214</f>
        <v>0.94999999999999973</v>
      </c>
      <c r="S214" s="493">
        <f>'Input &amp; Calc'!EJ235</f>
        <v>1</v>
      </c>
      <c r="T214" s="491">
        <f>S214-R214</f>
        <v>5.0000000000000266E-2</v>
      </c>
      <c r="U214" s="455"/>
      <c r="V214" s="563">
        <f>$V$742</f>
        <v>1</v>
      </c>
      <c r="W214" s="476" t="str">
        <f>B214</f>
        <v>Client satisfaction rating %</v>
      </c>
      <c r="X214" s="269">
        <v>3</v>
      </c>
      <c r="Y214" s="268">
        <v>1</v>
      </c>
      <c r="Z214" s="268">
        <v>1</v>
      </c>
      <c r="AA214" s="268">
        <v>1</v>
      </c>
      <c r="AB214" s="268">
        <v>1</v>
      </c>
      <c r="AC214" s="268">
        <v>1</v>
      </c>
      <c r="AD214" s="268">
        <v>1</v>
      </c>
      <c r="AE214" s="268">
        <v>1</v>
      </c>
      <c r="AF214" s="268">
        <v>1</v>
      </c>
      <c r="AG214" s="268">
        <v>1</v>
      </c>
      <c r="AH214" s="268">
        <v>1</v>
      </c>
      <c r="AI214" s="270">
        <v>1</v>
      </c>
      <c r="AJ214" s="268">
        <f>IF('Input &amp; Calc'!V235="","",IF('Input &amp; Calc'!DB210*0.9&lt;'Input &amp; Calc'!DB235,1,IF('Input &amp; Calc'!DB210*0.75&gt;'Input &amp; Calc'!DB235,3,2)))</f>
        <v>1</v>
      </c>
      <c r="AK214" s="268">
        <f>IF('Input &amp; Calc'!W235="","",IF('Input &amp; Calc'!DC210*0.9&lt;'Input &amp; Calc'!DC235,1,IF('Input &amp; Calc'!DC210*0.75&gt;'Input &amp; Calc'!DC235,3,2)))</f>
        <v>1</v>
      </c>
      <c r="AL214" s="268">
        <f>IF('Input &amp; Calc'!X235="","",IF('Input &amp; Calc'!DD210*0.9&lt;'Input &amp; Calc'!DD235,1,IF('Input &amp; Calc'!DD210*0.75&gt;'Input &amp; Calc'!DD235,3,2)))</f>
        <v>1</v>
      </c>
      <c r="AM214" s="268">
        <f>IF('Input &amp; Calc'!Y235="","",IF('Input &amp; Calc'!DE210*0.9&lt;'Input &amp; Calc'!DE235,1,IF('Input &amp; Calc'!DE210*0.75&gt;'Input &amp; Calc'!DE235,3,2)))</f>
        <v>1</v>
      </c>
      <c r="AN214" s="268">
        <f>IF('Input &amp; Calc'!Z235="","",IF('Input &amp; Calc'!DF210*0.9&lt;'Input &amp; Calc'!DF235,1,IF('Input &amp; Calc'!DF210*0.75&gt;'Input &amp; Calc'!DF235,3,2)))</f>
        <v>1</v>
      </c>
      <c r="AO214" s="268">
        <f>IF('Input &amp; Calc'!AA235="","",IF('Input &amp; Calc'!DG210*0.9&lt;'Input &amp; Calc'!DG235,1,IF('Input &amp; Calc'!DG210*0.75&gt;'Input &amp; Calc'!DG235,3,2)))</f>
        <v>1</v>
      </c>
      <c r="AP214" s="268">
        <f>IF('Input &amp; Calc'!AB235="","",IF('Input &amp; Calc'!DH210*0.9&lt;'Input &amp; Calc'!DH235,1,IF('Input &amp; Calc'!DH210*0.75&gt;'Input &amp; Calc'!DH235,3,2)))</f>
        <v>1</v>
      </c>
      <c r="AQ214" s="268">
        <f>IF('Input &amp; Calc'!AC235="","",IF('Input &amp; Calc'!DI210*0.9&lt;'Input &amp; Calc'!DI235,1,IF('Input &amp; Calc'!DI210*0.75&gt;'Input &amp; Calc'!DI235,3,2)))</f>
        <v>1</v>
      </c>
      <c r="AR214" s="268">
        <f>IF('Input &amp; Calc'!AD235="","",IF('Input &amp; Calc'!DJ210*0.9&lt;'Input &amp; Calc'!DJ235,1,IF('Input &amp; Calc'!DJ210*0.75&gt;'Input &amp; Calc'!DJ235,3,2)))</f>
        <v>1</v>
      </c>
      <c r="AS214" s="268">
        <f>IF('Input &amp; Calc'!AE235="","",IF('Input &amp; Calc'!DK210*0.9&lt;'Input &amp; Calc'!DK235,1,IF('Input &amp; Calc'!DK210*0.75&gt;'Input &amp; Calc'!DK235,3,2)))</f>
        <v>1</v>
      </c>
      <c r="AT214" s="268">
        <f>IF('Input &amp; Calc'!AF235="","",IF('Input &amp; Calc'!DL210*0.9&lt;'Input &amp; Calc'!DL235,1,IF('Input &amp; Calc'!DL210*0.75&gt;'Input &amp; Calc'!DL235,3,2)))</f>
        <v>1</v>
      </c>
      <c r="AU214" s="268">
        <f>IF('Input &amp; Calc'!AG235="","",IF('Input &amp; Calc'!DM210*0.9&lt;'Input &amp; Calc'!DM235,1,IF('Input &amp; Calc'!DM210*0.75&gt;'Input &amp; Calc'!DM235,3,2)))</f>
        <v>1</v>
      </c>
    </row>
    <row r="215" spans="1:47" s="465" customFormat="1">
      <c r="A215" s="620" t="s">
        <v>207</v>
      </c>
      <c r="B215" s="551" t="s">
        <v>227</v>
      </c>
      <c r="C215" s="523"/>
      <c r="D215" s="524"/>
      <c r="E215" s="525"/>
      <c r="F215" s="515">
        <f>'Input &amp; Calc'!EH852</f>
        <v>0</v>
      </c>
      <c r="G215" s="451"/>
      <c r="H215" s="453" t="s">
        <v>16</v>
      </c>
      <c r="I215" s="560"/>
      <c r="J215" s="521"/>
      <c r="K215" s="522"/>
      <c r="L215" s="530"/>
      <c r="M215" s="531"/>
      <c r="N215" s="516">
        <f>'Input &amp; Calc'!EI852</f>
        <v>5</v>
      </c>
      <c r="O215" s="562"/>
      <c r="P215" s="521"/>
      <c r="Q215" s="536"/>
      <c r="R215" s="537"/>
      <c r="S215" s="517">
        <f>'Input &amp; Calc'!EJ852</f>
        <v>5</v>
      </c>
      <c r="T215" s="542"/>
      <c r="U215" s="543"/>
      <c r="V215" s="544"/>
      <c r="W215" s="554" t="s">
        <v>227</v>
      </c>
      <c r="X215" s="271"/>
      <c r="Y215" s="268"/>
      <c r="Z215" s="268"/>
      <c r="AA215" s="268"/>
      <c r="AB215" s="268"/>
      <c r="AC215" s="268"/>
      <c r="AD215" s="268"/>
      <c r="AE215" s="268"/>
      <c r="AF215" s="268"/>
      <c r="AG215" s="268"/>
      <c r="AH215" s="268"/>
      <c r="AI215" s="270"/>
      <c r="AJ215" s="268"/>
      <c r="AK215" s="268"/>
      <c r="AL215" s="268"/>
      <c r="AM215" s="268"/>
      <c r="AN215" s="268"/>
      <c r="AO215" s="268"/>
      <c r="AP215" s="268"/>
      <c r="AQ215" s="268"/>
      <c r="AR215" s="268"/>
      <c r="AS215" s="268"/>
      <c r="AT215" s="268"/>
      <c r="AU215" s="268"/>
    </row>
    <row r="216" spans="1:47" s="465" customFormat="1">
      <c r="A216" s="620"/>
      <c r="B216" s="551" t="s">
        <v>228</v>
      </c>
      <c r="C216" s="523"/>
      <c r="D216" s="524"/>
      <c r="E216" s="525"/>
      <c r="F216" s="515">
        <f>'Input &amp; Calc'!EH868</f>
        <v>0</v>
      </c>
      <c r="G216" s="451"/>
      <c r="H216" s="453" t="s">
        <v>16</v>
      </c>
      <c r="I216" s="560"/>
      <c r="J216" s="523"/>
      <c r="K216" s="524"/>
      <c r="L216" s="532"/>
      <c r="M216" s="533"/>
      <c r="N216" s="516">
        <f>'Input &amp; Calc'!EI868</f>
        <v>6</v>
      </c>
      <c r="O216" s="562"/>
      <c r="P216" s="523"/>
      <c r="Q216" s="538"/>
      <c r="R216" s="539"/>
      <c r="S216" s="517">
        <f>'Input &amp; Calc'!EJ868</f>
        <v>6</v>
      </c>
      <c r="T216" s="545"/>
      <c r="U216" s="546"/>
      <c r="V216" s="547"/>
      <c r="W216" s="554" t="s">
        <v>228</v>
      </c>
      <c r="X216" s="271"/>
      <c r="Y216" s="268"/>
      <c r="Z216" s="268"/>
      <c r="AA216" s="268"/>
      <c r="AB216" s="268"/>
      <c r="AC216" s="268"/>
      <c r="AD216" s="268"/>
      <c r="AE216" s="268"/>
      <c r="AF216" s="268"/>
      <c r="AG216" s="268"/>
      <c r="AH216" s="268"/>
      <c r="AI216" s="270"/>
      <c r="AJ216" s="268"/>
      <c r="AK216" s="268"/>
      <c r="AL216" s="268"/>
      <c r="AM216" s="268"/>
      <c r="AN216" s="268"/>
      <c r="AO216" s="268"/>
      <c r="AP216" s="268"/>
      <c r="AQ216" s="268"/>
      <c r="AR216" s="268"/>
      <c r="AS216" s="268"/>
      <c r="AT216" s="268"/>
      <c r="AU216" s="268"/>
    </row>
    <row r="217" spans="1:47" s="465" customFormat="1">
      <c r="A217" s="620"/>
      <c r="B217" s="551" t="s">
        <v>234</v>
      </c>
      <c r="C217" s="526"/>
      <c r="D217" s="527"/>
      <c r="E217" s="528"/>
      <c r="F217" s="495">
        <f>'Input &amp; Calc'!EH883</f>
        <v>0</v>
      </c>
      <c r="G217" s="451"/>
      <c r="H217" s="453" t="s">
        <v>16</v>
      </c>
      <c r="I217" s="560"/>
      <c r="J217" s="526"/>
      <c r="K217" s="527"/>
      <c r="L217" s="534"/>
      <c r="M217" s="535"/>
      <c r="N217" s="496">
        <f>'Input &amp; Calc'!EI883</f>
        <v>0</v>
      </c>
      <c r="O217" s="562"/>
      <c r="P217" s="526"/>
      <c r="Q217" s="540"/>
      <c r="R217" s="541"/>
      <c r="S217" s="497">
        <f>'Input &amp; Calc'!EJ883</f>
        <v>0</v>
      </c>
      <c r="T217" s="548"/>
      <c r="U217" s="549"/>
      <c r="V217" s="550"/>
      <c r="W217" s="554" t="s">
        <v>208</v>
      </c>
      <c r="X217" s="271"/>
      <c r="Y217" s="268"/>
      <c r="Z217" s="268"/>
      <c r="AA217" s="268"/>
      <c r="AB217" s="268"/>
      <c r="AC217" s="268"/>
      <c r="AD217" s="268"/>
      <c r="AE217" s="268"/>
      <c r="AF217" s="268"/>
      <c r="AG217" s="268"/>
      <c r="AH217" s="268"/>
      <c r="AI217" s="270"/>
      <c r="AJ217" s="268"/>
      <c r="AK217" s="268"/>
      <c r="AL217" s="268"/>
      <c r="AM217" s="268"/>
      <c r="AN217" s="268"/>
      <c r="AO217" s="268"/>
      <c r="AP217" s="268"/>
      <c r="AQ217" s="268"/>
      <c r="AR217" s="268"/>
      <c r="AS217" s="268"/>
      <c r="AT217" s="268"/>
      <c r="AU217" s="268"/>
    </row>
    <row r="218" spans="1:47" ht="16.5" thickBot="1">
      <c r="A218" s="86" t="s">
        <v>139</v>
      </c>
      <c r="B218" s="321"/>
      <c r="C218" s="645" t="s">
        <v>164</v>
      </c>
      <c r="D218" s="645"/>
      <c r="E218" s="87" t="s">
        <v>140</v>
      </c>
      <c r="F218" s="448"/>
      <c r="G218" s="448"/>
      <c r="H218" s="645" t="s">
        <v>165</v>
      </c>
      <c r="I218" s="645"/>
      <c r="J218" s="645"/>
      <c r="K218" s="88" t="s">
        <v>141</v>
      </c>
      <c r="L218" s="448"/>
      <c r="M218" s="448"/>
      <c r="N218" s="647" t="s">
        <v>166</v>
      </c>
      <c r="O218" s="647"/>
      <c r="P218" s="647"/>
      <c r="Q218" s="89" t="s">
        <v>142</v>
      </c>
      <c r="R218" s="257"/>
      <c r="S218" s="68"/>
      <c r="T218" s="68"/>
      <c r="U218" s="69"/>
      <c r="V218" s="69"/>
      <c r="W218" s="69"/>
      <c r="X218" s="464"/>
      <c r="Y218" s="464"/>
      <c r="Z218" s="464"/>
      <c r="AA218" s="464"/>
      <c r="AB218" s="464"/>
      <c r="AC218" s="464"/>
      <c r="AD218" s="464"/>
      <c r="AE218" s="464"/>
      <c r="AF218" s="464"/>
      <c r="AG218" s="464"/>
      <c r="AH218" s="464"/>
      <c r="AI218" s="464"/>
      <c r="AJ218" s="464"/>
      <c r="AK218" s="464"/>
      <c r="AL218" s="464"/>
      <c r="AM218" s="464"/>
      <c r="AN218" s="464"/>
      <c r="AO218" s="464"/>
      <c r="AP218" s="464"/>
      <c r="AQ218" s="464"/>
      <c r="AR218" s="464"/>
      <c r="AS218" s="464"/>
      <c r="AT218" s="464"/>
      <c r="AU218" s="464"/>
    </row>
    <row r="219" spans="1:47">
      <c r="A219" s="519" t="s">
        <v>229</v>
      </c>
    </row>
    <row r="220" spans="1:47" hidden="1"/>
    <row r="221" spans="1:47" hidden="1"/>
    <row r="222" spans="1:47" hidden="1"/>
    <row r="223" spans="1:47" hidden="1"/>
    <row r="224" spans="1:47"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spans="1:47" hidden="1"/>
    <row r="258" spans="1:47" hidden="1"/>
    <row r="259" spans="1:47" hidden="1"/>
    <row r="260" spans="1:47" hidden="1"/>
    <row r="261" spans="1:47" hidden="1"/>
    <row r="262" spans="1:47" hidden="1"/>
    <row r="263" spans="1:47" hidden="1"/>
    <row r="264" spans="1:47" hidden="1"/>
    <row r="265" spans="1:47">
      <c r="A265" s="76" t="s">
        <v>148</v>
      </c>
      <c r="B265" s="76"/>
      <c r="C265" s="77"/>
      <c r="D265" s="77"/>
      <c r="E265" s="78"/>
      <c r="F265" s="67"/>
      <c r="G265" s="77"/>
      <c r="H265" s="77"/>
      <c r="I265" s="77"/>
      <c r="J265" s="106" t="str">
        <f>'Input &amp; Calc'!A265</f>
        <v>Logan SBDC</v>
      </c>
      <c r="K265" s="77"/>
      <c r="L265" s="78"/>
      <c r="M265" s="78"/>
      <c r="N265" s="77"/>
      <c r="O265" s="77"/>
      <c r="P265" s="67"/>
      <c r="Q265" s="105" t="s">
        <v>146</v>
      </c>
      <c r="R265" s="105"/>
      <c r="S265" s="106" t="str">
        <f>'Input &amp; Calc'!C265</f>
        <v>Frank Prante</v>
      </c>
      <c r="T265" s="79"/>
      <c r="U265" s="80"/>
      <c r="V265" s="80"/>
      <c r="W265" s="76"/>
      <c r="X265" s="469"/>
      <c r="Y265" s="469"/>
      <c r="Z265" s="469"/>
      <c r="AA265" s="469"/>
      <c r="AB265" s="469"/>
      <c r="AC265" s="469"/>
      <c r="AD265" s="469"/>
      <c r="AJ265" s="502" t="str">
        <f>J265</f>
        <v>Logan SBDC</v>
      </c>
      <c r="AK265" s="502"/>
      <c r="AL265" s="502"/>
      <c r="AM265" s="503" t="s">
        <v>146</v>
      </c>
      <c r="AN265" s="502" t="str">
        <f>S265</f>
        <v>Frank Prante</v>
      </c>
      <c r="AP265" s="469"/>
      <c r="AQ265" s="464"/>
      <c r="AR265" s="464"/>
      <c r="AS265" s="464"/>
      <c r="AT265" s="464"/>
      <c r="AU265" s="464"/>
    </row>
    <row r="266" spans="1:47">
      <c r="A266" s="81" t="s">
        <v>205</v>
      </c>
      <c r="B266" s="322"/>
      <c r="C266" s="82"/>
      <c r="D266" s="82"/>
      <c r="E266" s="83"/>
      <c r="F266" s="82"/>
      <c r="G266" s="82"/>
      <c r="H266" s="82"/>
      <c r="I266" s="82"/>
      <c r="J266" s="82"/>
      <c r="K266" s="82"/>
      <c r="L266" s="83"/>
      <c r="M266" s="83"/>
      <c r="N266" s="82"/>
      <c r="O266" s="82"/>
      <c r="P266" s="84"/>
      <c r="Q266" s="82"/>
      <c r="R266" s="82"/>
      <c r="S266" s="82"/>
      <c r="T266" s="82"/>
      <c r="U266" s="128"/>
      <c r="V266" s="128"/>
      <c r="W266" s="322"/>
      <c r="X266" s="464"/>
      <c r="Y266" s="464"/>
      <c r="Z266" s="464"/>
      <c r="AA266" s="464"/>
      <c r="AB266" s="464"/>
      <c r="AC266" s="464"/>
      <c r="AD266" s="464"/>
      <c r="AE266" s="464"/>
      <c r="AF266" s="464"/>
      <c r="AG266" s="464"/>
      <c r="AH266" s="464"/>
      <c r="AI266" s="464"/>
      <c r="AJ266" s="464"/>
      <c r="AK266" s="464"/>
      <c r="AL266" s="464"/>
      <c r="AM266" s="464"/>
      <c r="AN266" s="464"/>
      <c r="AO266" s="464"/>
      <c r="AP266" s="464"/>
      <c r="AQ266" s="464"/>
      <c r="AR266" s="464"/>
      <c r="AS266" s="464"/>
      <c r="AT266" s="464"/>
      <c r="AU266" s="464"/>
    </row>
    <row r="267" spans="1:47" ht="16.5" thickBot="1"/>
    <row r="268" spans="1:47" ht="14.25" customHeight="1" thickBot="1">
      <c r="A268" s="96" t="s">
        <v>134</v>
      </c>
      <c r="B268" s="460"/>
      <c r="C268" s="90"/>
      <c r="D268" s="93" t="s">
        <v>238</v>
      </c>
      <c r="E268" s="94">
        <f>'Input &amp; Calc'!I265</f>
        <v>40391</v>
      </c>
      <c r="F268" s="95"/>
      <c r="G268" s="92"/>
      <c r="H268" s="92"/>
      <c r="I268" s="92"/>
      <c r="J268" s="90"/>
      <c r="K268" s="90"/>
      <c r="L268" s="93" t="s">
        <v>237</v>
      </c>
      <c r="M268" s="93"/>
      <c r="N268" s="463"/>
      <c r="O268" s="92"/>
      <c r="P268" s="90"/>
      <c r="Q268" s="90"/>
      <c r="R268" s="90"/>
      <c r="S268" s="91" t="s">
        <v>133</v>
      </c>
      <c r="T268" s="103">
        <f>'Input &amp; Calc'!EK265</f>
        <v>11</v>
      </c>
      <c r="U268" s="325" t="s">
        <v>159</v>
      </c>
      <c r="V268" s="104"/>
      <c r="W268" s="70"/>
      <c r="X268" s="70"/>
      <c r="Y268" s="70"/>
      <c r="Z268" s="70"/>
      <c r="AA268" s="70"/>
      <c r="AB268" s="70"/>
      <c r="AC268" s="70"/>
      <c r="AD268" s="70"/>
      <c r="AE268" s="70"/>
      <c r="AF268" s="70"/>
      <c r="AG268" s="70"/>
      <c r="AH268" s="70"/>
      <c r="AI268" s="70"/>
      <c r="AJ268" s="70"/>
      <c r="AK268" s="70"/>
      <c r="AL268" s="70"/>
      <c r="AM268" s="464"/>
      <c r="AN268" s="464"/>
      <c r="AO268" s="464"/>
      <c r="AP268" s="464"/>
      <c r="AQ268" s="464"/>
      <c r="AR268" s="464"/>
      <c r="AS268" s="464"/>
      <c r="AT268" s="464"/>
      <c r="AU268" s="464"/>
    </row>
    <row r="269" spans="1:47" ht="13.5" customHeight="1" thickBot="1">
      <c r="A269" s="636" t="s">
        <v>99</v>
      </c>
      <c r="B269" s="638" t="s">
        <v>100</v>
      </c>
      <c r="C269" s="621" t="s">
        <v>101</v>
      </c>
      <c r="D269" s="621" t="s">
        <v>104</v>
      </c>
      <c r="E269" s="643" t="s">
        <v>105</v>
      </c>
      <c r="F269" s="621" t="s">
        <v>106</v>
      </c>
      <c r="G269" s="449"/>
      <c r="H269" s="638" t="s">
        <v>137</v>
      </c>
      <c r="I269" s="449"/>
      <c r="J269" s="621" t="s">
        <v>101</v>
      </c>
      <c r="K269" s="621" t="s">
        <v>104</v>
      </c>
      <c r="L269" s="621" t="s">
        <v>192</v>
      </c>
      <c r="M269" s="638" t="s">
        <v>194</v>
      </c>
      <c r="N269" s="621" t="s">
        <v>193</v>
      </c>
      <c r="O269" s="449"/>
      <c r="P269" s="642" t="s">
        <v>101</v>
      </c>
      <c r="Q269" s="638" t="s">
        <v>102</v>
      </c>
      <c r="R269" s="638" t="s">
        <v>191</v>
      </c>
      <c r="S269" s="638" t="s">
        <v>103</v>
      </c>
      <c r="T269" s="639" t="s">
        <v>131</v>
      </c>
      <c r="U269" s="641" t="s">
        <v>209</v>
      </c>
      <c r="V269" s="623" t="s">
        <v>203</v>
      </c>
      <c r="W269" s="70"/>
      <c r="X269" s="464"/>
      <c r="Y269" s="464"/>
      <c r="Z269" s="464"/>
      <c r="AA269" s="640"/>
      <c r="AB269" s="640"/>
      <c r="AC269" s="640"/>
      <c r="AD269" s="640"/>
      <c r="AE269" s="640"/>
      <c r="AF269" s="640"/>
      <c r="AG269" s="640"/>
      <c r="AH269" s="640"/>
      <c r="AI269" s="640"/>
      <c r="AJ269" s="640"/>
      <c r="AK269" s="640"/>
      <c r="AL269" s="640"/>
      <c r="AM269" s="630" t="s">
        <v>149</v>
      </c>
      <c r="AN269" s="631"/>
      <c r="AO269" s="631"/>
      <c r="AP269" s="631"/>
      <c r="AQ269" s="631"/>
      <c r="AR269" s="631"/>
      <c r="AS269" s="631"/>
      <c r="AT269" s="631"/>
      <c r="AU269" s="632"/>
    </row>
    <row r="270" spans="1:47" ht="12.75" customHeight="1" thickBot="1">
      <c r="A270" s="637"/>
      <c r="B270" s="621"/>
      <c r="C270" s="622"/>
      <c r="D270" s="622"/>
      <c r="E270" s="644"/>
      <c r="F270" s="622"/>
      <c r="G270" s="449"/>
      <c r="H270" s="638"/>
      <c r="I270" s="449"/>
      <c r="J270" s="650"/>
      <c r="K270" s="622"/>
      <c r="L270" s="622"/>
      <c r="M270" s="638"/>
      <c r="N270" s="622"/>
      <c r="O270" s="449"/>
      <c r="P270" s="642"/>
      <c r="Q270" s="638"/>
      <c r="R270" s="638"/>
      <c r="S270" s="638"/>
      <c r="T270" s="639"/>
      <c r="U270" s="641"/>
      <c r="V270" s="624"/>
      <c r="W270" s="452" t="s">
        <v>100</v>
      </c>
      <c r="X270" s="473">
        <v>39630</v>
      </c>
      <c r="Y270" s="473">
        <v>39661</v>
      </c>
      <c r="Z270" s="473">
        <v>39692</v>
      </c>
      <c r="AA270" s="473">
        <v>39722</v>
      </c>
      <c r="AB270" s="473">
        <v>39753</v>
      </c>
      <c r="AC270" s="473">
        <v>39783</v>
      </c>
      <c r="AD270" s="473">
        <v>39814</v>
      </c>
      <c r="AE270" s="473">
        <v>39845</v>
      </c>
      <c r="AF270" s="473">
        <v>39873</v>
      </c>
      <c r="AG270" s="473">
        <v>39904</v>
      </c>
      <c r="AH270" s="473">
        <v>39934</v>
      </c>
      <c r="AI270" s="473">
        <v>39965</v>
      </c>
      <c r="AJ270" s="473">
        <v>39995</v>
      </c>
      <c r="AK270" s="473">
        <v>40026</v>
      </c>
      <c r="AL270" s="474">
        <v>40057</v>
      </c>
      <c r="AM270" s="471">
        <v>40087</v>
      </c>
      <c r="AN270" s="450">
        <v>40118</v>
      </c>
      <c r="AO270" s="450">
        <v>40148</v>
      </c>
      <c r="AP270" s="450">
        <v>40179</v>
      </c>
      <c r="AQ270" s="450">
        <v>40210</v>
      </c>
      <c r="AR270" s="450">
        <v>40238</v>
      </c>
      <c r="AS270" s="450">
        <v>40269</v>
      </c>
      <c r="AT270" s="450">
        <v>40299</v>
      </c>
      <c r="AU270" s="472">
        <v>40330</v>
      </c>
    </row>
    <row r="271" spans="1:47" ht="26.25">
      <c r="A271" s="470" t="s">
        <v>196</v>
      </c>
      <c r="B271" s="555" t="s">
        <v>132</v>
      </c>
      <c r="C271" s="252">
        <f>IF(F271/E271&gt;0.899999999,1,IF(F271/E271&lt;0.75,3,2))</f>
        <v>3</v>
      </c>
      <c r="D271" s="46" t="str">
        <f>'Input &amp; Calc'!EO292</f>
        <v>È</v>
      </c>
      <c r="E271" s="590">
        <f>'Input &amp; Calc'!EE269</f>
        <v>5.4160000000000004</v>
      </c>
      <c r="F271" s="567">
        <f>'Input &amp; Calc'!EH292</f>
        <v>1</v>
      </c>
      <c r="G271" s="591"/>
      <c r="H271" s="592" t="s">
        <v>16</v>
      </c>
      <c r="I271" s="593"/>
      <c r="J271" s="594">
        <f>IF(N271/M271&gt;0.899999999,1,IF(N271/M271&lt;0.75,3,2))</f>
        <v>3</v>
      </c>
      <c r="K271" s="595" t="str">
        <f>'Input &amp; Calc'!EP292</f>
        <v>È</v>
      </c>
      <c r="L271" s="589">
        <f>Q271/4</f>
        <v>16.248166666666663</v>
      </c>
      <c r="M271" s="589">
        <f>L271/3*$T$3</f>
        <v>10.832111111111109</v>
      </c>
      <c r="N271" s="565">
        <f>'Input &amp; Calc'!EI292</f>
        <v>8</v>
      </c>
      <c r="O271" s="596"/>
      <c r="P271" s="594">
        <f>IF(S271/R271&gt;0.899999999,1,IF(S271/R271&lt;0.75,3,2))</f>
        <v>2</v>
      </c>
      <c r="Q271" s="565">
        <f>'Input &amp; Calc'!EG269</f>
        <v>64.992666666666651</v>
      </c>
      <c r="R271" s="565">
        <f>Q271/12*$T$4</f>
        <v>59.576611111111099</v>
      </c>
      <c r="S271" s="566">
        <f>'Input &amp; Calc'!EJ292</f>
        <v>45</v>
      </c>
      <c r="T271" s="488">
        <f>S271/R271</f>
        <v>0.75532997195954055</v>
      </c>
      <c r="U271" s="455"/>
      <c r="V271" s="563">
        <f>$V$733</f>
        <v>1</v>
      </c>
      <c r="W271" s="554" t="str">
        <f>B271</f>
        <v># of Ext Engag Clients; &gt;5 Hrs contact since 10/05</v>
      </c>
      <c r="X271" s="268">
        <v>1</v>
      </c>
      <c r="Y271" s="268">
        <v>1</v>
      </c>
      <c r="Z271" s="268">
        <v>1</v>
      </c>
      <c r="AA271" s="268">
        <v>1</v>
      </c>
      <c r="AB271" s="268">
        <v>1</v>
      </c>
      <c r="AC271" s="268">
        <v>1</v>
      </c>
      <c r="AD271" s="268">
        <v>1</v>
      </c>
      <c r="AE271" s="268">
        <v>1</v>
      </c>
      <c r="AF271" s="268">
        <v>1</v>
      </c>
      <c r="AG271" s="268">
        <v>1</v>
      </c>
      <c r="AH271" s="268">
        <v>1</v>
      </c>
      <c r="AI271" s="268">
        <v>1</v>
      </c>
      <c r="AJ271" s="268">
        <f>IF('Input &amp; Calc'!V292="","",IF('Input &amp; Calc'!DB292/'Input &amp; Calc'!DB269&gt;=0.9,1,IF('Input &amp; Calc'!DB292/'Input &amp; Calc'!DB269&lt;0.75,3,2)))</f>
        <v>1</v>
      </c>
      <c r="AK271" s="268">
        <f>IF('Input &amp; Calc'!W292="","",IF('Input &amp; Calc'!DC292/'Input &amp; Calc'!DC269&gt;=0.9,1,IF('Input &amp; Calc'!DC292/'Input &amp; Calc'!DC269&lt;0.75,3,2)))</f>
        <v>1</v>
      </c>
      <c r="AL271" s="270">
        <f>IF('Input &amp; Calc'!X292="","",IF('Input &amp; Calc'!DD292/'Input &amp; Calc'!DD269&gt;=0.9,1,IF('Input &amp; Calc'!DD292/'Input &amp; Calc'!DD269&lt;0.75,3,2)))</f>
        <v>1</v>
      </c>
      <c r="AM271" s="268">
        <f>IF('Input &amp; Calc'!Y292="","",IF('Input &amp; Calc'!DE292/'Input &amp; Calc'!DE269&gt;=0.9,1,IF('Input &amp; Calc'!DE292/'Input &amp; Calc'!DE269&lt;0.75,3,2)))</f>
        <v>1</v>
      </c>
      <c r="AN271" s="268">
        <f>IF('Input &amp; Calc'!Z292="","",IF('Input &amp; Calc'!DF292/'Input &amp; Calc'!DF269&gt;=0.9,1,IF('Input &amp; Calc'!DF292/'Input &amp; Calc'!DF269&lt;0.75,3,2)))</f>
        <v>1</v>
      </c>
      <c r="AO271" s="271">
        <f>IF('Input &amp; Calc'!AA292="","",IF('Input &amp; Calc'!DG292/'Input &amp; Calc'!DG269&gt;=0.9,1,IF('Input &amp; Calc'!DG292/'Input &amp; Calc'!DG269&lt;0.75,3,2)))</f>
        <v>1</v>
      </c>
      <c r="AP271" s="271">
        <f>IF('Input &amp; Calc'!AB292="","",IF('Input &amp; Calc'!DH292/'Input &amp; Calc'!DH269&lt;=0.9,1,IF('Input &amp; Calc'!DH292/'Input &amp; Calc'!DH269&lt;0.75,3,2)))</f>
        <v>2</v>
      </c>
      <c r="AQ271" s="271">
        <f>IF('Input &amp; Calc'!AC292="","",IF('Input &amp; Calc'!DI292/'Input &amp; Calc'!DI269&lt;=0.9,1,IF('Input &amp; Calc'!DI292/'Input &amp; Calc'!DI269&lt;0.75,3,2)))</f>
        <v>2</v>
      </c>
      <c r="AR271" s="271">
        <f>IF('Input &amp; Calc'!AD292="","",IF('Input &amp; Calc'!DJ292/'Input &amp; Calc'!DJ269&gt;=0.9,1,IF('Input &amp; Calc'!DJ292/'Input &amp; Calc'!DJ269&lt;0.75,3,2)))</f>
        <v>2</v>
      </c>
      <c r="AS271" s="271">
        <f>IF('Input &amp; Calc'!AE292="","",IF('Input &amp; Calc'!DK292/'Input &amp; Calc'!DK269&gt;=0.9,1,IF('Input &amp; Calc'!DK292/'Input &amp; Calc'!DK269&lt;0.75,3,2)))</f>
        <v>2</v>
      </c>
      <c r="AT271" s="271">
        <f>IF('Input &amp; Calc'!AF292="","",IF('Input &amp; Calc'!DL292/'Input &amp; Calc'!DL269&gt;=0.9,1,IF('Input &amp; Calc'!DL292/'Input &amp; Calc'!DL269&lt;0.75,3,2)))</f>
        <v>2</v>
      </c>
      <c r="AU271" s="271">
        <v>1</v>
      </c>
    </row>
    <row r="272" spans="1:47">
      <c r="A272" s="633" t="s">
        <v>206</v>
      </c>
      <c r="B272" s="556" t="s">
        <v>107</v>
      </c>
      <c r="C272" s="252">
        <f>IF(F272/E272&gt;0.899999999,1,IF(F272/E272&lt;0.75,3,2))</f>
        <v>1</v>
      </c>
      <c r="D272" s="97" t="str">
        <f>'Input &amp; Calc'!EO294</f>
        <v>Ç</v>
      </c>
      <c r="E272" s="590">
        <f>'Input &amp; Calc'!EE271</f>
        <v>0.91660000000000075</v>
      </c>
      <c r="F272" s="567">
        <f>'Input &amp; Calc'!EH294</f>
        <v>1</v>
      </c>
      <c r="G272" s="591"/>
      <c r="H272" s="592" t="s">
        <v>16</v>
      </c>
      <c r="I272" s="593"/>
      <c r="J272" s="594">
        <f>IF(N272/M272&gt;0.899999999,1,IF(N272/M272&lt;0.75,3,2))</f>
        <v>1</v>
      </c>
      <c r="K272" s="597" t="str">
        <f>'Input &amp; Calc'!EP294</f>
        <v>Ç</v>
      </c>
      <c r="L272" s="589">
        <f>Q272/4</f>
        <v>2.7498000000000005</v>
      </c>
      <c r="M272" s="589">
        <f>L272/3*$T$3</f>
        <v>1.8332000000000004</v>
      </c>
      <c r="N272" s="565">
        <f>'Input &amp; Calc'!EI294</f>
        <v>5</v>
      </c>
      <c r="O272" s="596"/>
      <c r="P272" s="594">
        <f>IF(S272/R272&gt;0.899999999,1,IF(S272/R272&lt;0.75,3,2))</f>
        <v>1</v>
      </c>
      <c r="Q272" s="565">
        <f>'Input &amp; Calc'!EG271</f>
        <v>10.999200000000002</v>
      </c>
      <c r="R272" s="602">
        <f>Q272/12*$T$4</f>
        <v>10.082600000000003</v>
      </c>
      <c r="S272" s="566">
        <f>'Input &amp; Calc'!EJ294</f>
        <v>35</v>
      </c>
      <c r="T272" s="488">
        <f>S272/R272</f>
        <v>3.4713268402991284</v>
      </c>
      <c r="U272" s="455"/>
      <c r="V272" s="563">
        <f>$V$734</f>
        <v>1</v>
      </c>
      <c r="W272" s="554" t="str">
        <f>B272</f>
        <v># of Business Starts</v>
      </c>
      <c r="X272" s="268">
        <v>1</v>
      </c>
      <c r="Y272" s="268">
        <v>1</v>
      </c>
      <c r="Z272" s="268">
        <v>1</v>
      </c>
      <c r="AA272" s="268">
        <v>1</v>
      </c>
      <c r="AB272" s="272">
        <v>1</v>
      </c>
      <c r="AC272" s="272">
        <v>1</v>
      </c>
      <c r="AD272" s="272">
        <v>1</v>
      </c>
      <c r="AE272" s="272">
        <v>1</v>
      </c>
      <c r="AF272" s="272">
        <v>1</v>
      </c>
      <c r="AG272" s="272">
        <v>1</v>
      </c>
      <c r="AH272" s="272">
        <v>1</v>
      </c>
      <c r="AI272" s="272">
        <v>1</v>
      </c>
      <c r="AJ272" s="272">
        <f>IF('Input &amp; Calc'!V292="","",IF('Input &amp; Calc'!DB294/'Input &amp; Calc'!DB271&gt;=0.9,1,IF('Input &amp; Calc'!DB294/'Input &amp; Calc'!DB271&lt;0.75,3,2)))</f>
        <v>1</v>
      </c>
      <c r="AK272" s="272">
        <f>IF('Input &amp; Calc'!W292="","",IF('Input &amp; Calc'!DC294/'Input &amp; Calc'!DC271&gt;=0.9,1,IF('Input &amp; Calc'!DC294/'Input &amp; Calc'!DC271&lt;0.75,3,2)))</f>
        <v>1</v>
      </c>
      <c r="AL272" s="272">
        <f>IF('Input &amp; Calc'!X292="","",IF('Input &amp; Calc'!DD294/'Input &amp; Calc'!DD271&gt;=0.9,1,IF('Input &amp; Calc'!DD294/'Input &amp; Calc'!DD271&lt;0.75,3,2)))</f>
        <v>1</v>
      </c>
      <c r="AM272" s="272">
        <f>IF('Input &amp; Calc'!Y292="","",IF('Input &amp; Calc'!DE294/'Input &amp; Calc'!DE271&gt;=0.9,1,IF('Input &amp; Calc'!DE294/'Input &amp; Calc'!DE271&lt;0.75,3,2)))</f>
        <v>1</v>
      </c>
      <c r="AN272" s="272">
        <f>IF('Input &amp; Calc'!Z292="","",IF('Input &amp; Calc'!DF294/'Input &amp; Calc'!DF271&gt;=0.9,1,IF('Input &amp; Calc'!DF294/'Input &amp; Calc'!DF271&lt;0.75,3,2)))</f>
        <v>1</v>
      </c>
      <c r="AO272" s="272">
        <f>IF('Input &amp; Calc'!AA292="","",IF('Input &amp; Calc'!DG294/'Input &amp; Calc'!DG271&gt;=0.9,1,IF('Input &amp; Calc'!DG294/'Input &amp; Calc'!DG271&lt;0.75,3,2)))</f>
        <v>1</v>
      </c>
      <c r="AP272" s="272">
        <f>IF('Input &amp; Calc'!AB292="","",IF('Input &amp; Calc'!DH294/'Input &amp; Calc'!DH271&gt;=0.9,1,IF('Input &amp; Calc'!DH294/'Input &amp; Calc'!DH271&lt;0.75,3,2)))</f>
        <v>1</v>
      </c>
      <c r="AQ272" s="272">
        <f>IF('Input &amp; Calc'!AC292="","",IF('Input &amp; Calc'!DI294/'Input &amp; Calc'!DI271&gt;=0.9,1,IF('Input &amp; Calc'!DI294/'Input &amp; Calc'!DI271&lt;0.75,3,2)))</f>
        <v>1</v>
      </c>
      <c r="AR272" s="272">
        <f>IF('Input &amp; Calc'!AD292="","",IF('Input &amp; Calc'!DJ294/'Input &amp; Calc'!DJ271&gt;=0.9,1,IF('Input &amp; Calc'!DJ294/'Input &amp; Calc'!DJ271&lt;0.75,3,2)))</f>
        <v>1</v>
      </c>
      <c r="AS272" s="272">
        <f>IF('Input &amp; Calc'!AE292="","",IF('Input &amp; Calc'!DK294/'Input &amp; Calc'!DK271&gt;=0.9,1,IF('Input &amp; Calc'!DK294/'Input &amp; Calc'!DK271&lt;0.75,3,2)))</f>
        <v>1</v>
      </c>
      <c r="AT272" s="272">
        <f>IF('Input &amp; Calc'!AF292="","",IF('Input &amp; Calc'!DL294/'Input &amp; Calc'!DL271&gt;=0.9,1,IF('Input &amp; Calc'!DL294/'Input &amp; Calc'!DL271&lt;0.75,3,2)))</f>
        <v>1</v>
      </c>
      <c r="AU272" s="272">
        <f>IF('Input &amp; Calc'!AG292="","",IF('Input &amp; Calc'!DM294/'Input &amp; Calc'!DM271&gt;=0.9,1,IF('Input &amp; Calc'!DM294/'Input &amp; Calc'!DM271&lt;0.75,3,2)))</f>
        <v>1</v>
      </c>
    </row>
    <row r="273" spans="1:47" ht="16.5" thickBot="1">
      <c r="A273" s="634"/>
      <c r="B273" s="557" t="s">
        <v>138</v>
      </c>
      <c r="C273" s="252">
        <f>IF(F273/E273&gt;0.899999999,1,IF(F273/E273&lt;0.75,3,2))</f>
        <v>3</v>
      </c>
      <c r="D273" s="85" t="str">
        <f>'Input &amp; Calc'!EO295</f>
        <v>È</v>
      </c>
      <c r="E273" s="279">
        <f>'Input &amp; Calc'!EE272</f>
        <v>0.13300000000000001</v>
      </c>
      <c r="F273" s="608">
        <f>'Input &amp; Calc'!EH295</f>
        <v>1.3800000000019352E-4</v>
      </c>
      <c r="G273" s="458"/>
      <c r="H273" s="467" t="s">
        <v>16</v>
      </c>
      <c r="I273" s="459"/>
      <c r="J273" s="252">
        <f>IF(N273/M273&gt;0.899999999,1,IF(N273/M273&lt;0.75,3,2))</f>
        <v>3</v>
      </c>
      <c r="K273" s="85" t="str">
        <f>'Input &amp; Calc'!EP295</f>
        <v>È</v>
      </c>
      <c r="L273" s="442">
        <f>Q273/4</f>
        <v>0.39900000000000002</v>
      </c>
      <c r="M273" s="442">
        <f>L273/3*$T$3</f>
        <v>0.26600000000000001</v>
      </c>
      <c r="N273" s="388">
        <f>'Input &amp; Calc'!EI295</f>
        <v>9.6954999999999902E-2</v>
      </c>
      <c r="O273" s="457"/>
      <c r="P273" s="252">
        <f>IF(S273/R273&gt;0.899999999,1,IF(S273/R273&lt;0.75,3,2))</f>
        <v>1</v>
      </c>
      <c r="Q273" s="389">
        <f>'Input &amp; Calc'!EG272</f>
        <v>1.5960000000000001</v>
      </c>
      <c r="R273" s="389">
        <f>Q273/12*$T$4</f>
        <v>1.4630000000000001</v>
      </c>
      <c r="S273" s="487">
        <f>'Input &amp; Calc'!EJ295</f>
        <v>2.917138</v>
      </c>
      <c r="T273" s="488">
        <f>S273/R273</f>
        <v>1.9939425837320572</v>
      </c>
      <c r="U273" s="468"/>
      <c r="V273" s="563">
        <f>$V$735</f>
        <v>1</v>
      </c>
      <c r="W273" s="554" t="str">
        <f>B273</f>
        <v>Capital Infusion $ - Million</v>
      </c>
      <c r="X273" s="275">
        <v>1</v>
      </c>
      <c r="Y273" s="275">
        <v>1</v>
      </c>
      <c r="Z273" s="275">
        <v>1</v>
      </c>
      <c r="AA273" s="275">
        <v>1</v>
      </c>
      <c r="AB273" s="323">
        <v>1</v>
      </c>
      <c r="AC273" s="323">
        <v>2</v>
      </c>
      <c r="AD273" s="323">
        <v>3</v>
      </c>
      <c r="AE273" s="323">
        <v>3</v>
      </c>
      <c r="AF273" s="323">
        <v>3</v>
      </c>
      <c r="AG273" s="323">
        <v>1</v>
      </c>
      <c r="AH273" s="323">
        <v>1</v>
      </c>
      <c r="AI273" s="323">
        <v>1</v>
      </c>
      <c r="AJ273" s="272">
        <f>IF('Input &amp; Calc'!V293="","",IF('Input &amp; Calc'!DB295/'Input &amp; Calc'!DB272&gt;=0.9,1,IF('Input &amp; Calc'!DB295/'Input &amp; Calc'!DB272&lt;0.75,3,2)))</f>
        <v>3</v>
      </c>
      <c r="AK273" s="272">
        <f>IF('Input &amp; Calc'!W293="","",IF('Input &amp; Calc'!DC295/'Input &amp; Calc'!DC272&gt;=0.9,1,IF('Input &amp; Calc'!DC295/'Input &amp; Calc'!DC272&lt;0.75,3,2)))</f>
        <v>3</v>
      </c>
      <c r="AL273" s="272">
        <f>IF('Input &amp; Calc'!X293="","",IF('Input &amp; Calc'!DD295/'Input &amp; Calc'!DD272&gt;=0.9,1,IF('Input &amp; Calc'!DD295/'Input &amp; Calc'!DD272&lt;0.75,3,2)))</f>
        <v>3</v>
      </c>
      <c r="AM273" s="272">
        <f>IF('Input &amp; Calc'!Y293="","",IF('Input &amp; Calc'!DE295/'Input &amp; Calc'!DE272&gt;=0.9,1,IF('Input &amp; Calc'!DE295/'Input &amp; Calc'!DE272&lt;0.75,3,2)))</f>
        <v>1</v>
      </c>
      <c r="AN273" s="272">
        <f>IF('Input &amp; Calc'!Z293="","",IF('Input &amp; Calc'!DF295/'Input &amp; Calc'!DF272&gt;=0.9,1,IF('Input &amp; Calc'!DF295/'Input &amp; Calc'!DF272&lt;0.75,3,2)))</f>
        <v>1</v>
      </c>
      <c r="AO273" s="272">
        <f>IF('Input &amp; Calc'!AA293="","",IF('Input &amp; Calc'!DG295/'Input &amp; Calc'!DG272&gt;=0.9,1,IF('Input &amp; Calc'!DG295/'Input &amp; Calc'!DG272&lt;0.75,3,2)))</f>
        <v>1</v>
      </c>
      <c r="AP273" s="272">
        <f>IF('Input &amp; Calc'!AB293="","",IF('Input &amp; Calc'!DH295/'Input &amp; Calc'!DH272&gt;=0.9,1,IF('Input &amp; Calc'!DH295/'Input &amp; Calc'!DH272&lt;0.75,3,2)))</f>
        <v>1</v>
      </c>
      <c r="AQ273" s="272">
        <f>IF('Input &amp; Calc'!AC293="","",IF('Input &amp; Calc'!DI295/'Input &amp; Calc'!DI272&gt;=0.9,1,IF('Input &amp; Calc'!DI295/'Input &amp; Calc'!DI272&lt;0.75,3,2)))</f>
        <v>1</v>
      </c>
      <c r="AR273" s="272">
        <f>IF('Input &amp; Calc'!AD293="","",IF('Input &amp; Calc'!DJ295/'Input &amp; Calc'!DJ272&gt;=0.9,1,IF('Input &amp; Calc'!DJ295/'Input &amp; Calc'!DJ272&lt;0.75,3,2)))</f>
        <v>1</v>
      </c>
      <c r="AS273" s="272">
        <f>IF('Input &amp; Calc'!AE293="","",IF('Input &amp; Calc'!DK295/'Input &amp; Calc'!DK272&gt;=0.9,1,IF('Input &amp; Calc'!DK295/'Input &amp; Calc'!DK272&lt;0.75,3,2)))</f>
        <v>1</v>
      </c>
      <c r="AT273" s="272">
        <f>IF('Input &amp; Calc'!AF293="","",IF('Input &amp; Calc'!DL295/'Input &amp; Calc'!DL272&gt;=0.9,1,IF('Input &amp; Calc'!DL295/'Input &amp; Calc'!DL272&lt;0.75,3,2)))</f>
        <v>1</v>
      </c>
      <c r="AU273" s="272">
        <f>IF('Input &amp; Calc'!AG293="","",IF('Input &amp; Calc'!DM295/'Input &amp; Calc'!DM272&gt;=0.9,1,IF('Input &amp; Calc'!DM295/'Input &amp; Calc'!DM272&lt;0.75,3,2)))</f>
        <v>1</v>
      </c>
    </row>
    <row r="274" spans="1:47" ht="14.25" customHeight="1" thickBot="1">
      <c r="A274" s="96" t="s">
        <v>135</v>
      </c>
      <c r="B274" s="460"/>
      <c r="C274" s="90"/>
      <c r="D274" s="93" t="s">
        <v>238</v>
      </c>
      <c r="E274" s="94">
        <f>'Input &amp; Calc'!$I$67</f>
        <v>40391</v>
      </c>
      <c r="F274" s="95"/>
      <c r="G274" s="461"/>
      <c r="H274" s="635" t="s">
        <v>130</v>
      </c>
      <c r="I274" s="635"/>
      <c r="J274" s="635"/>
      <c r="K274" s="635"/>
      <c r="L274" s="635"/>
      <c r="M274" s="635"/>
      <c r="N274" s="635"/>
      <c r="O274" s="461"/>
      <c r="P274" s="90"/>
      <c r="Q274" s="277"/>
      <c r="R274" s="277"/>
      <c r="S274" s="91" t="s">
        <v>136</v>
      </c>
      <c r="T274" s="278">
        <f>'Input &amp; Calc'!EK266</f>
        <v>2</v>
      </c>
      <c r="U274" s="325" t="s">
        <v>159</v>
      </c>
      <c r="V274" s="462"/>
      <c r="W274" s="392"/>
      <c r="X274" s="469"/>
      <c r="Y274" s="469"/>
      <c r="Z274" s="469"/>
      <c r="AA274" s="469"/>
      <c r="AB274" s="469"/>
      <c r="AC274" s="469"/>
      <c r="AD274" s="469"/>
      <c r="AE274" s="469"/>
      <c r="AF274" s="469"/>
      <c r="AG274" s="469"/>
      <c r="AH274" s="469"/>
      <c r="AI274" s="469"/>
      <c r="AJ274" s="469"/>
      <c r="AK274" s="469"/>
      <c r="AL274" s="469"/>
      <c r="AM274" s="469"/>
      <c r="AN274" s="469"/>
      <c r="AO274" s="469"/>
      <c r="AP274" s="469"/>
      <c r="AQ274" s="469"/>
      <c r="AR274" s="469"/>
      <c r="AS274" s="469"/>
      <c r="AT274" s="469"/>
      <c r="AU274" s="469"/>
    </row>
    <row r="275" spans="1:47" ht="12" customHeight="1" thickBot="1">
      <c r="A275" s="636" t="s">
        <v>99</v>
      </c>
      <c r="B275" s="638" t="s">
        <v>100</v>
      </c>
      <c r="C275" s="621" t="s">
        <v>101</v>
      </c>
      <c r="D275" s="621" t="s">
        <v>104</v>
      </c>
      <c r="E275" s="643" t="s">
        <v>105</v>
      </c>
      <c r="F275" s="621" t="s">
        <v>106</v>
      </c>
      <c r="G275" s="449"/>
      <c r="H275" s="638" t="s">
        <v>137</v>
      </c>
      <c r="I275" s="449"/>
      <c r="J275" s="621" t="s">
        <v>101</v>
      </c>
      <c r="K275" s="621" t="s">
        <v>104</v>
      </c>
      <c r="L275" s="621" t="s">
        <v>192</v>
      </c>
      <c r="M275" s="638" t="s">
        <v>194</v>
      </c>
      <c r="N275" s="621" t="s">
        <v>193</v>
      </c>
      <c r="O275" s="449"/>
      <c r="P275" s="642" t="s">
        <v>101</v>
      </c>
      <c r="Q275" s="638" t="s">
        <v>102</v>
      </c>
      <c r="R275" s="638" t="s">
        <v>191</v>
      </c>
      <c r="S275" s="638" t="s">
        <v>103</v>
      </c>
      <c r="T275" s="649" t="s">
        <v>108</v>
      </c>
      <c r="U275" s="641" t="s">
        <v>209</v>
      </c>
      <c r="V275" s="623" t="s">
        <v>203</v>
      </c>
      <c r="W275" s="393"/>
      <c r="X275" s="464"/>
      <c r="Y275" s="464"/>
      <c r="Z275" s="464"/>
      <c r="AA275" s="464"/>
      <c r="AB275" s="464"/>
      <c r="AC275" s="464"/>
      <c r="AD275" s="464"/>
      <c r="AE275" s="464"/>
      <c r="AF275" s="464"/>
      <c r="AG275" s="464"/>
      <c r="AH275" s="464"/>
      <c r="AI275" s="464"/>
      <c r="AJ275" s="464"/>
      <c r="AK275" s="464"/>
      <c r="AL275" s="464"/>
      <c r="AM275" s="464"/>
      <c r="AN275" s="464"/>
      <c r="AO275" s="464"/>
      <c r="AP275" s="464"/>
      <c r="AQ275" s="464"/>
      <c r="AR275" s="464"/>
      <c r="AS275" s="464"/>
      <c r="AT275" s="464"/>
      <c r="AU275" s="464"/>
    </row>
    <row r="276" spans="1:47" ht="15.75" customHeight="1" thickBot="1">
      <c r="A276" s="637"/>
      <c r="B276" s="621"/>
      <c r="C276" s="622"/>
      <c r="D276" s="622"/>
      <c r="E276" s="644"/>
      <c r="F276" s="622"/>
      <c r="G276" s="449"/>
      <c r="H276" s="638"/>
      <c r="I276" s="449"/>
      <c r="J276" s="622"/>
      <c r="K276" s="622"/>
      <c r="L276" s="622"/>
      <c r="M276" s="638"/>
      <c r="N276" s="622"/>
      <c r="O276" s="449"/>
      <c r="P276" s="642"/>
      <c r="Q276" s="638"/>
      <c r="R276" s="638"/>
      <c r="S276" s="638"/>
      <c r="T276" s="649"/>
      <c r="U276" s="641"/>
      <c r="V276" s="624"/>
      <c r="W276" s="564"/>
      <c r="X276" s="625" t="s">
        <v>150</v>
      </c>
      <c r="Y276" s="626"/>
      <c r="Z276" s="626"/>
      <c r="AA276" s="626"/>
      <c r="AB276" s="626"/>
      <c r="AC276" s="626"/>
      <c r="AD276" s="626"/>
      <c r="AE276" s="626"/>
      <c r="AF276" s="626"/>
      <c r="AG276" s="626"/>
      <c r="AH276" s="626"/>
      <c r="AI276" s="627"/>
      <c r="AJ276" s="625" t="s">
        <v>151</v>
      </c>
      <c r="AK276" s="626"/>
      <c r="AL276" s="626"/>
      <c r="AM276" s="626"/>
      <c r="AN276" s="626"/>
      <c r="AO276" s="626"/>
      <c r="AP276" s="626"/>
      <c r="AQ276" s="626"/>
      <c r="AR276" s="626"/>
      <c r="AS276" s="626"/>
      <c r="AT276" s="626"/>
      <c r="AU276" s="628"/>
    </row>
    <row r="277" spans="1:47" ht="25.5">
      <c r="A277" s="470" t="s">
        <v>197</v>
      </c>
      <c r="B277" s="551" t="s">
        <v>190</v>
      </c>
      <c r="C277" s="252">
        <f>IF(F277/E277&gt;0.899999999,1,IF(F277/E277&lt;0.75,3,2))</f>
        <v>3</v>
      </c>
      <c r="D277" s="46" t="str">
        <f>'Input &amp; Calc'!EO311</f>
        <v>È</v>
      </c>
      <c r="E277" s="590">
        <f>'Input &amp; Calc'!EE286</f>
        <v>13.832999999999998</v>
      </c>
      <c r="F277" s="567">
        <f>'Input &amp; Calc'!EH311</f>
        <v>10</v>
      </c>
      <c r="G277" s="598"/>
      <c r="H277" s="592" t="s">
        <v>16</v>
      </c>
      <c r="I277" s="599"/>
      <c r="J277" s="594">
        <f>IF(N277/M277&gt;0.899999999,1,IF(N277/M277&lt;0.75,3,2))</f>
        <v>1</v>
      </c>
      <c r="K277" s="600" t="str">
        <f>'Input &amp; Calc'!EP311</f>
        <v>Ç</v>
      </c>
      <c r="L277" s="589">
        <f>Q277/4</f>
        <v>36.75</v>
      </c>
      <c r="M277" s="589">
        <f>L277/3*$T$3</f>
        <v>24.5</v>
      </c>
      <c r="N277" s="565">
        <f>'Input &amp; Calc'!EI311</f>
        <v>36</v>
      </c>
      <c r="O277" s="601"/>
      <c r="P277" s="594">
        <f>IF(S277/R277&gt;0.899999999,1,IF(S277/R277&lt;0.75,3,2))</f>
        <v>1</v>
      </c>
      <c r="Q277" s="565">
        <f>'Input &amp; Calc'!EG286</f>
        <v>147</v>
      </c>
      <c r="R277" s="602">
        <f>Q277/12*$T$10</f>
        <v>24.5</v>
      </c>
      <c r="S277" s="566">
        <f>'Input &amp; Calc'!EJ311</f>
        <v>36</v>
      </c>
      <c r="T277" s="491">
        <f>S277/R277</f>
        <v>1.4693877551020409</v>
      </c>
      <c r="U277" s="454"/>
      <c r="V277" s="563">
        <f>$V$739</f>
        <v>1</v>
      </c>
      <c r="W277" s="476" t="str">
        <f>B277</f>
        <v># of Unique Clients YTD</v>
      </c>
      <c r="X277" s="269">
        <v>1</v>
      </c>
      <c r="Y277" s="268">
        <v>1</v>
      </c>
      <c r="Z277" s="268">
        <v>1</v>
      </c>
      <c r="AA277" s="268">
        <v>1</v>
      </c>
      <c r="AB277" s="268">
        <v>1</v>
      </c>
      <c r="AC277" s="268">
        <v>1</v>
      </c>
      <c r="AD277" s="268">
        <v>1</v>
      </c>
      <c r="AE277" s="268">
        <v>1</v>
      </c>
      <c r="AF277" s="268">
        <v>1</v>
      </c>
      <c r="AG277" s="268">
        <v>1</v>
      </c>
      <c r="AH277" s="268">
        <v>1</v>
      </c>
      <c r="AI277" s="270">
        <v>1</v>
      </c>
      <c r="AJ277" s="268">
        <f>IF('Input &amp; Calc'!V311="","",IF('Input &amp; Calc'!DB311/'Input &amp; Calc'!DB286&gt;=0.9,1,IF('Input &amp; Calc'!DB311/'Input &amp; Calc'!DB286&lt;0.75,3,2)))</f>
        <v>1</v>
      </c>
      <c r="AK277" s="268">
        <f>IF('Input &amp; Calc'!W311="","",IF('Input &amp; Calc'!DC311/'Input &amp; Calc'!DC286&gt;=0.9,1,IF('Input &amp; Calc'!DC311/'Input &amp; Calc'!DC286&lt;0.75,3,2)))</f>
        <v>2</v>
      </c>
      <c r="AL277" s="268">
        <f>IF('Input &amp; Calc'!X311="","",IF('Input &amp; Calc'!DD311/'Input &amp; Calc'!DD286&gt;=0.9,1,IF('Input &amp; Calc'!DD311/'Input &amp; Calc'!DD286&lt;0.75,3,2)))</f>
        <v>2</v>
      </c>
      <c r="AM277" s="268">
        <f>IF('Input &amp; Calc'!Y311="","",IF('Input &amp; Calc'!DE311/'Input &amp; Calc'!DE286&gt;=0.9,1,IF('Input &amp; Calc'!DE311/'Input &amp; Calc'!DE286&lt;0.75,3,2)))</f>
        <v>1</v>
      </c>
      <c r="AN277" s="268">
        <f>IF('Input &amp; Calc'!Z311="","",IF('Input &amp; Calc'!DF311/'Input &amp; Calc'!DF286&gt;=0.9,1,IF('Input &amp; Calc'!DF311/'Input &amp; Calc'!DF286&lt;0.75,3,2)))</f>
        <v>1</v>
      </c>
      <c r="AO277" s="268">
        <f>IF('Input &amp; Calc'!AA311="","",IF('Input &amp; Calc'!DG311/'Input &amp; Calc'!DG286&gt;=0.9,1,IF('Input &amp; Calc'!DG311/'Input &amp; Calc'!DG286&lt;0.75,3,2)))</f>
        <v>1</v>
      </c>
      <c r="AP277" s="268">
        <f>IF('Input &amp; Calc'!AB311="","",IF('Input &amp; Calc'!DH311/'Input &amp; Calc'!DH286&gt;=0.9,1,IF('Input &amp; Calc'!DH311/'Input &amp; Calc'!DH286&lt;0.75,3,2)))</f>
        <v>1</v>
      </c>
      <c r="AQ277" s="268">
        <f>IF('Input &amp; Calc'!AC311="","",IF('Input &amp; Calc'!DI311/'Input &amp; Calc'!DI286&gt;=0.9,1,IF('Input &amp; Calc'!DI311/'Input &amp; Calc'!DI286&lt;0.75,3,2)))</f>
        <v>1</v>
      </c>
      <c r="AR277" s="268">
        <f>IF('Input &amp; Calc'!AD311="","",IF('Input &amp; Calc'!DJ311/'Input &amp; Calc'!DJ286&gt;=0.9,1,IF('Input &amp; Calc'!DJ311/'Input &amp; Calc'!DJ286&lt;0.75,3,2)))</f>
        <v>1</v>
      </c>
      <c r="AS277" s="268">
        <f>IF('Input &amp; Calc'!AE311="","",IF('Input &amp; Calc'!DK311/'Input &amp; Calc'!DK286&gt;=0.9,1,IF('Input &amp; Calc'!DK311/'Input &amp; Calc'!DK286&lt;0.75,3,2)))</f>
        <v>1</v>
      </c>
      <c r="AT277" s="268">
        <f>IF('Input &amp; Calc'!AF311="","",IF('Input &amp; Calc'!DL311/'Input &amp; Calc'!DL286&gt;=0.9,1,IF('Input &amp; Calc'!DL311/'Input &amp; Calc'!DL286&lt;0.75,3,2)))</f>
        <v>1</v>
      </c>
      <c r="AU277" s="268">
        <f>IF('Input &amp; Calc'!AG311="","",IF('Input &amp; Calc'!DM311/'Input &amp; Calc'!DM286&gt;=0.9,1,IF('Input &amp; Calc'!DM311/'Input &amp; Calc'!DM286&lt;0.75,3,2)))</f>
        <v>1</v>
      </c>
    </row>
    <row r="278" spans="1:47" ht="27.75" customHeight="1">
      <c r="A278" s="620" t="s">
        <v>198</v>
      </c>
      <c r="B278" s="551" t="s">
        <v>199</v>
      </c>
      <c r="C278" s="252">
        <f>IF(F278/E278&gt;0.899999999,1,IF(F278/E278&lt;0.75,3,2))</f>
        <v>3</v>
      </c>
      <c r="D278" s="46" t="str">
        <f>'Input &amp; Calc'!EO324</f>
        <v>È</v>
      </c>
      <c r="E278" s="489">
        <v>0.5</v>
      </c>
      <c r="F278" s="494">
        <f>'Input &amp; Calc'!EH323</f>
        <v>0.2</v>
      </c>
      <c r="G278" s="558"/>
      <c r="H278" s="453" t="s">
        <v>16</v>
      </c>
      <c r="I278" s="559"/>
      <c r="J278" s="252">
        <f>IF(N278/M278&gt;0.899999999,1,IF(N278/M278&lt;0.75,3,2))</f>
        <v>2</v>
      </c>
      <c r="K278" s="46" t="str">
        <f>'Input &amp; Calc'!EP324</f>
        <v>Ç</v>
      </c>
      <c r="L278" s="490">
        <f>'Input &amp; Calc'!EF316</f>
        <v>0.5</v>
      </c>
      <c r="M278" s="490">
        <f>L278</f>
        <v>0.5</v>
      </c>
      <c r="N278" s="491">
        <f>'Input &amp; Calc'!EI323</f>
        <v>0.44444444444444442</v>
      </c>
      <c r="O278" s="561"/>
      <c r="P278" s="252">
        <f>IF(S278/R278&gt;0.899999999,1,IF(S278/R278&lt;0.75,3,2))</f>
        <v>1</v>
      </c>
      <c r="Q278" s="491">
        <f>'Input &amp; Calc'!EG316</f>
        <v>0.5</v>
      </c>
      <c r="R278" s="492">
        <f>Q278</f>
        <v>0.5</v>
      </c>
      <c r="S278" s="493">
        <v>0.47</v>
      </c>
      <c r="T278" s="488">
        <f>+S278-R278</f>
        <v>-3.0000000000000027E-2</v>
      </c>
      <c r="U278" s="455"/>
      <c r="V278" s="563">
        <f>$V$740</f>
        <v>1</v>
      </c>
      <c r="W278" s="476" t="str">
        <f>B278</f>
        <v>% of existing business new clients to initial clients</v>
      </c>
      <c r="X278" s="475">
        <v>1</v>
      </c>
      <c r="Y278" s="274">
        <v>1</v>
      </c>
      <c r="Z278" s="274">
        <v>1</v>
      </c>
      <c r="AA278" s="274">
        <v>1</v>
      </c>
      <c r="AB278" s="274">
        <v>1</v>
      </c>
      <c r="AC278" s="274">
        <v>1</v>
      </c>
      <c r="AD278" s="274">
        <v>1</v>
      </c>
      <c r="AE278" s="274">
        <v>1</v>
      </c>
      <c r="AF278" s="274">
        <v>1</v>
      </c>
      <c r="AG278" s="274">
        <v>1</v>
      </c>
      <c r="AH278" s="274">
        <v>1</v>
      </c>
      <c r="AI278" s="514">
        <v>1</v>
      </c>
      <c r="AJ278" s="274">
        <f>IF('Input &amp; Calc'!V324="","",IF('Input &amp; Calc'!DB317*0.9&lt;'Input &amp; Calc'!V324,1,IF('Input &amp; Calc'!DB317*0.75&gt;'Input &amp; Calc'!DB324,3,2)))</f>
        <v>1</v>
      </c>
      <c r="AK278" s="273">
        <f>IF('Input &amp; Calc'!W324="","",IF('Input &amp; Calc'!DC317*0.9&lt;'Input &amp; Calc'!W324,1,IF('Input &amp; Calc'!DC317*0.75&gt;'Input &amp; Calc'!DC324,3,2)))</f>
        <v>1</v>
      </c>
      <c r="AL278" s="273">
        <f>IF('Input &amp; Calc'!X324="","",IF('Input &amp; Calc'!DD317*0.9&lt;'Input &amp; Calc'!X324,1,IF('Input &amp; Calc'!DD317*0.75&gt;'Input &amp; Calc'!DD324,3,2)))</f>
        <v>1</v>
      </c>
      <c r="AM278" s="273">
        <f>IF('Input &amp; Calc'!Y324="","",IF('Input &amp; Calc'!DE317*0.9&lt;'Input &amp; Calc'!Y324,1,IF('Input &amp; Calc'!DE317*0.75&gt;'Input &amp; Calc'!DE324,3,2)))</f>
        <v>2</v>
      </c>
      <c r="AN278" s="273">
        <f>IF('Input &amp; Calc'!Z324="","",IF('Input &amp; Calc'!DF317*0.9&lt;'Input &amp; Calc'!Z324,1,IF('Input &amp; Calc'!DF317*0.75&gt;'Input &amp; Calc'!DF324,3,2)))</f>
        <v>2</v>
      </c>
      <c r="AO278" s="273">
        <f>IF('Input &amp; Calc'!AA324="","",IF('Input &amp; Calc'!DG317*0.9&lt;'Input &amp; Calc'!AA324,1,IF('Input &amp; Calc'!DG317*0.75&gt;'Input &amp; Calc'!DG324,3,2)))</f>
        <v>1</v>
      </c>
      <c r="AP278" s="273">
        <f>IF('Input &amp; Calc'!AB324="","",IF('Input &amp; Calc'!DH317*0.9&gt;'Input &amp; Calc'!AB324,1,IF('Input &amp; Calc'!DH317*0.75&gt;'Input &amp; Calc'!DH324,3,2)))</f>
        <v>1</v>
      </c>
      <c r="AQ278" s="273">
        <f>IF('Input &amp; Calc'!AC324="","",IF('Input &amp; Calc'!DI317*0.9&gt;'Input &amp; Calc'!AC324,1,IF('Input &amp; Calc'!DI317*0.75&gt;'Input &amp; Calc'!DI324,3,2)))</f>
        <v>1</v>
      </c>
      <c r="AR278" s="273">
        <f>IF('Input &amp; Calc'!AD324="","",IF('Input &amp; Calc'!DJ317*0.9&gt;'Input &amp; Calc'!AD324,1,IF('Input &amp; Calc'!DJ317*0.75&gt;'Input &amp; Calc'!DJ324,3,2)))</f>
        <v>1</v>
      </c>
      <c r="AS278" s="273">
        <f>IF('Input &amp; Calc'!AE324="","",IF('Input &amp; Calc'!DK317*0.9&gt;'Input &amp; Calc'!AE324,1,IF('Input &amp; Calc'!DK317*0.75&gt;'Input &amp; Calc'!DK324,3,2)))</f>
        <v>1</v>
      </c>
      <c r="AT278" s="273">
        <f>IF('Input &amp; Calc'!AF324="","",IF('Input &amp; Calc'!DL317*0.9&lt;'Input &amp; Calc'!AF324,1,IF('Input &amp; Calc'!DL317*0.75&gt;'Input &amp; Calc'!DL324,3,2)))</f>
        <v>1</v>
      </c>
      <c r="AU278" s="273">
        <f>IF('Input &amp; Calc'!AG324="","",IF('Input &amp; Calc'!DM317*0.9&gt;'Input &amp; Calc'!AG324,1,IF('Input &amp; Calc'!DM317*0.75&gt;'Input &amp; Calc'!DM324,3,2)))</f>
        <v>1</v>
      </c>
    </row>
    <row r="279" spans="1:47">
      <c r="A279" s="620"/>
      <c r="B279" s="551" t="s">
        <v>200</v>
      </c>
      <c r="C279" s="252">
        <v>3</v>
      </c>
      <c r="D279" s="46" t="str">
        <f>'Input &amp; Calc'!EO899</f>
        <v>È</v>
      </c>
      <c r="E279" s="279">
        <v>6.8</v>
      </c>
      <c r="F279" s="279">
        <f>'Input &amp; Calc'!EH899</f>
        <v>4.5</v>
      </c>
      <c r="G279" s="558"/>
      <c r="H279" s="453" t="s">
        <v>16</v>
      </c>
      <c r="I279" s="559"/>
      <c r="J279" s="252">
        <f>'Input &amp; Calc'!ER899</f>
        <v>3</v>
      </c>
      <c r="K279" s="46" t="str">
        <f>'Input &amp; Calc'!EP899</f>
        <v>Ç</v>
      </c>
      <c r="L279" s="279">
        <v>6.8</v>
      </c>
      <c r="M279" s="442">
        <v>6.8</v>
      </c>
      <c r="N279" s="388">
        <f>'Input &amp; Calc'!EI899</f>
        <v>3.3752777777777778</v>
      </c>
      <c r="O279" s="561"/>
      <c r="P279" s="252">
        <f>'Input &amp; Calc'!ES899</f>
        <v>1</v>
      </c>
      <c r="Q279" s="388">
        <v>6.8</v>
      </c>
      <c r="R279" s="442">
        <v>6.8</v>
      </c>
      <c r="S279" s="486">
        <f>'Input &amp; Calc'!EJ899</f>
        <v>3.3752777777777778</v>
      </c>
      <c r="T279" s="491">
        <f>S279/R279</f>
        <v>0.49636437908496733</v>
      </c>
      <c r="U279" s="456"/>
      <c r="V279" s="563">
        <f>$V$741</f>
        <v>3</v>
      </c>
      <c r="W279" s="476" t="str">
        <f>B279</f>
        <v>Average Hours/Client</v>
      </c>
      <c r="X279" s="269">
        <v>1</v>
      </c>
      <c r="Y279" s="268">
        <v>1</v>
      </c>
      <c r="Z279" s="268">
        <v>1</v>
      </c>
      <c r="AA279" s="268">
        <v>1</v>
      </c>
      <c r="AB279" s="268">
        <v>1</v>
      </c>
      <c r="AC279" s="268">
        <v>1</v>
      </c>
      <c r="AD279" s="268">
        <v>1</v>
      </c>
      <c r="AE279" s="268">
        <v>1</v>
      </c>
      <c r="AF279" s="268">
        <v>1</v>
      </c>
      <c r="AG279" s="268">
        <v>1</v>
      </c>
      <c r="AH279" s="268">
        <v>1</v>
      </c>
      <c r="AI279" s="270">
        <v>1</v>
      </c>
      <c r="AJ279" s="274">
        <f>IF('Input &amp; Calc'!V311="","",IF('Input &amp; Calc'!DB278/'Input &amp; Calc'!DB286*0.9/12*'Input &amp; Calc'!DB$51&lt;'Input &amp; Calc'!DB303/'Input &amp; Calc'!DB311,1,IF('Input &amp; Calc'!DB278/'Input &amp; Calc'!DB286*0.75/12*'Input &amp; Calc'!DB$51&gt;'Input &amp; Calc'!DB303/'Input &amp; Calc'!DB311,3,2)))</f>
        <v>1</v>
      </c>
      <c r="AK279" s="273">
        <f>IF('Input &amp; Calc'!W311="","",IF('Input &amp; Calc'!DC278/'Input &amp; Calc'!DC286*0.9/12*'Input &amp; Calc'!DC$51&lt;'Input &amp; Calc'!DC303/'Input &amp; Calc'!DC311,1,IF('Input &amp; Calc'!DC278/'Input &amp; Calc'!DC286*0.75/12*'Input &amp; Calc'!DC$51&gt;'Input &amp; Calc'!DC303/'Input &amp; Calc'!DC311,3,2)))</f>
        <v>1</v>
      </c>
      <c r="AL279" s="273">
        <f>IF('Input &amp; Calc'!X311="","",IF('Input &amp; Calc'!DD278/'Input &amp; Calc'!DD286*0.9/12*'Input &amp; Calc'!DD$51&lt;'Input &amp; Calc'!DD303/'Input &amp; Calc'!DD311,1,IF('Input &amp; Calc'!DD278/'Input &amp; Calc'!DD286*0.75/12*'Input &amp; Calc'!DD$51&gt;'Input &amp; Calc'!DD303/'Input &amp; Calc'!DD311,3,2)))</f>
        <v>1</v>
      </c>
      <c r="AM279" s="273">
        <f>IF('Input &amp; Calc'!Y311="","",IF('Input &amp; Calc'!DE278/'Input &amp; Calc'!DE286*0.9/12*'Input &amp; Calc'!DE$51&lt;'Input &amp; Calc'!DE303/'Input &amp; Calc'!DE311,1,IF('Input &amp; Calc'!DE278/'Input &amp; Calc'!DE286*0.75/12*'Input &amp; Calc'!DE$51&gt;'Input &amp; Calc'!DE303/'Input &amp; Calc'!DE311,3,2)))</f>
        <v>1</v>
      </c>
      <c r="AN279" s="273">
        <f>IF('Input &amp; Calc'!Z311="","",IF('Input &amp; Calc'!DF278/'Input &amp; Calc'!DF286*0.9/12*'Input &amp; Calc'!DF$51&lt;'Input &amp; Calc'!DF303/'Input &amp; Calc'!DF311,1,IF('Input &amp; Calc'!DF278/'Input &amp; Calc'!DF286*0.75/12*'Input &amp; Calc'!DF$51&gt;'Input &amp; Calc'!DF303/'Input &amp; Calc'!DF311,3,2)))</f>
        <v>1</v>
      </c>
      <c r="AO279" s="273">
        <f>IF('Input &amp; Calc'!AA311="","",IF('Input &amp; Calc'!DG278/'Input &amp; Calc'!DG286*0.9/12*'Input &amp; Calc'!DG$51&lt;'Input &amp; Calc'!DG303/'Input &amp; Calc'!DG311,1,IF('Input &amp; Calc'!DG278/'Input &amp; Calc'!DG286*0.75/12*'Input &amp; Calc'!DG$51&gt;'Input &amp; Calc'!DG303/'Input &amp; Calc'!DG311,3,2)))</f>
        <v>1</v>
      </c>
      <c r="AP279" s="273">
        <f>IF('Input &amp; Calc'!AB311="","",IF('Input &amp; Calc'!DH278/'Input &amp; Calc'!DH286*0.9/12*'Input &amp; Calc'!DH$51&lt;'Input &amp; Calc'!DH303/'Input &amp; Calc'!DH311,1,IF('Input &amp; Calc'!DH278/'Input &amp; Calc'!DH286*0.75/12*'Input &amp; Calc'!DH$51&gt;'Input &amp; Calc'!DH303/'Input &amp; Calc'!DH311,3,2)))</f>
        <v>1</v>
      </c>
      <c r="AQ279" s="273">
        <f>IF('Input &amp; Calc'!AC311="","",IF('Input &amp; Calc'!DI278/'Input &amp; Calc'!DI286*0.9/12*'Input &amp; Calc'!DI$51&lt;'Input &amp; Calc'!DI303/'Input &amp; Calc'!DI311,1,IF('Input &amp; Calc'!DI278/'Input &amp; Calc'!DI286*0.75/12*'Input &amp; Calc'!DI$51&gt;'Input &amp; Calc'!DI303/'Input &amp; Calc'!DI311,3,2)))</f>
        <v>1</v>
      </c>
      <c r="AR279" s="273">
        <f>IF('Input &amp; Calc'!AD311="","",IF('Input &amp; Calc'!DJ278/'Input &amp; Calc'!DJ286*0.9/12*'Input &amp; Calc'!DJ$51&lt;'Input &amp; Calc'!DJ303/'Input &amp; Calc'!DJ311,1,IF('Input &amp; Calc'!DJ278/'Input &amp; Calc'!DJ286*0.75/12*'Input &amp; Calc'!DJ$51&gt;'Input &amp; Calc'!DJ303/'Input &amp; Calc'!DJ311,3,2)))</f>
        <v>1</v>
      </c>
      <c r="AS279" s="273">
        <f>IF('Input &amp; Calc'!AE311="","",IF('Input &amp; Calc'!DK278/'Input &amp; Calc'!DK286*0.9/12*'Input &amp; Calc'!DK$51&lt;'Input &amp; Calc'!DK303/'Input &amp; Calc'!DK311,1,IF('Input &amp; Calc'!DK278/'Input &amp; Calc'!DK286*0.75/12*'Input &amp; Calc'!DK$51&gt;'Input &amp; Calc'!DK303/'Input &amp; Calc'!DK311,3,2)))</f>
        <v>1</v>
      </c>
      <c r="AT279" s="273">
        <f>IF('Input &amp; Calc'!AF311="","",IF('Input &amp; Calc'!DL278/'Input &amp; Calc'!DL286*0.9/12*'Input &amp; Calc'!DL$51&lt;'Input &amp; Calc'!DL303/'Input &amp; Calc'!DL311,1,IF('Input &amp; Calc'!DL278/'Input &amp; Calc'!DL286*0.75/12*'Input &amp; Calc'!DL$51&gt;'Input &amp; Calc'!DL303/'Input &amp; Calc'!DL311,3,2)))</f>
        <v>1</v>
      </c>
      <c r="AU279" s="273">
        <f>IF('Input &amp; Calc'!AG311="","",IF('Input &amp; Calc'!DM278/'Input &amp; Calc'!DM286*0.9/12*'Input &amp; Calc'!DM$51&gt;'Input &amp; Calc'!DM303/'Input &amp; Calc'!DM311,1,IF('Input &amp; Calc'!DM278/'Input &amp; Calc'!DM286*0.75/12*'Input &amp; Calc'!DM$51&gt;'Input &amp; Calc'!DM303/'Input &amp; Calc'!DM311,3,2)))</f>
        <v>1</v>
      </c>
    </row>
    <row r="280" spans="1:47">
      <c r="A280" s="470" t="s">
        <v>109</v>
      </c>
      <c r="B280" s="551" t="s">
        <v>201</v>
      </c>
      <c r="C280" s="521"/>
      <c r="D280" s="522"/>
      <c r="E280" s="529"/>
      <c r="F280" s="520"/>
      <c r="G280" s="558"/>
      <c r="H280" s="453" t="s">
        <v>16</v>
      </c>
      <c r="I280" s="559"/>
      <c r="J280" s="252">
        <f>IF(N280/M280&gt;0.899999999,1,IF(N280/M280&lt;0.75,3,2))</f>
        <v>1</v>
      </c>
      <c r="K280" s="46" t="str">
        <f>'Input &amp; Calc'!EP301</f>
        <v>Ç</v>
      </c>
      <c r="L280" s="490">
        <f>Q280</f>
        <v>0.94999999999999984</v>
      </c>
      <c r="M280" s="490">
        <f>L280</f>
        <v>0.94999999999999984</v>
      </c>
      <c r="N280" s="491">
        <f>'Input &amp; Calc'!EI301</f>
        <v>0.9</v>
      </c>
      <c r="O280" s="561"/>
      <c r="P280" s="252">
        <f>IF(S280/R280&gt;0.899999999,1,IF(S280/R280&lt;0.75,3,2))</f>
        <v>1</v>
      </c>
      <c r="Q280" s="491">
        <f>'Input &amp; Calc'!EG276</f>
        <v>0.94999999999999984</v>
      </c>
      <c r="R280" s="491">
        <f>Q280</f>
        <v>0.94999999999999984</v>
      </c>
      <c r="S280" s="493">
        <f>'Input &amp; Calc'!EJ301</f>
        <v>0.9</v>
      </c>
      <c r="T280" s="491">
        <f>S280-R280</f>
        <v>-4.9999999999999822E-2</v>
      </c>
      <c r="U280" s="455"/>
      <c r="V280" s="563">
        <f>$V$742</f>
        <v>1</v>
      </c>
      <c r="W280" s="476" t="str">
        <f>B280</f>
        <v>Client satisfaction rating %</v>
      </c>
      <c r="X280" s="269">
        <v>3</v>
      </c>
      <c r="Y280" s="268">
        <v>1</v>
      </c>
      <c r="Z280" s="268">
        <v>1</v>
      </c>
      <c r="AA280" s="268">
        <v>1</v>
      </c>
      <c r="AB280" s="268">
        <v>1</v>
      </c>
      <c r="AC280" s="268">
        <v>1</v>
      </c>
      <c r="AD280" s="268">
        <v>1</v>
      </c>
      <c r="AE280" s="268">
        <v>1</v>
      </c>
      <c r="AF280" s="268">
        <v>1</v>
      </c>
      <c r="AG280" s="268">
        <v>1</v>
      </c>
      <c r="AH280" s="268">
        <v>1</v>
      </c>
      <c r="AI280" s="270">
        <v>1</v>
      </c>
      <c r="AJ280" s="268">
        <f>IF('Input &amp; Calc'!V301="","",IF('Input &amp; Calc'!DB276*0.9&lt;'Input &amp; Calc'!DB301,1,IF('Input &amp; Calc'!DB276*0.75&gt;'Input &amp; Calc'!DB301,3,2)))</f>
        <v>1</v>
      </c>
      <c r="AK280" s="268">
        <f>IF('Input &amp; Calc'!W301="","",IF('Input &amp; Calc'!DC276*0.9&lt;'Input &amp; Calc'!DC301,1,IF('Input &amp; Calc'!DC276*0.75&gt;'Input &amp; Calc'!DC301,3,2)))</f>
        <v>1</v>
      </c>
      <c r="AL280" s="268">
        <f>IF('Input &amp; Calc'!X301="","",IF('Input &amp; Calc'!DD276*0.9&lt;'Input &amp; Calc'!DD301,1,IF('Input &amp; Calc'!DD276*0.75&gt;'Input &amp; Calc'!DD301,3,2)))</f>
        <v>1</v>
      </c>
      <c r="AM280" s="268">
        <f>IF('Input &amp; Calc'!Y301="","",IF('Input &amp; Calc'!DE276*0.9&lt;'Input &amp; Calc'!DE301,1,IF('Input &amp; Calc'!DE276*0.75&gt;'Input &amp; Calc'!DE301,3,2)))</f>
        <v>1</v>
      </c>
      <c r="AN280" s="268">
        <f>IF('Input &amp; Calc'!Z301="","",IF('Input &amp; Calc'!DF276*0.9&lt;'Input &amp; Calc'!DF301,1,IF('Input &amp; Calc'!DF276*0.75&gt;'Input &amp; Calc'!DF301,3,2)))</f>
        <v>1</v>
      </c>
      <c r="AO280" s="268">
        <f>IF('Input &amp; Calc'!AA301="","",IF('Input &amp; Calc'!DG276*0.9&lt;'Input &amp; Calc'!DG301,1,IF('Input &amp; Calc'!DG276*0.75&gt;'Input &amp; Calc'!DG301,3,2)))</f>
        <v>1</v>
      </c>
      <c r="AP280" s="268">
        <f>IF('Input &amp; Calc'!AB301="","",IF('Input &amp; Calc'!DH276*0.9&lt;'Input &amp; Calc'!DH301,1,IF('Input &amp; Calc'!DH276*0.75&gt;'Input &amp; Calc'!DH301,3,2)))</f>
        <v>1</v>
      </c>
      <c r="AQ280" s="268">
        <f>IF('Input &amp; Calc'!AC301="","",IF('Input &amp; Calc'!DI276*0.9&lt;'Input &amp; Calc'!DI301,1,IF('Input &amp; Calc'!DI276*0.75&gt;'Input &amp; Calc'!DI301,3,2)))</f>
        <v>1</v>
      </c>
      <c r="AR280" s="268">
        <f>IF('Input &amp; Calc'!AD301="","",IF('Input &amp; Calc'!DJ276*0.9&lt;'Input &amp; Calc'!DJ301,1,IF('Input &amp; Calc'!DJ276*0.75&gt;'Input &amp; Calc'!DJ301,3,2)))</f>
        <v>1</v>
      </c>
      <c r="AS280" s="268">
        <f>IF('Input &amp; Calc'!AE301="","",IF('Input &amp; Calc'!DK276*0.9&lt;'Input &amp; Calc'!DK301,1,IF('Input &amp; Calc'!DK276*0.75&gt;'Input &amp; Calc'!DK301,3,2)))</f>
        <v>1</v>
      </c>
      <c r="AT280" s="268">
        <f>IF('Input &amp; Calc'!AF301="","",IF('Input &amp; Calc'!DL276*0.9&lt;'Input &amp; Calc'!DL301,1,IF('Input &amp; Calc'!DL276*0.75&gt;'Input &amp; Calc'!DL301,3,2)))</f>
        <v>1</v>
      </c>
      <c r="AU280" s="268">
        <v>3</v>
      </c>
    </row>
    <row r="281" spans="1:47" s="465" customFormat="1">
      <c r="A281" s="620" t="s">
        <v>207</v>
      </c>
      <c r="B281" s="551" t="s">
        <v>227</v>
      </c>
      <c r="C281" s="523"/>
      <c r="D281" s="524"/>
      <c r="E281" s="525"/>
      <c r="F281" s="515">
        <f>'Input &amp; Calc'!EH853</f>
        <v>10</v>
      </c>
      <c r="G281" s="451"/>
      <c r="H281" s="453" t="s">
        <v>16</v>
      </c>
      <c r="I281" s="560"/>
      <c r="J281" s="521"/>
      <c r="K281" s="522"/>
      <c r="L281" s="530"/>
      <c r="M281" s="531"/>
      <c r="N281" s="516">
        <f>'Input &amp; Calc'!EI853</f>
        <v>19</v>
      </c>
      <c r="O281" s="562"/>
      <c r="P281" s="521"/>
      <c r="Q281" s="536"/>
      <c r="R281" s="537"/>
      <c r="S281" s="517">
        <f>'Input &amp; Calc'!EJ853</f>
        <v>19</v>
      </c>
      <c r="T281" s="542"/>
      <c r="U281" s="543"/>
      <c r="V281" s="544"/>
      <c r="W281" s="554" t="s">
        <v>227</v>
      </c>
      <c r="X281" s="271"/>
      <c r="Y281" s="268"/>
      <c r="Z281" s="268"/>
      <c r="AA281" s="268"/>
      <c r="AB281" s="268"/>
      <c r="AC281" s="268"/>
      <c r="AD281" s="268"/>
      <c r="AE281" s="268"/>
      <c r="AF281" s="268"/>
      <c r="AG281" s="268"/>
      <c r="AH281" s="268"/>
      <c r="AI281" s="270"/>
      <c r="AJ281" s="268"/>
      <c r="AK281" s="268"/>
      <c r="AL281" s="268"/>
      <c r="AM281" s="268"/>
      <c r="AN281" s="268"/>
      <c r="AO281" s="268"/>
      <c r="AP281" s="268"/>
      <c r="AQ281" s="268"/>
      <c r="AR281" s="268"/>
      <c r="AS281" s="268"/>
      <c r="AT281" s="268"/>
      <c r="AU281" s="268"/>
    </row>
    <row r="282" spans="1:47" s="465" customFormat="1">
      <c r="A282" s="620"/>
      <c r="B282" s="551" t="s">
        <v>228</v>
      </c>
      <c r="C282" s="523"/>
      <c r="D282" s="524"/>
      <c r="E282" s="525"/>
      <c r="F282" s="515">
        <f>'Input &amp; Calc'!EH869</f>
        <v>0</v>
      </c>
      <c r="G282" s="451"/>
      <c r="H282" s="453" t="s">
        <v>16</v>
      </c>
      <c r="I282" s="560"/>
      <c r="J282" s="523"/>
      <c r="K282" s="524"/>
      <c r="L282" s="532"/>
      <c r="M282" s="533"/>
      <c r="N282" s="516">
        <f>'Input &amp; Calc'!EI869</f>
        <v>0</v>
      </c>
      <c r="O282" s="562"/>
      <c r="P282" s="523"/>
      <c r="Q282" s="538"/>
      <c r="R282" s="539"/>
      <c r="S282" s="517">
        <f>'Input &amp; Calc'!EJ869</f>
        <v>0</v>
      </c>
      <c r="T282" s="545"/>
      <c r="U282" s="546"/>
      <c r="V282" s="547"/>
      <c r="W282" s="554" t="s">
        <v>228</v>
      </c>
      <c r="X282" s="271"/>
      <c r="Y282" s="268"/>
      <c r="Z282" s="268"/>
      <c r="AA282" s="268"/>
      <c r="AB282" s="268"/>
      <c r="AC282" s="268"/>
      <c r="AD282" s="268"/>
      <c r="AE282" s="268"/>
      <c r="AF282" s="268"/>
      <c r="AG282" s="268"/>
      <c r="AH282" s="268"/>
      <c r="AI282" s="270"/>
      <c r="AJ282" s="268"/>
      <c r="AK282" s="268"/>
      <c r="AL282" s="268"/>
      <c r="AM282" s="268"/>
      <c r="AN282" s="268"/>
      <c r="AO282" s="268"/>
      <c r="AP282" s="268"/>
      <c r="AQ282" s="268"/>
      <c r="AR282" s="268"/>
      <c r="AS282" s="268"/>
      <c r="AT282" s="268"/>
      <c r="AU282" s="268"/>
    </row>
    <row r="283" spans="1:47" s="465" customFormat="1">
      <c r="A283" s="620"/>
      <c r="B283" s="551" t="s">
        <v>234</v>
      </c>
      <c r="C283" s="526"/>
      <c r="D283" s="527"/>
      <c r="E283" s="528"/>
      <c r="F283" s="495">
        <f>'Input &amp; Calc'!EH884</f>
        <v>0</v>
      </c>
      <c r="G283" s="451"/>
      <c r="H283" s="453" t="s">
        <v>16</v>
      </c>
      <c r="I283" s="560"/>
      <c r="J283" s="526"/>
      <c r="K283" s="527"/>
      <c r="L283" s="534"/>
      <c r="M283" s="535"/>
      <c r="N283" s="496">
        <f>'Input &amp; Calc'!EI884</f>
        <v>0.7</v>
      </c>
      <c r="O283" s="562"/>
      <c r="P283" s="526"/>
      <c r="Q283" s="540"/>
      <c r="R283" s="541"/>
      <c r="S283" s="497">
        <f>'Input &amp; Calc'!EJ884</f>
        <v>0.7</v>
      </c>
      <c r="T283" s="548"/>
      <c r="U283" s="549"/>
      <c r="V283" s="550"/>
      <c r="W283" s="554" t="s">
        <v>208</v>
      </c>
      <c r="X283" s="271"/>
      <c r="Y283" s="268"/>
      <c r="Z283" s="268"/>
      <c r="AA283" s="268"/>
      <c r="AB283" s="268"/>
      <c r="AC283" s="268"/>
      <c r="AD283" s="268"/>
      <c r="AE283" s="268"/>
      <c r="AF283" s="268"/>
      <c r="AG283" s="268"/>
      <c r="AH283" s="268"/>
      <c r="AI283" s="270"/>
      <c r="AJ283" s="268"/>
      <c r="AK283" s="268"/>
      <c r="AL283" s="268"/>
      <c r="AM283" s="268"/>
      <c r="AN283" s="268"/>
      <c r="AO283" s="268"/>
      <c r="AP283" s="268"/>
      <c r="AQ283" s="268"/>
      <c r="AR283" s="268"/>
      <c r="AS283" s="268"/>
      <c r="AT283" s="268"/>
      <c r="AU283" s="268"/>
    </row>
    <row r="284" spans="1:47" ht="16.5" thickBot="1">
      <c r="A284" s="86" t="s">
        <v>139</v>
      </c>
      <c r="B284" s="321"/>
      <c r="C284" s="645" t="s">
        <v>164</v>
      </c>
      <c r="D284" s="645"/>
      <c r="E284" s="87" t="s">
        <v>140</v>
      </c>
      <c r="F284" s="448"/>
      <c r="G284" s="448"/>
      <c r="H284" s="645" t="s">
        <v>165</v>
      </c>
      <c r="I284" s="645"/>
      <c r="J284" s="645"/>
      <c r="K284" s="88" t="s">
        <v>141</v>
      </c>
      <c r="L284" s="448"/>
      <c r="M284" s="448"/>
      <c r="N284" s="647" t="s">
        <v>166</v>
      </c>
      <c r="O284" s="647"/>
      <c r="P284" s="647"/>
      <c r="Q284" s="89" t="s">
        <v>142</v>
      </c>
      <c r="R284" s="257"/>
      <c r="S284" s="68"/>
      <c r="T284" s="68"/>
      <c r="U284" s="69"/>
      <c r="V284" s="69"/>
      <c r="W284" s="69"/>
      <c r="X284" s="464"/>
      <c r="Y284" s="464"/>
      <c r="Z284" s="464"/>
      <c r="AA284" s="464"/>
      <c r="AB284" s="464"/>
      <c r="AC284" s="464"/>
      <c r="AD284" s="464"/>
      <c r="AE284" s="464"/>
      <c r="AF284" s="464"/>
      <c r="AG284" s="464"/>
      <c r="AH284" s="464"/>
      <c r="AI284" s="464"/>
      <c r="AJ284" s="464"/>
      <c r="AK284" s="464"/>
      <c r="AL284" s="464"/>
      <c r="AM284" s="464"/>
      <c r="AN284" s="464"/>
      <c r="AO284" s="464"/>
      <c r="AP284" s="464"/>
      <c r="AQ284" s="464"/>
      <c r="AR284" s="464"/>
      <c r="AS284" s="464"/>
      <c r="AT284" s="464"/>
      <c r="AU284" s="464"/>
    </row>
    <row r="285" spans="1:47">
      <c r="A285" s="519" t="s">
        <v>229</v>
      </c>
    </row>
    <row r="286" spans="1:47" hidden="1"/>
    <row r="287" spans="1:47" hidden="1"/>
    <row r="288" spans="1:47"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spans="1:47" hidden="1"/>
    <row r="322" spans="1:47" hidden="1"/>
    <row r="323" spans="1:47" hidden="1"/>
    <row r="324" spans="1:47" hidden="1"/>
    <row r="325" spans="1:47" hidden="1"/>
    <row r="326" spans="1:47" hidden="1"/>
    <row r="327" spans="1:47" hidden="1"/>
    <row r="328" spans="1:47" hidden="1"/>
    <row r="329" spans="1:47" hidden="1"/>
    <row r="330" spans="1:47" hidden="1"/>
    <row r="331" spans="1:47">
      <c r="A331" s="76" t="s">
        <v>148</v>
      </c>
      <c r="B331" s="76"/>
      <c r="C331" s="77"/>
      <c r="D331" s="77"/>
      <c r="E331" s="78"/>
      <c r="F331" s="67"/>
      <c r="G331" s="77"/>
      <c r="H331" s="77"/>
      <c r="I331" s="77"/>
      <c r="J331" s="106" t="str">
        <f>'Input &amp; Calc'!A331</f>
        <v>Ogden SBDC</v>
      </c>
      <c r="K331" s="77"/>
      <c r="L331" s="78"/>
      <c r="M331" s="78"/>
      <c r="N331" s="77"/>
      <c r="O331" s="77"/>
      <c r="P331" s="67"/>
      <c r="Q331" s="105" t="s">
        <v>146</v>
      </c>
      <c r="R331" s="105"/>
      <c r="S331" s="106" t="str">
        <f>'Input &amp; Calc'!C331</f>
        <v>Beverly King</v>
      </c>
      <c r="T331" s="79"/>
      <c r="U331" s="80"/>
      <c r="V331" s="80"/>
      <c r="W331" s="76"/>
      <c r="X331" s="469"/>
      <c r="Y331" s="469"/>
      <c r="Z331" s="469"/>
      <c r="AA331" s="469"/>
      <c r="AB331" s="469"/>
      <c r="AC331" s="469"/>
      <c r="AD331" s="469"/>
      <c r="AJ331" s="502" t="str">
        <f>J331</f>
        <v>Ogden SBDC</v>
      </c>
      <c r="AK331" s="502"/>
      <c r="AL331" s="502"/>
      <c r="AM331" s="503" t="s">
        <v>146</v>
      </c>
      <c r="AN331" s="502" t="str">
        <f>S331</f>
        <v>Beverly King</v>
      </c>
      <c r="AP331" s="469"/>
      <c r="AQ331" s="464"/>
      <c r="AR331" s="464"/>
      <c r="AS331" s="464"/>
      <c r="AT331" s="464"/>
      <c r="AU331" s="464"/>
    </row>
    <row r="332" spans="1:47">
      <c r="A332" s="81" t="s">
        <v>205</v>
      </c>
      <c r="B332" s="322"/>
      <c r="C332" s="82"/>
      <c r="D332" s="82"/>
      <c r="E332" s="83"/>
      <c r="F332" s="82"/>
      <c r="G332" s="82"/>
      <c r="H332" s="82"/>
      <c r="I332" s="82"/>
      <c r="J332" s="82"/>
      <c r="K332" s="82"/>
      <c r="L332" s="83"/>
      <c r="M332" s="83"/>
      <c r="N332" s="82"/>
      <c r="O332" s="82"/>
      <c r="P332" s="84"/>
      <c r="Q332" s="82"/>
      <c r="R332" s="82"/>
      <c r="S332" s="82"/>
      <c r="T332" s="82"/>
      <c r="U332" s="128"/>
      <c r="V332" s="128"/>
      <c r="W332" s="322"/>
      <c r="X332" s="464"/>
      <c r="Y332" s="464"/>
      <c r="Z332" s="464"/>
      <c r="AA332" s="464"/>
      <c r="AB332" s="464"/>
      <c r="AC332" s="464"/>
      <c r="AD332" s="464"/>
      <c r="AE332" s="464"/>
      <c r="AF332" s="464"/>
      <c r="AG332" s="464"/>
      <c r="AH332" s="464"/>
      <c r="AI332" s="464"/>
      <c r="AJ332" s="464"/>
      <c r="AK332" s="464"/>
      <c r="AL332" s="464"/>
      <c r="AM332" s="464"/>
      <c r="AN332" s="464"/>
      <c r="AO332" s="464"/>
      <c r="AP332" s="464"/>
      <c r="AQ332" s="464"/>
      <c r="AR332" s="464"/>
      <c r="AS332" s="464"/>
      <c r="AT332" s="464"/>
      <c r="AU332" s="464"/>
    </row>
    <row r="333" spans="1:47" ht="16.5" thickBot="1"/>
    <row r="334" spans="1:47" ht="14.25" customHeight="1" thickBot="1">
      <c r="A334" s="96" t="s">
        <v>134</v>
      </c>
      <c r="B334" s="460"/>
      <c r="C334" s="90"/>
      <c r="D334" s="93" t="s">
        <v>238</v>
      </c>
      <c r="E334" s="94">
        <f>'Input &amp; Calc'!I331</f>
        <v>40391</v>
      </c>
      <c r="F334" s="95"/>
      <c r="G334" s="92"/>
      <c r="H334" s="92"/>
      <c r="I334" s="92"/>
      <c r="J334" s="90"/>
      <c r="K334" s="90"/>
      <c r="L334" s="93" t="s">
        <v>237</v>
      </c>
      <c r="M334" s="93"/>
      <c r="N334" s="463"/>
      <c r="O334" s="92"/>
      <c r="P334" s="90"/>
      <c r="Q334" s="90"/>
      <c r="R334" s="90"/>
      <c r="S334" s="91" t="s">
        <v>133</v>
      </c>
      <c r="T334" s="103">
        <f>'Input &amp; Calc'!EK331</f>
        <v>11</v>
      </c>
      <c r="U334" s="325" t="s">
        <v>159</v>
      </c>
      <c r="V334" s="104"/>
      <c r="W334" s="70"/>
      <c r="X334" s="70"/>
      <c r="Y334" s="70"/>
      <c r="Z334" s="70"/>
      <c r="AA334" s="70"/>
      <c r="AB334" s="70"/>
      <c r="AC334" s="70"/>
      <c r="AD334" s="70"/>
      <c r="AE334" s="70"/>
      <c r="AF334" s="70"/>
      <c r="AG334" s="70"/>
      <c r="AH334" s="70"/>
      <c r="AI334" s="70"/>
      <c r="AJ334" s="70"/>
      <c r="AK334" s="70"/>
      <c r="AL334" s="70"/>
      <c r="AM334" s="464"/>
      <c r="AN334" s="464"/>
      <c r="AO334" s="464"/>
      <c r="AP334" s="464"/>
      <c r="AQ334" s="464"/>
      <c r="AR334" s="464"/>
      <c r="AS334" s="464"/>
      <c r="AT334" s="464"/>
      <c r="AU334" s="464"/>
    </row>
    <row r="335" spans="1:47" ht="13.5" customHeight="1" thickBot="1">
      <c r="A335" s="636" t="s">
        <v>99</v>
      </c>
      <c r="B335" s="638" t="s">
        <v>100</v>
      </c>
      <c r="C335" s="621" t="s">
        <v>101</v>
      </c>
      <c r="D335" s="621" t="s">
        <v>104</v>
      </c>
      <c r="E335" s="643" t="s">
        <v>105</v>
      </c>
      <c r="F335" s="621" t="s">
        <v>106</v>
      </c>
      <c r="G335" s="449"/>
      <c r="H335" s="638" t="s">
        <v>137</v>
      </c>
      <c r="I335" s="449"/>
      <c r="J335" s="621" t="s">
        <v>101</v>
      </c>
      <c r="K335" s="621" t="s">
        <v>104</v>
      </c>
      <c r="L335" s="621" t="s">
        <v>192</v>
      </c>
      <c r="M335" s="638" t="s">
        <v>194</v>
      </c>
      <c r="N335" s="621" t="s">
        <v>193</v>
      </c>
      <c r="O335" s="449"/>
      <c r="P335" s="642" t="s">
        <v>101</v>
      </c>
      <c r="Q335" s="638" t="s">
        <v>102</v>
      </c>
      <c r="R335" s="638" t="s">
        <v>191</v>
      </c>
      <c r="S335" s="638" t="s">
        <v>103</v>
      </c>
      <c r="T335" s="639" t="s">
        <v>131</v>
      </c>
      <c r="U335" s="641" t="s">
        <v>209</v>
      </c>
      <c r="V335" s="623" t="s">
        <v>203</v>
      </c>
      <c r="W335" s="70"/>
      <c r="X335" s="464"/>
      <c r="Y335" s="464"/>
      <c r="Z335" s="464"/>
      <c r="AA335" s="640"/>
      <c r="AB335" s="640"/>
      <c r="AC335" s="640"/>
      <c r="AD335" s="640"/>
      <c r="AE335" s="640"/>
      <c r="AF335" s="640"/>
      <c r="AG335" s="640"/>
      <c r="AH335" s="640"/>
      <c r="AI335" s="640"/>
      <c r="AJ335" s="640"/>
      <c r="AK335" s="640"/>
      <c r="AL335" s="640"/>
      <c r="AM335" s="630" t="s">
        <v>149</v>
      </c>
      <c r="AN335" s="631"/>
      <c r="AO335" s="631"/>
      <c r="AP335" s="631"/>
      <c r="AQ335" s="631"/>
      <c r="AR335" s="631"/>
      <c r="AS335" s="631"/>
      <c r="AT335" s="631"/>
      <c r="AU335" s="632"/>
    </row>
    <row r="336" spans="1:47" ht="12.75" customHeight="1" thickBot="1">
      <c r="A336" s="637"/>
      <c r="B336" s="621"/>
      <c r="C336" s="622"/>
      <c r="D336" s="622"/>
      <c r="E336" s="644"/>
      <c r="F336" s="622"/>
      <c r="G336" s="449"/>
      <c r="H336" s="638"/>
      <c r="I336" s="449"/>
      <c r="J336" s="650"/>
      <c r="K336" s="622"/>
      <c r="L336" s="622"/>
      <c r="M336" s="638"/>
      <c r="N336" s="622"/>
      <c r="O336" s="449"/>
      <c r="P336" s="642"/>
      <c r="Q336" s="638"/>
      <c r="R336" s="638"/>
      <c r="S336" s="638"/>
      <c r="T336" s="639"/>
      <c r="U336" s="641"/>
      <c r="V336" s="624"/>
      <c r="W336" s="452" t="s">
        <v>100</v>
      </c>
      <c r="X336" s="473">
        <v>39630</v>
      </c>
      <c r="Y336" s="473">
        <v>39661</v>
      </c>
      <c r="Z336" s="473">
        <v>39692</v>
      </c>
      <c r="AA336" s="473">
        <v>39722</v>
      </c>
      <c r="AB336" s="473">
        <v>39753</v>
      </c>
      <c r="AC336" s="473">
        <v>39783</v>
      </c>
      <c r="AD336" s="473">
        <v>39814</v>
      </c>
      <c r="AE336" s="473">
        <v>39845</v>
      </c>
      <c r="AF336" s="473">
        <v>39873</v>
      </c>
      <c r="AG336" s="473">
        <v>39904</v>
      </c>
      <c r="AH336" s="473">
        <v>39934</v>
      </c>
      <c r="AI336" s="473">
        <v>39965</v>
      </c>
      <c r="AJ336" s="473">
        <v>39995</v>
      </c>
      <c r="AK336" s="473">
        <v>40026</v>
      </c>
      <c r="AL336" s="474">
        <v>40057</v>
      </c>
      <c r="AM336" s="471">
        <v>40087</v>
      </c>
      <c r="AN336" s="450">
        <v>40118</v>
      </c>
      <c r="AO336" s="450">
        <v>40148</v>
      </c>
      <c r="AP336" s="450">
        <v>40179</v>
      </c>
      <c r="AQ336" s="450">
        <v>40210</v>
      </c>
      <c r="AR336" s="450">
        <v>40238</v>
      </c>
      <c r="AS336" s="450">
        <v>40269</v>
      </c>
      <c r="AT336" s="450">
        <v>40299</v>
      </c>
      <c r="AU336" s="472">
        <v>40330</v>
      </c>
    </row>
    <row r="337" spans="1:47" ht="26.25">
      <c r="A337" s="470" t="s">
        <v>196</v>
      </c>
      <c r="B337" s="555" t="s">
        <v>132</v>
      </c>
      <c r="C337" s="252">
        <f>IF(F337/E337&gt;0.899999999,1,IF(F337/E337&lt;0.75,3,2))</f>
        <v>3</v>
      </c>
      <c r="D337" s="46" t="str">
        <f>'Input &amp; Calc'!EO358</f>
        <v>È</v>
      </c>
      <c r="E337" s="590">
        <f>'Input &amp; Calc'!EE335</f>
        <v>5.3299999999999983</v>
      </c>
      <c r="F337" s="567">
        <f>'Input &amp; Calc'!EH358</f>
        <v>2</v>
      </c>
      <c r="G337" s="591"/>
      <c r="H337" s="592" t="s">
        <v>16</v>
      </c>
      <c r="I337" s="593"/>
      <c r="J337" s="594">
        <f>IF(N337/M337&gt;0.899999999,1,IF(N337/M337&lt;0.75,3,2))</f>
        <v>2</v>
      </c>
      <c r="K337" s="595" t="str">
        <f>'Input &amp; Calc'!EP358</f>
        <v>Ç</v>
      </c>
      <c r="L337" s="589">
        <f>Q337/4</f>
        <v>15.989999999999997</v>
      </c>
      <c r="M337" s="589">
        <f>L337/3*$T$3</f>
        <v>10.659999999999998</v>
      </c>
      <c r="N337" s="565">
        <f>'Input &amp; Calc'!EI358</f>
        <v>8</v>
      </c>
      <c r="O337" s="596"/>
      <c r="P337" s="594">
        <f>IF(S337/R337&gt;0.899999999,1,IF(S337/R337&lt;0.75,3,2))</f>
        <v>1</v>
      </c>
      <c r="Q337" s="565">
        <f>'Input &amp; Calc'!EG335</f>
        <v>63.959999999999987</v>
      </c>
      <c r="R337" s="602">
        <f>Q337/12*$T$4</f>
        <v>58.629999999999988</v>
      </c>
      <c r="S337" s="566">
        <f>'Input &amp; Calc'!EJ358</f>
        <v>71</v>
      </c>
      <c r="T337" s="488">
        <f>S337/R337</f>
        <v>1.2109841378134063</v>
      </c>
      <c r="U337" s="455"/>
      <c r="V337" s="563">
        <f>$V$733</f>
        <v>1</v>
      </c>
      <c r="W337" s="554" t="str">
        <f>B337</f>
        <v># of Ext Engag Clients; &gt;5 Hrs contact since 10/05</v>
      </c>
      <c r="X337" s="268">
        <v>1</v>
      </c>
      <c r="Y337" s="268">
        <v>1</v>
      </c>
      <c r="Z337" s="268">
        <v>1</v>
      </c>
      <c r="AA337" s="268">
        <v>1</v>
      </c>
      <c r="AB337" s="268">
        <v>1</v>
      </c>
      <c r="AC337" s="268">
        <v>1</v>
      </c>
      <c r="AD337" s="268">
        <v>1</v>
      </c>
      <c r="AE337" s="268">
        <v>1</v>
      </c>
      <c r="AF337" s="268">
        <v>1</v>
      </c>
      <c r="AG337" s="268">
        <v>1</v>
      </c>
      <c r="AH337" s="268">
        <v>1</v>
      </c>
      <c r="AI337" s="268">
        <v>1</v>
      </c>
      <c r="AJ337" s="268">
        <f>IF('Input &amp; Calc'!V358="","",IF('Input &amp; Calc'!DB358/'Input &amp; Calc'!DB335&gt;=0.9,1,IF('Input &amp; Calc'!DB358/'Input &amp; Calc'!DB335&lt;0.75,3,2)))</f>
        <v>1</v>
      </c>
      <c r="AK337" s="268">
        <f>IF('Input &amp; Calc'!W358="","",IF('Input &amp; Calc'!DC358/'Input &amp; Calc'!DC335&gt;=0.9,1,IF('Input &amp; Calc'!DC358/'Input &amp; Calc'!DC335&lt;0.75,3,2)))</f>
        <v>1</v>
      </c>
      <c r="AL337" s="270">
        <f>IF('Input &amp; Calc'!X358="","",IF('Input &amp; Calc'!DD358/'Input &amp; Calc'!DD335&gt;=0.9,1,IF('Input &amp; Calc'!DD358/'Input &amp; Calc'!DD335&lt;0.75,3,2)))</f>
        <v>1</v>
      </c>
      <c r="AM337" s="268">
        <f>IF('Input &amp; Calc'!Y358="","",IF('Input &amp; Calc'!DE358/'Input &amp; Calc'!DE335&gt;=0.9,1,IF('Input &amp; Calc'!DE358/'Input &amp; Calc'!DE335&lt;0.75,3,2)))</f>
        <v>1</v>
      </c>
      <c r="AN337" s="268">
        <f>IF('Input &amp; Calc'!Z358="","",IF('Input &amp; Calc'!DF358/'Input &amp; Calc'!DF335&gt;=0.9,1,IF('Input &amp; Calc'!DF358/'Input &amp; Calc'!DF335&lt;0.75,3,2)))</f>
        <v>1</v>
      </c>
      <c r="AO337" s="271">
        <f>IF('Input &amp; Calc'!AA358="","",IF('Input &amp; Calc'!DG358/'Input &amp; Calc'!DG335&gt;=0.9,1,IF('Input &amp; Calc'!DG358/'Input &amp; Calc'!DG335&lt;0.75,3,2)))</f>
        <v>1</v>
      </c>
      <c r="AP337" s="271">
        <f>IF('Input &amp; Calc'!AB358="","",IF('Input &amp; Calc'!DH358/'Input &amp; Calc'!DH335&gt;=0.9,1,IF('Input &amp; Calc'!DH358/'Input &amp; Calc'!DH335&lt;0.75,3,2)))</f>
        <v>1</v>
      </c>
      <c r="AQ337" s="271">
        <f>IF('Input &amp; Calc'!AC358="","",IF('Input &amp; Calc'!DI358/'Input &amp; Calc'!DI335&gt;=0.9,1,IF('Input &amp; Calc'!DI358/'Input &amp; Calc'!DI335&lt;0.75,3,2)))</f>
        <v>1</v>
      </c>
      <c r="AR337" s="271">
        <f>IF('Input &amp; Calc'!AD358="","",IF('Input &amp; Calc'!DJ358/'Input &amp; Calc'!DJ335&gt;=0.9,1,IF('Input &amp; Calc'!DJ358/'Input &amp; Calc'!DJ335&lt;0.75,3,2)))</f>
        <v>1</v>
      </c>
      <c r="AS337" s="271">
        <f>IF('Input &amp; Calc'!AE358="","",IF('Input &amp; Calc'!DK358/'Input &amp; Calc'!DK335&gt;=0.9,1,IF('Input &amp; Calc'!DK358/'Input &amp; Calc'!DK335&lt;0.75,3,2)))</f>
        <v>1</v>
      </c>
      <c r="AT337" s="271">
        <f>IF('Input &amp; Calc'!AF358="","",IF('Input &amp; Calc'!DL358/'Input &amp; Calc'!DL335&gt;=0.9,1,IF('Input &amp; Calc'!DL358/'Input &amp; Calc'!DL335&lt;0.75,3,2)))</f>
        <v>1</v>
      </c>
      <c r="AU337" s="271">
        <f>IF('Input &amp; Calc'!AG358="","",IF('Input &amp; Calc'!DM358/'Input &amp; Calc'!DM335&gt;=0.9,1,IF('Input &amp; Calc'!DM358/'Input &amp; Calc'!DM335&lt;0.75,3,2)))</f>
        <v>1</v>
      </c>
    </row>
    <row r="338" spans="1:47">
      <c r="A338" s="633" t="s">
        <v>206</v>
      </c>
      <c r="B338" s="556" t="s">
        <v>107</v>
      </c>
      <c r="C338" s="252">
        <f>IF(F338/E338&gt;0.899999999,1,IF(F338/E338&lt;0.75,3,2))</f>
        <v>1</v>
      </c>
      <c r="D338" s="97" t="str">
        <f>'Input &amp; Calc'!EO360</f>
        <v>Ç</v>
      </c>
      <c r="E338" s="590">
        <f>'Input &amp; Calc'!EE337</f>
        <v>2.25</v>
      </c>
      <c r="F338" s="567">
        <f>'Input &amp; Calc'!EH360</f>
        <v>4</v>
      </c>
      <c r="G338" s="591"/>
      <c r="H338" s="592" t="s">
        <v>16</v>
      </c>
      <c r="I338" s="593"/>
      <c r="J338" s="594">
        <f>IF(N338/M338&gt;0.899999999,1,IF(N338/M338&lt;0.75,3,2))</f>
        <v>1</v>
      </c>
      <c r="K338" s="597" t="str">
        <f>'Input &amp; Calc'!EP360</f>
        <v>È</v>
      </c>
      <c r="L338" s="589">
        <f>Q338/4</f>
        <v>6.75</v>
      </c>
      <c r="M338" s="589">
        <f>L338/3*$T$3</f>
        <v>4.5</v>
      </c>
      <c r="N338" s="565">
        <f>'Input &amp; Calc'!EI360</f>
        <v>10</v>
      </c>
      <c r="O338" s="596"/>
      <c r="P338" s="594">
        <f>IF(S338/R338&gt;0.899999999,1,IF(S338/R338&lt;0.75,3,2))</f>
        <v>1</v>
      </c>
      <c r="Q338" s="565">
        <f>'Input &amp; Calc'!EG337</f>
        <v>27</v>
      </c>
      <c r="R338" s="602">
        <f>Q338/12*$T$4</f>
        <v>24.75</v>
      </c>
      <c r="S338" s="566">
        <f>'Input &amp; Calc'!EJ360</f>
        <v>31</v>
      </c>
      <c r="T338" s="488">
        <f>S338/R338</f>
        <v>1.2525252525252526</v>
      </c>
      <c r="U338" s="455"/>
      <c r="V338" s="563">
        <f>$V$734</f>
        <v>1</v>
      </c>
      <c r="W338" s="554" t="str">
        <f>B338</f>
        <v># of Business Starts</v>
      </c>
      <c r="X338" s="268">
        <v>1</v>
      </c>
      <c r="Y338" s="268">
        <v>1</v>
      </c>
      <c r="Z338" s="268">
        <v>1</v>
      </c>
      <c r="AA338" s="268">
        <v>1</v>
      </c>
      <c r="AB338" s="272">
        <v>1</v>
      </c>
      <c r="AC338" s="272">
        <v>1</v>
      </c>
      <c r="AD338" s="272">
        <v>1</v>
      </c>
      <c r="AE338" s="272">
        <v>1</v>
      </c>
      <c r="AF338" s="272">
        <v>1</v>
      </c>
      <c r="AG338" s="272">
        <v>1</v>
      </c>
      <c r="AH338" s="272">
        <v>1</v>
      </c>
      <c r="AI338" s="272">
        <v>1</v>
      </c>
      <c r="AJ338" s="272">
        <f>IF('Input &amp; Calc'!V358="","",IF('Input &amp; Calc'!DB360/'Input &amp; Calc'!DB337&gt;=0.9,1,IF('Input &amp; Calc'!DB360/'Input &amp; Calc'!DB337&lt;0.75,3,2)))</f>
        <v>1</v>
      </c>
      <c r="AK338" s="272">
        <f>IF('Input &amp; Calc'!W358="","",IF('Input &amp; Calc'!DC360/'Input &amp; Calc'!DC337&gt;=0.9,1,IF('Input &amp; Calc'!DC360/'Input &amp; Calc'!DC337&lt;0.75,3,2)))</f>
        <v>1</v>
      </c>
      <c r="AL338" s="272">
        <f>IF('Input &amp; Calc'!X358="","",IF('Input &amp; Calc'!DD360/'Input &amp; Calc'!DD337&gt;=0.9,1,IF('Input &amp; Calc'!DD360/'Input &amp; Calc'!DD337&lt;0.75,3,2)))</f>
        <v>1</v>
      </c>
      <c r="AM338" s="272">
        <f>IF('Input &amp; Calc'!Y358="","",IF('Input &amp; Calc'!DE360/'Input &amp; Calc'!DE337&gt;=0.9,1,IF('Input &amp; Calc'!DE360/'Input &amp; Calc'!DE337&lt;0.75,3,2)))</f>
        <v>3</v>
      </c>
      <c r="AN338" s="272">
        <f>IF('Input &amp; Calc'!Z358="","",IF('Input &amp; Calc'!DF360/'Input &amp; Calc'!DF337&gt;=0.9,1,IF('Input &amp; Calc'!DF360/'Input &amp; Calc'!DF337&lt;0.75,3,2)))</f>
        <v>3</v>
      </c>
      <c r="AO338" s="272">
        <f>IF('Input &amp; Calc'!AA358="","",IF('Input &amp; Calc'!DG360/'Input &amp; Calc'!DG337&gt;=0.9,1,IF('Input &amp; Calc'!DG360/'Input &amp; Calc'!DG337&lt;0.75,3,2)))</f>
        <v>1</v>
      </c>
      <c r="AP338" s="272">
        <f>IF('Input &amp; Calc'!AB358="","",IF('Input &amp; Calc'!DH360/'Input &amp; Calc'!DH337&gt;=0.9,1,IF('Input &amp; Calc'!DH360/'Input &amp; Calc'!DH337&gt;0.75,3,2)))</f>
        <v>3</v>
      </c>
      <c r="AQ338" s="272">
        <f>IF('Input &amp; Calc'!AC358="","",IF('Input &amp; Calc'!DI360/'Input &amp; Calc'!DI337&gt;=0.9,1,IF('Input &amp; Calc'!DI360/'Input &amp; Calc'!DI337&lt;0.75,3,2)))</f>
        <v>3</v>
      </c>
      <c r="AR338" s="272">
        <v>1</v>
      </c>
      <c r="AS338" s="272">
        <f>IF('Input &amp; Calc'!AE358="","",IF('Input &amp; Calc'!DK360/'Input &amp; Calc'!DK337&gt;=0.9,1,IF('Input &amp; Calc'!DK360/'Input &amp; Calc'!DK337&gt;0.75,3,2)))</f>
        <v>1</v>
      </c>
      <c r="AT338" s="272">
        <f>IF('Input &amp; Calc'!AF358="","",IF('Input &amp; Calc'!DL360/'Input &amp; Calc'!DL337&gt;=0.9,1,IF('Input &amp; Calc'!DL360/'Input &amp; Calc'!DL337&gt;0.75,3,2)))</f>
        <v>1</v>
      </c>
      <c r="AU338" s="272">
        <f>IF('Input &amp; Calc'!AG358="","",IF('Input &amp; Calc'!DM360/'Input &amp; Calc'!DM337&gt;=0.9,1,IF('Input &amp; Calc'!DM360/'Input &amp; Calc'!DM337&gt;0.75,3,2)))</f>
        <v>1</v>
      </c>
    </row>
    <row r="339" spans="1:47" ht="16.5" thickBot="1">
      <c r="A339" s="634"/>
      <c r="B339" s="557" t="s">
        <v>138</v>
      </c>
      <c r="C339" s="252">
        <v>3</v>
      </c>
      <c r="D339" s="85" t="str">
        <f>'Input &amp; Calc'!EO361</f>
        <v>Ç</v>
      </c>
      <c r="E339" s="279">
        <f>'Input &amp; Calc'!EE338</f>
        <v>0.20833000000000013</v>
      </c>
      <c r="F339" s="586">
        <f>'Input &amp; Calc'!EH361</f>
        <v>1.6350000000000087E-2</v>
      </c>
      <c r="G339" s="458"/>
      <c r="H339" s="467" t="s">
        <v>16</v>
      </c>
      <c r="I339" s="459"/>
      <c r="J339" s="252">
        <f>IF(N339/M339&lt;0.899999999,1,IF(N339/M339&lt;0.75,3,2))</f>
        <v>2</v>
      </c>
      <c r="K339" s="85" t="str">
        <f>'Input &amp; Calc'!EP361</f>
        <v>È</v>
      </c>
      <c r="L339" s="442">
        <f>Q339/4</f>
        <v>0.62498999999999993</v>
      </c>
      <c r="M339" s="442">
        <f>L339/3*$T$3</f>
        <v>0.41665999999999997</v>
      </c>
      <c r="N339" s="609">
        <f>'Input &amp; Calc'!EI361</f>
        <v>4.4983500000000003</v>
      </c>
      <c r="O339" s="457"/>
      <c r="P339" s="252">
        <f>IF(S339/R339&gt;0.899999999,1,IF(S339/R339&lt;0.75,3,2))</f>
        <v>1</v>
      </c>
      <c r="Q339" s="389">
        <f>'Input &amp; Calc'!EG338</f>
        <v>2.4999599999999997</v>
      </c>
      <c r="R339" s="389">
        <f>Q339/12*$T$4</f>
        <v>2.2916300000000001</v>
      </c>
      <c r="S339" s="487">
        <f>'Input &amp; Calc'!EJ361</f>
        <v>4.4983500000000003</v>
      </c>
      <c r="T339" s="488">
        <f>S339/R339</f>
        <v>1.9629477708006966</v>
      </c>
      <c r="U339" s="468"/>
      <c r="V339" s="563">
        <f>$V$735</f>
        <v>1</v>
      </c>
      <c r="W339" s="554" t="str">
        <f>B339</f>
        <v>Capital Infusion $ - Million</v>
      </c>
      <c r="X339" s="275">
        <v>1</v>
      </c>
      <c r="Y339" s="275">
        <v>1</v>
      </c>
      <c r="Z339" s="275">
        <v>1</v>
      </c>
      <c r="AA339" s="275">
        <v>1</v>
      </c>
      <c r="AB339" s="323">
        <v>1</v>
      </c>
      <c r="AC339" s="323">
        <v>2</v>
      </c>
      <c r="AD339" s="323">
        <v>3</v>
      </c>
      <c r="AE339" s="323">
        <v>3</v>
      </c>
      <c r="AF339" s="323">
        <v>3</v>
      </c>
      <c r="AG339" s="323">
        <v>1</v>
      </c>
      <c r="AH339" s="323">
        <v>1</v>
      </c>
      <c r="AI339" s="323">
        <v>1</v>
      </c>
      <c r="AJ339" s="272">
        <f>IF('Input &amp; Calc'!V359="","",IF('Input &amp; Calc'!DB361/'Input &amp; Calc'!DB338&gt;=0.9,1,IF('Input &amp; Calc'!DB361/'Input &amp; Calc'!DB338&lt;0.75,3,2)))</f>
        <v>3</v>
      </c>
      <c r="AK339" s="272">
        <f>IF('Input &amp; Calc'!W359="","",IF('Input &amp; Calc'!DC361/'Input &amp; Calc'!DC338&gt;=0.9,1,IF('Input &amp; Calc'!DC361/'Input &amp; Calc'!DC338&lt;0.75,3,2)))</f>
        <v>3</v>
      </c>
      <c r="AL339" s="272">
        <f>IF('Input &amp; Calc'!X359="","",IF('Input &amp; Calc'!DD361/'Input &amp; Calc'!DD338&gt;=0.9,1,IF('Input &amp; Calc'!DD361/'Input &amp; Calc'!DD338&lt;0.75,3,2)))</f>
        <v>3</v>
      </c>
      <c r="AM339" s="272">
        <f>IF('Input &amp; Calc'!Y359="","",IF('Input &amp; Calc'!DE361/'Input &amp; Calc'!DE338&gt;=0.9,1,IF('Input &amp; Calc'!DE361/'Input &amp; Calc'!DE338&lt;0.75,3,2)))</f>
        <v>3</v>
      </c>
      <c r="AN339" s="272">
        <f>IF('Input &amp; Calc'!Z359="","",IF('Input &amp; Calc'!DF361/'Input &amp; Calc'!DF338&gt;=0.9,1,IF('Input &amp; Calc'!DF361/'Input &amp; Calc'!DF338&lt;0.75,3,2)))</f>
        <v>3</v>
      </c>
      <c r="AO339" s="272">
        <f>IF('Input &amp; Calc'!AA359="","",IF('Input &amp; Calc'!DG361/'Input &amp; Calc'!DG338&gt;=0.9,1,IF('Input &amp; Calc'!DG361/'Input &amp; Calc'!DG338&lt;0.75,3,2)))</f>
        <v>3</v>
      </c>
      <c r="AP339" s="272">
        <f>IF('Input &amp; Calc'!AB359="","",IF('Input &amp; Calc'!DH361/'Input &amp; Calc'!DH338&gt;=0.9,1,IF('Input &amp; Calc'!DH361/'Input &amp; Calc'!DH338&lt;0.75,3,2)))</f>
        <v>3</v>
      </c>
      <c r="AQ339" s="272">
        <f>IF('Input &amp; Calc'!AC359="","",IF('Input &amp; Calc'!DI361/'Input &amp; Calc'!DI338&gt;=0.9,1,IF('Input &amp; Calc'!DI361/'Input &amp; Calc'!DI338&lt;0.75,3,2)))</f>
        <v>3</v>
      </c>
      <c r="AR339" s="272">
        <v>1</v>
      </c>
      <c r="AS339" s="272">
        <f>IF('Input &amp; Calc'!AE359="","",IF('Input &amp; Calc'!DK361/'Input &amp; Calc'!DK338&gt;=0.9,1,IF('Input &amp; Calc'!DK361/'Input &amp; Calc'!DK338&lt;0.75,3,2)))</f>
        <v>2</v>
      </c>
      <c r="AT339" s="272">
        <f>IF('Input &amp; Calc'!AF359="","",IF('Input &amp; Calc'!DL361/'Input &amp; Calc'!DL338&gt;=0.9,1,IF('Input &amp; Calc'!DL361/'Input &amp; Calc'!DL338&lt;0.75,3,2)))</f>
        <v>1</v>
      </c>
      <c r="AU339" s="272">
        <f>IF('Input &amp; Calc'!AG359="","",IF('Input &amp; Calc'!DM361/'Input &amp; Calc'!DM338&gt;=0.9,1,IF('Input &amp; Calc'!DM361/'Input &amp; Calc'!DM338&lt;0.75,3,2)))</f>
        <v>1</v>
      </c>
    </row>
    <row r="340" spans="1:47" ht="14.25" customHeight="1" thickBot="1">
      <c r="A340" s="96" t="s">
        <v>135</v>
      </c>
      <c r="B340" s="460"/>
      <c r="C340" s="90"/>
      <c r="D340" s="93" t="s">
        <v>238</v>
      </c>
      <c r="E340" s="94">
        <f>'Input &amp; Calc'!$I$67</f>
        <v>40391</v>
      </c>
      <c r="F340" s="95"/>
      <c r="G340" s="461"/>
      <c r="H340" s="635" t="s">
        <v>130</v>
      </c>
      <c r="I340" s="635"/>
      <c r="J340" s="635"/>
      <c r="K340" s="635"/>
      <c r="L340" s="635"/>
      <c r="M340" s="635"/>
      <c r="N340" s="635"/>
      <c r="O340" s="461"/>
      <c r="P340" s="90"/>
      <c r="Q340" s="277"/>
      <c r="R340" s="277"/>
      <c r="S340" s="91" t="s">
        <v>136</v>
      </c>
      <c r="T340" s="278">
        <f>'Input &amp; Calc'!EK332</f>
        <v>2</v>
      </c>
      <c r="U340" s="325" t="s">
        <v>159</v>
      </c>
      <c r="V340" s="462"/>
      <c r="W340" s="392"/>
      <c r="X340" s="469"/>
      <c r="Y340" s="469"/>
      <c r="Z340" s="469"/>
      <c r="AA340" s="469"/>
      <c r="AB340" s="469"/>
      <c r="AC340" s="469"/>
      <c r="AD340" s="469"/>
      <c r="AE340" s="469"/>
      <c r="AF340" s="469"/>
      <c r="AG340" s="469"/>
      <c r="AH340" s="469"/>
      <c r="AI340" s="469"/>
      <c r="AJ340" s="469"/>
      <c r="AK340" s="469"/>
      <c r="AL340" s="469"/>
      <c r="AM340" s="469"/>
      <c r="AN340" s="469"/>
      <c r="AO340" s="469"/>
      <c r="AP340" s="469"/>
      <c r="AQ340" s="469"/>
      <c r="AR340" s="469"/>
      <c r="AS340" s="469"/>
      <c r="AT340" s="469"/>
      <c r="AU340" s="469"/>
    </row>
    <row r="341" spans="1:47" ht="12" customHeight="1" thickBot="1">
      <c r="A341" s="636" t="s">
        <v>99</v>
      </c>
      <c r="B341" s="638" t="s">
        <v>100</v>
      </c>
      <c r="C341" s="621" t="s">
        <v>101</v>
      </c>
      <c r="D341" s="621" t="s">
        <v>104</v>
      </c>
      <c r="E341" s="643" t="s">
        <v>105</v>
      </c>
      <c r="F341" s="621" t="s">
        <v>106</v>
      </c>
      <c r="G341" s="449"/>
      <c r="H341" s="638" t="s">
        <v>137</v>
      </c>
      <c r="I341" s="449"/>
      <c r="J341" s="621" t="s">
        <v>101</v>
      </c>
      <c r="K341" s="621" t="s">
        <v>104</v>
      </c>
      <c r="L341" s="621" t="s">
        <v>192</v>
      </c>
      <c r="M341" s="638" t="s">
        <v>194</v>
      </c>
      <c r="N341" s="621" t="s">
        <v>193</v>
      </c>
      <c r="O341" s="449"/>
      <c r="P341" s="642" t="s">
        <v>101</v>
      </c>
      <c r="Q341" s="638" t="s">
        <v>102</v>
      </c>
      <c r="R341" s="638" t="s">
        <v>191</v>
      </c>
      <c r="S341" s="638" t="s">
        <v>103</v>
      </c>
      <c r="T341" s="649" t="s">
        <v>108</v>
      </c>
      <c r="U341" s="641" t="s">
        <v>209</v>
      </c>
      <c r="V341" s="623" t="s">
        <v>203</v>
      </c>
      <c r="W341" s="393"/>
      <c r="X341" s="464"/>
      <c r="Y341" s="464"/>
      <c r="Z341" s="464"/>
      <c r="AA341" s="464"/>
      <c r="AB341" s="464"/>
      <c r="AC341" s="464"/>
      <c r="AD341" s="464"/>
      <c r="AE341" s="464"/>
      <c r="AF341" s="464"/>
      <c r="AG341" s="464"/>
      <c r="AH341" s="464"/>
      <c r="AI341" s="464"/>
      <c r="AJ341" s="464"/>
      <c r="AK341" s="464"/>
      <c r="AL341" s="464"/>
      <c r="AM341" s="464"/>
      <c r="AN341" s="464"/>
      <c r="AO341" s="464"/>
      <c r="AP341" s="464"/>
      <c r="AQ341" s="464"/>
      <c r="AR341" s="464"/>
      <c r="AS341" s="464"/>
      <c r="AT341" s="464"/>
      <c r="AU341" s="464"/>
    </row>
    <row r="342" spans="1:47" ht="17.25" customHeight="1" thickBot="1">
      <c r="A342" s="637"/>
      <c r="B342" s="621"/>
      <c r="C342" s="622"/>
      <c r="D342" s="622"/>
      <c r="E342" s="644"/>
      <c r="F342" s="622"/>
      <c r="G342" s="449"/>
      <c r="H342" s="638"/>
      <c r="I342" s="449"/>
      <c r="J342" s="622"/>
      <c r="K342" s="622"/>
      <c r="L342" s="622"/>
      <c r="M342" s="638"/>
      <c r="N342" s="622"/>
      <c r="O342" s="449"/>
      <c r="P342" s="642"/>
      <c r="Q342" s="638"/>
      <c r="R342" s="638"/>
      <c r="S342" s="638"/>
      <c r="T342" s="649"/>
      <c r="U342" s="641"/>
      <c r="V342" s="624"/>
      <c r="W342" s="564"/>
      <c r="X342" s="625" t="s">
        <v>150</v>
      </c>
      <c r="Y342" s="626"/>
      <c r="Z342" s="626"/>
      <c r="AA342" s="626"/>
      <c r="AB342" s="626"/>
      <c r="AC342" s="626"/>
      <c r="AD342" s="626"/>
      <c r="AE342" s="626"/>
      <c r="AF342" s="626"/>
      <c r="AG342" s="626"/>
      <c r="AH342" s="626"/>
      <c r="AI342" s="627"/>
      <c r="AJ342" s="625" t="s">
        <v>151</v>
      </c>
      <c r="AK342" s="626"/>
      <c r="AL342" s="626"/>
      <c r="AM342" s="626"/>
      <c r="AN342" s="626"/>
      <c r="AO342" s="626"/>
      <c r="AP342" s="626"/>
      <c r="AQ342" s="626"/>
      <c r="AR342" s="626"/>
      <c r="AS342" s="626"/>
      <c r="AT342" s="626"/>
      <c r="AU342" s="628"/>
    </row>
    <row r="343" spans="1:47" ht="25.5">
      <c r="A343" s="470" t="s">
        <v>197</v>
      </c>
      <c r="B343" s="551" t="s">
        <v>190</v>
      </c>
      <c r="C343" s="252">
        <f>IF(F343/E343&gt;0.899999999,1,IF(F343/E343&lt;0.75,3,2))</f>
        <v>1</v>
      </c>
      <c r="D343" s="46" t="str">
        <f>'Input &amp; Calc'!EO377</f>
        <v>Ç</v>
      </c>
      <c r="E343" s="590">
        <f>'Input &amp; Calc'!EE352</f>
        <v>19.416666666666668</v>
      </c>
      <c r="F343" s="567">
        <f>'Input &amp; Calc'!EH377</f>
        <v>42</v>
      </c>
      <c r="G343" s="598"/>
      <c r="H343" s="592" t="s">
        <v>16</v>
      </c>
      <c r="I343" s="599"/>
      <c r="J343" s="594">
        <f>IF(N343/M343&gt;0.899999999,1,IF(N343/M343&lt;0.75,3,2))</f>
        <v>1</v>
      </c>
      <c r="K343" s="600" t="str">
        <f>'Input &amp; Calc'!EP377</f>
        <v>È</v>
      </c>
      <c r="L343" s="589">
        <f>Q343/4</f>
        <v>58.25</v>
      </c>
      <c r="M343" s="589">
        <f>L343/3*$T$3</f>
        <v>38.833333333333336</v>
      </c>
      <c r="N343" s="565">
        <f>'Input &amp; Calc'!EI377</f>
        <v>84</v>
      </c>
      <c r="O343" s="601"/>
      <c r="P343" s="594">
        <f>IF(S343/R343&gt;0.899999999,1,IF(S343/R343&lt;0.75,3,2))</f>
        <v>1</v>
      </c>
      <c r="Q343" s="565">
        <f>'Input &amp; Calc'!EG352</f>
        <v>233</v>
      </c>
      <c r="R343" s="602">
        <f>Q343/12*$T$10</f>
        <v>38.833333333333336</v>
      </c>
      <c r="S343" s="566">
        <f>'Input &amp; Calc'!EJ377</f>
        <v>84</v>
      </c>
      <c r="T343" s="491">
        <f>S343/R343</f>
        <v>2.1630901287553645</v>
      </c>
      <c r="U343" s="454"/>
      <c r="V343" s="563">
        <f>$V$739</f>
        <v>1</v>
      </c>
      <c r="W343" s="476" t="str">
        <f>B343</f>
        <v># of Unique Clients YTD</v>
      </c>
      <c r="X343" s="269">
        <v>1</v>
      </c>
      <c r="Y343" s="268">
        <v>1</v>
      </c>
      <c r="Z343" s="268">
        <v>1</v>
      </c>
      <c r="AA343" s="268">
        <v>1</v>
      </c>
      <c r="AB343" s="268">
        <v>1</v>
      </c>
      <c r="AC343" s="268">
        <v>1</v>
      </c>
      <c r="AD343" s="268">
        <v>1</v>
      </c>
      <c r="AE343" s="268">
        <v>1</v>
      </c>
      <c r="AF343" s="268">
        <v>1</v>
      </c>
      <c r="AG343" s="268">
        <v>1</v>
      </c>
      <c r="AH343" s="268">
        <v>1</v>
      </c>
      <c r="AI343" s="270">
        <v>1</v>
      </c>
      <c r="AJ343" s="268">
        <f>IF('Input &amp; Calc'!V377="","",IF('Input &amp; Calc'!DB377/'Input &amp; Calc'!DB352&gt;=0.9,1,IF('Input &amp; Calc'!DB377/'Input &amp; Calc'!DB352&lt;0.75,3,2)))</f>
        <v>1</v>
      </c>
      <c r="AK343" s="268">
        <f>IF('Input &amp; Calc'!W377="","",IF('Input &amp; Calc'!DC377/'Input &amp; Calc'!DC352&gt;=0.9,1,IF('Input &amp; Calc'!DC377/'Input &amp; Calc'!DC352&lt;0.75,3,2)))</f>
        <v>1</v>
      </c>
      <c r="AL343" s="268">
        <f>IF('Input &amp; Calc'!X377="","",IF('Input &amp; Calc'!DD377/'Input &amp; Calc'!DD352&gt;=0.9,1,IF('Input &amp; Calc'!DD377/'Input &amp; Calc'!DD352&lt;0.75,3,2)))</f>
        <v>1</v>
      </c>
      <c r="AM343" s="268">
        <f>IF('Input &amp; Calc'!Y377="","",IF('Input &amp; Calc'!DE377/'Input &amp; Calc'!DE352&gt;=0.9,1,IF('Input &amp; Calc'!DE377/'Input &amp; Calc'!DE352&lt;0.75,3,2)))</f>
        <v>1</v>
      </c>
      <c r="AN343" s="268">
        <f>IF('Input &amp; Calc'!Z377="","",IF('Input &amp; Calc'!DF377/'Input &amp; Calc'!DF352&gt;=0.9,1,IF('Input &amp; Calc'!DF377/'Input &amp; Calc'!DF352&lt;0.75,3,2)))</f>
        <v>1</v>
      </c>
      <c r="AO343" s="268">
        <f>IF('Input &amp; Calc'!AA377="","",IF('Input &amp; Calc'!DG377/'Input &amp; Calc'!DG352&gt;=0.9,1,IF('Input &amp; Calc'!DG377/'Input &amp; Calc'!DG352&lt;0.75,3,2)))</f>
        <v>1</v>
      </c>
      <c r="AP343" s="268">
        <f>IF('Input &amp; Calc'!AB377="","",IF('Input &amp; Calc'!DH377/'Input &amp; Calc'!DH352&gt;=0.9,1,IF('Input &amp; Calc'!DH377/'Input &amp; Calc'!DH352&lt;0.75,3,2)))</f>
        <v>1</v>
      </c>
      <c r="AQ343" s="268">
        <f>IF('Input &amp; Calc'!AC377="","",IF('Input &amp; Calc'!DI377/'Input &amp; Calc'!DI352&gt;=0.9,1,IF('Input &amp; Calc'!DI377/'Input &amp; Calc'!DI352&lt;0.75,3,2)))</f>
        <v>1</v>
      </c>
      <c r="AR343" s="268">
        <f>IF('Input &amp; Calc'!AD377="","",IF('Input &amp; Calc'!DJ377/'Input &amp; Calc'!DJ352&gt;=0.9,1,IF('Input &amp; Calc'!DJ377/'Input &amp; Calc'!DJ352&lt;0.75,3,2)))</f>
        <v>1</v>
      </c>
      <c r="AS343" s="268">
        <f>IF('Input &amp; Calc'!AE377="","",IF('Input &amp; Calc'!DK377/'Input &amp; Calc'!DK352&gt;=0.9,1,IF('Input &amp; Calc'!DK377/'Input &amp; Calc'!DK352&lt;0.75,3,2)))</f>
        <v>1</v>
      </c>
      <c r="AT343" s="268">
        <f>IF('Input &amp; Calc'!AF377="","",IF('Input &amp; Calc'!DL377/'Input &amp; Calc'!DL352&gt;=0.9,1,IF('Input &amp; Calc'!DL377/'Input &amp; Calc'!DL352&lt;0.75,3,2)))</f>
        <v>1</v>
      </c>
      <c r="AU343" s="268">
        <f>IF('Input &amp; Calc'!AG377="","",IF('Input &amp; Calc'!DM377/'Input &amp; Calc'!DM352&gt;=0.9,1,IF('Input &amp; Calc'!DM377/'Input &amp; Calc'!DM352&lt;0.75,3,2)))</f>
        <v>1</v>
      </c>
    </row>
    <row r="344" spans="1:47" ht="27.75" customHeight="1">
      <c r="A344" s="620" t="s">
        <v>198</v>
      </c>
      <c r="B344" s="551" t="s">
        <v>199</v>
      </c>
      <c r="C344" s="252">
        <f>IF(F344/E344&gt;0.899999999,1,IF(F344/E344&lt;0.75,3,2))</f>
        <v>3</v>
      </c>
      <c r="D344" s="46" t="str">
        <f>'Input &amp; Calc'!EO390</f>
        <v>Ç</v>
      </c>
      <c r="E344" s="489">
        <f>'Input &amp; Calc'!EE382</f>
        <v>0.44827586206896547</v>
      </c>
      <c r="F344" s="494">
        <f>'Input &amp; Calc'!EH389</f>
        <v>0.3125</v>
      </c>
      <c r="G344" s="558"/>
      <c r="H344" s="453" t="s">
        <v>16</v>
      </c>
      <c r="I344" s="559"/>
      <c r="J344" s="252">
        <f>IF(N344/M344&gt;0.899999999,1,IF(N344/M344&lt;0.75,3,2))</f>
        <v>2</v>
      </c>
      <c r="K344" s="46" t="str">
        <f>'Input &amp; Calc'!EP390</f>
        <v>È</v>
      </c>
      <c r="L344" s="490">
        <f>'Input &amp; Calc'!EF382</f>
        <v>0.44827586206896552</v>
      </c>
      <c r="M344" s="490">
        <f>L344</f>
        <v>0.44827586206896552</v>
      </c>
      <c r="N344" s="491">
        <f>'Input &amp; Calc'!EI389</f>
        <v>0.35294117647058826</v>
      </c>
      <c r="O344" s="561"/>
      <c r="P344" s="252">
        <f>IF(S344/R344&gt;0.899999999,1,IF(S344/R344&lt;0.75,3,2))</f>
        <v>2</v>
      </c>
      <c r="Q344" s="491">
        <f>'Input &amp; Calc'!EG382</f>
        <v>0.44827586206896552</v>
      </c>
      <c r="R344" s="492">
        <f>Q344</f>
        <v>0.44827586206896552</v>
      </c>
      <c r="S344" s="493">
        <f>'Input &amp; Calc'!EJ389</f>
        <v>0.35294117647058826</v>
      </c>
      <c r="T344" s="488">
        <f>+S344-R344</f>
        <v>-9.5334685598377267E-2</v>
      </c>
      <c r="U344" s="455"/>
      <c r="V344" s="563">
        <f>$V$740</f>
        <v>1</v>
      </c>
      <c r="W344" s="476" t="str">
        <f>B344</f>
        <v>% of existing business new clients to initial clients</v>
      </c>
      <c r="X344" s="475">
        <v>1</v>
      </c>
      <c r="Y344" s="274">
        <v>1</v>
      </c>
      <c r="Z344" s="274">
        <v>1</v>
      </c>
      <c r="AA344" s="274">
        <v>1</v>
      </c>
      <c r="AB344" s="274">
        <v>1</v>
      </c>
      <c r="AC344" s="274">
        <v>1</v>
      </c>
      <c r="AD344" s="274">
        <v>1</v>
      </c>
      <c r="AE344" s="274">
        <v>1</v>
      </c>
      <c r="AF344" s="274">
        <v>1</v>
      </c>
      <c r="AG344" s="274">
        <v>1</v>
      </c>
      <c r="AH344" s="274">
        <v>1</v>
      </c>
      <c r="AI344" s="514">
        <v>1</v>
      </c>
      <c r="AJ344" s="274">
        <f>IF('Input &amp; Calc'!V390="","",IF('Input &amp; Calc'!DB383*0.9&lt;'Input &amp; Calc'!V390,1,IF('Input &amp; Calc'!DB383*0.75&gt;'Input &amp; Calc'!DB390,3,2)))</f>
        <v>1</v>
      </c>
      <c r="AK344" s="273">
        <f>IF('Input &amp; Calc'!W390="","",IF('Input &amp; Calc'!DC383*0.9&lt;'Input &amp; Calc'!W390,1,IF('Input &amp; Calc'!DC383*0.75&gt;'Input &amp; Calc'!DC390,3,2)))</f>
        <v>1</v>
      </c>
      <c r="AL344" s="273">
        <f>IF('Input &amp; Calc'!X390="","",IF('Input &amp; Calc'!DD383*0.9&lt;'Input &amp; Calc'!X390,1,IF('Input &amp; Calc'!DD383*0.75&gt;'Input &amp; Calc'!DD390,3,2)))</f>
        <v>2</v>
      </c>
      <c r="AM344" s="273">
        <f>IF('Input &amp; Calc'!Y390="","",IF('Input &amp; Calc'!DE383*0.9&lt;'Input &amp; Calc'!Y390,1,IF('Input &amp; Calc'!DE383*0.75&gt;'Input &amp; Calc'!DE390,3,2)))</f>
        <v>2</v>
      </c>
      <c r="AN344" s="273">
        <f>IF('Input &amp; Calc'!Z390="","",IF('Input &amp; Calc'!DF383*0.9&lt;'Input &amp; Calc'!Z390,1,IF('Input &amp; Calc'!DF383*0.75&gt;'Input &amp; Calc'!DF390,3,2)))</f>
        <v>2</v>
      </c>
      <c r="AO344" s="273">
        <f>IF('Input &amp; Calc'!AA390="","",IF('Input &amp; Calc'!DG383*0.9&lt;'Input &amp; Calc'!AA390,1,IF('Input &amp; Calc'!DG383*0.75&gt;'Input &amp; Calc'!DG390,3,2)))</f>
        <v>1</v>
      </c>
      <c r="AP344" s="273">
        <f>IF('Input &amp; Calc'!AB390="","",IF('Input &amp; Calc'!DH383*0.9&lt;'Input &amp; Calc'!AB390,1,IF('Input &amp; Calc'!DH383*0.75&gt;'Input &amp; Calc'!DH390,3,2)))</f>
        <v>1</v>
      </c>
      <c r="AQ344" s="273">
        <f>IF('Input &amp; Calc'!AC390="","",IF('Input &amp; Calc'!DI383*0.9&lt;'Input &amp; Calc'!AC390,1,IF('Input &amp; Calc'!DI383*0.75&gt;'Input &amp; Calc'!DI390,3,2)))</f>
        <v>1</v>
      </c>
      <c r="AR344" s="273">
        <f>IF('Input &amp; Calc'!AD390="","",IF('Input &amp; Calc'!DJ383*0.9&gt;'Input &amp; Calc'!AD390,1,IF('Input &amp; Calc'!DJ383*0.75&gt;'Input &amp; Calc'!DJ390,3,2)))</f>
        <v>1</v>
      </c>
      <c r="AS344" s="273">
        <f>IF('Input &amp; Calc'!AE390="","",IF('Input &amp; Calc'!DK383*0.9&lt;'Input &amp; Calc'!AE390,1,IF('Input &amp; Calc'!DK383*0.75&lt;'Input &amp; Calc'!DK390,3,2)))</f>
        <v>3</v>
      </c>
      <c r="AT344" s="273">
        <f>IF('Input &amp; Calc'!AF390="","",IF('Input &amp; Calc'!DL383*0.9&lt;'Input &amp; Calc'!AF390,1,IF('Input &amp; Calc'!DL383*0.75&lt;'Input &amp; Calc'!DL390,3,2)))</f>
        <v>3</v>
      </c>
      <c r="AU344" s="273">
        <v>2</v>
      </c>
    </row>
    <row r="345" spans="1:47">
      <c r="A345" s="620"/>
      <c r="B345" s="551" t="s">
        <v>200</v>
      </c>
      <c r="C345" s="252">
        <f>'Input &amp; Calc'!EQ900</f>
        <v>3</v>
      </c>
      <c r="D345" s="46" t="str">
        <f>'Input &amp; Calc'!EO900</f>
        <v>È</v>
      </c>
      <c r="E345" s="279">
        <v>4</v>
      </c>
      <c r="F345" s="279">
        <f>'Input &amp; Calc'!EH900</f>
        <v>2.6500000000000004</v>
      </c>
      <c r="G345" s="558"/>
      <c r="H345" s="453" t="s">
        <v>16</v>
      </c>
      <c r="I345" s="559"/>
      <c r="J345" s="252">
        <f>'Input &amp; Calc'!ER900</f>
        <v>1</v>
      </c>
      <c r="K345" s="46" t="str">
        <f>'Input &amp; Calc'!EP900</f>
        <v>Ç</v>
      </c>
      <c r="L345" s="279">
        <v>4</v>
      </c>
      <c r="M345" s="442">
        <v>4</v>
      </c>
      <c r="N345" s="388">
        <f>'Input &amp; Calc'!EI900</f>
        <v>2.621547619047619</v>
      </c>
      <c r="O345" s="561"/>
      <c r="P345" s="252">
        <f>'Input &amp; Calc'!ES900</f>
        <v>3</v>
      </c>
      <c r="Q345" s="388">
        <f>4</f>
        <v>4</v>
      </c>
      <c r="R345" s="442">
        <v>4</v>
      </c>
      <c r="S345" s="486">
        <f>'Input &amp; Calc'!EJ900</f>
        <v>2.621547619047619</v>
      </c>
      <c r="T345" s="491">
        <f>S345/R345</f>
        <v>0.65538690476190475</v>
      </c>
      <c r="U345" s="456"/>
      <c r="V345" s="563">
        <f>$V$741</f>
        <v>3</v>
      </c>
      <c r="W345" s="476" t="str">
        <f>B345</f>
        <v>Average Hours/Client</v>
      </c>
      <c r="X345" s="269">
        <v>1</v>
      </c>
      <c r="Y345" s="268">
        <v>1</v>
      </c>
      <c r="Z345" s="268">
        <v>1</v>
      </c>
      <c r="AA345" s="268">
        <v>1</v>
      </c>
      <c r="AB345" s="268">
        <v>1</v>
      </c>
      <c r="AC345" s="268">
        <v>1</v>
      </c>
      <c r="AD345" s="268">
        <v>1</v>
      </c>
      <c r="AE345" s="268">
        <v>1</v>
      </c>
      <c r="AF345" s="268">
        <v>1</v>
      </c>
      <c r="AG345" s="268">
        <v>1</v>
      </c>
      <c r="AH345" s="268">
        <v>1</v>
      </c>
      <c r="AI345" s="270">
        <v>1</v>
      </c>
      <c r="AJ345" s="274">
        <f>IF('Input &amp; Calc'!V377="","",IF('Input &amp; Calc'!DB344/'Input &amp; Calc'!DB352*0.9/12*'Input &amp; Calc'!DB$51&lt;'Input &amp; Calc'!DB369/'Input &amp; Calc'!DB377,1,IF('Input &amp; Calc'!DB344/'Input &amp; Calc'!DB352*0.75/12*'Input &amp; Calc'!DB$51&gt;'Input &amp; Calc'!DB369/'Input &amp; Calc'!DB377,3,2)))</f>
        <v>1</v>
      </c>
      <c r="AK345" s="273">
        <f>IF('Input &amp; Calc'!W377="","",IF('Input &amp; Calc'!DC344/'Input &amp; Calc'!DC352*0.9/12*'Input &amp; Calc'!DC$51&lt;'Input &amp; Calc'!DC369/'Input &amp; Calc'!DC377,1,IF('Input &amp; Calc'!DC344/'Input &amp; Calc'!DC352*0.75/12*'Input &amp; Calc'!DC$51&gt;'Input &amp; Calc'!DC369/'Input &amp; Calc'!DC377,3,2)))</f>
        <v>1</v>
      </c>
      <c r="AL345" s="273">
        <f>IF('Input &amp; Calc'!X377="","",IF('Input &amp; Calc'!DD344/'Input &amp; Calc'!DD352*0.9/12*'Input &amp; Calc'!DD$51&lt;'Input &amp; Calc'!DD369/'Input &amp; Calc'!DD377,1,IF('Input &amp; Calc'!DD344/'Input &amp; Calc'!DD352*0.75/12*'Input &amp; Calc'!DD$51&gt;'Input &amp; Calc'!DD369/'Input &amp; Calc'!DD377,3,2)))</f>
        <v>1</v>
      </c>
      <c r="AM345" s="273">
        <f>IF('Input &amp; Calc'!Y377="","",IF('Input &amp; Calc'!DE344/'Input &amp; Calc'!DE352*0.9/12*'Input &amp; Calc'!DE$51&lt;'Input &amp; Calc'!DE369/'Input &amp; Calc'!DE377,1,IF('Input &amp; Calc'!DE344/'Input &amp; Calc'!DE352*0.75/12*'Input &amp; Calc'!DE$51&gt;'Input &amp; Calc'!DE369/'Input &amp; Calc'!DE377,3,2)))</f>
        <v>1</v>
      </c>
      <c r="AN345" s="273">
        <f>IF('Input &amp; Calc'!Z377="","",IF('Input &amp; Calc'!DF344/'Input &amp; Calc'!DF352*0.9/12*'Input &amp; Calc'!DF$51&lt;'Input &amp; Calc'!DF369/'Input &amp; Calc'!DF377,1,IF('Input &amp; Calc'!DF344/'Input &amp; Calc'!DF352*0.75/12*'Input &amp; Calc'!DF$51&gt;'Input &amp; Calc'!DF369/'Input &amp; Calc'!DF377,3,2)))</f>
        <v>1</v>
      </c>
      <c r="AO345" s="273">
        <f>IF('Input &amp; Calc'!AA377="","",IF('Input &amp; Calc'!DG344/'Input &amp; Calc'!DG352*0.9/12*'Input &amp; Calc'!DG$51&lt;'Input &amp; Calc'!DG369/'Input &amp; Calc'!DG377,1,IF('Input &amp; Calc'!DG344/'Input &amp; Calc'!DG352*0.75/12*'Input &amp; Calc'!DG$51&gt;'Input &amp; Calc'!DG369/'Input &amp; Calc'!DG377,3,2)))</f>
        <v>1</v>
      </c>
      <c r="AP345" s="273">
        <f>IF('Input &amp; Calc'!AB377="","",IF('Input &amp; Calc'!DH344/'Input &amp; Calc'!DH352*0.9/12*'Input &amp; Calc'!DH$51&lt;'Input &amp; Calc'!DH369/'Input &amp; Calc'!DH377,1,IF('Input &amp; Calc'!DH344/'Input &amp; Calc'!DH352*0.75/12*'Input &amp; Calc'!DH$51&gt;'Input &amp; Calc'!DH369/'Input &amp; Calc'!DH377,3,2)))</f>
        <v>1</v>
      </c>
      <c r="AQ345" s="273">
        <f>IF('Input &amp; Calc'!AC377="","",IF('Input &amp; Calc'!DI344/'Input &amp; Calc'!DI352*0.9/12*'Input &amp; Calc'!DI$51&lt;'Input &amp; Calc'!DI369/'Input &amp; Calc'!DI377,1,IF('Input &amp; Calc'!DI344/'Input &amp; Calc'!DI352*0.75/12*'Input &amp; Calc'!DI$51&gt;'Input &amp; Calc'!DI369/'Input &amp; Calc'!DI377,3,2)))</f>
        <v>1</v>
      </c>
      <c r="AR345" s="273">
        <f>IF('Input &amp; Calc'!AD377="","",IF('Input &amp; Calc'!DJ344/'Input &amp; Calc'!DJ352*0.9/12*'Input &amp; Calc'!DJ$51&lt;'Input &amp; Calc'!DJ369/'Input &amp; Calc'!DJ377,1,IF('Input &amp; Calc'!DJ344/'Input &amp; Calc'!DJ352*0.75/12*'Input &amp; Calc'!DJ$51&gt;'Input &amp; Calc'!DJ369/'Input &amp; Calc'!DJ377,3,2)))</f>
        <v>1</v>
      </c>
      <c r="AS345" s="273">
        <f>IF('Input &amp; Calc'!AE377="","",IF('Input &amp; Calc'!DK344/'Input &amp; Calc'!DK352*0.9/12*'Input &amp; Calc'!DK$51&gt;'Input &amp; Calc'!DK369/'Input &amp; Calc'!DK377,1,IF('Input &amp; Calc'!DK344/'Input &amp; Calc'!DK352*0.75/12*'Input &amp; Calc'!DK$51&gt;'Input &amp; Calc'!DK369/'Input &amp; Calc'!DK377,3,2)))</f>
        <v>1</v>
      </c>
      <c r="AT345" s="273">
        <f>IF('Input &amp; Calc'!AF377="","",IF('Input &amp; Calc'!DL344/'Input &amp; Calc'!DL352*0.9/12*'Input &amp; Calc'!DL$51&gt;'Input &amp; Calc'!DL369/'Input &amp; Calc'!DL377,1,IF('Input &amp; Calc'!DL344/'Input &amp; Calc'!DL352*0.75/12*'Input &amp; Calc'!DL$51&gt;'Input &amp; Calc'!DL369/'Input &amp; Calc'!DL377,3,2)))</f>
        <v>1</v>
      </c>
      <c r="AU345" s="273">
        <f>IF('Input &amp; Calc'!AG377="","",IF('Input &amp; Calc'!DM344/'Input &amp; Calc'!DM352*0.9/12*'Input &amp; Calc'!DM$51&lt;'Input &amp; Calc'!DM369/'Input &amp; Calc'!DM377,1,IF('Input &amp; Calc'!DM344/'Input &amp; Calc'!DM352*0.75/12*'Input &amp; Calc'!DM$51&gt;'Input &amp; Calc'!DM369/'Input &amp; Calc'!DM377,3,2)))</f>
        <v>3</v>
      </c>
    </row>
    <row r="346" spans="1:47">
      <c r="A346" s="470" t="s">
        <v>109</v>
      </c>
      <c r="B346" s="551" t="s">
        <v>201</v>
      </c>
      <c r="C346" s="521"/>
      <c r="D346" s="522"/>
      <c r="E346" s="529"/>
      <c r="F346" s="520"/>
      <c r="G346" s="558"/>
      <c r="H346" s="453" t="s">
        <v>16</v>
      </c>
      <c r="I346" s="559"/>
      <c r="J346" s="252">
        <f>IF(N346/M346&gt;0.899999999,1,IF(N346/M346&lt;0.75,3,2))</f>
        <v>3</v>
      </c>
      <c r="K346" s="46" t="str">
        <f>'Input &amp; Calc'!EP367</f>
        <v>È</v>
      </c>
      <c r="L346" s="490">
        <f>Q346</f>
        <v>0.94999999999999984</v>
      </c>
      <c r="M346" s="490">
        <f>L346</f>
        <v>0.94999999999999984</v>
      </c>
      <c r="N346" s="491">
        <f>'Input &amp; Calc'!EI367</f>
        <v>0.4</v>
      </c>
      <c r="O346" s="561"/>
      <c r="P346" s="252">
        <f>IF(S346/R346&gt;0.899999999,1,IF(S346/R346&lt;0.75,3,2))</f>
        <v>1</v>
      </c>
      <c r="Q346" s="491">
        <f>'Input &amp; Calc'!EG342</f>
        <v>0.94999999999999984</v>
      </c>
      <c r="R346" s="491">
        <f>Q346</f>
        <v>0.94999999999999984</v>
      </c>
      <c r="S346" s="493">
        <f>'Input &amp; Calc'!EJ367</f>
        <v>1</v>
      </c>
      <c r="T346" s="491">
        <f>S346-R346</f>
        <v>5.0000000000000155E-2</v>
      </c>
      <c r="U346" s="455"/>
      <c r="V346" s="563">
        <f>$V$742</f>
        <v>1</v>
      </c>
      <c r="W346" s="476" t="str">
        <f>B346</f>
        <v>Client satisfaction rating %</v>
      </c>
      <c r="X346" s="269">
        <v>3</v>
      </c>
      <c r="Y346" s="268">
        <v>1</v>
      </c>
      <c r="Z346" s="268">
        <v>1</v>
      </c>
      <c r="AA346" s="268">
        <v>1</v>
      </c>
      <c r="AB346" s="268">
        <v>1</v>
      </c>
      <c r="AC346" s="268">
        <v>1</v>
      </c>
      <c r="AD346" s="268">
        <v>1</v>
      </c>
      <c r="AE346" s="268">
        <v>1</v>
      </c>
      <c r="AF346" s="268">
        <v>1</v>
      </c>
      <c r="AG346" s="268">
        <v>1</v>
      </c>
      <c r="AH346" s="268">
        <v>1</v>
      </c>
      <c r="AI346" s="270">
        <v>1</v>
      </c>
      <c r="AJ346" s="268">
        <f>IF('Input &amp; Calc'!V367="","",IF('Input &amp; Calc'!DB342*0.9&lt;'Input &amp; Calc'!DB367,1,IF('Input &amp; Calc'!DB342*0.75&gt;'Input &amp; Calc'!DB367,3,2)))</f>
        <v>1</v>
      </c>
      <c r="AK346" s="268">
        <f>IF('Input &amp; Calc'!W367="","",IF('Input &amp; Calc'!DC342*0.9&lt;'Input &amp; Calc'!DC367,1,IF('Input &amp; Calc'!DC342*0.75&gt;'Input &amp; Calc'!DC367,3,2)))</f>
        <v>1</v>
      </c>
      <c r="AL346" s="268">
        <f>IF('Input &amp; Calc'!X367="","",IF('Input &amp; Calc'!DD342*0.9&lt;'Input &amp; Calc'!DD367,1,IF('Input &amp; Calc'!DD342*0.75&gt;'Input &amp; Calc'!DD367,3,2)))</f>
        <v>1</v>
      </c>
      <c r="AM346" s="268">
        <f>IF('Input &amp; Calc'!Y367="","",IF('Input &amp; Calc'!DE342*0.9&lt;'Input &amp; Calc'!DE367,1,IF('Input &amp; Calc'!DE342*0.75&gt;'Input &amp; Calc'!DE367,3,2)))</f>
        <v>1</v>
      </c>
      <c r="AN346" s="268">
        <f>IF('Input &amp; Calc'!Z367="","",IF('Input &amp; Calc'!DF342*0.9&lt;'Input &amp; Calc'!DF367,1,IF('Input &amp; Calc'!DF342*0.75&gt;'Input &amp; Calc'!DF367,3,2)))</f>
        <v>1</v>
      </c>
      <c r="AO346" s="268">
        <f>IF('Input &amp; Calc'!AA367="","",IF('Input &amp; Calc'!DG342*0.9&lt;'Input &amp; Calc'!DG367,1,IF('Input &amp; Calc'!DG342*0.75&gt;'Input &amp; Calc'!DG367,3,2)))</f>
        <v>1</v>
      </c>
      <c r="AP346" s="268">
        <f>IF('Input &amp; Calc'!AB367="","",IF('Input &amp; Calc'!DH342*0.9&lt;'Input &amp; Calc'!DH367,1,IF('Input &amp; Calc'!DH342*0.75&gt;'Input &amp; Calc'!DH367,3,2)))</f>
        <v>1</v>
      </c>
      <c r="AQ346" s="268">
        <f>IF('Input &amp; Calc'!AC367="","",IF('Input &amp; Calc'!DI342*0.9&lt;'Input &amp; Calc'!DI367,1,IF('Input &amp; Calc'!DI342*0.75&gt;'Input &amp; Calc'!DI367,3,2)))</f>
        <v>1</v>
      </c>
      <c r="AR346" s="268">
        <f>IF('Input &amp; Calc'!AD367="","",IF('Input &amp; Calc'!DJ342*0.9&lt;'Input &amp; Calc'!DJ367,1,IF('Input &amp; Calc'!DJ342*0.75&gt;'Input &amp; Calc'!DJ367,3,2)))</f>
        <v>1</v>
      </c>
      <c r="AS346" s="268">
        <f>IF('Input &amp; Calc'!AE367="","",IF('Input &amp; Calc'!DK342*0.9&lt;'Input &amp; Calc'!DK367,1,IF('Input &amp; Calc'!DK342*0.75&gt;'Input &amp; Calc'!DK367,3,2)))</f>
        <v>1</v>
      </c>
      <c r="AT346" s="268">
        <f>IF('Input &amp; Calc'!AF367="","",IF('Input &amp; Calc'!DL342*0.9&lt;'Input &amp; Calc'!DL367,1,IF('Input &amp; Calc'!DL342*0.75&gt;'Input &amp; Calc'!DL367,3,2)))</f>
        <v>1</v>
      </c>
      <c r="AU346" s="268">
        <f>IF('Input &amp; Calc'!AG367="","",IF('Input &amp; Calc'!DM342*0.9&lt;'Input &amp; Calc'!DM367,1,IF('Input &amp; Calc'!DM342*0.75&gt;'Input &amp; Calc'!DM367,3,2)))</f>
        <v>1</v>
      </c>
    </row>
    <row r="347" spans="1:47" s="465" customFormat="1">
      <c r="A347" s="620" t="s">
        <v>207</v>
      </c>
      <c r="B347" s="551" t="s">
        <v>227</v>
      </c>
      <c r="C347" s="523"/>
      <c r="D347" s="524"/>
      <c r="E347" s="525"/>
      <c r="F347" s="515">
        <f>'Input &amp; Calc'!EH854</f>
        <v>6</v>
      </c>
      <c r="G347" s="451"/>
      <c r="H347" s="453" t="s">
        <v>16</v>
      </c>
      <c r="I347" s="560"/>
      <c r="J347" s="521"/>
      <c r="K347" s="522"/>
      <c r="L347" s="530"/>
      <c r="M347" s="531"/>
      <c r="N347" s="516">
        <f>'Input &amp; Calc'!EI854</f>
        <v>13</v>
      </c>
      <c r="O347" s="562"/>
      <c r="P347" s="521"/>
      <c r="Q347" s="536"/>
      <c r="R347" s="537"/>
      <c r="S347" s="517">
        <f>'Input &amp; Calc'!EJ854</f>
        <v>13</v>
      </c>
      <c r="T347" s="542"/>
      <c r="U347" s="543"/>
      <c r="V347" s="544"/>
      <c r="W347" s="554" t="s">
        <v>227</v>
      </c>
      <c r="X347" s="271"/>
      <c r="Y347" s="268"/>
      <c r="Z347" s="268"/>
      <c r="AA347" s="268"/>
      <c r="AB347" s="268"/>
      <c r="AC347" s="268"/>
      <c r="AD347" s="268"/>
      <c r="AE347" s="268"/>
      <c r="AF347" s="268"/>
      <c r="AG347" s="268"/>
      <c r="AH347" s="268"/>
      <c r="AI347" s="270"/>
      <c r="AJ347" s="268"/>
      <c r="AK347" s="268"/>
      <c r="AL347" s="268"/>
      <c r="AM347" s="268"/>
      <c r="AN347" s="268"/>
      <c r="AO347" s="268"/>
      <c r="AP347" s="268"/>
      <c r="AQ347" s="268"/>
      <c r="AR347" s="268"/>
      <c r="AS347" s="268"/>
      <c r="AT347" s="268"/>
      <c r="AU347" s="268"/>
    </row>
    <row r="348" spans="1:47" s="465" customFormat="1">
      <c r="A348" s="620"/>
      <c r="B348" s="551" t="s">
        <v>228</v>
      </c>
      <c r="C348" s="523"/>
      <c r="D348" s="524"/>
      <c r="E348" s="525"/>
      <c r="F348" s="515">
        <f>'Input &amp; Calc'!EH870</f>
        <v>0</v>
      </c>
      <c r="G348" s="451"/>
      <c r="H348" s="453" t="s">
        <v>16</v>
      </c>
      <c r="I348" s="560"/>
      <c r="J348" s="523"/>
      <c r="K348" s="524"/>
      <c r="L348" s="532"/>
      <c r="M348" s="533"/>
      <c r="N348" s="516">
        <f>'Input &amp; Calc'!EI870</f>
        <v>4</v>
      </c>
      <c r="O348" s="562"/>
      <c r="P348" s="523"/>
      <c r="Q348" s="538"/>
      <c r="R348" s="539"/>
      <c r="S348" s="517">
        <f>'Input &amp; Calc'!EJ870</f>
        <v>4</v>
      </c>
      <c r="T348" s="545"/>
      <c r="U348" s="546"/>
      <c r="V348" s="547"/>
      <c r="W348" s="554" t="s">
        <v>228</v>
      </c>
      <c r="X348" s="271"/>
      <c r="Y348" s="268"/>
      <c r="Z348" s="268"/>
      <c r="AA348" s="268"/>
      <c r="AB348" s="268"/>
      <c r="AC348" s="268"/>
      <c r="AD348" s="268"/>
      <c r="AE348" s="268"/>
      <c r="AF348" s="268"/>
      <c r="AG348" s="268"/>
      <c r="AH348" s="268"/>
      <c r="AI348" s="270"/>
      <c r="AJ348" s="268"/>
      <c r="AK348" s="268"/>
      <c r="AL348" s="268"/>
      <c r="AM348" s="268"/>
      <c r="AN348" s="268"/>
      <c r="AO348" s="268"/>
      <c r="AP348" s="268"/>
      <c r="AQ348" s="268"/>
      <c r="AR348" s="268"/>
      <c r="AS348" s="268"/>
      <c r="AT348" s="268"/>
      <c r="AU348" s="268"/>
    </row>
    <row r="349" spans="1:47" s="465" customFormat="1">
      <c r="A349" s="620"/>
      <c r="B349" s="551" t="s">
        <v>234</v>
      </c>
      <c r="C349" s="526"/>
      <c r="D349" s="527"/>
      <c r="E349" s="528"/>
      <c r="F349" s="495">
        <f>'Input &amp; Calc'!EH885</f>
        <v>0.04</v>
      </c>
      <c r="G349" s="451"/>
      <c r="H349" s="453" t="s">
        <v>16</v>
      </c>
      <c r="I349" s="560"/>
      <c r="J349" s="526"/>
      <c r="K349" s="527"/>
      <c r="L349" s="534"/>
      <c r="M349" s="535"/>
      <c r="N349" s="496">
        <f>'Input &amp; Calc'!EI885</f>
        <v>0.04</v>
      </c>
      <c r="O349" s="562"/>
      <c r="P349" s="526"/>
      <c r="Q349" s="540"/>
      <c r="R349" s="541"/>
      <c r="S349" s="497">
        <f>'Input &amp; Calc'!EJ885</f>
        <v>0.04</v>
      </c>
      <c r="T349" s="548"/>
      <c r="U349" s="549"/>
      <c r="V349" s="550"/>
      <c r="W349" s="554" t="s">
        <v>208</v>
      </c>
      <c r="X349" s="271"/>
      <c r="Y349" s="268"/>
      <c r="Z349" s="268"/>
      <c r="AA349" s="268"/>
      <c r="AB349" s="268"/>
      <c r="AC349" s="268"/>
      <c r="AD349" s="268"/>
      <c r="AE349" s="268"/>
      <c r="AF349" s="268"/>
      <c r="AG349" s="268"/>
      <c r="AH349" s="268"/>
      <c r="AI349" s="270"/>
      <c r="AJ349" s="268"/>
      <c r="AK349" s="268"/>
      <c r="AL349" s="268"/>
      <c r="AM349" s="268"/>
      <c r="AN349" s="268"/>
      <c r="AO349" s="268"/>
      <c r="AP349" s="268"/>
      <c r="AQ349" s="268"/>
      <c r="AR349" s="268"/>
      <c r="AS349" s="268"/>
      <c r="AT349" s="268"/>
      <c r="AU349" s="268"/>
    </row>
    <row r="350" spans="1:47" ht="16.5" thickBot="1">
      <c r="A350" s="86" t="s">
        <v>139</v>
      </c>
      <c r="B350" s="321"/>
      <c r="C350" s="645" t="s">
        <v>164</v>
      </c>
      <c r="D350" s="645"/>
      <c r="E350" s="87" t="s">
        <v>140</v>
      </c>
      <c r="F350" s="448"/>
      <c r="G350" s="448"/>
      <c r="H350" s="645" t="s">
        <v>165</v>
      </c>
      <c r="I350" s="645"/>
      <c r="J350" s="645"/>
      <c r="K350" s="88" t="s">
        <v>141</v>
      </c>
      <c r="L350" s="448"/>
      <c r="M350" s="448"/>
      <c r="N350" s="647" t="s">
        <v>166</v>
      </c>
      <c r="O350" s="647"/>
      <c r="P350" s="647"/>
      <c r="Q350" s="89" t="s">
        <v>142</v>
      </c>
      <c r="R350" s="257"/>
      <c r="S350" s="68"/>
      <c r="T350" s="68"/>
      <c r="U350" s="69"/>
      <c r="V350" s="69"/>
      <c r="W350" s="69"/>
      <c r="X350" s="464"/>
      <c r="Y350" s="464"/>
      <c r="Z350" s="464"/>
      <c r="AA350" s="464"/>
      <c r="AB350" s="464"/>
      <c r="AC350" s="464"/>
      <c r="AD350" s="464"/>
      <c r="AE350" s="464"/>
      <c r="AF350" s="464"/>
      <c r="AG350" s="464"/>
      <c r="AH350" s="464"/>
      <c r="AI350" s="464"/>
      <c r="AJ350" s="464"/>
      <c r="AK350" s="464"/>
      <c r="AL350" s="464"/>
      <c r="AM350" s="464"/>
      <c r="AN350" s="464"/>
      <c r="AO350" s="464"/>
      <c r="AP350" s="464"/>
      <c r="AQ350" s="464"/>
      <c r="AR350" s="464"/>
      <c r="AS350" s="464"/>
      <c r="AT350" s="464"/>
      <c r="AU350" s="464"/>
    </row>
    <row r="351" spans="1:47">
      <c r="A351" s="519" t="s">
        <v>229</v>
      </c>
    </row>
    <row r="352" spans="1:47"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47" hidden="1"/>
    <row r="386" spans="1:47" hidden="1"/>
    <row r="387" spans="1:47" hidden="1"/>
    <row r="388" spans="1:47" hidden="1"/>
    <row r="389" spans="1:47" hidden="1"/>
    <row r="390" spans="1:47" hidden="1"/>
    <row r="391" spans="1:47" hidden="1"/>
    <row r="392" spans="1:47" hidden="1"/>
    <row r="393" spans="1:47" hidden="1"/>
    <row r="394" spans="1:47" hidden="1"/>
    <row r="395" spans="1:47" hidden="1"/>
    <row r="396" spans="1:47" hidden="1"/>
    <row r="397" spans="1:47">
      <c r="A397" s="76" t="s">
        <v>148</v>
      </c>
      <c r="B397" s="76"/>
      <c r="C397" s="77"/>
      <c r="D397" s="77"/>
      <c r="E397" s="78"/>
      <c r="F397" s="67"/>
      <c r="G397" s="77"/>
      <c r="H397" s="77"/>
      <c r="I397" s="77"/>
      <c r="J397" s="106" t="str">
        <f>'Input &amp; Calc'!A397</f>
        <v>Orem SBDC</v>
      </c>
      <c r="K397" s="77"/>
      <c r="L397" s="78"/>
      <c r="M397" s="78"/>
      <c r="N397" s="77"/>
      <c r="O397" s="77"/>
      <c r="P397" s="67"/>
      <c r="Q397" s="105" t="s">
        <v>146</v>
      </c>
      <c r="R397" s="105"/>
      <c r="S397" s="106" t="s">
        <v>235</v>
      </c>
      <c r="T397" s="79"/>
      <c r="U397" s="80"/>
      <c r="V397" s="80"/>
      <c r="W397" s="76"/>
      <c r="X397" s="469"/>
      <c r="Y397" s="469"/>
      <c r="Z397" s="469"/>
      <c r="AA397" s="469"/>
      <c r="AB397" s="469"/>
      <c r="AC397" s="469"/>
      <c r="AD397" s="469"/>
      <c r="AJ397" s="502" t="str">
        <f>J397</f>
        <v>Orem SBDC</v>
      </c>
      <c r="AK397" s="502"/>
      <c r="AL397" s="502"/>
      <c r="AM397" s="503" t="s">
        <v>146</v>
      </c>
      <c r="AN397" s="502" t="str">
        <f>S397</f>
        <v>Ken Fakler</v>
      </c>
      <c r="AP397" s="469"/>
      <c r="AQ397" s="464"/>
      <c r="AR397" s="464"/>
      <c r="AS397" s="464"/>
      <c r="AT397" s="464"/>
      <c r="AU397" s="464"/>
    </row>
    <row r="398" spans="1:47">
      <c r="A398" s="81" t="s">
        <v>205</v>
      </c>
      <c r="B398" s="322"/>
      <c r="C398" s="82"/>
      <c r="D398" s="82"/>
      <c r="E398" s="83"/>
      <c r="F398" s="82"/>
      <c r="G398" s="82"/>
      <c r="H398" s="82"/>
      <c r="I398" s="82"/>
      <c r="J398" s="82"/>
      <c r="K398" s="82"/>
      <c r="L398" s="83"/>
      <c r="M398" s="83"/>
      <c r="N398" s="82"/>
      <c r="O398" s="82"/>
      <c r="P398" s="84"/>
      <c r="Q398" s="82"/>
      <c r="R398" s="82"/>
      <c r="S398" s="82"/>
      <c r="T398" s="82"/>
      <c r="U398" s="128"/>
      <c r="V398" s="128"/>
      <c r="W398" s="322"/>
      <c r="X398" s="464"/>
      <c r="Y398" s="464"/>
      <c r="Z398" s="464"/>
      <c r="AA398" s="464"/>
      <c r="AB398" s="464"/>
      <c r="AC398" s="464"/>
      <c r="AD398" s="464"/>
      <c r="AE398" s="464"/>
      <c r="AF398" s="464"/>
      <c r="AG398" s="464"/>
      <c r="AH398" s="464"/>
      <c r="AI398" s="464"/>
      <c r="AJ398" s="464"/>
      <c r="AK398" s="464"/>
      <c r="AL398" s="464"/>
      <c r="AM398" s="464"/>
      <c r="AN398" s="464"/>
      <c r="AO398" s="464"/>
      <c r="AP398" s="464"/>
      <c r="AQ398" s="464"/>
      <c r="AR398" s="464"/>
      <c r="AS398" s="464"/>
      <c r="AT398" s="464"/>
      <c r="AU398" s="464"/>
    </row>
    <row r="399" spans="1:47" ht="16.5" thickBot="1"/>
    <row r="400" spans="1:47" ht="14.25" customHeight="1" thickBot="1">
      <c r="A400" s="96" t="s">
        <v>134</v>
      </c>
      <c r="B400" s="460"/>
      <c r="C400" s="90"/>
      <c r="D400" s="93" t="s">
        <v>238</v>
      </c>
      <c r="E400" s="94">
        <f>'Input &amp; Calc'!I397</f>
        <v>40391</v>
      </c>
      <c r="F400" s="95"/>
      <c r="G400" s="92"/>
      <c r="H400" s="92"/>
      <c r="I400" s="92"/>
      <c r="J400" s="90"/>
      <c r="K400" s="90"/>
      <c r="L400" s="93" t="s">
        <v>237</v>
      </c>
      <c r="M400" s="93"/>
      <c r="N400" s="463"/>
      <c r="O400" s="92"/>
      <c r="P400" s="90"/>
      <c r="Q400" s="90"/>
      <c r="R400" s="90"/>
      <c r="S400" s="91" t="s">
        <v>133</v>
      </c>
      <c r="T400" s="103">
        <f>'Input &amp; Calc'!EK397</f>
        <v>11</v>
      </c>
      <c r="U400" s="325" t="s">
        <v>159</v>
      </c>
      <c r="V400" s="104"/>
      <c r="W400" s="70"/>
      <c r="X400" s="70"/>
      <c r="Y400" s="70"/>
      <c r="Z400" s="70"/>
      <c r="AA400" s="70"/>
      <c r="AB400" s="70"/>
      <c r="AC400" s="70"/>
      <c r="AD400" s="70"/>
      <c r="AE400" s="70"/>
      <c r="AF400" s="70"/>
      <c r="AG400" s="70"/>
      <c r="AH400" s="70"/>
      <c r="AI400" s="70"/>
      <c r="AJ400" s="70"/>
      <c r="AK400" s="70"/>
      <c r="AL400" s="70"/>
      <c r="AM400" s="464"/>
      <c r="AN400" s="464"/>
      <c r="AO400" s="464"/>
      <c r="AP400" s="464"/>
      <c r="AQ400" s="464"/>
      <c r="AR400" s="464"/>
      <c r="AS400" s="464"/>
      <c r="AT400" s="464"/>
      <c r="AU400" s="464"/>
    </row>
    <row r="401" spans="1:47" ht="13.5" customHeight="1" thickBot="1">
      <c r="A401" s="636" t="s">
        <v>99</v>
      </c>
      <c r="B401" s="638" t="s">
        <v>100</v>
      </c>
      <c r="C401" s="621" t="s">
        <v>101</v>
      </c>
      <c r="D401" s="621" t="s">
        <v>104</v>
      </c>
      <c r="E401" s="643" t="s">
        <v>105</v>
      </c>
      <c r="F401" s="621" t="s">
        <v>106</v>
      </c>
      <c r="G401" s="449"/>
      <c r="H401" s="638" t="s">
        <v>137</v>
      </c>
      <c r="I401" s="449"/>
      <c r="J401" s="621" t="s">
        <v>101</v>
      </c>
      <c r="K401" s="621" t="s">
        <v>104</v>
      </c>
      <c r="L401" s="621" t="s">
        <v>192</v>
      </c>
      <c r="M401" s="638" t="s">
        <v>194</v>
      </c>
      <c r="N401" s="621" t="s">
        <v>193</v>
      </c>
      <c r="O401" s="449"/>
      <c r="P401" s="642" t="s">
        <v>101</v>
      </c>
      <c r="Q401" s="638" t="s">
        <v>102</v>
      </c>
      <c r="R401" s="638" t="s">
        <v>191</v>
      </c>
      <c r="S401" s="638" t="s">
        <v>103</v>
      </c>
      <c r="T401" s="639" t="s">
        <v>131</v>
      </c>
      <c r="U401" s="641" t="s">
        <v>209</v>
      </c>
      <c r="V401" s="623" t="s">
        <v>203</v>
      </c>
      <c r="W401" s="70"/>
      <c r="X401" s="464"/>
      <c r="Y401" s="464"/>
      <c r="Z401" s="464"/>
      <c r="AA401" s="640"/>
      <c r="AB401" s="640"/>
      <c r="AC401" s="640"/>
      <c r="AD401" s="640"/>
      <c r="AE401" s="640"/>
      <c r="AF401" s="640"/>
      <c r="AG401" s="640"/>
      <c r="AH401" s="640"/>
      <c r="AI401" s="640"/>
      <c r="AJ401" s="640"/>
      <c r="AK401" s="640"/>
      <c r="AL401" s="640"/>
      <c r="AM401" s="630" t="s">
        <v>149</v>
      </c>
      <c r="AN401" s="631"/>
      <c r="AO401" s="631"/>
      <c r="AP401" s="631"/>
      <c r="AQ401" s="631"/>
      <c r="AR401" s="631"/>
      <c r="AS401" s="631"/>
      <c r="AT401" s="631"/>
      <c r="AU401" s="632"/>
    </row>
    <row r="402" spans="1:47" ht="12.75" customHeight="1" thickBot="1">
      <c r="A402" s="637"/>
      <c r="B402" s="621"/>
      <c r="C402" s="622"/>
      <c r="D402" s="622"/>
      <c r="E402" s="644"/>
      <c r="F402" s="622"/>
      <c r="G402" s="449"/>
      <c r="H402" s="638"/>
      <c r="I402" s="449"/>
      <c r="J402" s="650"/>
      <c r="K402" s="622"/>
      <c r="L402" s="622"/>
      <c r="M402" s="638"/>
      <c r="N402" s="622"/>
      <c r="O402" s="449"/>
      <c r="P402" s="642"/>
      <c r="Q402" s="638"/>
      <c r="R402" s="638"/>
      <c r="S402" s="638"/>
      <c r="T402" s="639"/>
      <c r="U402" s="641"/>
      <c r="V402" s="624"/>
      <c r="W402" s="452" t="s">
        <v>100</v>
      </c>
      <c r="X402" s="473">
        <v>39630</v>
      </c>
      <c r="Y402" s="473">
        <v>39661</v>
      </c>
      <c r="Z402" s="473">
        <v>39692</v>
      </c>
      <c r="AA402" s="473">
        <v>39722</v>
      </c>
      <c r="AB402" s="473">
        <v>39753</v>
      </c>
      <c r="AC402" s="473">
        <v>39783</v>
      </c>
      <c r="AD402" s="473">
        <v>39814</v>
      </c>
      <c r="AE402" s="473">
        <v>39845</v>
      </c>
      <c r="AF402" s="473">
        <v>39873</v>
      </c>
      <c r="AG402" s="473">
        <v>39904</v>
      </c>
      <c r="AH402" s="473">
        <v>39934</v>
      </c>
      <c r="AI402" s="473">
        <v>39965</v>
      </c>
      <c r="AJ402" s="473">
        <v>39995</v>
      </c>
      <c r="AK402" s="473">
        <v>40026</v>
      </c>
      <c r="AL402" s="474">
        <v>40057</v>
      </c>
      <c r="AM402" s="471">
        <v>40087</v>
      </c>
      <c r="AN402" s="450">
        <v>40118</v>
      </c>
      <c r="AO402" s="450">
        <v>40148</v>
      </c>
      <c r="AP402" s="450">
        <v>40179</v>
      </c>
      <c r="AQ402" s="450">
        <v>40210</v>
      </c>
      <c r="AR402" s="450">
        <v>40238</v>
      </c>
      <c r="AS402" s="450">
        <v>40269</v>
      </c>
      <c r="AT402" s="450">
        <v>40299</v>
      </c>
      <c r="AU402" s="472">
        <v>40330</v>
      </c>
    </row>
    <row r="403" spans="1:47" ht="26.25">
      <c r="A403" s="470" t="s">
        <v>196</v>
      </c>
      <c r="B403" s="555" t="s">
        <v>132</v>
      </c>
      <c r="C403" s="252">
        <f>IF(F403/E403&gt;0.899999999,1,IF(F403/E403&lt;0.75,3,2))</f>
        <v>1</v>
      </c>
      <c r="D403" s="46" t="str">
        <f>'Input &amp; Calc'!EO424</f>
        <v>Ç</v>
      </c>
      <c r="E403" s="590">
        <f>'Input &amp; Calc'!EE401</f>
        <v>14.915999999999997</v>
      </c>
      <c r="F403" s="567">
        <f>'Input &amp; Calc'!EH424</f>
        <v>21</v>
      </c>
      <c r="G403" s="591"/>
      <c r="H403" s="592" t="s">
        <v>16</v>
      </c>
      <c r="I403" s="593"/>
      <c r="J403" s="594">
        <f>IF(N403/M403&gt;0.899999999,1,IF(N403/M403&lt;0.75,3,2))</f>
        <v>1</v>
      </c>
      <c r="K403" s="595" t="str">
        <f>'Input &amp; Calc'!EP424</f>
        <v>Ç</v>
      </c>
      <c r="L403" s="589">
        <f>Q403/4</f>
        <v>44.747999999999998</v>
      </c>
      <c r="M403" s="589">
        <f>L403/3*$T$3</f>
        <v>29.831999999999997</v>
      </c>
      <c r="N403" s="565">
        <f>'Input &amp; Calc'!EI424</f>
        <v>43</v>
      </c>
      <c r="O403" s="596"/>
      <c r="P403" s="594">
        <f>IF(S403/R403&gt;0.899999999,1,IF(S403/R403&lt;0.75,3,2))</f>
        <v>1</v>
      </c>
      <c r="Q403" s="565">
        <f>'Input &amp; Calc'!EG401</f>
        <v>178.99199999999999</v>
      </c>
      <c r="R403" s="602">
        <f>Q403/12*$T$4</f>
        <v>164.07599999999999</v>
      </c>
      <c r="S403" s="566">
        <f>'Input &amp; Calc'!EJ424</f>
        <v>292</v>
      </c>
      <c r="T403" s="488">
        <f>S403/R403</f>
        <v>1.7796630829615545</v>
      </c>
      <c r="U403" s="455"/>
      <c r="V403" s="563">
        <f>$V$733</f>
        <v>1</v>
      </c>
      <c r="W403" s="554" t="str">
        <f>B403</f>
        <v># of Ext Engag Clients; &gt;5 Hrs contact since 10/05</v>
      </c>
      <c r="X403" s="268">
        <v>1</v>
      </c>
      <c r="Y403" s="268">
        <v>1</v>
      </c>
      <c r="Z403" s="268">
        <v>1</v>
      </c>
      <c r="AA403" s="268">
        <v>1</v>
      </c>
      <c r="AB403" s="268">
        <v>1</v>
      </c>
      <c r="AC403" s="268">
        <v>1</v>
      </c>
      <c r="AD403" s="268">
        <v>1</v>
      </c>
      <c r="AE403" s="268">
        <v>1</v>
      </c>
      <c r="AF403" s="268">
        <v>1</v>
      </c>
      <c r="AG403" s="268">
        <v>1</v>
      </c>
      <c r="AH403" s="268">
        <v>1</v>
      </c>
      <c r="AI403" s="268">
        <v>1</v>
      </c>
      <c r="AJ403" s="268">
        <f>IF('Input &amp; Calc'!V424="","",IF('Input &amp; Calc'!DB424/'Input &amp; Calc'!DB401&gt;=0.9,1,IF('Input &amp; Calc'!DB424/'Input &amp; Calc'!DB401&lt;0.75,3,2)))</f>
        <v>1</v>
      </c>
      <c r="AK403" s="268">
        <f>IF('Input &amp; Calc'!W424="","",IF('Input &amp; Calc'!DC424/'Input &amp; Calc'!DC401&gt;=0.9,1,IF('Input &amp; Calc'!DC424/'Input &amp; Calc'!DC401&lt;0.75,3,2)))</f>
        <v>1</v>
      </c>
      <c r="AL403" s="270">
        <f>IF('Input &amp; Calc'!X424="","",IF('Input &amp; Calc'!DD424/'Input &amp; Calc'!DD401&gt;=0.9,1,IF('Input &amp; Calc'!DD424/'Input &amp; Calc'!DD401&lt;0.75,3,2)))</f>
        <v>1</v>
      </c>
      <c r="AM403" s="268">
        <f>IF('Input &amp; Calc'!Y424="","",IF('Input &amp; Calc'!DE424/'Input &amp; Calc'!DE401&gt;=0.9,1,IF('Input &amp; Calc'!DE424/'Input &amp; Calc'!DE401&lt;0.75,3,2)))</f>
        <v>1</v>
      </c>
      <c r="AN403" s="268">
        <f>IF('Input &amp; Calc'!Z424="","",IF('Input &amp; Calc'!DF424/'Input &amp; Calc'!DF401&gt;=0.9,1,IF('Input &amp; Calc'!DF424/'Input &amp; Calc'!DF401&lt;0.75,3,2)))</f>
        <v>1</v>
      </c>
      <c r="AO403" s="271">
        <f>IF('Input &amp; Calc'!AA424="","",IF('Input &amp; Calc'!DG424/'Input &amp; Calc'!DG401&gt;=0.9,1,IF('Input &amp; Calc'!DG424/'Input &amp; Calc'!DG401&lt;0.75,3,2)))</f>
        <v>1</v>
      </c>
      <c r="AP403" s="271">
        <f>IF('Input &amp; Calc'!AB424="","",IF('Input &amp; Calc'!DH424/'Input &amp; Calc'!DH401&gt;=0.9,1,IF('Input &amp; Calc'!DH424/'Input &amp; Calc'!DH401&lt;0.75,3,2)))</f>
        <v>1</v>
      </c>
      <c r="AQ403" s="271">
        <f>IF('Input &amp; Calc'!AC424="","",IF('Input &amp; Calc'!DI424/'Input &amp; Calc'!DI401&gt;=0.9,1,IF('Input &amp; Calc'!DI424/'Input &amp; Calc'!DI401&lt;0.75,3,2)))</f>
        <v>1</v>
      </c>
      <c r="AR403" s="271">
        <f>IF('Input &amp; Calc'!AD424="","",IF('Input &amp; Calc'!DJ424/'Input &amp; Calc'!DJ401&gt;=0.9,1,IF('Input &amp; Calc'!DJ424/'Input &amp; Calc'!DJ401&lt;0.75,3,2)))</f>
        <v>1</v>
      </c>
      <c r="AS403" s="271">
        <f>IF('Input &amp; Calc'!AE424="","",IF('Input &amp; Calc'!DK424/'Input &amp; Calc'!DK401&gt;=0.9,1,IF('Input &amp; Calc'!DK424/'Input &amp; Calc'!DK401&lt;0.75,3,2)))</f>
        <v>1</v>
      </c>
      <c r="AT403" s="271">
        <f>IF('Input &amp; Calc'!AF424="","",IF('Input &amp; Calc'!DL424/'Input &amp; Calc'!DL401&gt;=0.9,1,IF('Input &amp; Calc'!DL424/'Input &amp; Calc'!DL401&lt;0.75,3,2)))</f>
        <v>1</v>
      </c>
      <c r="AU403" s="271">
        <f>IF('Input &amp; Calc'!AG424="","",IF('Input &amp; Calc'!DM424/'Input &amp; Calc'!DM401&gt;=0.9,1,IF('Input &amp; Calc'!DM424/'Input &amp; Calc'!DM401&lt;0.75,3,2)))</f>
        <v>1</v>
      </c>
    </row>
    <row r="404" spans="1:47">
      <c r="A404" s="633" t="s">
        <v>206</v>
      </c>
      <c r="B404" s="556" t="s">
        <v>107</v>
      </c>
      <c r="C404" s="252">
        <f>IF(F404/E404&gt;0.899999999,1,IF(F404/E404&lt;0.75,3,2))</f>
        <v>1</v>
      </c>
      <c r="D404" s="97" t="str">
        <f>'Input &amp; Calc'!EO426</f>
        <v>Ç</v>
      </c>
      <c r="E404" s="590">
        <f>'Input &amp; Calc'!EE403</f>
        <v>2.9160000000000004</v>
      </c>
      <c r="F404" s="567">
        <f>'Input &amp; Calc'!EH426</f>
        <v>8</v>
      </c>
      <c r="G404" s="591"/>
      <c r="H404" s="592" t="s">
        <v>16</v>
      </c>
      <c r="I404" s="593"/>
      <c r="J404" s="594">
        <f>IF(N404/M404&gt;0.899999999,1,IF(N404/M404&lt;0.75,3,2))</f>
        <v>1</v>
      </c>
      <c r="K404" s="597" t="str">
        <f>'Input &amp; Calc'!EP426</f>
        <v>È</v>
      </c>
      <c r="L404" s="589">
        <f>Q404/4</f>
        <v>8.7479999999999993</v>
      </c>
      <c r="M404" s="589">
        <f>L404/3*$T$3</f>
        <v>5.8319999999999999</v>
      </c>
      <c r="N404" s="565">
        <f>'Input &amp; Calc'!EI426</f>
        <v>13</v>
      </c>
      <c r="O404" s="596"/>
      <c r="P404" s="594">
        <f>IF(S404/R404&gt;0.899999999,1,IF(S404/R404&lt;0.75,3,2))</f>
        <v>1</v>
      </c>
      <c r="Q404" s="565">
        <f>'Input &amp; Calc'!EG403</f>
        <v>34.991999999999997</v>
      </c>
      <c r="R404" s="602">
        <f>Q404/12*$T$4</f>
        <v>32.076000000000001</v>
      </c>
      <c r="S404" s="566">
        <f>'Input &amp; Calc'!EJ426</f>
        <v>68</v>
      </c>
      <c r="T404" s="488">
        <f>S404/R404</f>
        <v>2.1199650829280459</v>
      </c>
      <c r="U404" s="455"/>
      <c r="V404" s="563">
        <f>$V$734</f>
        <v>1</v>
      </c>
      <c r="W404" s="554" t="str">
        <f>B404</f>
        <v># of Business Starts</v>
      </c>
      <c r="X404" s="268">
        <v>1</v>
      </c>
      <c r="Y404" s="268">
        <v>1</v>
      </c>
      <c r="Z404" s="268">
        <v>1</v>
      </c>
      <c r="AA404" s="268">
        <v>1</v>
      </c>
      <c r="AB404" s="272">
        <v>1</v>
      </c>
      <c r="AC404" s="272">
        <v>1</v>
      </c>
      <c r="AD404" s="272">
        <v>1</v>
      </c>
      <c r="AE404" s="272">
        <v>1</v>
      </c>
      <c r="AF404" s="272">
        <v>1</v>
      </c>
      <c r="AG404" s="272">
        <v>1</v>
      </c>
      <c r="AH404" s="272">
        <v>1</v>
      </c>
      <c r="AI404" s="272">
        <v>1</v>
      </c>
      <c r="AJ404" s="272">
        <f>IF('Input &amp; Calc'!V424="","",IF('Input &amp; Calc'!DB426/'Input &amp; Calc'!DB403&gt;=0.9,1,IF('Input &amp; Calc'!DB426/'Input &amp; Calc'!DB403&lt;0.75,3,2)))</f>
        <v>1</v>
      </c>
      <c r="AK404" s="272">
        <f>IF('Input &amp; Calc'!W424="","",IF('Input &amp; Calc'!DC426/'Input &amp; Calc'!DC403&gt;=0.9,1,IF('Input &amp; Calc'!DC426/'Input &amp; Calc'!DC403&lt;0.75,3,2)))</f>
        <v>1</v>
      </c>
      <c r="AL404" s="272">
        <f>IF('Input &amp; Calc'!X424="","",IF('Input &amp; Calc'!DD426/'Input &amp; Calc'!DD403&gt;=0.9,1,IF('Input &amp; Calc'!DD426/'Input &amp; Calc'!DD403&lt;0.75,3,2)))</f>
        <v>1</v>
      </c>
      <c r="AM404" s="272">
        <f>IF('Input &amp; Calc'!Y424="","",IF('Input &amp; Calc'!DE426/'Input &amp; Calc'!DE403&gt;=0.9,1,IF('Input &amp; Calc'!DE426/'Input &amp; Calc'!DE403&lt;0.75,3,2)))</f>
        <v>1</v>
      </c>
      <c r="AN404" s="272">
        <f>IF('Input &amp; Calc'!Z424="","",IF('Input &amp; Calc'!DF426/'Input &amp; Calc'!DF403&gt;=0.9,1,IF('Input &amp; Calc'!DF426/'Input &amp; Calc'!DF403&lt;0.75,3,2)))</f>
        <v>1</v>
      </c>
      <c r="AO404" s="272">
        <f>IF('Input &amp; Calc'!AA424="","",IF('Input &amp; Calc'!DG426/'Input &amp; Calc'!DG403&gt;=0.9,1,IF('Input &amp; Calc'!DG426/'Input &amp; Calc'!DG403&lt;0.75,3,2)))</f>
        <v>1</v>
      </c>
      <c r="AP404" s="272">
        <f>IF('Input &amp; Calc'!AB424="","",IF('Input &amp; Calc'!DH426/'Input &amp; Calc'!DH403&gt;=0.9,1,IF('Input &amp; Calc'!DH426/'Input &amp; Calc'!DH403&lt;0.75,3,2)))</f>
        <v>1</v>
      </c>
      <c r="AQ404" s="272">
        <f>IF('Input &amp; Calc'!AC424="","",IF('Input &amp; Calc'!DI426/'Input &amp; Calc'!DI403&gt;=0.9,1,IF('Input &amp; Calc'!DI426/'Input &amp; Calc'!DI403&lt;0.75,3,2)))</f>
        <v>1</v>
      </c>
      <c r="AR404" s="272">
        <f>IF('Input &amp; Calc'!AD424="","",IF('Input &amp; Calc'!DJ426/'Input &amp; Calc'!DJ403&gt;=0.9,1,IF('Input &amp; Calc'!DJ426/'Input &amp; Calc'!DJ403&lt;0.75,3,2)))</f>
        <v>1</v>
      </c>
      <c r="AS404" s="272">
        <f>IF('Input &amp; Calc'!AE424="","",IF('Input &amp; Calc'!DK426/'Input &amp; Calc'!DK403&gt;=0.9,1,IF('Input &amp; Calc'!DK426/'Input &amp; Calc'!DK403&lt;0.75,3,2)))</f>
        <v>1</v>
      </c>
      <c r="AT404" s="272">
        <f>IF('Input &amp; Calc'!AF424="","",IF('Input &amp; Calc'!DL426/'Input &amp; Calc'!DL403&gt;=0.9,1,IF('Input &amp; Calc'!DL426/'Input &amp; Calc'!DL403&lt;0.75,3,2)))</f>
        <v>1</v>
      </c>
      <c r="AU404" s="272">
        <f>IF('Input &amp; Calc'!AG424="","",IF('Input &amp; Calc'!DM426/'Input &amp; Calc'!DM403&gt;=0.9,1,IF('Input &amp; Calc'!DM426/'Input &amp; Calc'!DM403&lt;0.75,3,2)))</f>
        <v>1</v>
      </c>
    </row>
    <row r="405" spans="1:47" ht="16.5" thickBot="1">
      <c r="A405" s="634"/>
      <c r="B405" s="557" t="s">
        <v>138</v>
      </c>
      <c r="C405" s="252">
        <f>IF(F405/E405&gt;0.899999999,1,IF(F405/E405&lt;0.75,3,2))</f>
        <v>1</v>
      </c>
      <c r="D405" s="85" t="str">
        <f>'Input &amp; Calc'!EO427</f>
        <v>Ç</v>
      </c>
      <c r="E405" s="279">
        <f>'Input &amp; Calc'!EE404</f>
        <v>0.5</v>
      </c>
      <c r="F405" s="586">
        <f>'Input &amp; Calc'!EH427</f>
        <v>0.73174099999999953</v>
      </c>
      <c r="G405" s="458"/>
      <c r="H405" s="467" t="s">
        <v>16</v>
      </c>
      <c r="I405" s="459"/>
      <c r="J405" s="252">
        <f>IF(N405/M405&gt;0.899999999,1,IF(N405/M405&lt;0.75,3,2))</f>
        <v>2</v>
      </c>
      <c r="K405" s="85" t="str">
        <f>'Input &amp; Calc'!EP427</f>
        <v>È</v>
      </c>
      <c r="L405" s="442">
        <f>Q405/4</f>
        <v>1.5</v>
      </c>
      <c r="M405" s="442">
        <f>L405/3*$T$3</f>
        <v>1</v>
      </c>
      <c r="N405" s="388">
        <f>'Input &amp; Calc'!EI427</f>
        <v>0.82179999999999964</v>
      </c>
      <c r="O405" s="457"/>
      <c r="P405" s="252">
        <f>IF(S405/R405&gt;0.899999999,1,IF(S405/R405&lt;0.75,3,2))</f>
        <v>1</v>
      </c>
      <c r="Q405" s="389">
        <f>'Input &amp; Calc'!EG404</f>
        <v>6</v>
      </c>
      <c r="R405" s="389">
        <f>Q405/12*$T$4</f>
        <v>5.5</v>
      </c>
      <c r="S405" s="487">
        <f>'Input &amp; Calc'!EJ427</f>
        <v>7.5117409999999998</v>
      </c>
      <c r="T405" s="488">
        <f>S405/R405</f>
        <v>1.3657710909090908</v>
      </c>
      <c r="U405" s="468"/>
      <c r="V405" s="563">
        <f>$V$735</f>
        <v>1</v>
      </c>
      <c r="W405" s="554" t="str">
        <f>B405</f>
        <v>Capital Infusion $ - Million</v>
      </c>
      <c r="X405" s="275">
        <v>1</v>
      </c>
      <c r="Y405" s="275">
        <v>1</v>
      </c>
      <c r="Z405" s="275">
        <v>1</v>
      </c>
      <c r="AA405" s="275">
        <v>1</v>
      </c>
      <c r="AB405" s="323">
        <v>1</v>
      </c>
      <c r="AC405" s="323">
        <v>2</v>
      </c>
      <c r="AD405" s="323">
        <v>3</v>
      </c>
      <c r="AE405" s="323">
        <v>3</v>
      </c>
      <c r="AF405" s="323">
        <v>3</v>
      </c>
      <c r="AG405" s="323">
        <v>1</v>
      </c>
      <c r="AH405" s="323">
        <v>1</v>
      </c>
      <c r="AI405" s="323">
        <v>1</v>
      </c>
      <c r="AJ405" s="272">
        <f>IF('Input &amp; Calc'!V425="","",IF('Input &amp; Calc'!DB427/'Input &amp; Calc'!DB404&gt;=0.9,1,IF('Input &amp; Calc'!DB427/'Input &amp; Calc'!DB404&lt;0.75,3,2)))</f>
        <v>2</v>
      </c>
      <c r="AK405" s="272">
        <f>IF('Input &amp; Calc'!W425="","",IF('Input &amp; Calc'!DC427/'Input &amp; Calc'!DC404&gt;=0.9,1,IF('Input &amp; Calc'!DC427/'Input &amp; Calc'!DC404&lt;0.75,3,2)))</f>
        <v>2</v>
      </c>
      <c r="AL405" s="272">
        <f>IF('Input &amp; Calc'!X425="","",IF('Input &amp; Calc'!DD427/'Input &amp; Calc'!DD404&gt;=0.9,1,IF('Input &amp; Calc'!DD427/'Input &amp; Calc'!DD404&lt;0.75,3,2)))</f>
        <v>1</v>
      </c>
      <c r="AM405" s="272">
        <f>IF('Input &amp; Calc'!Y425="","",IF('Input &amp; Calc'!DE427/'Input &amp; Calc'!DE404&gt;=0.9,1,IF('Input &amp; Calc'!DE427/'Input &amp; Calc'!DE404&lt;0.75,3,2)))</f>
        <v>1</v>
      </c>
      <c r="AN405" s="272">
        <f>IF('Input &amp; Calc'!Z425="","",IF('Input &amp; Calc'!DF427/'Input &amp; Calc'!DF404&gt;=0.9,1,IF('Input &amp; Calc'!DF427/'Input &amp; Calc'!DF404&lt;0.75,3,2)))</f>
        <v>1</v>
      </c>
      <c r="AO405" s="272">
        <f>IF('Input &amp; Calc'!AA425="","",IF('Input &amp; Calc'!DG427/'Input &amp; Calc'!DG404&gt;=0.9,1,IF('Input &amp; Calc'!DG427/'Input &amp; Calc'!DG404&lt;0.75,3,2)))</f>
        <v>1</v>
      </c>
      <c r="AP405" s="272">
        <f>IF('Input &amp; Calc'!AB425="","",IF('Input &amp; Calc'!DH427/'Input &amp; Calc'!DH404&gt;=0.9,1,IF('Input &amp; Calc'!DH427/'Input &amp; Calc'!DH404&lt;0.75,3,2)))</f>
        <v>1</v>
      </c>
      <c r="AQ405" s="272">
        <f>IF('Input &amp; Calc'!AC425="","",IF('Input &amp; Calc'!DI427/'Input &amp; Calc'!DI404&gt;=0.9,1,IF('Input &amp; Calc'!DI427/'Input &amp; Calc'!DI404&lt;0.75,3,2)))</f>
        <v>1</v>
      </c>
      <c r="AR405" s="272">
        <f>IF('Input &amp; Calc'!AD425="","",IF('Input &amp; Calc'!DJ427/'Input &amp; Calc'!DJ404&gt;=0.9,1,IF('Input &amp; Calc'!DJ427/'Input &amp; Calc'!DJ404&lt;0.75,3,2)))</f>
        <v>1</v>
      </c>
      <c r="AS405" s="272">
        <f>IF('Input &amp; Calc'!AE425="","",IF('Input &amp; Calc'!DK427/'Input &amp; Calc'!DK404&gt;=0.9,1,IF('Input &amp; Calc'!DK427/'Input &amp; Calc'!DK404&lt;0.75,3,2)))</f>
        <v>1</v>
      </c>
      <c r="AT405" s="272">
        <f>IF('Input &amp; Calc'!AF425="","",IF('Input &amp; Calc'!DL427/'Input &amp; Calc'!DL404&gt;=0.9,1,IF('Input &amp; Calc'!DL427/'Input &amp; Calc'!DL404&lt;0.75,3,2)))</f>
        <v>1</v>
      </c>
      <c r="AU405" s="272">
        <f>IF('Input &amp; Calc'!AG425="","",IF('Input &amp; Calc'!DM427/'Input &amp; Calc'!DM404&gt;=0.9,1,IF('Input &amp; Calc'!DM427/'Input &amp; Calc'!DM404&lt;0.75,3,2)))</f>
        <v>1</v>
      </c>
    </row>
    <row r="406" spans="1:47" ht="14.25" customHeight="1" thickBot="1">
      <c r="A406" s="96" t="s">
        <v>135</v>
      </c>
      <c r="B406" s="460"/>
      <c r="C406" s="90"/>
      <c r="D406" s="93" t="s">
        <v>238</v>
      </c>
      <c r="E406" s="94">
        <f>'Input &amp; Calc'!$I$67</f>
        <v>40391</v>
      </c>
      <c r="F406" s="95"/>
      <c r="G406" s="461"/>
      <c r="H406" s="635" t="s">
        <v>130</v>
      </c>
      <c r="I406" s="635"/>
      <c r="J406" s="635"/>
      <c r="K406" s="635"/>
      <c r="L406" s="635"/>
      <c r="M406" s="635"/>
      <c r="N406" s="635"/>
      <c r="O406" s="461"/>
      <c r="P406" s="90"/>
      <c r="Q406" s="277"/>
      <c r="R406" s="277"/>
      <c r="S406" s="91" t="s">
        <v>136</v>
      </c>
      <c r="T406" s="278">
        <f>'Input &amp; Calc'!EK398</f>
        <v>2</v>
      </c>
      <c r="U406" s="325" t="s">
        <v>159</v>
      </c>
      <c r="V406" s="462"/>
      <c r="W406" s="392"/>
      <c r="X406" s="469"/>
      <c r="Y406" s="469"/>
      <c r="Z406" s="469"/>
      <c r="AA406" s="469"/>
      <c r="AB406" s="469"/>
      <c r="AC406" s="469"/>
      <c r="AD406" s="469"/>
      <c r="AE406" s="469"/>
      <c r="AF406" s="469"/>
      <c r="AG406" s="469"/>
      <c r="AH406" s="469"/>
      <c r="AI406" s="469"/>
      <c r="AJ406" s="469"/>
      <c r="AK406" s="469"/>
      <c r="AL406" s="469"/>
      <c r="AM406" s="469"/>
      <c r="AN406" s="469"/>
      <c r="AO406" s="469"/>
      <c r="AP406" s="469"/>
      <c r="AQ406" s="469"/>
      <c r="AR406" s="469"/>
      <c r="AS406" s="469"/>
      <c r="AT406" s="469"/>
      <c r="AU406" s="469"/>
    </row>
    <row r="407" spans="1:47" ht="12" customHeight="1" thickBot="1">
      <c r="A407" s="636" t="s">
        <v>99</v>
      </c>
      <c r="B407" s="638" t="s">
        <v>100</v>
      </c>
      <c r="C407" s="621" t="s">
        <v>101</v>
      </c>
      <c r="D407" s="621" t="s">
        <v>104</v>
      </c>
      <c r="E407" s="643" t="s">
        <v>105</v>
      </c>
      <c r="F407" s="621" t="s">
        <v>106</v>
      </c>
      <c r="G407" s="449"/>
      <c r="H407" s="638" t="s">
        <v>137</v>
      </c>
      <c r="I407" s="449"/>
      <c r="J407" s="621" t="s">
        <v>101</v>
      </c>
      <c r="K407" s="621" t="s">
        <v>104</v>
      </c>
      <c r="L407" s="621" t="s">
        <v>192</v>
      </c>
      <c r="M407" s="638" t="s">
        <v>194</v>
      </c>
      <c r="N407" s="621" t="s">
        <v>193</v>
      </c>
      <c r="O407" s="449"/>
      <c r="P407" s="642" t="s">
        <v>101</v>
      </c>
      <c r="Q407" s="638" t="s">
        <v>102</v>
      </c>
      <c r="R407" s="638" t="s">
        <v>191</v>
      </c>
      <c r="S407" s="638" t="s">
        <v>103</v>
      </c>
      <c r="T407" s="649" t="s">
        <v>108</v>
      </c>
      <c r="U407" s="641" t="s">
        <v>209</v>
      </c>
      <c r="V407" s="623" t="s">
        <v>203</v>
      </c>
      <c r="W407" s="393"/>
      <c r="X407" s="464"/>
      <c r="Y407" s="464"/>
      <c r="Z407" s="464"/>
      <c r="AA407" s="464"/>
      <c r="AB407" s="464"/>
      <c r="AC407" s="464"/>
      <c r="AD407" s="464"/>
      <c r="AE407" s="464"/>
      <c r="AF407" s="464"/>
      <c r="AG407" s="464"/>
      <c r="AH407" s="464"/>
      <c r="AI407" s="464"/>
      <c r="AJ407" s="464"/>
      <c r="AK407" s="464"/>
      <c r="AL407" s="464"/>
      <c r="AM407" s="464"/>
      <c r="AN407" s="464"/>
      <c r="AO407" s="464"/>
      <c r="AP407" s="464"/>
      <c r="AQ407" s="464"/>
      <c r="AR407" s="464"/>
      <c r="AS407" s="464"/>
      <c r="AT407" s="464"/>
      <c r="AU407" s="464"/>
    </row>
    <row r="408" spans="1:47" ht="17.25" customHeight="1" thickBot="1">
      <c r="A408" s="637"/>
      <c r="B408" s="621"/>
      <c r="C408" s="622"/>
      <c r="D408" s="622"/>
      <c r="E408" s="644"/>
      <c r="F408" s="622"/>
      <c r="G408" s="449"/>
      <c r="H408" s="638"/>
      <c r="I408" s="449"/>
      <c r="J408" s="622"/>
      <c r="K408" s="622"/>
      <c r="L408" s="622"/>
      <c r="M408" s="638"/>
      <c r="N408" s="622"/>
      <c r="O408" s="449"/>
      <c r="P408" s="642"/>
      <c r="Q408" s="638"/>
      <c r="R408" s="638"/>
      <c r="S408" s="638"/>
      <c r="T408" s="649"/>
      <c r="U408" s="641"/>
      <c r="V408" s="624"/>
      <c r="W408" s="564"/>
      <c r="X408" s="625" t="s">
        <v>150</v>
      </c>
      <c r="Y408" s="626"/>
      <c r="Z408" s="626"/>
      <c r="AA408" s="626"/>
      <c r="AB408" s="626"/>
      <c r="AC408" s="626"/>
      <c r="AD408" s="626"/>
      <c r="AE408" s="626"/>
      <c r="AF408" s="626"/>
      <c r="AG408" s="626"/>
      <c r="AH408" s="626"/>
      <c r="AI408" s="627"/>
      <c r="AJ408" s="625" t="s">
        <v>151</v>
      </c>
      <c r="AK408" s="626"/>
      <c r="AL408" s="626"/>
      <c r="AM408" s="626"/>
      <c r="AN408" s="626"/>
      <c r="AO408" s="626"/>
      <c r="AP408" s="626"/>
      <c r="AQ408" s="626"/>
      <c r="AR408" s="626"/>
      <c r="AS408" s="626"/>
      <c r="AT408" s="626"/>
      <c r="AU408" s="628"/>
    </row>
    <row r="409" spans="1:47" ht="25.5">
      <c r="A409" s="470" t="s">
        <v>197</v>
      </c>
      <c r="B409" s="551" t="s">
        <v>190</v>
      </c>
      <c r="C409" s="252">
        <f>IF(F409/E409&gt;0.899999999,1,IF(F409/E409&lt;0.75,3,2))</f>
        <v>1</v>
      </c>
      <c r="D409" s="46" t="str">
        <f>'Input &amp; Calc'!EO443</f>
        <v>Ç</v>
      </c>
      <c r="E409" s="590">
        <f>'Input &amp; Calc'!EE418</f>
        <v>37.5</v>
      </c>
      <c r="F409" s="567">
        <f>'Input &amp; Calc'!EH443</f>
        <v>77</v>
      </c>
      <c r="G409" s="598"/>
      <c r="H409" s="592" t="s">
        <v>16</v>
      </c>
      <c r="I409" s="599"/>
      <c r="J409" s="594">
        <f>IF(N409/M409&gt;0.899999999,1,IF(N409/M409&lt;0.75,3,2))</f>
        <v>1</v>
      </c>
      <c r="K409" s="600" t="str">
        <f>'Input &amp; Calc'!EP443</f>
        <v>Ç</v>
      </c>
      <c r="L409" s="589">
        <f>Q409/4</f>
        <v>112.5</v>
      </c>
      <c r="M409" s="589">
        <f>L409/3*$T$3</f>
        <v>75</v>
      </c>
      <c r="N409" s="565">
        <f>'Input &amp; Calc'!EI443</f>
        <v>207</v>
      </c>
      <c r="O409" s="601"/>
      <c r="P409" s="594">
        <f>IF(S409/R409&gt;0.899999999,1,IF(S409/R409&lt;0.75,3,2))</f>
        <v>1</v>
      </c>
      <c r="Q409" s="565">
        <f>'Input &amp; Calc'!EG418</f>
        <v>450</v>
      </c>
      <c r="R409" s="602">
        <f>Q409/12*$T$10</f>
        <v>75</v>
      </c>
      <c r="S409" s="566">
        <f>'Input &amp; Calc'!EJ443</f>
        <v>207</v>
      </c>
      <c r="T409" s="491">
        <f>S409/R409</f>
        <v>2.76</v>
      </c>
      <c r="U409" s="454"/>
      <c r="V409" s="563">
        <f>$V$739</f>
        <v>1</v>
      </c>
      <c r="W409" s="476" t="str">
        <f>B409</f>
        <v># of Unique Clients YTD</v>
      </c>
      <c r="X409" s="269">
        <v>1</v>
      </c>
      <c r="Y409" s="268">
        <v>1</v>
      </c>
      <c r="Z409" s="268">
        <v>1</v>
      </c>
      <c r="AA409" s="268">
        <v>1</v>
      </c>
      <c r="AB409" s="268">
        <v>1</v>
      </c>
      <c r="AC409" s="268">
        <v>1</v>
      </c>
      <c r="AD409" s="268">
        <v>1</v>
      </c>
      <c r="AE409" s="268">
        <v>1</v>
      </c>
      <c r="AF409" s="268">
        <v>1</v>
      </c>
      <c r="AG409" s="268">
        <v>1</v>
      </c>
      <c r="AH409" s="268">
        <v>1</v>
      </c>
      <c r="AI409" s="270">
        <v>1</v>
      </c>
      <c r="AJ409" s="268">
        <f>IF('Input &amp; Calc'!V443="","",IF('Input &amp; Calc'!DB443/'Input &amp; Calc'!DB418&gt;=0.9,1,IF('Input &amp; Calc'!DB443/'Input &amp; Calc'!DB418&lt;0.75,3,2)))</f>
        <v>3</v>
      </c>
      <c r="AK409" s="268">
        <f>IF('Input &amp; Calc'!W443="","",IF('Input &amp; Calc'!DC443/'Input &amp; Calc'!DC418&gt;=0.9,1,IF('Input &amp; Calc'!DC443/'Input &amp; Calc'!DC418&lt;0.75,3,2)))</f>
        <v>1</v>
      </c>
      <c r="AL409" s="268">
        <f>IF('Input &amp; Calc'!X443="","",IF('Input &amp; Calc'!DD443/'Input &amp; Calc'!DD418&gt;=0.9,1,IF('Input &amp; Calc'!DD443/'Input &amp; Calc'!DD418&lt;0.75,3,2)))</f>
        <v>1</v>
      </c>
      <c r="AM409" s="268">
        <f>IF('Input &amp; Calc'!Y443="","",IF('Input &amp; Calc'!DE443/'Input &amp; Calc'!DE418&gt;=0.9,1,IF('Input &amp; Calc'!DE443/'Input &amp; Calc'!DE418&lt;0.75,3,2)))</f>
        <v>1</v>
      </c>
      <c r="AN409" s="268">
        <f>IF('Input &amp; Calc'!Z443="","",IF('Input &amp; Calc'!DF443/'Input &amp; Calc'!DF418&gt;=0.9,1,IF('Input &amp; Calc'!DF443/'Input &amp; Calc'!DF418&lt;0.75,3,2)))</f>
        <v>1</v>
      </c>
      <c r="AO409" s="268">
        <f>IF('Input &amp; Calc'!AA443="","",IF('Input &amp; Calc'!DG443/'Input &amp; Calc'!DG418&gt;=0.9,1,IF('Input &amp; Calc'!DG443/'Input &amp; Calc'!DG418&lt;0.75,3,2)))</f>
        <v>1</v>
      </c>
      <c r="AP409" s="268">
        <f>IF('Input &amp; Calc'!AB443="","",IF('Input &amp; Calc'!DH443/'Input &amp; Calc'!DH418&gt;=0.9,1,IF('Input &amp; Calc'!DH443/'Input &amp; Calc'!DH418&lt;0.75,3,2)))</f>
        <v>1</v>
      </c>
      <c r="AQ409" s="268">
        <f>IF('Input &amp; Calc'!AC443="","",IF('Input &amp; Calc'!DI443/'Input &amp; Calc'!DI418&gt;=0.9,1,IF('Input &amp; Calc'!DI443/'Input &amp; Calc'!DI418&lt;0.75,3,2)))</f>
        <v>1</v>
      </c>
      <c r="AR409" s="268">
        <f>IF('Input &amp; Calc'!AD443="","",IF('Input &amp; Calc'!DJ443/'Input &amp; Calc'!DJ418&gt;=0.9,1,IF('Input &amp; Calc'!DJ443/'Input &amp; Calc'!DJ418&lt;0.75,3,2)))</f>
        <v>1</v>
      </c>
      <c r="AS409" s="268">
        <f>IF('Input &amp; Calc'!AE443="","",IF('Input &amp; Calc'!DK443/'Input &amp; Calc'!DK418&gt;=0.9,1,IF('Input &amp; Calc'!DK443/'Input &amp; Calc'!DK418&lt;0.75,3,2)))</f>
        <v>1</v>
      </c>
      <c r="AT409" s="268">
        <f>IF('Input &amp; Calc'!AF443="","",IF('Input &amp; Calc'!DL443/'Input &amp; Calc'!DL418&gt;=0.9,1,IF('Input &amp; Calc'!DL443/'Input &amp; Calc'!DL418&lt;0.75,3,2)))</f>
        <v>1</v>
      </c>
      <c r="AU409" s="268">
        <f>IF('Input &amp; Calc'!AG443="","",IF('Input &amp; Calc'!DM443/'Input &amp; Calc'!DM418&gt;=0.9,1,IF('Input &amp; Calc'!DM443/'Input &amp; Calc'!DM418&lt;0.75,3,2)))</f>
        <v>1</v>
      </c>
    </row>
    <row r="410" spans="1:47" ht="27.75" customHeight="1">
      <c r="A410" s="620" t="s">
        <v>198</v>
      </c>
      <c r="B410" s="551" t="s">
        <v>199</v>
      </c>
      <c r="C410" s="252">
        <f>IF(F410/E410&gt;0.899999999,1,IF(F410/E410&lt;0.75,3,2))</f>
        <v>1</v>
      </c>
      <c r="D410" s="46" t="str">
        <f>'Input &amp; Calc'!EO456</f>
        <v>Ç</v>
      </c>
      <c r="E410" s="489">
        <f>'Input &amp; Calc'!EE449</f>
        <v>0.25</v>
      </c>
      <c r="F410" s="588">
        <f>'Input &amp; Calc'!EH456</f>
        <v>0.47058823529411764</v>
      </c>
      <c r="G410" s="558"/>
      <c r="H410" s="453" t="s">
        <v>16</v>
      </c>
      <c r="I410" s="559"/>
      <c r="J410" s="252">
        <f>IF(N410/M410&gt;0.899999999,1,IF(N410/M410&lt;0.75,3,2))</f>
        <v>1</v>
      </c>
      <c r="K410" s="46" t="str">
        <f>'Input &amp; Calc'!EP456</f>
        <v>Ç</v>
      </c>
      <c r="L410" s="490">
        <f>'Input &amp; Calc'!EF449</f>
        <v>0.25</v>
      </c>
      <c r="M410" s="490">
        <f>L410</f>
        <v>0.25</v>
      </c>
      <c r="N410" s="583">
        <f>'Input &amp; Calc'!EI456</f>
        <v>0.52112676056338025</v>
      </c>
      <c r="O410" s="561"/>
      <c r="P410" s="252">
        <f>IF(S410/R410&gt;0.899999999,1,IF(S410/R410&lt;0.75,3,2))</f>
        <v>1</v>
      </c>
      <c r="Q410" s="491">
        <f>'Input &amp; Calc'!EG449</f>
        <v>0.24998903523886262</v>
      </c>
      <c r="R410" s="492">
        <f>Q410</f>
        <v>0.24998903523886262</v>
      </c>
      <c r="S410" s="587">
        <f>'Input &amp; Calc'!EJ456</f>
        <v>0.52112676056338025</v>
      </c>
      <c r="T410" s="488">
        <f>+S410-R410</f>
        <v>0.27113772532451763</v>
      </c>
      <c r="U410" s="455"/>
      <c r="V410" s="563">
        <f>$V$740</f>
        <v>1</v>
      </c>
      <c r="W410" s="476" t="str">
        <f>B410</f>
        <v>% of existing business new clients to initial clients</v>
      </c>
      <c r="X410" s="475">
        <v>1</v>
      </c>
      <c r="Y410" s="274">
        <v>1</v>
      </c>
      <c r="Z410" s="274">
        <v>1</v>
      </c>
      <c r="AA410" s="274">
        <v>1</v>
      </c>
      <c r="AB410" s="274">
        <v>1</v>
      </c>
      <c r="AC410" s="274">
        <v>1</v>
      </c>
      <c r="AD410" s="274">
        <v>1</v>
      </c>
      <c r="AE410" s="274">
        <v>1</v>
      </c>
      <c r="AF410" s="274">
        <v>1</v>
      </c>
      <c r="AG410" s="274">
        <v>1</v>
      </c>
      <c r="AH410" s="274">
        <v>1</v>
      </c>
      <c r="AI410" s="514">
        <v>1</v>
      </c>
      <c r="AJ410" s="274">
        <f>IF('Input &amp; Calc'!V456="","",IF('Input &amp; Calc'!DB449*0.9&lt;'Input &amp; Calc'!V456,1,IF('Input &amp; Calc'!DB449*0.75&gt;'Input &amp; Calc'!DB456,3,2)))</f>
        <v>1</v>
      </c>
      <c r="AK410" s="273">
        <f>IF('Input &amp; Calc'!W456="","",IF('Input &amp; Calc'!DC449*0.9&lt;'Input &amp; Calc'!W456,1,IF('Input &amp; Calc'!DC449*0.75&gt;'Input &amp; Calc'!DC456,3,2)))</f>
        <v>1</v>
      </c>
      <c r="AL410" s="273">
        <f>IF('Input &amp; Calc'!X456="","",IF('Input &amp; Calc'!DD449*0.9&lt;'Input &amp; Calc'!X456,1,IF('Input &amp; Calc'!DD449*0.75&gt;'Input &amp; Calc'!DD456,3,2)))</f>
        <v>1</v>
      </c>
      <c r="AM410" s="273">
        <f>IF('Input &amp; Calc'!Y456="","",IF('Input &amp; Calc'!DE449*0.9&lt;'Input &amp; Calc'!Y456,1,IF('Input &amp; Calc'!DE449*0.75&gt;'Input &amp; Calc'!DE456,3,2)))</f>
        <v>1</v>
      </c>
      <c r="AN410" s="273">
        <f>IF('Input &amp; Calc'!Z456="","",IF('Input &amp; Calc'!DF449*0.9&lt;'Input &amp; Calc'!Z456,1,IF('Input &amp; Calc'!DF449*0.75&gt;'Input &amp; Calc'!DF456,3,2)))</f>
        <v>1</v>
      </c>
      <c r="AO410" s="273">
        <f>IF('Input &amp; Calc'!AA456="","",IF('Input &amp; Calc'!DG449*0.9&lt;'Input &amp; Calc'!AA456,1,IF('Input &amp; Calc'!DG449*0.75&gt;'Input &amp; Calc'!DG456,3,2)))</f>
        <v>1</v>
      </c>
      <c r="AP410" s="273">
        <f>IF('Input &amp; Calc'!AB456="","",IF('Input &amp; Calc'!DH449*0.9&lt;'Input &amp; Calc'!AB456,1,IF('Input &amp; Calc'!DH449*0.75&gt;'Input &amp; Calc'!DH456,3,2)))</f>
        <v>1</v>
      </c>
      <c r="AQ410" s="273">
        <f>IF('Input &amp; Calc'!AC456="","",IF('Input &amp; Calc'!DI449*0.9&lt;'Input &amp; Calc'!AC456,1,IF('Input &amp; Calc'!DI449*0.75&gt;'Input &amp; Calc'!DI456,3,2)))</f>
        <v>1</v>
      </c>
      <c r="AR410" s="273">
        <f>IF('Input &amp; Calc'!AD456="","",IF('Input &amp; Calc'!DJ449*0.9&lt;'Input &amp; Calc'!AD456,1,IF('Input &amp; Calc'!DJ449*0.75&gt;'Input &amp; Calc'!DJ456,3,2)))</f>
        <v>1</v>
      </c>
      <c r="AS410" s="273">
        <f>IF('Input &amp; Calc'!AE456="","",IF('Input &amp; Calc'!DK449*0.9&lt;'Input &amp; Calc'!AE456,1,IF('Input &amp; Calc'!DK449*0.75&gt;'Input &amp; Calc'!DK456,3,2)))</f>
        <v>1</v>
      </c>
      <c r="AT410" s="273">
        <f>IF('Input &amp; Calc'!AF456="","",IF('Input &amp; Calc'!DL449*0.9&lt;'Input &amp; Calc'!AF456,1,IF('Input &amp; Calc'!DL449*0.75&gt;'Input &amp; Calc'!DL456,3,2)))</f>
        <v>1</v>
      </c>
      <c r="AU410" s="273">
        <f>IF('Input &amp; Calc'!AG456="","",IF('Input &amp; Calc'!DM449*0.9&lt;'Input &amp; Calc'!AG456,1,IF('Input &amp; Calc'!DM449*0.75&gt;'Input &amp; Calc'!DM456,3,2)))</f>
        <v>1</v>
      </c>
    </row>
    <row r="411" spans="1:47">
      <c r="A411" s="620"/>
      <c r="B411" s="551" t="s">
        <v>200</v>
      </c>
      <c r="C411" s="252">
        <f>'Input &amp; Calc'!EQ901</f>
        <v>1</v>
      </c>
      <c r="D411" s="46" t="str">
        <f>'Input &amp; Calc'!EO901</f>
        <v>Ç</v>
      </c>
      <c r="E411" s="279">
        <v>4.5</v>
      </c>
      <c r="F411" s="279">
        <f>'Input &amp; Calc'!EH901</f>
        <v>4.9155844155844157</v>
      </c>
      <c r="G411" s="558"/>
      <c r="H411" s="453" t="s">
        <v>16</v>
      </c>
      <c r="I411" s="559"/>
      <c r="J411" s="252">
        <f>'Input &amp; Calc'!ER901</f>
        <v>1</v>
      </c>
      <c r="K411" s="46" t="str">
        <f>'Input &amp; Calc'!EP901</f>
        <v>Ç</v>
      </c>
      <c r="L411" s="279">
        <v>4.5</v>
      </c>
      <c r="M411" s="442">
        <v>4.5</v>
      </c>
      <c r="N411" s="388">
        <f>'Input &amp; Calc'!EI901</f>
        <v>3.4123188405797102</v>
      </c>
      <c r="O411" s="561"/>
      <c r="P411" s="252">
        <f>'Input &amp; Calc'!ES901</f>
        <v>1</v>
      </c>
      <c r="Q411" s="388">
        <v>4.5</v>
      </c>
      <c r="R411" s="442">
        <v>4.5</v>
      </c>
      <c r="S411" s="486">
        <f>'Input &amp; Calc'!EJ901</f>
        <v>3.4123188405797102</v>
      </c>
      <c r="T411" s="491">
        <f>S411/R411</f>
        <v>0.75829307568438009</v>
      </c>
      <c r="U411" s="456"/>
      <c r="V411" s="563">
        <f>$V$741</f>
        <v>3</v>
      </c>
      <c r="W411" s="476" t="str">
        <f>B411</f>
        <v>Average Hours/Client</v>
      </c>
      <c r="X411" s="269">
        <v>1</v>
      </c>
      <c r="Y411" s="268">
        <v>1</v>
      </c>
      <c r="Z411" s="268">
        <v>1</v>
      </c>
      <c r="AA411" s="268">
        <v>1</v>
      </c>
      <c r="AB411" s="268">
        <v>1</v>
      </c>
      <c r="AC411" s="268">
        <v>1</v>
      </c>
      <c r="AD411" s="268">
        <v>1</v>
      </c>
      <c r="AE411" s="268">
        <v>1</v>
      </c>
      <c r="AF411" s="268">
        <v>1</v>
      </c>
      <c r="AG411" s="268">
        <v>1</v>
      </c>
      <c r="AH411" s="268">
        <v>1</v>
      </c>
      <c r="AI411" s="270">
        <v>1</v>
      </c>
      <c r="AJ411" s="274">
        <f>IF('Input &amp; Calc'!V443="","",IF('Input &amp; Calc'!DB410/'Input &amp; Calc'!DB418*0.9/12*'Input &amp; Calc'!DB$51&lt;'Input &amp; Calc'!DB435/'Input &amp; Calc'!DB443,1,IF('Input &amp; Calc'!DB410/'Input &amp; Calc'!DB418*0.75/12*'Input &amp; Calc'!DB$51&gt;'Input &amp; Calc'!DB435/'Input &amp; Calc'!DB443,3,2)))</f>
        <v>1</v>
      </c>
      <c r="AK411" s="273">
        <f>IF('Input &amp; Calc'!W443="","",IF('Input &amp; Calc'!DC410/'Input &amp; Calc'!DC418*0.9/12*'Input &amp; Calc'!DC$51&lt;'Input &amp; Calc'!DC435/'Input &amp; Calc'!DC443,1,IF('Input &amp; Calc'!DC410/'Input &amp; Calc'!DC418*0.75/12*'Input &amp; Calc'!DC$51&gt;'Input &amp; Calc'!DC435/'Input &amp; Calc'!DC443,3,2)))</f>
        <v>1</v>
      </c>
      <c r="AL411" s="273">
        <f>IF('Input &amp; Calc'!X443="","",IF('Input &amp; Calc'!DD410/'Input &amp; Calc'!DD418*0.9/12*'Input &amp; Calc'!DD$51&lt;'Input &amp; Calc'!DD435/'Input &amp; Calc'!DD443,1,IF('Input &amp; Calc'!DD410/'Input &amp; Calc'!DD418*0.75/12*'Input &amp; Calc'!DD$51&gt;'Input &amp; Calc'!DD435/'Input &amp; Calc'!DD443,3,2)))</f>
        <v>1</v>
      </c>
      <c r="AM411" s="273">
        <f>IF('Input &amp; Calc'!Y443="","",IF('Input &amp; Calc'!DE410/'Input &amp; Calc'!DE418*0.9/12*'Input &amp; Calc'!DE$51&lt;'Input &amp; Calc'!DE435/'Input &amp; Calc'!DE443,1,IF('Input &amp; Calc'!DE410/'Input &amp; Calc'!DE418*0.75/12*'Input &amp; Calc'!DE$51&gt;'Input &amp; Calc'!DE435/'Input &amp; Calc'!DE443,3,2)))</f>
        <v>1</v>
      </c>
      <c r="AN411" s="273">
        <f>IF('Input &amp; Calc'!Z443="","",IF('Input &amp; Calc'!DF410/'Input &amp; Calc'!DF418*0.9/12*'Input &amp; Calc'!DF$51&lt;'Input &amp; Calc'!DF435/'Input &amp; Calc'!DF443,1,IF('Input &amp; Calc'!DF410/'Input &amp; Calc'!DF418*0.75/12*'Input &amp; Calc'!DF$51&gt;'Input &amp; Calc'!DF435/'Input &amp; Calc'!DF443,3,2)))</f>
        <v>1</v>
      </c>
      <c r="AO411" s="273">
        <f>IF('Input &amp; Calc'!AA443="","",IF('Input &amp; Calc'!DG410/'Input &amp; Calc'!DG418*0.9/12*'Input &amp; Calc'!DG$51&lt;'Input &amp; Calc'!DG435/'Input &amp; Calc'!DG443,1,IF('Input &amp; Calc'!DG410/'Input &amp; Calc'!DG418*0.75/12*'Input &amp; Calc'!DG$51&gt;'Input &amp; Calc'!DG435/'Input &amp; Calc'!DG443,3,2)))</f>
        <v>1</v>
      </c>
      <c r="AP411" s="273">
        <f>IF('Input &amp; Calc'!AB443="","",IF('Input &amp; Calc'!DH410/'Input &amp; Calc'!DH418*0.9/12*'Input &amp; Calc'!DH$51&lt;'Input &amp; Calc'!DH435/'Input &amp; Calc'!DH443,1,IF('Input &amp; Calc'!DH410/'Input &amp; Calc'!DH418*0.75/12*'Input &amp; Calc'!DH$51&gt;'Input &amp; Calc'!DH435/'Input &amp; Calc'!DH443,3,2)))</f>
        <v>1</v>
      </c>
      <c r="AQ411" s="273">
        <f>IF('Input &amp; Calc'!AC443="","",IF('Input &amp; Calc'!DI410/'Input &amp; Calc'!DI418*0.9/12*'Input &amp; Calc'!DI$51&lt;'Input &amp; Calc'!DI435/'Input &amp; Calc'!DI443,1,IF('Input &amp; Calc'!DI410/'Input &amp; Calc'!DI418*0.75/12*'Input &amp; Calc'!DI$51&gt;'Input &amp; Calc'!DI435/'Input &amp; Calc'!DI443,3,2)))</f>
        <v>1</v>
      </c>
      <c r="AR411" s="273">
        <f>IF('Input &amp; Calc'!AD443="","",IF('Input &amp; Calc'!DJ410/'Input &amp; Calc'!DJ418*0.9/12*'Input &amp; Calc'!DJ$51&lt;'Input &amp; Calc'!DJ435/'Input &amp; Calc'!DJ443,1,IF('Input &amp; Calc'!DJ410/'Input &amp; Calc'!DJ418*0.75/12*'Input &amp; Calc'!DJ$51&gt;'Input &amp; Calc'!DJ435/'Input &amp; Calc'!DJ443,3,2)))</f>
        <v>1</v>
      </c>
      <c r="AS411" s="273">
        <f>IF('Input &amp; Calc'!AE443="","",IF('Input &amp; Calc'!DK410/'Input &amp; Calc'!DK418*0.9/12*'Input &amp; Calc'!DK$51&lt;'Input &amp; Calc'!DK435/'Input &amp; Calc'!DK443,1,IF('Input &amp; Calc'!DK410/'Input &amp; Calc'!DK418*0.75/12*'Input &amp; Calc'!DK$51&gt;'Input &amp; Calc'!DK435/'Input &amp; Calc'!DK443,3,2)))</f>
        <v>1</v>
      </c>
      <c r="AT411" s="273">
        <f>IF('Input &amp; Calc'!AF443="","",IF('Input &amp; Calc'!DL410/'Input &amp; Calc'!DL418*0.9/12*'Input &amp; Calc'!DL$51&lt;'Input &amp; Calc'!DL435/'Input &amp; Calc'!DL443,1,IF('Input &amp; Calc'!DL410/'Input &amp; Calc'!DL418*0.75/12*'Input &amp; Calc'!DL$51&gt;'Input &amp; Calc'!DL435/'Input &amp; Calc'!DL443,3,2)))</f>
        <v>1</v>
      </c>
      <c r="AU411" s="273">
        <f>IF('Input &amp; Calc'!AG443="","",IF('Input &amp; Calc'!DM410/'Input &amp; Calc'!DM418*0.9/12*'Input &amp; Calc'!DM$51&lt;'Input &amp; Calc'!DM435/'Input &amp; Calc'!DM443,1,IF('Input &amp; Calc'!DM410/'Input &amp; Calc'!DM418*0.75/12*'Input &amp; Calc'!DM$51&gt;'Input &amp; Calc'!DM435/'Input &amp; Calc'!DM443,3,2)))</f>
        <v>1</v>
      </c>
    </row>
    <row r="412" spans="1:47">
      <c r="A412" s="470" t="s">
        <v>109</v>
      </c>
      <c r="B412" s="551" t="s">
        <v>201</v>
      </c>
      <c r="C412" s="521"/>
      <c r="D412" s="522"/>
      <c r="E412" s="529"/>
      <c r="F412" s="520"/>
      <c r="G412" s="558"/>
      <c r="H412" s="453" t="s">
        <v>16</v>
      </c>
      <c r="I412" s="559"/>
      <c r="J412" s="252">
        <f>IF(N412/M412&gt;0.899999999,1,IF(N412/M412&lt;0.75,3,2))</f>
        <v>3</v>
      </c>
      <c r="K412" s="46" t="str">
        <f>'Input &amp; Calc'!EP433</f>
        <v>È</v>
      </c>
      <c r="L412" s="490">
        <f>Q412</f>
        <v>0.90000000000000013</v>
      </c>
      <c r="M412" s="490">
        <f>L412</f>
        <v>0.90000000000000013</v>
      </c>
      <c r="N412" s="491">
        <f>'Input &amp; Calc'!EI433</f>
        <v>0.47222222222222221</v>
      </c>
      <c r="O412" s="561"/>
      <c r="P412" s="252">
        <f>IF(S412/R412&gt;0.899999999,1,IF(S412/R412&lt;0.75,3,2))</f>
        <v>1</v>
      </c>
      <c r="Q412" s="491">
        <f>'Input &amp; Calc'!EG408</f>
        <v>0.90000000000000013</v>
      </c>
      <c r="R412" s="491">
        <f>Q412</f>
        <v>0.90000000000000013</v>
      </c>
      <c r="S412" s="493">
        <f>'Input &amp; Calc'!EJ433</f>
        <v>1</v>
      </c>
      <c r="T412" s="491">
        <f>S412-R412</f>
        <v>9.9999999999999867E-2</v>
      </c>
      <c r="U412" s="455"/>
      <c r="V412" s="563">
        <f>$V$742</f>
        <v>1</v>
      </c>
      <c r="W412" s="476" t="str">
        <f>B412</f>
        <v>Client satisfaction rating %</v>
      </c>
      <c r="X412" s="269">
        <v>3</v>
      </c>
      <c r="Y412" s="268">
        <v>1</v>
      </c>
      <c r="Z412" s="268">
        <v>1</v>
      </c>
      <c r="AA412" s="268">
        <v>1</v>
      </c>
      <c r="AB412" s="268">
        <v>1</v>
      </c>
      <c r="AC412" s="268">
        <v>1</v>
      </c>
      <c r="AD412" s="268">
        <v>1</v>
      </c>
      <c r="AE412" s="268">
        <v>1</v>
      </c>
      <c r="AF412" s="268">
        <v>1</v>
      </c>
      <c r="AG412" s="268">
        <v>1</v>
      </c>
      <c r="AH412" s="268">
        <v>1</v>
      </c>
      <c r="AI412" s="270">
        <v>1</v>
      </c>
      <c r="AJ412" s="268">
        <f>IF('Input &amp; Calc'!V433="","",IF('Input &amp; Calc'!DB408*0.9&lt;'Input &amp; Calc'!DB433,1,IF('Input &amp; Calc'!DB408*0.75&gt;'Input &amp; Calc'!DB433,3,2)))</f>
        <v>1</v>
      </c>
      <c r="AK412" s="268">
        <f>IF('Input &amp; Calc'!W433="","",IF('Input &amp; Calc'!DC408*0.9&lt;'Input &amp; Calc'!DC433,1,IF('Input &amp; Calc'!DC408*0.75&gt;'Input &amp; Calc'!DC433,3,2)))</f>
        <v>1</v>
      </c>
      <c r="AL412" s="268">
        <f>IF('Input &amp; Calc'!X433="","",IF('Input &amp; Calc'!DD408*0.9&lt;'Input &amp; Calc'!DD433,1,IF('Input &amp; Calc'!DD408*0.75&gt;'Input &amp; Calc'!DD433,3,2)))</f>
        <v>1</v>
      </c>
      <c r="AM412" s="268">
        <f>IF('Input &amp; Calc'!Y433="","",IF('Input &amp; Calc'!DE408*0.9&lt;'Input &amp; Calc'!DE433,1,IF('Input &amp; Calc'!DE408*0.75&gt;'Input &amp; Calc'!DE433,3,2)))</f>
        <v>1</v>
      </c>
      <c r="AN412" s="268">
        <f>IF('Input &amp; Calc'!Z433="","",IF('Input &amp; Calc'!DF408*0.9&lt;'Input &amp; Calc'!DF433,1,IF('Input &amp; Calc'!DF408*0.75&gt;'Input &amp; Calc'!DF433,3,2)))</f>
        <v>1</v>
      </c>
      <c r="AO412" s="268">
        <f>IF('Input &amp; Calc'!AA433="","",IF('Input &amp; Calc'!DG408*0.9&lt;'Input &amp; Calc'!DG433,1,IF('Input &amp; Calc'!DG408*0.75&gt;'Input &amp; Calc'!DG433,3,2)))</f>
        <v>1</v>
      </c>
      <c r="AP412" s="268">
        <f>IF('Input &amp; Calc'!AB433="","",IF('Input &amp; Calc'!DH408*0.9&lt;'Input &amp; Calc'!DH433,1,IF('Input &amp; Calc'!DH408*0.75&gt;'Input &amp; Calc'!DH433,3,2)))</f>
        <v>1</v>
      </c>
      <c r="AQ412" s="268">
        <f>IF('Input &amp; Calc'!AC433="","",IF('Input &amp; Calc'!DI408*0.9&lt;'Input &amp; Calc'!DI433,1,IF('Input &amp; Calc'!DI408*0.75&gt;'Input &amp; Calc'!DI433,3,2)))</f>
        <v>1</v>
      </c>
      <c r="AR412" s="268">
        <f>IF('Input &amp; Calc'!AD433="","",IF('Input &amp; Calc'!DJ408*0.9&lt;'Input &amp; Calc'!DJ433,1,IF('Input &amp; Calc'!DJ408*0.75&gt;'Input &amp; Calc'!DJ433,3,2)))</f>
        <v>1</v>
      </c>
      <c r="AS412" s="268">
        <f>IF('Input &amp; Calc'!AE433="","",IF('Input &amp; Calc'!DK408*0.9&lt;'Input &amp; Calc'!DK433,1,IF('Input &amp; Calc'!DK408*0.75&gt;'Input &amp; Calc'!DK433,3,2)))</f>
        <v>1</v>
      </c>
      <c r="AT412" s="268">
        <f>IF('Input &amp; Calc'!AF433="","",IF('Input &amp; Calc'!DL408*0.9&lt;'Input &amp; Calc'!DL433,1,IF('Input &amp; Calc'!DL408*0.75&gt;'Input &amp; Calc'!DL433,3,2)))</f>
        <v>1</v>
      </c>
      <c r="AU412" s="268">
        <f>IF('Input &amp; Calc'!AG433="","",IF('Input &amp; Calc'!DM408*0.9&lt;'Input &amp; Calc'!DM433,1,IF('Input &amp; Calc'!DM408*0.75&gt;'Input &amp; Calc'!DM433,3,2)))</f>
        <v>1</v>
      </c>
    </row>
    <row r="413" spans="1:47" s="465" customFormat="1">
      <c r="A413" s="620" t="s">
        <v>207</v>
      </c>
      <c r="B413" s="551" t="s">
        <v>227</v>
      </c>
      <c r="C413" s="523"/>
      <c r="D413" s="524"/>
      <c r="E413" s="525"/>
      <c r="F413" s="515">
        <f>'Input &amp; Calc'!EH855</f>
        <v>25</v>
      </c>
      <c r="G413" s="451"/>
      <c r="H413" s="453" t="s">
        <v>16</v>
      </c>
      <c r="I413" s="560"/>
      <c r="J413" s="521"/>
      <c r="K413" s="522"/>
      <c r="L413" s="530"/>
      <c r="M413" s="531"/>
      <c r="N413" s="516">
        <f>'Input &amp; Calc'!EI855</f>
        <v>46</v>
      </c>
      <c r="O413" s="562"/>
      <c r="P413" s="521"/>
      <c r="Q413" s="536"/>
      <c r="R413" s="537"/>
      <c r="S413" s="517">
        <f>'Input &amp; Calc'!EJ855</f>
        <v>46</v>
      </c>
      <c r="T413" s="542"/>
      <c r="U413" s="543"/>
      <c r="V413" s="544"/>
      <c r="W413" s="554" t="s">
        <v>227</v>
      </c>
      <c r="X413" s="271"/>
      <c r="Y413" s="268"/>
      <c r="Z413" s="268"/>
      <c r="AA413" s="268"/>
      <c r="AB413" s="268"/>
      <c r="AC413" s="268"/>
      <c r="AD413" s="268"/>
      <c r="AE413" s="268"/>
      <c r="AF413" s="268"/>
      <c r="AG413" s="268"/>
      <c r="AH413" s="268"/>
      <c r="AI413" s="270"/>
      <c r="AJ413" s="268"/>
      <c r="AK413" s="268"/>
      <c r="AL413" s="268"/>
      <c r="AM413" s="268"/>
      <c r="AN413" s="268"/>
      <c r="AO413" s="268"/>
      <c r="AP413" s="268"/>
      <c r="AQ413" s="268"/>
      <c r="AR413" s="268"/>
      <c r="AS413" s="268"/>
      <c r="AT413" s="268"/>
      <c r="AU413" s="268"/>
    </row>
    <row r="414" spans="1:47" s="465" customFormat="1">
      <c r="A414" s="620"/>
      <c r="B414" s="551" t="s">
        <v>228</v>
      </c>
      <c r="C414" s="523"/>
      <c r="D414" s="524"/>
      <c r="E414" s="525"/>
      <c r="F414" s="515">
        <f>'Input &amp; Calc'!EH871</f>
        <v>1</v>
      </c>
      <c r="G414" s="451"/>
      <c r="H414" s="453" t="s">
        <v>16</v>
      </c>
      <c r="I414" s="560"/>
      <c r="J414" s="523"/>
      <c r="K414" s="524"/>
      <c r="L414" s="532"/>
      <c r="M414" s="533"/>
      <c r="N414" s="516">
        <f>'Input &amp; Calc'!EI871</f>
        <v>10</v>
      </c>
      <c r="O414" s="562"/>
      <c r="P414" s="523"/>
      <c r="Q414" s="538"/>
      <c r="R414" s="539"/>
      <c r="S414" s="517">
        <f>'Input &amp; Calc'!EJ871</f>
        <v>10</v>
      </c>
      <c r="T414" s="545"/>
      <c r="U414" s="546"/>
      <c r="V414" s="547"/>
      <c r="W414" s="554" t="s">
        <v>228</v>
      </c>
      <c r="X414" s="271"/>
      <c r="Y414" s="268"/>
      <c r="Z414" s="268"/>
      <c r="AA414" s="268"/>
      <c r="AB414" s="268"/>
      <c r="AC414" s="268"/>
      <c r="AD414" s="268"/>
      <c r="AE414" s="268"/>
      <c r="AF414" s="268"/>
      <c r="AG414" s="268"/>
      <c r="AH414" s="268"/>
      <c r="AI414" s="270"/>
      <c r="AJ414" s="268"/>
      <c r="AK414" s="268"/>
      <c r="AL414" s="268"/>
      <c r="AM414" s="268"/>
      <c r="AN414" s="268"/>
      <c r="AO414" s="268"/>
      <c r="AP414" s="268"/>
      <c r="AQ414" s="268"/>
      <c r="AR414" s="268"/>
      <c r="AS414" s="268"/>
      <c r="AT414" s="268"/>
      <c r="AU414" s="268"/>
    </row>
    <row r="415" spans="1:47" s="465" customFormat="1">
      <c r="A415" s="620"/>
      <c r="B415" s="551" t="s">
        <v>234</v>
      </c>
      <c r="C415" s="526"/>
      <c r="D415" s="527"/>
      <c r="E415" s="528"/>
      <c r="F415" s="495">
        <f>'Input &amp; Calc'!EH886</f>
        <v>0.1242</v>
      </c>
      <c r="G415" s="451"/>
      <c r="H415" s="453" t="s">
        <v>16</v>
      </c>
      <c r="I415" s="560"/>
      <c r="J415" s="526"/>
      <c r="K415" s="527"/>
      <c r="L415" s="534"/>
      <c r="M415" s="535"/>
      <c r="N415" s="496">
        <f>'Input &amp; Calc'!EI886</f>
        <v>0.2452</v>
      </c>
      <c r="O415" s="562"/>
      <c r="P415" s="526"/>
      <c r="Q415" s="540"/>
      <c r="R415" s="541"/>
      <c r="S415" s="497">
        <f>'Input &amp; Calc'!EJ886</f>
        <v>0.2452</v>
      </c>
      <c r="T415" s="548"/>
      <c r="U415" s="549"/>
      <c r="V415" s="550"/>
      <c r="W415" s="554" t="s">
        <v>208</v>
      </c>
      <c r="X415" s="271"/>
      <c r="Y415" s="268"/>
      <c r="Z415" s="268"/>
      <c r="AA415" s="268"/>
      <c r="AB415" s="268"/>
      <c r="AC415" s="268"/>
      <c r="AD415" s="268"/>
      <c r="AE415" s="268"/>
      <c r="AF415" s="268"/>
      <c r="AG415" s="268"/>
      <c r="AH415" s="268"/>
      <c r="AI415" s="270"/>
      <c r="AJ415" s="268"/>
      <c r="AK415" s="268"/>
      <c r="AL415" s="268"/>
      <c r="AM415" s="268"/>
      <c r="AN415" s="268"/>
      <c r="AO415" s="268"/>
      <c r="AP415" s="268"/>
      <c r="AQ415" s="268"/>
      <c r="AR415" s="268"/>
      <c r="AS415" s="268"/>
      <c r="AT415" s="268"/>
      <c r="AU415" s="268"/>
    </row>
    <row r="416" spans="1:47" ht="16.5" thickBot="1">
      <c r="A416" s="86" t="s">
        <v>139</v>
      </c>
      <c r="B416" s="321"/>
      <c r="C416" s="645" t="s">
        <v>164</v>
      </c>
      <c r="D416" s="645"/>
      <c r="E416" s="87" t="s">
        <v>140</v>
      </c>
      <c r="F416" s="448"/>
      <c r="G416" s="448"/>
      <c r="H416" s="645" t="s">
        <v>165</v>
      </c>
      <c r="I416" s="645"/>
      <c r="J416" s="645"/>
      <c r="K416" s="88" t="s">
        <v>141</v>
      </c>
      <c r="L416" s="448"/>
      <c r="M416" s="448"/>
      <c r="N416" s="651" t="s">
        <v>166</v>
      </c>
      <c r="O416" s="652"/>
      <c r="P416" s="653"/>
      <c r="Q416" s="89" t="s">
        <v>142</v>
      </c>
      <c r="R416" s="257"/>
      <c r="S416" s="68"/>
      <c r="T416" s="68"/>
      <c r="U416" s="69"/>
      <c r="V416" s="69"/>
      <c r="W416" s="69"/>
      <c r="X416" s="464"/>
      <c r="Y416" s="464"/>
      <c r="Z416" s="464"/>
      <c r="AA416" s="464"/>
      <c r="AB416" s="464"/>
      <c r="AC416" s="464"/>
      <c r="AD416" s="464"/>
      <c r="AE416" s="464"/>
      <c r="AF416" s="464"/>
      <c r="AG416" s="464"/>
      <c r="AH416" s="464"/>
      <c r="AI416" s="464"/>
      <c r="AJ416" s="464"/>
      <c r="AK416" s="464"/>
      <c r="AL416" s="464"/>
      <c r="AM416" s="464"/>
      <c r="AN416" s="464"/>
      <c r="AO416" s="464"/>
      <c r="AP416" s="464"/>
      <c r="AQ416" s="464"/>
      <c r="AR416" s="464"/>
      <c r="AS416" s="464"/>
      <c r="AT416" s="464"/>
      <c r="AU416" s="464"/>
    </row>
    <row r="417" spans="1:1">
      <c r="A417" s="519" t="s">
        <v>229</v>
      </c>
    </row>
    <row r="418" spans="1:1" hidden="1"/>
    <row r="419" spans="1:1" hidden="1"/>
    <row r="420" spans="1:1" hidden="1"/>
    <row r="421" spans="1:1" hidden="1"/>
    <row r="422" spans="1:1" hidden="1"/>
    <row r="423" spans="1:1" hidden="1"/>
    <row r="424" spans="1:1" hidden="1"/>
    <row r="425" spans="1:1" hidden="1"/>
    <row r="426" spans="1:1" hidden="1"/>
    <row r="427" spans="1:1" hidden="1"/>
    <row r="428" spans="1:1" hidden="1"/>
    <row r="429" spans="1:1" hidden="1"/>
    <row r="430" spans="1:1" hidden="1"/>
    <row r="431" spans="1:1" hidden="1"/>
    <row r="432" spans="1:1"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spans="1:47" hidden="1"/>
    <row r="450" spans="1:47" hidden="1"/>
    <row r="451" spans="1:47" hidden="1"/>
    <row r="452" spans="1:47" hidden="1"/>
    <row r="453" spans="1:47" hidden="1"/>
    <row r="454" spans="1:47" hidden="1"/>
    <row r="455" spans="1:47" hidden="1"/>
    <row r="456" spans="1:47" hidden="1"/>
    <row r="457" spans="1:47" hidden="1"/>
    <row r="458" spans="1:47" hidden="1"/>
    <row r="459" spans="1:47" hidden="1"/>
    <row r="460" spans="1:47" hidden="1"/>
    <row r="461" spans="1:47" hidden="1"/>
    <row r="462" spans="1:47" hidden="1"/>
    <row r="463" spans="1:47">
      <c r="A463" s="76" t="s">
        <v>148</v>
      </c>
      <c r="B463" s="76"/>
      <c r="C463" s="77"/>
      <c r="D463" s="77"/>
      <c r="E463" s="78"/>
      <c r="F463" s="67"/>
      <c r="G463" s="77"/>
      <c r="H463" s="77"/>
      <c r="I463" s="77"/>
      <c r="J463" s="106" t="str">
        <f>'Input &amp; Calc'!A463</f>
        <v>Price SBDC</v>
      </c>
      <c r="K463" s="77"/>
      <c r="L463" s="78"/>
      <c r="M463" s="78"/>
      <c r="N463" s="77"/>
      <c r="O463" s="77"/>
      <c r="P463" s="67"/>
      <c r="Q463" s="105" t="s">
        <v>146</v>
      </c>
      <c r="R463" s="105"/>
      <c r="S463" s="106" t="str">
        <f>'Input &amp; Calc'!C463</f>
        <v>Ethan Migliori</v>
      </c>
      <c r="T463" s="79"/>
      <c r="U463" s="80"/>
      <c r="V463" s="80"/>
      <c r="W463" s="76"/>
      <c r="X463" s="469"/>
      <c r="Y463" s="469"/>
      <c r="Z463" s="469"/>
      <c r="AA463" s="469"/>
      <c r="AB463" s="469"/>
      <c r="AC463" s="469"/>
      <c r="AD463" s="469"/>
      <c r="AJ463" s="502" t="str">
        <f>J463</f>
        <v>Price SBDC</v>
      </c>
      <c r="AK463" s="502"/>
      <c r="AL463" s="502"/>
      <c r="AM463" s="503" t="s">
        <v>146</v>
      </c>
      <c r="AN463" s="502" t="str">
        <f>S463</f>
        <v>Ethan Migliori</v>
      </c>
      <c r="AP463" s="469"/>
      <c r="AQ463" s="464"/>
      <c r="AR463" s="464"/>
      <c r="AS463" s="464"/>
      <c r="AT463" s="464"/>
      <c r="AU463" s="464"/>
    </row>
    <row r="464" spans="1:47">
      <c r="A464" s="81" t="s">
        <v>205</v>
      </c>
      <c r="B464" s="322"/>
      <c r="C464" s="82"/>
      <c r="D464" s="82"/>
      <c r="E464" s="83"/>
      <c r="F464" s="82"/>
      <c r="G464" s="82"/>
      <c r="H464" s="82"/>
      <c r="I464" s="82"/>
      <c r="J464" s="82"/>
      <c r="K464" s="82"/>
      <c r="L464" s="83"/>
      <c r="M464" s="83"/>
      <c r="N464" s="82"/>
      <c r="O464" s="82"/>
      <c r="P464" s="84"/>
      <c r="Q464" s="82"/>
      <c r="R464" s="82"/>
      <c r="S464" s="82"/>
      <c r="T464" s="82"/>
      <c r="U464" s="128"/>
      <c r="V464" s="128"/>
      <c r="W464" s="322"/>
      <c r="X464" s="464"/>
      <c r="Y464" s="464"/>
      <c r="Z464" s="464"/>
      <c r="AA464" s="464"/>
      <c r="AB464" s="464"/>
      <c r="AC464" s="464"/>
      <c r="AD464" s="464"/>
      <c r="AE464" s="464"/>
      <c r="AF464" s="464"/>
      <c r="AG464" s="464"/>
      <c r="AH464" s="464"/>
      <c r="AI464" s="464"/>
      <c r="AJ464" s="464"/>
      <c r="AK464" s="464"/>
      <c r="AL464" s="464"/>
      <c r="AM464" s="464"/>
      <c r="AN464" s="464"/>
      <c r="AO464" s="464"/>
      <c r="AP464" s="464"/>
      <c r="AQ464" s="464"/>
      <c r="AR464" s="464"/>
      <c r="AS464" s="464"/>
      <c r="AT464" s="464"/>
      <c r="AU464" s="464"/>
    </row>
    <row r="465" spans="1:47" ht="16.5" thickBot="1"/>
    <row r="466" spans="1:47" ht="14.25" customHeight="1" thickBot="1">
      <c r="A466" s="96" t="s">
        <v>134</v>
      </c>
      <c r="B466" s="460"/>
      <c r="C466" s="90"/>
      <c r="D466" s="93" t="s">
        <v>238</v>
      </c>
      <c r="E466" s="94">
        <f>'Input &amp; Calc'!I463</f>
        <v>40391</v>
      </c>
      <c r="F466" s="95"/>
      <c r="G466" s="92"/>
      <c r="H466" s="92"/>
      <c r="I466" s="92"/>
      <c r="J466" s="90"/>
      <c r="K466" s="90"/>
      <c r="L466" s="93" t="s">
        <v>237</v>
      </c>
      <c r="M466" s="93"/>
      <c r="N466" s="463"/>
      <c r="O466" s="92"/>
      <c r="P466" s="90"/>
      <c r="Q466" s="90"/>
      <c r="R466" s="90"/>
      <c r="S466" s="91" t="s">
        <v>133</v>
      </c>
      <c r="T466" s="103">
        <f>'Input &amp; Calc'!EK463</f>
        <v>11</v>
      </c>
      <c r="U466" s="325" t="s">
        <v>159</v>
      </c>
      <c r="V466" s="104"/>
      <c r="W466" s="70"/>
      <c r="X466" s="70"/>
      <c r="Y466" s="70"/>
      <c r="Z466" s="70"/>
      <c r="AA466" s="70"/>
      <c r="AB466" s="70"/>
      <c r="AC466" s="70"/>
      <c r="AD466" s="70"/>
      <c r="AE466" s="70"/>
      <c r="AF466" s="70"/>
      <c r="AG466" s="70"/>
      <c r="AH466" s="70"/>
      <c r="AI466" s="70"/>
      <c r="AJ466" s="70"/>
      <c r="AK466" s="70"/>
      <c r="AL466" s="70"/>
      <c r="AM466" s="464"/>
      <c r="AN466" s="464"/>
      <c r="AO466" s="464"/>
      <c r="AP466" s="464"/>
      <c r="AQ466" s="464"/>
      <c r="AR466" s="464"/>
      <c r="AS466" s="464"/>
      <c r="AT466" s="464"/>
      <c r="AU466" s="464"/>
    </row>
    <row r="467" spans="1:47" ht="13.5" customHeight="1" thickBot="1">
      <c r="A467" s="636" t="s">
        <v>99</v>
      </c>
      <c r="B467" s="638" t="s">
        <v>100</v>
      </c>
      <c r="C467" s="621" t="s">
        <v>101</v>
      </c>
      <c r="D467" s="621" t="s">
        <v>104</v>
      </c>
      <c r="E467" s="643" t="s">
        <v>105</v>
      </c>
      <c r="F467" s="621" t="s">
        <v>106</v>
      </c>
      <c r="G467" s="449"/>
      <c r="H467" s="638" t="s">
        <v>137</v>
      </c>
      <c r="I467" s="449"/>
      <c r="J467" s="621" t="s">
        <v>101</v>
      </c>
      <c r="K467" s="621" t="s">
        <v>104</v>
      </c>
      <c r="L467" s="621" t="s">
        <v>192</v>
      </c>
      <c r="M467" s="638" t="s">
        <v>194</v>
      </c>
      <c r="N467" s="621" t="s">
        <v>193</v>
      </c>
      <c r="O467" s="449"/>
      <c r="P467" s="642" t="s">
        <v>101</v>
      </c>
      <c r="Q467" s="638" t="s">
        <v>102</v>
      </c>
      <c r="R467" s="638" t="s">
        <v>191</v>
      </c>
      <c r="S467" s="638" t="s">
        <v>103</v>
      </c>
      <c r="T467" s="639" t="s">
        <v>131</v>
      </c>
      <c r="U467" s="641" t="s">
        <v>209</v>
      </c>
      <c r="V467" s="623" t="s">
        <v>203</v>
      </c>
      <c r="W467" s="70"/>
      <c r="X467" s="464"/>
      <c r="Y467" s="464"/>
      <c r="Z467" s="464"/>
      <c r="AA467" s="640"/>
      <c r="AB467" s="640"/>
      <c r="AC467" s="640"/>
      <c r="AD467" s="640"/>
      <c r="AE467" s="640"/>
      <c r="AF467" s="640"/>
      <c r="AG467" s="640"/>
      <c r="AH467" s="640"/>
      <c r="AI467" s="640"/>
      <c r="AJ467" s="640"/>
      <c r="AK467" s="640"/>
      <c r="AL467" s="640"/>
      <c r="AM467" s="630" t="s">
        <v>149</v>
      </c>
      <c r="AN467" s="631"/>
      <c r="AO467" s="631"/>
      <c r="AP467" s="631"/>
      <c r="AQ467" s="631"/>
      <c r="AR467" s="631"/>
      <c r="AS467" s="631"/>
      <c r="AT467" s="631"/>
      <c r="AU467" s="632"/>
    </row>
    <row r="468" spans="1:47" ht="12.75" customHeight="1" thickBot="1">
      <c r="A468" s="637"/>
      <c r="B468" s="621"/>
      <c r="C468" s="622"/>
      <c r="D468" s="622"/>
      <c r="E468" s="644"/>
      <c r="F468" s="622"/>
      <c r="G468" s="449"/>
      <c r="H468" s="638"/>
      <c r="I468" s="449"/>
      <c r="J468" s="650"/>
      <c r="K468" s="622"/>
      <c r="L468" s="622"/>
      <c r="M468" s="638"/>
      <c r="N468" s="622"/>
      <c r="O468" s="449"/>
      <c r="P468" s="642"/>
      <c r="Q468" s="638"/>
      <c r="R468" s="638"/>
      <c r="S468" s="638"/>
      <c r="T468" s="639"/>
      <c r="U468" s="641"/>
      <c r="V468" s="624"/>
      <c r="W468" s="452" t="s">
        <v>100</v>
      </c>
      <c r="X468" s="473">
        <v>39630</v>
      </c>
      <c r="Y468" s="473">
        <v>39661</v>
      </c>
      <c r="Z468" s="473">
        <v>39692</v>
      </c>
      <c r="AA468" s="473">
        <v>39722</v>
      </c>
      <c r="AB468" s="473">
        <v>39753</v>
      </c>
      <c r="AC468" s="473">
        <v>39783</v>
      </c>
      <c r="AD468" s="473">
        <v>39814</v>
      </c>
      <c r="AE468" s="473">
        <v>39845</v>
      </c>
      <c r="AF468" s="473">
        <v>39873</v>
      </c>
      <c r="AG468" s="473">
        <v>39904</v>
      </c>
      <c r="AH468" s="473">
        <v>39934</v>
      </c>
      <c r="AI468" s="473">
        <v>39965</v>
      </c>
      <c r="AJ468" s="473">
        <v>39995</v>
      </c>
      <c r="AK468" s="473">
        <v>40026</v>
      </c>
      <c r="AL468" s="474">
        <v>40057</v>
      </c>
      <c r="AM468" s="471">
        <v>40087</v>
      </c>
      <c r="AN468" s="450">
        <v>40118</v>
      </c>
      <c r="AO468" s="450">
        <v>40148</v>
      </c>
      <c r="AP468" s="450">
        <v>40179</v>
      </c>
      <c r="AQ468" s="450">
        <v>40210</v>
      </c>
      <c r="AR468" s="450">
        <v>40238</v>
      </c>
      <c r="AS468" s="450">
        <v>40269</v>
      </c>
      <c r="AT468" s="450">
        <v>40299</v>
      </c>
      <c r="AU468" s="472">
        <v>40330</v>
      </c>
    </row>
    <row r="469" spans="1:47" ht="26.25">
      <c r="A469" s="470" t="s">
        <v>196</v>
      </c>
      <c r="B469" s="555" t="s">
        <v>132</v>
      </c>
      <c r="C469" s="252">
        <f>IF(F469/E469&gt;0.899999999,1,IF(F469/E469&lt;0.75,3,2))</f>
        <v>1</v>
      </c>
      <c r="D469" s="46" t="str">
        <f>'Input &amp; Calc'!EO490</f>
        <v>Ç</v>
      </c>
      <c r="E469" s="590">
        <f>'Input &amp; Calc'!EE467</f>
        <v>2.5</v>
      </c>
      <c r="F469" s="567">
        <f>'Input &amp; Calc'!EH490</f>
        <v>4</v>
      </c>
      <c r="G469" s="591"/>
      <c r="H469" s="592" t="s">
        <v>16</v>
      </c>
      <c r="I469" s="593"/>
      <c r="J469" s="594">
        <f>IF(N469/M469&gt;0.899999999,1,IF(N469/M469&lt;0.75,3,2))</f>
        <v>1</v>
      </c>
      <c r="K469" s="595" t="str">
        <f>'Input &amp; Calc'!EP490</f>
        <v>È</v>
      </c>
      <c r="L469" s="589">
        <f>Q469/4</f>
        <v>7.5</v>
      </c>
      <c r="M469" s="589">
        <f>L469/3*$T$3</f>
        <v>5</v>
      </c>
      <c r="N469" s="565">
        <f>'Input &amp; Calc'!EI490</f>
        <v>5</v>
      </c>
      <c r="O469" s="596"/>
      <c r="P469" s="594">
        <f>IF(S469/R469&gt;0.899999999,1,IF(S469/R469&lt;0.75,3,2))</f>
        <v>1</v>
      </c>
      <c r="Q469" s="565">
        <f>'Input &amp; Calc'!EG467</f>
        <v>30</v>
      </c>
      <c r="R469" s="602">
        <f>Q469/12*$T$4</f>
        <v>27.5</v>
      </c>
      <c r="S469" s="566">
        <f>'Input &amp; Calc'!EJ490</f>
        <v>31</v>
      </c>
      <c r="T469" s="488">
        <f>S469/R469</f>
        <v>1.1272727272727272</v>
      </c>
      <c r="U469" s="455"/>
      <c r="V469" s="563">
        <f>$V$733</f>
        <v>1</v>
      </c>
      <c r="W469" s="554" t="str">
        <f>B469</f>
        <v># of Ext Engag Clients; &gt;5 Hrs contact since 10/05</v>
      </c>
      <c r="X469" s="268">
        <v>1</v>
      </c>
      <c r="Y469" s="268">
        <v>1</v>
      </c>
      <c r="Z469" s="268">
        <v>1</v>
      </c>
      <c r="AA469" s="268">
        <v>1</v>
      </c>
      <c r="AB469" s="268">
        <v>1</v>
      </c>
      <c r="AC469" s="268">
        <v>1</v>
      </c>
      <c r="AD469" s="268">
        <v>1</v>
      </c>
      <c r="AE469" s="268">
        <v>1</v>
      </c>
      <c r="AF469" s="268">
        <v>1</v>
      </c>
      <c r="AG469" s="268">
        <v>1</v>
      </c>
      <c r="AH469" s="268">
        <v>1</v>
      </c>
      <c r="AI469" s="268">
        <v>1</v>
      </c>
      <c r="AJ469" s="268">
        <f>IF('Input &amp; Calc'!V490="","",IF('Input &amp; Calc'!DB490/'Input &amp; Calc'!DB467&gt;=0.9,1,IF('Input &amp; Calc'!DB490/'Input &amp; Calc'!DB467&lt;0.75,3,2)))</f>
        <v>1</v>
      </c>
      <c r="AK469" s="268">
        <f>IF('Input &amp; Calc'!W490="","",IF('Input &amp; Calc'!DC490/'Input &amp; Calc'!DC467&gt;=0.9,1,IF('Input &amp; Calc'!DC490/'Input &amp; Calc'!DC467&lt;0.75,3,2)))</f>
        <v>1</v>
      </c>
      <c r="AL469" s="270">
        <f>IF('Input &amp; Calc'!X490="","",IF('Input &amp; Calc'!DD490/'Input &amp; Calc'!DD467&gt;=0.9,1,IF('Input &amp; Calc'!DD490/'Input &amp; Calc'!DD467&lt;0.75,3,2)))</f>
        <v>1</v>
      </c>
      <c r="AM469" s="268">
        <f>IF('Input &amp; Calc'!Y490="","",IF('Input &amp; Calc'!DE490/'Input &amp; Calc'!DE467&gt;=0.9,1,IF('Input &amp; Calc'!DE490/'Input &amp; Calc'!DE467&lt;0.75,3,2)))</f>
        <v>1</v>
      </c>
      <c r="AN469" s="268">
        <f>IF('Input &amp; Calc'!Z490="","",IF('Input &amp; Calc'!DF490/'Input &amp; Calc'!DF467&gt;=0.9,1,IF('Input &amp; Calc'!DF490/'Input &amp; Calc'!DF467&lt;0.75,3,2)))</f>
        <v>1</v>
      </c>
      <c r="AO469" s="271">
        <f>IF('Input &amp; Calc'!AA490="","",IF('Input &amp; Calc'!DG490/'Input &amp; Calc'!DG467&gt;=0.9,1,IF('Input &amp; Calc'!DG490/'Input &amp; Calc'!DG467&lt;0.75,3,2)))</f>
        <v>1</v>
      </c>
      <c r="AP469" s="271">
        <f>IF('Input &amp; Calc'!AB490="","",IF('Input &amp; Calc'!DH490/'Input &amp; Calc'!DH467&gt;=0.9,1,IF('Input &amp; Calc'!DH490/'Input &amp; Calc'!DH467&lt;0.75,3,2)))</f>
        <v>1</v>
      </c>
      <c r="AQ469" s="271">
        <f>IF('Input &amp; Calc'!AC490="","",IF('Input &amp; Calc'!DI490/'Input &amp; Calc'!DI467&gt;=0.9,1,IF('Input &amp; Calc'!DI490/'Input &amp; Calc'!DI467&lt;0.75,3,2)))</f>
        <v>1</v>
      </c>
      <c r="AR469" s="271">
        <f>IF('Input &amp; Calc'!AD490="","",IF('Input &amp; Calc'!DJ490/'Input &amp; Calc'!DJ467&gt;=0.9,1,IF('Input &amp; Calc'!DJ490/'Input &amp; Calc'!DJ467&lt;0.75,3,2)))</f>
        <v>1</v>
      </c>
      <c r="AS469" s="271">
        <f>IF('Input &amp; Calc'!AE490="","",IF('Input &amp; Calc'!DK490/'Input &amp; Calc'!DK467&gt;=0.9,1,IF('Input &amp; Calc'!DK490/'Input &amp; Calc'!DK467&lt;0.75,3,2)))</f>
        <v>1</v>
      </c>
      <c r="AT469" s="271">
        <f>IF('Input &amp; Calc'!AF490="","",IF('Input &amp; Calc'!DL490/'Input &amp; Calc'!DL467&gt;=0.9,1,IF('Input &amp; Calc'!DL490/'Input &amp; Calc'!DL467&lt;0.75,3,2)))</f>
        <v>1</v>
      </c>
      <c r="AU469" s="271">
        <f>IF('Input &amp; Calc'!AG490="","",IF('Input &amp; Calc'!DM490/'Input &amp; Calc'!DM467&gt;=0.9,1,IF('Input &amp; Calc'!DM490/'Input &amp; Calc'!DM467&lt;0.75,3,2)))</f>
        <v>1</v>
      </c>
    </row>
    <row r="470" spans="1:47">
      <c r="A470" s="633" t="s">
        <v>206</v>
      </c>
      <c r="B470" s="556" t="s">
        <v>107</v>
      </c>
      <c r="C470" s="252">
        <f>IF(F470/E470&gt;0.899999999,1,IF(F470/E470&lt;0.75,3,2))</f>
        <v>1</v>
      </c>
      <c r="D470" s="97" t="str">
        <f>'Input &amp; Calc'!EO492</f>
        <v>Ç</v>
      </c>
      <c r="E470" s="590">
        <f>'Input &amp; Calc'!EE469</f>
        <v>1</v>
      </c>
      <c r="F470" s="567">
        <f>'Input &amp; Calc'!EH492</f>
        <v>1</v>
      </c>
      <c r="G470" s="591"/>
      <c r="H470" s="592" t="s">
        <v>16</v>
      </c>
      <c r="I470" s="593"/>
      <c r="J470" s="594">
        <f>IF(N470/M470&gt;0.899999999,1,IF(N470/M470&lt;0.75,3,2))</f>
        <v>1</v>
      </c>
      <c r="K470" s="597" t="str">
        <f>'Input &amp; Calc'!EP492</f>
        <v>È</v>
      </c>
      <c r="L470" s="589">
        <f>Q470/4</f>
        <v>3</v>
      </c>
      <c r="M470" s="589">
        <f>L470/3*$T$3</f>
        <v>2</v>
      </c>
      <c r="N470" s="565">
        <f>'Input &amp; Calc'!EI492</f>
        <v>2</v>
      </c>
      <c r="O470" s="596"/>
      <c r="P470" s="594">
        <f>IF(S470/R470&gt;0.899999999,1,IF(S470/R470&lt;0.75,3,2))</f>
        <v>1</v>
      </c>
      <c r="Q470" s="565">
        <f>'Input &amp; Calc'!EG469</f>
        <v>12</v>
      </c>
      <c r="R470" s="565">
        <f>Q470/12*$T$4</f>
        <v>11</v>
      </c>
      <c r="S470" s="566">
        <f>'Input &amp; Calc'!EJ492</f>
        <v>13</v>
      </c>
      <c r="T470" s="488">
        <f>S470/R470</f>
        <v>1.1818181818181819</v>
      </c>
      <c r="U470" s="455"/>
      <c r="V470" s="563">
        <f>$V$734</f>
        <v>1</v>
      </c>
      <c r="W470" s="554" t="str">
        <f>B470</f>
        <v># of Business Starts</v>
      </c>
      <c r="X470" s="268">
        <v>1</v>
      </c>
      <c r="Y470" s="268">
        <v>1</v>
      </c>
      <c r="Z470" s="268">
        <v>1</v>
      </c>
      <c r="AA470" s="268">
        <v>1</v>
      </c>
      <c r="AB470" s="272">
        <v>1</v>
      </c>
      <c r="AC470" s="272">
        <v>1</v>
      </c>
      <c r="AD470" s="272">
        <v>1</v>
      </c>
      <c r="AE470" s="272">
        <v>1</v>
      </c>
      <c r="AF470" s="272">
        <v>1</v>
      </c>
      <c r="AG470" s="272">
        <v>1</v>
      </c>
      <c r="AH470" s="272">
        <v>1</v>
      </c>
      <c r="AI470" s="272">
        <v>1</v>
      </c>
      <c r="AJ470" s="272">
        <f>IF('Input &amp; Calc'!V490="","",IF('Input &amp; Calc'!DB492/'Input &amp; Calc'!DB469&gt;=0.9,1,IF('Input &amp; Calc'!DB492/'Input &amp; Calc'!DB469&lt;0.75,3,2)))</f>
        <v>1</v>
      </c>
      <c r="AK470" s="272">
        <f>IF('Input &amp; Calc'!W490="","",IF('Input &amp; Calc'!DC492/'Input &amp; Calc'!DC469&gt;=0.9,1,IF('Input &amp; Calc'!DC492/'Input &amp; Calc'!DC469&lt;0.75,3,2)))</f>
        <v>1</v>
      </c>
      <c r="AL470" s="272">
        <f>IF('Input &amp; Calc'!X490="","",IF('Input &amp; Calc'!DD492/'Input &amp; Calc'!DD469&gt;=0.9,1,IF('Input &amp; Calc'!DD492/'Input &amp; Calc'!DD469&lt;0.75,3,2)))</f>
        <v>1</v>
      </c>
      <c r="AM470" s="272">
        <f>IF('Input &amp; Calc'!Y490="","",IF('Input &amp; Calc'!DE492/'Input &amp; Calc'!DE469&gt;=0.9,1,IF('Input &amp; Calc'!DE492/'Input &amp; Calc'!DE469&lt;0.75,3,2)))</f>
        <v>3</v>
      </c>
      <c r="AN470" s="272">
        <f>IF('Input &amp; Calc'!Z490="","",IF('Input &amp; Calc'!DF492/'Input &amp; Calc'!DF469&gt;=0.9,1,IF('Input &amp; Calc'!DF492/'Input &amp; Calc'!DF469&lt;0.75,3,2)))</f>
        <v>3</v>
      </c>
      <c r="AO470" s="272">
        <f>IF('Input &amp; Calc'!AA490="","",IF('Input &amp; Calc'!DG492/'Input &amp; Calc'!DG469&gt;=0.9,1,IF('Input &amp; Calc'!DG492/'Input &amp; Calc'!DG469&lt;0.75,3,2)))</f>
        <v>3</v>
      </c>
      <c r="AP470" s="272">
        <f>IF('Input &amp; Calc'!AB490="","",IF('Input &amp; Calc'!DH492/'Input &amp; Calc'!DH469&lt;=0.9,1,IF('Input &amp; Calc'!DH492/'Input &amp; Calc'!DH469&gt;0.75,3,2)))</f>
        <v>1</v>
      </c>
      <c r="AQ470" s="272">
        <f>IF('Input &amp; Calc'!AC490="","",IF('Input &amp; Calc'!DI492/'Input &amp; Calc'!DI469&gt;=0.9,1,IF('Input &amp; Calc'!DI492/'Input &amp; Calc'!DI469&gt;0.75,3,2)))</f>
        <v>1</v>
      </c>
      <c r="AR470" s="272">
        <f>IF('Input &amp; Calc'!AD490="","",IF('Input &amp; Calc'!DJ492/'Input &amp; Calc'!DJ469&gt;=0.9,1,IF('Input &amp; Calc'!DJ492/'Input &amp; Calc'!DJ469&gt;0.75,3,2)))</f>
        <v>1</v>
      </c>
      <c r="AS470" s="272">
        <f>IF('Input &amp; Calc'!AE490="","",IF('Input &amp; Calc'!DK492/'Input &amp; Calc'!DK469&gt;=0.9,1,IF('Input &amp; Calc'!DK492/'Input &amp; Calc'!DK469&lt;0.75,3,2)))</f>
        <v>2</v>
      </c>
      <c r="AT470" s="272">
        <f>IF('Input &amp; Calc'!AF490="","",IF('Input &amp; Calc'!DL492/'Input &amp; Calc'!DL469&gt;=0.9,1,IF('Input &amp; Calc'!DL492/'Input &amp; Calc'!DL469&gt;0.75,3,2)))</f>
        <v>1</v>
      </c>
      <c r="AU470" s="272">
        <f>IF('Input &amp; Calc'!AG490="","",IF('Input &amp; Calc'!DM492/'Input &amp; Calc'!DM469&gt;=0.9,1,IF('Input &amp; Calc'!DM492/'Input &amp; Calc'!DM469&gt;0.75,3,2)))</f>
        <v>1</v>
      </c>
    </row>
    <row r="471" spans="1:47" ht="16.5" thickBot="1">
      <c r="A471" s="634"/>
      <c r="B471" s="557" t="s">
        <v>138</v>
      </c>
      <c r="C471" s="252">
        <f>IF(F471/E471&gt;0.899999999,1,IF(F471/E471&lt;0.75,3,2))</f>
        <v>3</v>
      </c>
      <c r="D471" s="85" t="str">
        <f>'Input &amp; Calc'!EO493</f>
        <v>È</v>
      </c>
      <c r="E471" s="279">
        <f>'Input &amp; Calc'!EE470</f>
        <v>8.2999999999999963E-2</v>
      </c>
      <c r="F471" s="485">
        <f>'Input &amp; Calc'!EH493</f>
        <v>0</v>
      </c>
      <c r="G471" s="458"/>
      <c r="H471" s="467" t="s">
        <v>16</v>
      </c>
      <c r="I471" s="459"/>
      <c r="J471" s="252">
        <f>IF(N471/M471&gt;0.899999999,1,IF(N471/M471&lt;0.75,3,2))</f>
        <v>3</v>
      </c>
      <c r="K471" s="85" t="str">
        <f>'Input &amp; Calc'!EP493</f>
        <v>È</v>
      </c>
      <c r="L471" s="442">
        <f>Q471/4</f>
        <v>0.24908332499999997</v>
      </c>
      <c r="M471" s="442">
        <f>L471/3*$T$3</f>
        <v>0.16605554999999997</v>
      </c>
      <c r="N471" s="388">
        <f>'Input &amp; Calc'!EI493</f>
        <v>0</v>
      </c>
      <c r="O471" s="457"/>
      <c r="P471" s="252">
        <f>IF(S471/R471&gt;0.899999999,1,IF(S471/R471&lt;0.75,3,2))</f>
        <v>1</v>
      </c>
      <c r="Q471" s="389">
        <f>'Input &amp; Calc'!EG470</f>
        <v>0.99633329999999987</v>
      </c>
      <c r="R471" s="389">
        <f>Q471/12*$T$4</f>
        <v>0.91330552499999984</v>
      </c>
      <c r="S471" s="487">
        <f>'Input &amp; Calc'!EJ493</f>
        <v>1.1192</v>
      </c>
      <c r="T471" s="488">
        <f>S471/R471</f>
        <v>1.2254387708866648</v>
      </c>
      <c r="U471" s="468"/>
      <c r="V471" s="563">
        <f>$V$735</f>
        <v>1</v>
      </c>
      <c r="W471" s="554" t="str">
        <f>B471</f>
        <v>Capital Infusion $ - Million</v>
      </c>
      <c r="X471" s="275">
        <v>1</v>
      </c>
      <c r="Y471" s="275">
        <v>1</v>
      </c>
      <c r="Z471" s="275">
        <v>1</v>
      </c>
      <c r="AA471" s="275">
        <v>1</v>
      </c>
      <c r="AB471" s="323">
        <v>1</v>
      </c>
      <c r="AC471" s="323">
        <v>2</v>
      </c>
      <c r="AD471" s="323">
        <v>3</v>
      </c>
      <c r="AE471" s="323">
        <v>3</v>
      </c>
      <c r="AF471" s="323">
        <v>3</v>
      </c>
      <c r="AG471" s="323">
        <v>1</v>
      </c>
      <c r="AH471" s="323">
        <v>1</v>
      </c>
      <c r="AI471" s="323">
        <v>1</v>
      </c>
      <c r="AJ471" s="272">
        <f>IF('Input &amp; Calc'!V491="","",IF('Input &amp; Calc'!DB493/'Input &amp; Calc'!DB470&gt;=0.9,1,IF('Input &amp; Calc'!DB493/'Input &amp; Calc'!DB470&lt;0.75,3,2)))</f>
        <v>1</v>
      </c>
      <c r="AK471" s="272">
        <f>IF('Input &amp; Calc'!W491="","",IF('Input &amp; Calc'!DC493/'Input &amp; Calc'!DC470&gt;=0.9,1,IF('Input &amp; Calc'!DC493/'Input &amp; Calc'!DC470&lt;0.75,3,2)))</f>
        <v>1</v>
      </c>
      <c r="AL471" s="272">
        <f>IF('Input &amp; Calc'!X491="","",IF('Input &amp; Calc'!DD493/'Input &amp; Calc'!DD470&gt;=0.9,1,IF('Input &amp; Calc'!DD493/'Input &amp; Calc'!DD470&lt;0.75,3,2)))</f>
        <v>1</v>
      </c>
      <c r="AM471" s="272">
        <f>IF('Input &amp; Calc'!Y491="","",IF('Input &amp; Calc'!DE493/'Input &amp; Calc'!DE470&gt;=0.9,1,IF('Input &amp; Calc'!DE493/'Input &amp; Calc'!DE470&lt;0.75,3,2)))</f>
        <v>3</v>
      </c>
      <c r="AN471" s="272">
        <f>IF('Input &amp; Calc'!Z491="","",IF('Input &amp; Calc'!DF493/'Input &amp; Calc'!DF470&gt;=0.9,1,IF('Input &amp; Calc'!DF493/'Input &amp; Calc'!DF470&lt;0.75,3,2)))</f>
        <v>3</v>
      </c>
      <c r="AO471" s="272">
        <f>IF('Input &amp; Calc'!AA491="","",IF('Input &amp; Calc'!DG493/'Input &amp; Calc'!DG470&gt;=0.9,1,IF('Input &amp; Calc'!DG493/'Input &amp; Calc'!DG470&lt;0.75,3,2)))</f>
        <v>3</v>
      </c>
      <c r="AP471" s="272">
        <f>IF('Input &amp; Calc'!AB491="","",IF('Input &amp; Calc'!DH493/'Input &amp; Calc'!DH470&lt;=0.9,1,IF('Input &amp; Calc'!DH493/'Input &amp; Calc'!DH470&gt;0.75,3,2)))</f>
        <v>1</v>
      </c>
      <c r="AQ471" s="272">
        <f>IF('Input &amp; Calc'!AC491="","",IF('Input &amp; Calc'!DI493/'Input &amp; Calc'!DI470&lt;=0.9,1,IF('Input &amp; Calc'!DI493/'Input &amp; Calc'!DI470&gt;0.75,3,2)))</f>
        <v>1</v>
      </c>
      <c r="AR471" s="272">
        <f>IF('Input &amp; Calc'!AD491="","",IF('Input &amp; Calc'!DJ493/'Input &amp; Calc'!DJ470&gt;=0.9,1,IF('Input &amp; Calc'!DJ493/'Input &amp; Calc'!DJ470&gt;0.75,3,2)))</f>
        <v>1</v>
      </c>
      <c r="AS471" s="272">
        <f>IF('Input &amp; Calc'!AE491="","",IF('Input &amp; Calc'!DK493/'Input &amp; Calc'!DK470&gt;=0.9,1,IF('Input &amp; Calc'!DK493/'Input &amp; Calc'!DK470&gt;0.75,3,2)))</f>
        <v>1</v>
      </c>
      <c r="AT471" s="272">
        <f>IF('Input &amp; Calc'!AF491="","",IF('Input &amp; Calc'!DL493/'Input &amp; Calc'!DL470&gt;=0.9,1,IF('Input &amp; Calc'!DL493/'Input &amp; Calc'!DL470&gt;0.75,3,2)))</f>
        <v>1</v>
      </c>
      <c r="AU471" s="272">
        <f>IF('Input &amp; Calc'!AG491="","",IF('Input &amp; Calc'!DM493/'Input &amp; Calc'!DM470&gt;=0.9,1,IF('Input &amp; Calc'!DM493/'Input &amp; Calc'!DM470&gt;0.75,3,2)))</f>
        <v>1</v>
      </c>
    </row>
    <row r="472" spans="1:47" ht="14.25" customHeight="1" thickBot="1">
      <c r="A472" s="96" t="s">
        <v>135</v>
      </c>
      <c r="B472" s="460"/>
      <c r="C472" s="90"/>
      <c r="D472" s="93" t="s">
        <v>238</v>
      </c>
      <c r="E472" s="94">
        <f>'Input &amp; Calc'!$I$67</f>
        <v>40391</v>
      </c>
      <c r="F472" s="95"/>
      <c r="G472" s="461"/>
      <c r="H472" s="635" t="s">
        <v>130</v>
      </c>
      <c r="I472" s="635"/>
      <c r="J472" s="635"/>
      <c r="K472" s="635"/>
      <c r="L472" s="635"/>
      <c r="M472" s="635"/>
      <c r="N472" s="635"/>
      <c r="O472" s="461"/>
      <c r="P472" s="90"/>
      <c r="Q472" s="277"/>
      <c r="R472" s="277"/>
      <c r="S472" s="91" t="s">
        <v>136</v>
      </c>
      <c r="T472" s="278">
        <f>'Input &amp; Calc'!EK464</f>
        <v>2</v>
      </c>
      <c r="U472" s="325" t="s">
        <v>159</v>
      </c>
      <c r="V472" s="462"/>
      <c r="W472" s="392"/>
      <c r="X472" s="469"/>
      <c r="Y472" s="469"/>
      <c r="Z472" s="469"/>
      <c r="AA472" s="469"/>
      <c r="AB472" s="469"/>
      <c r="AC472" s="469"/>
      <c r="AD472" s="469"/>
      <c r="AE472" s="469"/>
      <c r="AF472" s="469"/>
      <c r="AG472" s="469"/>
      <c r="AH472" s="469"/>
      <c r="AI472" s="469"/>
      <c r="AJ472" s="469"/>
      <c r="AK472" s="469"/>
      <c r="AL472" s="469"/>
      <c r="AM472" s="469"/>
      <c r="AN472" s="469"/>
      <c r="AO472" s="469"/>
      <c r="AP472" s="469"/>
      <c r="AQ472" s="469"/>
      <c r="AR472" s="469"/>
      <c r="AS472" s="469"/>
      <c r="AT472" s="469"/>
      <c r="AU472" s="469"/>
    </row>
    <row r="473" spans="1:47" ht="12" customHeight="1" thickBot="1">
      <c r="A473" s="636" t="s">
        <v>99</v>
      </c>
      <c r="B473" s="638" t="s">
        <v>100</v>
      </c>
      <c r="C473" s="621" t="s">
        <v>101</v>
      </c>
      <c r="D473" s="621" t="s">
        <v>104</v>
      </c>
      <c r="E473" s="643" t="s">
        <v>105</v>
      </c>
      <c r="F473" s="621" t="s">
        <v>106</v>
      </c>
      <c r="G473" s="449"/>
      <c r="H473" s="638" t="s">
        <v>137</v>
      </c>
      <c r="I473" s="449"/>
      <c r="J473" s="621" t="s">
        <v>101</v>
      </c>
      <c r="K473" s="621" t="s">
        <v>104</v>
      </c>
      <c r="L473" s="621" t="s">
        <v>192</v>
      </c>
      <c r="M473" s="638" t="s">
        <v>194</v>
      </c>
      <c r="N473" s="621" t="s">
        <v>193</v>
      </c>
      <c r="O473" s="449"/>
      <c r="P473" s="642" t="s">
        <v>101</v>
      </c>
      <c r="Q473" s="638" t="s">
        <v>102</v>
      </c>
      <c r="R473" s="638" t="s">
        <v>191</v>
      </c>
      <c r="S473" s="638" t="s">
        <v>103</v>
      </c>
      <c r="T473" s="649" t="s">
        <v>108</v>
      </c>
      <c r="U473" s="641" t="s">
        <v>209</v>
      </c>
      <c r="V473" s="623" t="s">
        <v>203</v>
      </c>
      <c r="W473" s="393"/>
      <c r="X473" s="464"/>
      <c r="Y473" s="464"/>
      <c r="Z473" s="464"/>
      <c r="AA473" s="464"/>
      <c r="AB473" s="464"/>
      <c r="AC473" s="464"/>
      <c r="AD473" s="464"/>
      <c r="AE473" s="464"/>
      <c r="AF473" s="464"/>
      <c r="AG473" s="464"/>
      <c r="AH473" s="464"/>
      <c r="AI473" s="464"/>
      <c r="AJ473" s="464"/>
      <c r="AK473" s="464"/>
      <c r="AL473" s="464"/>
      <c r="AM473" s="464"/>
      <c r="AN473" s="464"/>
      <c r="AO473" s="464"/>
      <c r="AP473" s="464"/>
      <c r="AQ473" s="464"/>
      <c r="AR473" s="464"/>
      <c r="AS473" s="464"/>
      <c r="AT473" s="464"/>
      <c r="AU473" s="464"/>
    </row>
    <row r="474" spans="1:47" ht="15.75" customHeight="1" thickBot="1">
      <c r="A474" s="637"/>
      <c r="B474" s="621"/>
      <c r="C474" s="622"/>
      <c r="D474" s="622"/>
      <c r="E474" s="644"/>
      <c r="F474" s="622"/>
      <c r="G474" s="449"/>
      <c r="H474" s="638"/>
      <c r="I474" s="449"/>
      <c r="J474" s="622"/>
      <c r="K474" s="622"/>
      <c r="L474" s="622"/>
      <c r="M474" s="638"/>
      <c r="N474" s="622"/>
      <c r="O474" s="449"/>
      <c r="P474" s="642"/>
      <c r="Q474" s="638"/>
      <c r="R474" s="638"/>
      <c r="S474" s="638"/>
      <c r="T474" s="649"/>
      <c r="U474" s="641"/>
      <c r="V474" s="624"/>
      <c r="W474" s="564"/>
      <c r="X474" s="625" t="s">
        <v>150</v>
      </c>
      <c r="Y474" s="626"/>
      <c r="Z474" s="626"/>
      <c r="AA474" s="626"/>
      <c r="AB474" s="626"/>
      <c r="AC474" s="626"/>
      <c r="AD474" s="626"/>
      <c r="AE474" s="626"/>
      <c r="AF474" s="626"/>
      <c r="AG474" s="626"/>
      <c r="AH474" s="626"/>
      <c r="AI474" s="627"/>
      <c r="AJ474" s="625" t="s">
        <v>151</v>
      </c>
      <c r="AK474" s="626"/>
      <c r="AL474" s="626"/>
      <c r="AM474" s="626"/>
      <c r="AN474" s="626"/>
      <c r="AO474" s="626"/>
      <c r="AP474" s="626"/>
      <c r="AQ474" s="626"/>
      <c r="AR474" s="626"/>
      <c r="AS474" s="626"/>
      <c r="AT474" s="626"/>
      <c r="AU474" s="628"/>
    </row>
    <row r="475" spans="1:47" ht="25.5">
      <c r="A475" s="470" t="s">
        <v>197</v>
      </c>
      <c r="B475" s="551" t="s">
        <v>190</v>
      </c>
      <c r="C475" s="252">
        <f>IF(F475/E475&gt;0.899999999,1,IF(F475/E475&lt;0.75,3,2))</f>
        <v>3</v>
      </c>
      <c r="D475" s="46" t="str">
        <f>'Input &amp; Calc'!EO509</f>
        <v>È</v>
      </c>
      <c r="E475" s="590">
        <f>'Input &amp; Calc'!EE484</f>
        <v>41.666666666666664</v>
      </c>
      <c r="F475" s="567">
        <f>'Input &amp; Calc'!EH509</f>
        <v>11</v>
      </c>
      <c r="G475" s="598"/>
      <c r="H475" s="592" t="s">
        <v>16</v>
      </c>
      <c r="I475" s="599"/>
      <c r="J475" s="594">
        <f>IF(N475/M475&gt;0.899999999,1,IF(N475/M475&lt;0.75,3,2))</f>
        <v>3</v>
      </c>
      <c r="K475" s="595" t="str">
        <f>'Input &amp; Calc'!EP509</f>
        <v>È</v>
      </c>
      <c r="L475" s="589">
        <f>Q475/4</f>
        <v>62.5</v>
      </c>
      <c r="M475" s="589">
        <f>L475/3*$T$3</f>
        <v>41.666666666666664</v>
      </c>
      <c r="N475" s="565">
        <f>'Input &amp; Calc'!EI509</f>
        <v>11</v>
      </c>
      <c r="O475" s="601"/>
      <c r="P475" s="594">
        <f>IF(S475/R475&gt;0.899999999,1,IF(S475/R475&lt;0.75,3,2))</f>
        <v>3</v>
      </c>
      <c r="Q475" s="565">
        <f>'Input &amp; Calc'!EG484</f>
        <v>250</v>
      </c>
      <c r="R475" s="602">
        <f>Q475/12*$T$10</f>
        <v>41.666666666666664</v>
      </c>
      <c r="S475" s="566">
        <f>'Input &amp; Calc'!EJ509</f>
        <v>23</v>
      </c>
      <c r="T475" s="491">
        <f>S475/R475</f>
        <v>0.55200000000000005</v>
      </c>
      <c r="U475" s="454"/>
      <c r="V475" s="563">
        <f>$V$739</f>
        <v>1</v>
      </c>
      <c r="W475" s="476" t="str">
        <f>B475</f>
        <v># of Unique Clients YTD</v>
      </c>
      <c r="X475" s="269">
        <v>1</v>
      </c>
      <c r="Y475" s="268">
        <v>1</v>
      </c>
      <c r="Z475" s="268">
        <v>1</v>
      </c>
      <c r="AA475" s="268">
        <v>1</v>
      </c>
      <c r="AB475" s="268">
        <v>1</v>
      </c>
      <c r="AC475" s="268">
        <v>1</v>
      </c>
      <c r="AD475" s="268">
        <v>1</v>
      </c>
      <c r="AE475" s="268">
        <v>1</v>
      </c>
      <c r="AF475" s="268">
        <v>1</v>
      </c>
      <c r="AG475" s="268">
        <v>1</v>
      </c>
      <c r="AH475" s="268">
        <v>1</v>
      </c>
      <c r="AI475" s="270">
        <v>1</v>
      </c>
      <c r="AJ475" s="268">
        <f>IF('Input &amp; Calc'!V509="","",IF('Input &amp; Calc'!DB509/'Input &amp; Calc'!DB484&gt;=0.9,1,IF('Input &amp; Calc'!DB509/'Input &amp; Calc'!DB484&lt;0.75,3,2)))</f>
        <v>1</v>
      </c>
      <c r="AK475" s="268">
        <f>IF('Input &amp; Calc'!W509="","",IF('Input &amp; Calc'!DC509/'Input &amp; Calc'!DC484&gt;=0.9,1,IF('Input &amp; Calc'!DC509/'Input &amp; Calc'!DC484&lt;0.75,3,2)))</f>
        <v>1</v>
      </c>
      <c r="AL475" s="268">
        <f>IF('Input &amp; Calc'!X509="","",IF('Input &amp; Calc'!DD509/'Input &amp; Calc'!DD484&gt;=0.9,1,IF('Input &amp; Calc'!DD509/'Input &amp; Calc'!DD484&lt;0.75,3,2)))</f>
        <v>2</v>
      </c>
      <c r="AM475" s="268">
        <f>IF('Input &amp; Calc'!Y509="","",IF('Input &amp; Calc'!DE509/'Input &amp; Calc'!DE484&gt;=0.9,1,IF('Input &amp; Calc'!DE509/'Input &amp; Calc'!DE484&lt;0.75,3,2)))</f>
        <v>1</v>
      </c>
      <c r="AN475" s="268">
        <f>IF('Input &amp; Calc'!Z509="","",IF('Input &amp; Calc'!DF509/'Input &amp; Calc'!DF484&gt;=0.9,1,IF('Input &amp; Calc'!DF509/'Input &amp; Calc'!DF484&lt;0.75,3,2)))</f>
        <v>1</v>
      </c>
      <c r="AO475" s="268">
        <f>IF('Input &amp; Calc'!AA509="","",IF('Input &amp; Calc'!DG509/'Input &amp; Calc'!DG484&lt;=0.9,1,IF('Input &amp; Calc'!DG509/'Input &amp; Calc'!DG484&gt;0.75,3,2)))</f>
        <v>1</v>
      </c>
      <c r="AP475" s="268">
        <f>IF('Input &amp; Calc'!AB509="","",IF('Input &amp; Calc'!DH509/'Input &amp; Calc'!DH484&lt;=0.9,1,IF('Input &amp; Calc'!DH509/'Input &amp; Calc'!DH484&gt;0.75,3,2)))</f>
        <v>1</v>
      </c>
      <c r="AQ475" s="268">
        <f>IF('Input &amp; Calc'!AC509="","",IF('Input &amp; Calc'!DI509/'Input &amp; Calc'!DI484&lt;=0.9,1,IF('Input &amp; Calc'!DI509/'Input &amp; Calc'!DI484&gt;0.75,3,2)))</f>
        <v>1</v>
      </c>
      <c r="AR475" s="268">
        <f>IF('Input &amp; Calc'!AD509="","",IF('Input &amp; Calc'!DJ509/'Input &amp; Calc'!DJ484&lt;=0.9,1,IF('Input &amp; Calc'!DJ509/'Input &amp; Calc'!DJ484&gt;0.75,3,2)))</f>
        <v>1</v>
      </c>
      <c r="AS475" s="268">
        <f>IF('Input &amp; Calc'!AE509="","",IF('Input &amp; Calc'!DK509/'Input &amp; Calc'!DK484&lt;=0.9,1,IF('Input &amp; Calc'!DK509/'Input &amp; Calc'!DK484&gt;0.75,3,2)))</f>
        <v>1</v>
      </c>
      <c r="AT475" s="268">
        <f>IF('Input &amp; Calc'!AF509="","",IF('Input &amp; Calc'!DL509/'Input &amp; Calc'!DL484&lt;=0.9,1,IF('Input &amp; Calc'!DL509/'Input &amp; Calc'!DL484&gt;0.75,3,2)))</f>
        <v>1</v>
      </c>
      <c r="AU475" s="268">
        <f>IF('Input &amp; Calc'!AG509="","",IF('Input &amp; Calc'!DM509/'Input &amp; Calc'!DM484&gt;=0.9,1,IF('Input &amp; Calc'!DM509/'Input &amp; Calc'!DM484&gt;0.75,3,2)))</f>
        <v>3</v>
      </c>
    </row>
    <row r="476" spans="1:47" ht="27.75" customHeight="1">
      <c r="A476" s="620" t="s">
        <v>198</v>
      </c>
      <c r="B476" s="551" t="s">
        <v>199</v>
      </c>
      <c r="C476" s="252">
        <f>IF(F476/E476&gt;0.899999999,1,IF(F476/E476&lt;0.75,3,2))</f>
        <v>1</v>
      </c>
      <c r="D476" s="46" t="str">
        <f>'Input &amp; Calc'!EO522</f>
        <v>Æ</v>
      </c>
      <c r="E476" s="489">
        <f>'Input &amp; Calc'!EE515</f>
        <v>0.5</v>
      </c>
      <c r="F476" s="494">
        <f>'Input &amp; Calc'!EH522</f>
        <v>0.5</v>
      </c>
      <c r="G476" s="558"/>
      <c r="H476" s="453" t="s">
        <v>16</v>
      </c>
      <c r="I476" s="559"/>
      <c r="J476" s="252">
        <f>IF(N476/M476&gt;0.899999999,1,IF(N476/M476&lt;0.75,3,2))</f>
        <v>3</v>
      </c>
      <c r="K476" s="46" t="str">
        <f>'Input &amp; Calc'!EP522</f>
        <v>Ç</v>
      </c>
      <c r="L476" s="490">
        <f>'Input &amp; Calc'!EF515</f>
        <v>0.5</v>
      </c>
      <c r="M476" s="490">
        <f>L476</f>
        <v>0.5</v>
      </c>
      <c r="N476" s="494">
        <f>'Input &amp; Calc'!EI522</f>
        <v>0.33333333333333331</v>
      </c>
      <c r="O476" s="561"/>
      <c r="P476" s="252">
        <f>IF(S476/R476&gt;0.899999999,1,IF(S476/R476&lt;0.75,3,2))</f>
        <v>3</v>
      </c>
      <c r="Q476" s="491">
        <f>'Input &amp; Calc'!EG515</f>
        <v>0.5</v>
      </c>
      <c r="R476" s="492">
        <f>Q476</f>
        <v>0.5</v>
      </c>
      <c r="S476" s="493">
        <f>'Input &amp; Calc'!EJ522</f>
        <v>0.33333333333333331</v>
      </c>
      <c r="T476" s="488">
        <f>+S476-R476</f>
        <v>-0.16666666666666669</v>
      </c>
      <c r="U476" s="455"/>
      <c r="V476" s="563">
        <f>$V$740</f>
        <v>1</v>
      </c>
      <c r="W476" s="476" t="str">
        <f>B476</f>
        <v>% of existing business new clients to initial clients</v>
      </c>
      <c r="X476" s="475">
        <v>1</v>
      </c>
      <c r="Y476" s="274">
        <v>1</v>
      </c>
      <c r="Z476" s="274">
        <v>1</v>
      </c>
      <c r="AA476" s="274">
        <v>1</v>
      </c>
      <c r="AB476" s="274">
        <v>1</v>
      </c>
      <c r="AC476" s="274">
        <v>1</v>
      </c>
      <c r="AD476" s="274">
        <v>1</v>
      </c>
      <c r="AE476" s="274">
        <v>1</v>
      </c>
      <c r="AF476" s="274">
        <v>1</v>
      </c>
      <c r="AG476" s="274">
        <v>1</v>
      </c>
      <c r="AH476" s="274">
        <v>1</v>
      </c>
      <c r="AI476" s="514">
        <v>1</v>
      </c>
      <c r="AJ476" s="274">
        <f>IF('Input &amp; Calc'!V522="","",IF('Input &amp; Calc'!DB515*0.9&lt;'Input &amp; Calc'!V522,1,IF('Input &amp; Calc'!DB515*0.75&gt;'Input &amp; Calc'!DB522,3,2)))</f>
        <v>3</v>
      </c>
      <c r="AK476" s="273">
        <f>IF('Input &amp; Calc'!W522="","",IF('Input &amp; Calc'!DC515*0.9&lt;'Input &amp; Calc'!W522,1,IF('Input &amp; Calc'!DC515*0.75&gt;'Input &amp; Calc'!DC522,3,2)))</f>
        <v>3</v>
      </c>
      <c r="AL476" s="273">
        <f>IF('Input &amp; Calc'!X522="","",IF('Input &amp; Calc'!DD515*0.9&lt;'Input &amp; Calc'!X522,1,IF('Input &amp; Calc'!DD515*0.75&gt;'Input &amp; Calc'!DD522,3,2)))</f>
        <v>3</v>
      </c>
      <c r="AM476" s="273">
        <f>IF('Input &amp; Calc'!Y522="","",IF('Input &amp; Calc'!DE515*0.9&lt;'Input &amp; Calc'!Y522,1,IF('Input &amp; Calc'!DE515*0.75&gt;'Input &amp; Calc'!DE522,3,2)))</f>
        <v>3</v>
      </c>
      <c r="AN476" s="273">
        <f>IF('Input &amp; Calc'!Z522="","",IF('Input &amp; Calc'!DF515*0.9&lt;'Input &amp; Calc'!Z522,1,IF('Input &amp; Calc'!DF515*0.75&gt;'Input &amp; Calc'!DF522,3,2)))</f>
        <v>3</v>
      </c>
      <c r="AO476" s="273">
        <f>IF('Input &amp; Calc'!AA522="","",IF('Input &amp; Calc'!DG515*0.9&lt;'Input &amp; Calc'!AA522,1,IF('Input &amp; Calc'!DG515*0.75&gt;'Input &amp; Calc'!DG522,3,2)))</f>
        <v>3</v>
      </c>
      <c r="AP476" s="273">
        <f>IF('Input &amp; Calc'!AB522="","",IF('Input &amp; Calc'!DH515*0.9&lt;'Input &amp; Calc'!AB522,1,IF('Input &amp; Calc'!DH515*0.75&gt;'Input &amp; Calc'!DH522,3,2)))</f>
        <v>3</v>
      </c>
      <c r="AQ476" s="273">
        <f>IF('Input &amp; Calc'!AC522="","",IF('Input &amp; Calc'!DI515*0.9&lt;'Input &amp; Calc'!AC522,1,IF('Input &amp; Calc'!DI515*0.75&gt;'Input &amp; Calc'!DI522,3,2)))</f>
        <v>3</v>
      </c>
      <c r="AR476" s="273">
        <f>IF('Input &amp; Calc'!AD522="","",IF('Input &amp; Calc'!DJ515*0.9&lt;'Input &amp; Calc'!AD522,1,IF('Input &amp; Calc'!DJ515*0.75&gt;'Input &amp; Calc'!DJ522,3,2)))</f>
        <v>2</v>
      </c>
      <c r="AS476" s="273">
        <f>IF('Input &amp; Calc'!AE522="","",IF('Input &amp; Calc'!DK515*0.9&lt;'Input &amp; Calc'!AE522,1,IF('Input &amp; Calc'!DK515*0.75&gt;'Input &amp; Calc'!DK522,3,2)))</f>
        <v>3</v>
      </c>
      <c r="AT476" s="273">
        <f>IF('Input &amp; Calc'!AF522="","",IF('Input &amp; Calc'!DL515*0.9&lt;'Input &amp; Calc'!AF522,1,IF('Input &amp; Calc'!DL515*0.75&gt;'Input &amp; Calc'!DL522,3,2)))</f>
        <v>2</v>
      </c>
      <c r="AU476" s="273">
        <f>IF('Input &amp; Calc'!AG522="","",IF('Input &amp; Calc'!DM515*0.9&lt;'Input &amp; Calc'!AG522,1,IF('Input &amp; Calc'!DM515*0.75&gt;'Input &amp; Calc'!DM522,3,2)))</f>
        <v>3</v>
      </c>
    </row>
    <row r="477" spans="1:47">
      <c r="A477" s="620"/>
      <c r="B477" s="551" t="s">
        <v>200</v>
      </c>
      <c r="C477" s="252">
        <f>'Input &amp; Calc'!EQ902</f>
        <v>3</v>
      </c>
      <c r="D477" s="46" t="str">
        <f>'Input &amp; Calc'!EO902</f>
        <v>È</v>
      </c>
      <c r="E477" s="279">
        <v>4.4000000000000004</v>
      </c>
      <c r="F477" s="279">
        <f>'Input &amp; Calc'!EH902</f>
        <v>2.15</v>
      </c>
      <c r="G477" s="558"/>
      <c r="H477" s="453" t="s">
        <v>16</v>
      </c>
      <c r="I477" s="559"/>
      <c r="J477" s="252">
        <f>'Input &amp; Calc'!ER902</f>
        <v>1</v>
      </c>
      <c r="K477" s="46" t="str">
        <f>'Input &amp; Calc'!EP902</f>
        <v>Ç</v>
      </c>
      <c r="L477" s="279">
        <v>4.4000000000000004</v>
      </c>
      <c r="M477" s="442">
        <v>4.4000000000000004</v>
      </c>
      <c r="N477" s="388">
        <f>'Input &amp; Calc'!EI902</f>
        <v>2.2999999999999998</v>
      </c>
      <c r="O477" s="561"/>
      <c r="P477" s="252">
        <v>3</v>
      </c>
      <c r="Q477" s="388">
        <f>'Input &amp; Calc'!EG915</f>
        <v>4.3920000000000003</v>
      </c>
      <c r="R477" s="442">
        <v>4.4000000000000004</v>
      </c>
      <c r="S477" s="486">
        <f>'Input &amp; Calc'!EJ902</f>
        <v>2.267391304347826</v>
      </c>
      <c r="T477" s="491">
        <f>S477/R477</f>
        <v>0.51531620553359681</v>
      </c>
      <c r="U477" s="456"/>
      <c r="V477" s="563">
        <f>$V$741</f>
        <v>3</v>
      </c>
      <c r="W477" s="476" t="str">
        <f>B477</f>
        <v>Average Hours/Client</v>
      </c>
      <c r="X477" s="269">
        <v>1</v>
      </c>
      <c r="Y477" s="268">
        <v>1</v>
      </c>
      <c r="Z477" s="268">
        <v>1</v>
      </c>
      <c r="AA477" s="268">
        <v>1</v>
      </c>
      <c r="AB477" s="268">
        <v>1</v>
      </c>
      <c r="AC477" s="268">
        <v>1</v>
      </c>
      <c r="AD477" s="268">
        <v>1</v>
      </c>
      <c r="AE477" s="268">
        <v>1</v>
      </c>
      <c r="AF477" s="268">
        <v>1</v>
      </c>
      <c r="AG477" s="268">
        <v>1</v>
      </c>
      <c r="AH477" s="268">
        <v>1</v>
      </c>
      <c r="AI477" s="270">
        <v>1</v>
      </c>
      <c r="AJ477" s="274">
        <f>IF('Input &amp; Calc'!V509="","",IF('Input &amp; Calc'!DB476/'Input &amp; Calc'!DB484*0.9/12*'Input &amp; Calc'!DB$51&lt;'Input &amp; Calc'!DB501/'Input &amp; Calc'!DB509,1,IF('Input &amp; Calc'!DB476/'Input &amp; Calc'!DB484*0.75/12*'Input &amp; Calc'!DB$51&gt;'Input &amp; Calc'!DB501/'Input &amp; Calc'!DB509,3,2)))</f>
        <v>1</v>
      </c>
      <c r="AK477" s="273">
        <f>IF('Input &amp; Calc'!W509="","",IF('Input &amp; Calc'!DC476/'Input &amp; Calc'!DC484*0.9/12*'Input &amp; Calc'!DC$51&lt;'Input &amp; Calc'!DC501/'Input &amp; Calc'!DC509,1,IF('Input &amp; Calc'!DC476/'Input &amp; Calc'!DC484*0.75/12*'Input &amp; Calc'!DC$51&gt;'Input &amp; Calc'!DC501/'Input &amp; Calc'!DC509,3,2)))</f>
        <v>1</v>
      </c>
      <c r="AL477" s="273">
        <f>IF('Input &amp; Calc'!X509="","",IF('Input &amp; Calc'!DD476/'Input &amp; Calc'!DD484*0.9/12*'Input &amp; Calc'!DD$51&lt;'Input &amp; Calc'!DD501/'Input &amp; Calc'!DD509,1,IF('Input &amp; Calc'!DD476/'Input &amp; Calc'!DD484*0.75/12*'Input &amp; Calc'!DD$51&gt;'Input &amp; Calc'!DD501/'Input &amp; Calc'!DD509,3,2)))</f>
        <v>1</v>
      </c>
      <c r="AM477" s="273">
        <f>IF('Input &amp; Calc'!Y509="","",IF('Input &amp; Calc'!DE476/'Input &amp; Calc'!DE484*0.9/12*'Input &amp; Calc'!DE$51&lt;'Input &amp; Calc'!DE501/'Input &amp; Calc'!DE509,1,IF('Input &amp; Calc'!DE476/'Input &amp; Calc'!DE484*0.75/12*'Input &amp; Calc'!DE$51&gt;'Input &amp; Calc'!DE501/'Input &amp; Calc'!DE509,3,2)))</f>
        <v>1</v>
      </c>
      <c r="AN477" s="273">
        <f>IF('Input &amp; Calc'!Z509="","",IF('Input &amp; Calc'!DF476/'Input &amp; Calc'!DF484*0.9/12*'Input &amp; Calc'!DF$51&lt;'Input &amp; Calc'!DF501/'Input &amp; Calc'!DF509,1,IF('Input &amp; Calc'!DF476/'Input &amp; Calc'!DF484*0.75/12*'Input &amp; Calc'!DF$51&gt;'Input &amp; Calc'!DF501/'Input &amp; Calc'!DF509,3,2)))</f>
        <v>1</v>
      </c>
      <c r="AO477" s="273">
        <f>IF('Input &amp; Calc'!AA509="","",IF('Input &amp; Calc'!DG476/'Input &amp; Calc'!DG484*0.9/12*'Input &amp; Calc'!DG$51&lt;'Input &amp; Calc'!DG501/'Input &amp; Calc'!DG509,1,IF('Input &amp; Calc'!DG476/'Input &amp; Calc'!DG484*0.75/12*'Input &amp; Calc'!DG$51&gt;'Input &amp; Calc'!DG501/'Input &amp; Calc'!DG509,3,2)))</f>
        <v>1</v>
      </c>
      <c r="AP477" s="273">
        <f>IF('Input &amp; Calc'!AB509="","",IF('Input &amp; Calc'!DH476/'Input &amp; Calc'!DH484*0.9/12*'Input &amp; Calc'!DH$51&lt;'Input &amp; Calc'!DH501/'Input &amp; Calc'!DH509,1,IF('Input &amp; Calc'!DH476/'Input &amp; Calc'!DH484*0.75/12*'Input &amp; Calc'!DH$51&gt;'Input &amp; Calc'!DH501/'Input &amp; Calc'!DH509,3,2)))</f>
        <v>1</v>
      </c>
      <c r="AQ477" s="273">
        <f>IF('Input &amp; Calc'!AC509="","",IF('Input &amp; Calc'!DI476/'Input &amp; Calc'!DI484*0.9/12*'Input &amp; Calc'!DI$51&lt;'Input &amp; Calc'!DI501/'Input &amp; Calc'!DI509,1,IF('Input &amp; Calc'!DI476/'Input &amp; Calc'!DI484*0.75/12*'Input &amp; Calc'!DI$51&gt;'Input &amp; Calc'!DI501/'Input &amp; Calc'!DI509,3,2)))</f>
        <v>1</v>
      </c>
      <c r="AR477" s="273">
        <f>IF('Input &amp; Calc'!AD509="","",IF('Input &amp; Calc'!DJ476/'Input &amp; Calc'!DJ484*0.9/12*'Input &amp; Calc'!DJ$51&lt;'Input &amp; Calc'!DJ501/'Input &amp; Calc'!DJ509,1,IF('Input &amp; Calc'!DJ476/'Input &amp; Calc'!DJ484*0.75/12*'Input &amp; Calc'!DJ$51&gt;'Input &amp; Calc'!DJ501/'Input &amp; Calc'!DJ509,3,2)))</f>
        <v>1</v>
      </c>
      <c r="AS477" s="273">
        <f>IF('Input &amp; Calc'!AE509="","",IF('Input &amp; Calc'!DK476/'Input &amp; Calc'!DK484*0.9/12*'Input &amp; Calc'!DK$51&lt;'Input &amp; Calc'!DK501/'Input &amp; Calc'!DK509,1,IF('Input &amp; Calc'!DK476/'Input &amp; Calc'!DK484*0.75/12*'Input &amp; Calc'!DK$51&gt;'Input &amp; Calc'!DK501/'Input &amp; Calc'!DK509,3,2)))</f>
        <v>1</v>
      </c>
      <c r="AT477" s="273">
        <f>IF('Input &amp; Calc'!AF509="","",IF('Input &amp; Calc'!DL476/'Input &amp; Calc'!DL484*0.9/12*'Input &amp; Calc'!DL$51&lt;'Input &amp; Calc'!DL501/'Input &amp; Calc'!DL509,1,IF('Input &amp; Calc'!DL476/'Input &amp; Calc'!DL484*0.75/12*'Input &amp; Calc'!DL$51&gt;'Input &amp; Calc'!DL501/'Input &amp; Calc'!DL509,3,2)))</f>
        <v>1</v>
      </c>
      <c r="AU477" s="273">
        <f>IF('Input &amp; Calc'!AG509="","",IF('Input &amp; Calc'!DM476/'Input &amp; Calc'!DM484*0.9/12*'Input &amp; Calc'!DM$51&gt;'Input &amp; Calc'!DM501/'Input &amp; Calc'!DM509,1,IF('Input &amp; Calc'!DM476/'Input &amp; Calc'!DM484*0.75/12*'Input &amp; Calc'!DM$51&lt;'Input &amp; Calc'!DM501/'Input &amp; Calc'!DM509,3,2)))</f>
        <v>3</v>
      </c>
    </row>
    <row r="478" spans="1:47">
      <c r="A478" s="470" t="s">
        <v>109</v>
      </c>
      <c r="B478" s="551" t="s">
        <v>201</v>
      </c>
      <c r="C478" s="521"/>
      <c r="D478" s="522"/>
      <c r="E478" s="529"/>
      <c r="F478" s="520"/>
      <c r="G478" s="558"/>
      <c r="H478" s="453" t="s">
        <v>16</v>
      </c>
      <c r="I478" s="559"/>
      <c r="J478" s="252">
        <f>IF(N478/M478&gt;0.899999999,1,IF(N478/M478&lt;0.75,3,2))</f>
        <v>3</v>
      </c>
      <c r="K478" s="46" t="str">
        <f>'Input &amp; Calc'!EP499</f>
        <v>È</v>
      </c>
      <c r="L478" s="490">
        <f>Q478</f>
        <v>0.95000000000000018</v>
      </c>
      <c r="M478" s="490">
        <f>L478</f>
        <v>0.95000000000000018</v>
      </c>
      <c r="N478" s="491">
        <f>'Input &amp; Calc'!EI499</f>
        <v>0</v>
      </c>
      <c r="O478" s="561"/>
      <c r="P478" s="252">
        <f>IF(S478/R478&gt;0.899999999,1,IF(S478/R478&lt;0.75,3,2))</f>
        <v>1</v>
      </c>
      <c r="Q478" s="491">
        <f>'Input &amp; Calc'!EG474</f>
        <v>0.95000000000000018</v>
      </c>
      <c r="R478" s="491">
        <f>Q478</f>
        <v>0.95000000000000018</v>
      </c>
      <c r="S478" s="493">
        <f>'Input &amp; Calc'!EJ499</f>
        <v>1</v>
      </c>
      <c r="T478" s="491">
        <f>S478-R478</f>
        <v>4.9999999999999822E-2</v>
      </c>
      <c r="U478" s="455"/>
      <c r="V478" s="563">
        <f>$V$742</f>
        <v>1</v>
      </c>
      <c r="W478" s="476" t="str">
        <f>B478</f>
        <v>Client satisfaction rating %</v>
      </c>
      <c r="X478" s="269">
        <v>3</v>
      </c>
      <c r="Y478" s="268">
        <v>1</v>
      </c>
      <c r="Z478" s="268">
        <v>1</v>
      </c>
      <c r="AA478" s="268">
        <v>1</v>
      </c>
      <c r="AB478" s="268">
        <v>1</v>
      </c>
      <c r="AC478" s="268">
        <v>1</v>
      </c>
      <c r="AD478" s="268">
        <v>1</v>
      </c>
      <c r="AE478" s="268">
        <v>1</v>
      </c>
      <c r="AF478" s="268">
        <v>1</v>
      </c>
      <c r="AG478" s="268">
        <v>1</v>
      </c>
      <c r="AH478" s="268">
        <v>1</v>
      </c>
      <c r="AI478" s="270">
        <v>1</v>
      </c>
      <c r="AJ478" s="268">
        <f>IF('Input &amp; Calc'!V499="","",IF('Input &amp; Calc'!DB474*0.9&lt;'Input &amp; Calc'!DB499,1,IF('Input &amp; Calc'!DB474*0.75&gt;'Input &amp; Calc'!DB499,3,2)))</f>
        <v>1</v>
      </c>
      <c r="AK478" s="268">
        <f>IF('Input &amp; Calc'!W499="","",IF('Input &amp; Calc'!DC474*0.9&lt;'Input &amp; Calc'!DC499,1,IF('Input &amp; Calc'!DC474*0.75&gt;'Input &amp; Calc'!DC499,3,2)))</f>
        <v>1</v>
      </c>
      <c r="AL478" s="268">
        <f>IF('Input &amp; Calc'!X499="","",IF('Input &amp; Calc'!DD474*0.9&lt;'Input &amp; Calc'!DD499,1,IF('Input &amp; Calc'!DD474*0.75&gt;'Input &amp; Calc'!DD499,3,2)))</f>
        <v>1</v>
      </c>
      <c r="AM478" s="268">
        <f>IF('Input &amp; Calc'!Y499="","",IF('Input &amp; Calc'!DE474*0.9&lt;'Input &amp; Calc'!DE499,1,IF('Input &amp; Calc'!DE474*0.75&gt;'Input &amp; Calc'!DE499,3,2)))</f>
        <v>1</v>
      </c>
      <c r="AN478" s="268">
        <f>IF('Input &amp; Calc'!Z499="","",IF('Input &amp; Calc'!DF474*0.9&lt;'Input &amp; Calc'!DF499,1,IF('Input &amp; Calc'!DF474*0.75&gt;'Input &amp; Calc'!DF499,3,2)))</f>
        <v>1</v>
      </c>
      <c r="AO478" s="268">
        <f>IF('Input &amp; Calc'!AA499="","",IF('Input &amp; Calc'!DG474*0.9&lt;'Input &amp; Calc'!DG499,1,IF('Input &amp; Calc'!DG474*0.75&gt;'Input &amp; Calc'!DG499,3,2)))</f>
        <v>1</v>
      </c>
      <c r="AP478" s="268">
        <f>IF('Input &amp; Calc'!AB499="","",IF('Input &amp; Calc'!DH474*0.9&lt;'Input &amp; Calc'!DH499,1,IF('Input &amp; Calc'!DH474*0.75&gt;'Input &amp; Calc'!DH499,3,2)))</f>
        <v>1</v>
      </c>
      <c r="AQ478" s="268">
        <f>IF('Input &amp; Calc'!AC499="","",IF('Input &amp; Calc'!DI474*0.9&lt;'Input &amp; Calc'!DI499,1,IF('Input &amp; Calc'!DI474*0.75&gt;'Input &amp; Calc'!DI499,3,2)))</f>
        <v>1</v>
      </c>
      <c r="AR478" s="268">
        <f>IF('Input &amp; Calc'!AD499="","",IF('Input &amp; Calc'!DJ474*0.9&lt;'Input &amp; Calc'!DJ499,1,IF('Input &amp; Calc'!DJ474*0.75&gt;'Input &amp; Calc'!DJ499,3,2)))</f>
        <v>1</v>
      </c>
      <c r="AS478" s="268">
        <f>IF('Input &amp; Calc'!AE499="","",IF('Input &amp; Calc'!DK474*0.9&lt;'Input &amp; Calc'!DK499,1,IF('Input &amp; Calc'!DK474*0.75&gt;'Input &amp; Calc'!DK499,3,2)))</f>
        <v>1</v>
      </c>
      <c r="AT478" s="268">
        <f>IF('Input &amp; Calc'!AF499="","",IF('Input &amp; Calc'!DL474*0.9&lt;'Input &amp; Calc'!DL499,1,IF('Input &amp; Calc'!DL474*0.75&gt;'Input &amp; Calc'!DL499,3,2)))</f>
        <v>1</v>
      </c>
      <c r="AU478" s="268">
        <f>IF('Input &amp; Calc'!AG499="","",IF('Input &amp; Calc'!DM474*0.9&lt;'Input &amp; Calc'!DM499,1,IF('Input &amp; Calc'!DM474*0.75&gt;'Input &amp; Calc'!DM499,3,2)))</f>
        <v>1</v>
      </c>
    </row>
    <row r="479" spans="1:47" s="465" customFormat="1">
      <c r="A479" s="620" t="s">
        <v>207</v>
      </c>
      <c r="B479" s="551" t="s">
        <v>227</v>
      </c>
      <c r="C479" s="523"/>
      <c r="D479" s="524"/>
      <c r="E479" s="525"/>
      <c r="F479" s="515">
        <f>'Input &amp; Calc'!EH856</f>
        <v>0</v>
      </c>
      <c r="G479" s="451"/>
      <c r="H479" s="453" t="s">
        <v>16</v>
      </c>
      <c r="I479" s="560"/>
      <c r="J479" s="521"/>
      <c r="K479" s="522"/>
      <c r="L479" s="530"/>
      <c r="M479" s="531"/>
      <c r="N479" s="516">
        <f>'Input &amp; Calc'!EI856</f>
        <v>1</v>
      </c>
      <c r="O479" s="562"/>
      <c r="P479" s="521"/>
      <c r="Q479" s="536"/>
      <c r="R479" s="537"/>
      <c r="S479" s="517">
        <f>'Input &amp; Calc'!EJ856</f>
        <v>1</v>
      </c>
      <c r="T479" s="542"/>
      <c r="U479" s="543"/>
      <c r="V479" s="544"/>
      <c r="W479" s="554" t="s">
        <v>227</v>
      </c>
      <c r="X479" s="271"/>
      <c r="Y479" s="268"/>
      <c r="Z479" s="268"/>
      <c r="AA479" s="268"/>
      <c r="AB479" s="268"/>
      <c r="AC479" s="268"/>
      <c r="AD479" s="268"/>
      <c r="AE479" s="268"/>
      <c r="AF479" s="268"/>
      <c r="AG479" s="268"/>
      <c r="AH479" s="268"/>
      <c r="AI479" s="270"/>
      <c r="AJ479" s="268"/>
      <c r="AK479" s="268"/>
      <c r="AL479" s="268"/>
      <c r="AM479" s="268"/>
      <c r="AN479" s="268"/>
      <c r="AO479" s="268"/>
      <c r="AP479" s="268"/>
      <c r="AQ479" s="268"/>
      <c r="AR479" s="268"/>
      <c r="AS479" s="268"/>
      <c r="AT479" s="268"/>
      <c r="AU479" s="268"/>
    </row>
    <row r="480" spans="1:47" s="465" customFormat="1">
      <c r="A480" s="620"/>
      <c r="B480" s="551" t="s">
        <v>228</v>
      </c>
      <c r="C480" s="523"/>
      <c r="D480" s="524"/>
      <c r="E480" s="525"/>
      <c r="F480" s="515">
        <f>'Input &amp; Calc'!EH872</f>
        <v>0</v>
      </c>
      <c r="G480" s="451"/>
      <c r="H480" s="453" t="s">
        <v>16</v>
      </c>
      <c r="I480" s="560"/>
      <c r="J480" s="523"/>
      <c r="K480" s="524"/>
      <c r="L480" s="532"/>
      <c r="M480" s="533"/>
      <c r="N480" s="516">
        <f>'Input &amp; Calc'!EI872</f>
        <v>0</v>
      </c>
      <c r="O480" s="562"/>
      <c r="P480" s="523"/>
      <c r="Q480" s="538"/>
      <c r="R480" s="539"/>
      <c r="S480" s="517">
        <f>'Input &amp; Calc'!EJ872</f>
        <v>0</v>
      </c>
      <c r="T480" s="545"/>
      <c r="U480" s="546"/>
      <c r="V480" s="547"/>
      <c r="W480" s="554" t="s">
        <v>228</v>
      </c>
      <c r="X480" s="271"/>
      <c r="Y480" s="268"/>
      <c r="Z480" s="268"/>
      <c r="AA480" s="268"/>
      <c r="AB480" s="268"/>
      <c r="AC480" s="268"/>
      <c r="AD480" s="268"/>
      <c r="AE480" s="268"/>
      <c r="AF480" s="268"/>
      <c r="AG480" s="268"/>
      <c r="AH480" s="268"/>
      <c r="AI480" s="270"/>
      <c r="AJ480" s="268"/>
      <c r="AK480" s="268"/>
      <c r="AL480" s="268"/>
      <c r="AM480" s="268"/>
      <c r="AN480" s="268"/>
      <c r="AO480" s="268"/>
      <c r="AP480" s="268"/>
      <c r="AQ480" s="268"/>
      <c r="AR480" s="268"/>
      <c r="AS480" s="268"/>
      <c r="AT480" s="268"/>
      <c r="AU480" s="268"/>
    </row>
    <row r="481" spans="1:47" s="465" customFormat="1">
      <c r="A481" s="620"/>
      <c r="B481" s="551" t="s">
        <v>234</v>
      </c>
      <c r="C481" s="526"/>
      <c r="D481" s="527"/>
      <c r="E481" s="528"/>
      <c r="F481" s="495">
        <f>'Input &amp; Calc'!EH887</f>
        <v>0</v>
      </c>
      <c r="G481" s="451"/>
      <c r="H481" s="453" t="s">
        <v>16</v>
      </c>
      <c r="I481" s="560"/>
      <c r="J481" s="526"/>
      <c r="K481" s="527"/>
      <c r="L481" s="534"/>
      <c r="M481" s="535"/>
      <c r="N481" s="496">
        <f>'Input &amp; Calc'!EI887</f>
        <v>0</v>
      </c>
      <c r="O481" s="562"/>
      <c r="P481" s="526"/>
      <c r="Q481" s="540"/>
      <c r="R481" s="541"/>
      <c r="S481" s="497">
        <f>'Input &amp; Calc'!EJ887</f>
        <v>0</v>
      </c>
      <c r="T481" s="548"/>
      <c r="U481" s="549"/>
      <c r="V481" s="550"/>
      <c r="W481" s="554" t="s">
        <v>208</v>
      </c>
      <c r="X481" s="271"/>
      <c r="Y481" s="268"/>
      <c r="Z481" s="268"/>
      <c r="AA481" s="268"/>
      <c r="AB481" s="268"/>
      <c r="AC481" s="268"/>
      <c r="AD481" s="268"/>
      <c r="AE481" s="268"/>
      <c r="AF481" s="268"/>
      <c r="AG481" s="268"/>
      <c r="AH481" s="268"/>
      <c r="AI481" s="270"/>
      <c r="AJ481" s="268"/>
      <c r="AK481" s="268"/>
      <c r="AL481" s="268"/>
      <c r="AM481" s="268"/>
      <c r="AN481" s="268"/>
      <c r="AO481" s="268"/>
      <c r="AP481" s="268"/>
      <c r="AQ481" s="268"/>
      <c r="AR481" s="268"/>
      <c r="AS481" s="268"/>
      <c r="AT481" s="268"/>
      <c r="AU481" s="268"/>
    </row>
    <row r="482" spans="1:47" ht="16.5" thickBot="1">
      <c r="A482" s="86" t="s">
        <v>139</v>
      </c>
      <c r="B482" s="321"/>
      <c r="C482" s="645" t="s">
        <v>164</v>
      </c>
      <c r="D482" s="645"/>
      <c r="E482" s="87" t="s">
        <v>140</v>
      </c>
      <c r="F482" s="448"/>
      <c r="G482" s="448"/>
      <c r="H482" s="645" t="s">
        <v>165</v>
      </c>
      <c r="I482" s="645"/>
      <c r="J482" s="645"/>
      <c r="K482" s="88" t="s">
        <v>141</v>
      </c>
      <c r="L482" s="448"/>
      <c r="M482" s="448"/>
      <c r="N482" s="647" t="s">
        <v>166</v>
      </c>
      <c r="O482" s="647"/>
      <c r="P482" s="647"/>
      <c r="Q482" s="89" t="s">
        <v>142</v>
      </c>
      <c r="R482" s="257"/>
      <c r="S482" s="68"/>
      <c r="T482" s="68"/>
      <c r="U482" s="69"/>
      <c r="V482" s="69"/>
      <c r="W482" s="69"/>
      <c r="X482" s="464"/>
      <c r="Y482" s="464"/>
      <c r="Z482" s="464"/>
      <c r="AA482" s="464"/>
      <c r="AB482" s="464"/>
      <c r="AC482" s="464"/>
      <c r="AD482" s="464"/>
      <c r="AE482" s="464"/>
      <c r="AF482" s="464"/>
      <c r="AG482" s="464"/>
      <c r="AH482" s="464"/>
      <c r="AI482" s="464"/>
      <c r="AJ482" s="464"/>
      <c r="AK482" s="464"/>
      <c r="AL482" s="464"/>
      <c r="AM482" s="464"/>
      <c r="AN482" s="464"/>
      <c r="AO482" s="464"/>
      <c r="AP482" s="464"/>
      <c r="AQ482" s="464"/>
      <c r="AR482" s="464"/>
      <c r="AS482" s="464"/>
      <c r="AT482" s="464"/>
      <c r="AU482" s="464"/>
    </row>
    <row r="483" spans="1:47">
      <c r="A483" s="519" t="s">
        <v>229</v>
      </c>
    </row>
    <row r="484" spans="1:47" hidden="1"/>
    <row r="485" spans="1:47" hidden="1"/>
    <row r="486" spans="1:47" hidden="1"/>
    <row r="487" spans="1:47" hidden="1"/>
    <row r="488" spans="1:47" hidden="1"/>
    <row r="489" spans="1:47" hidden="1"/>
    <row r="490" spans="1:47" hidden="1"/>
    <row r="491" spans="1:47" hidden="1"/>
    <row r="492" spans="1:47" hidden="1"/>
    <row r="493" spans="1:47" hidden="1"/>
    <row r="494" spans="1:47" hidden="1"/>
    <row r="495" spans="1:47" hidden="1"/>
    <row r="496" spans="1:47"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spans="1:47">
      <c r="A529" s="76" t="s">
        <v>148</v>
      </c>
      <c r="B529" s="76"/>
      <c r="C529" s="77"/>
      <c r="D529" s="77"/>
      <c r="E529" s="78"/>
      <c r="F529" s="67"/>
      <c r="G529" s="77"/>
      <c r="H529" s="77"/>
      <c r="I529" s="77"/>
      <c r="J529" s="106" t="str">
        <f>'Input &amp; Calc'!A529</f>
        <v>Sandy SBDC</v>
      </c>
      <c r="K529" s="77"/>
      <c r="L529" s="78"/>
      <c r="M529" s="78"/>
      <c r="N529" s="77"/>
      <c r="O529" s="77"/>
      <c r="P529" s="67"/>
      <c r="Q529" s="105" t="s">
        <v>146</v>
      </c>
      <c r="R529" s="105"/>
      <c r="S529" s="106" t="str">
        <f>'Input &amp; Calc'!C529</f>
        <v>Rex Falkenrath</v>
      </c>
      <c r="T529" s="79"/>
      <c r="U529" s="80"/>
      <c r="V529" s="80"/>
      <c r="W529" s="76"/>
      <c r="X529" s="469"/>
      <c r="Y529" s="469"/>
      <c r="Z529" s="469"/>
      <c r="AA529" s="469"/>
      <c r="AB529" s="469"/>
      <c r="AC529" s="469"/>
      <c r="AD529" s="469"/>
      <c r="AJ529" s="502" t="str">
        <f>J529</f>
        <v>Sandy SBDC</v>
      </c>
      <c r="AK529" s="502"/>
      <c r="AL529" s="502"/>
      <c r="AM529" s="503" t="s">
        <v>146</v>
      </c>
      <c r="AN529" s="502" t="str">
        <f>S529</f>
        <v>Rex Falkenrath</v>
      </c>
      <c r="AP529" s="469"/>
      <c r="AQ529" s="464"/>
      <c r="AR529" s="464"/>
      <c r="AS529" s="464"/>
      <c r="AT529" s="464"/>
      <c r="AU529" s="464"/>
    </row>
    <row r="530" spans="1:47">
      <c r="A530" s="81" t="s">
        <v>205</v>
      </c>
      <c r="B530" s="322"/>
      <c r="C530" s="82"/>
      <c r="D530" s="82"/>
      <c r="E530" s="83"/>
      <c r="F530" s="82"/>
      <c r="G530" s="82"/>
      <c r="H530" s="82"/>
      <c r="I530" s="82"/>
      <c r="J530" s="82"/>
      <c r="K530" s="82"/>
      <c r="L530" s="83"/>
      <c r="M530" s="83"/>
      <c r="N530" s="82"/>
      <c r="O530" s="82"/>
      <c r="P530" s="84"/>
      <c r="Q530" s="82"/>
      <c r="R530" s="82"/>
      <c r="S530" s="82"/>
      <c r="T530" s="82"/>
      <c r="U530" s="128"/>
      <c r="V530" s="128"/>
      <c r="W530" s="322"/>
      <c r="X530" s="464"/>
      <c r="Y530" s="464"/>
      <c r="Z530" s="464"/>
      <c r="AA530" s="464"/>
      <c r="AB530" s="464"/>
      <c r="AC530" s="464"/>
      <c r="AD530" s="464"/>
      <c r="AE530" s="464"/>
      <c r="AF530" s="464"/>
      <c r="AG530" s="464"/>
      <c r="AH530" s="464"/>
      <c r="AI530" s="464"/>
      <c r="AJ530" s="464"/>
      <c r="AK530" s="464"/>
      <c r="AL530" s="464"/>
      <c r="AM530" s="464"/>
      <c r="AN530" s="464"/>
      <c r="AO530" s="464"/>
      <c r="AP530" s="464"/>
      <c r="AQ530" s="464"/>
      <c r="AR530" s="464"/>
      <c r="AS530" s="464"/>
      <c r="AT530" s="464"/>
      <c r="AU530" s="464"/>
    </row>
    <row r="531" spans="1:47" ht="16.5" thickBot="1"/>
    <row r="532" spans="1:47" ht="14.25" customHeight="1" thickBot="1">
      <c r="A532" s="96" t="s">
        <v>134</v>
      </c>
      <c r="B532" s="460"/>
      <c r="C532" s="90"/>
      <c r="D532" s="93" t="s">
        <v>238</v>
      </c>
      <c r="E532" s="94">
        <f>'Input &amp; Calc'!I529</f>
        <v>40391</v>
      </c>
      <c r="F532" s="95"/>
      <c r="G532" s="92"/>
      <c r="H532" s="92"/>
      <c r="I532" s="92"/>
      <c r="J532" s="90"/>
      <c r="K532" s="90"/>
      <c r="L532" s="93" t="s">
        <v>237</v>
      </c>
      <c r="M532" s="93"/>
      <c r="N532" s="463"/>
      <c r="O532" s="92"/>
      <c r="P532" s="90"/>
      <c r="Q532" s="90"/>
      <c r="R532" s="90"/>
      <c r="S532" s="91" t="s">
        <v>133</v>
      </c>
      <c r="T532" s="103">
        <f>'Input &amp; Calc'!EK529</f>
        <v>11</v>
      </c>
      <c r="U532" s="325" t="s">
        <v>159</v>
      </c>
      <c r="V532" s="104"/>
      <c r="W532" s="70"/>
      <c r="X532" s="70"/>
      <c r="Y532" s="70"/>
      <c r="Z532" s="70"/>
      <c r="AA532" s="70"/>
      <c r="AB532" s="70"/>
      <c r="AC532" s="70"/>
      <c r="AD532" s="70"/>
      <c r="AE532" s="70"/>
      <c r="AF532" s="70"/>
      <c r="AG532" s="70"/>
      <c r="AH532" s="70"/>
      <c r="AI532" s="70"/>
      <c r="AJ532" s="70"/>
      <c r="AK532" s="70"/>
      <c r="AL532" s="70"/>
      <c r="AM532" s="464"/>
      <c r="AN532" s="464"/>
      <c r="AO532" s="464"/>
      <c r="AP532" s="464"/>
      <c r="AQ532" s="464"/>
      <c r="AR532" s="464"/>
      <c r="AS532" s="464"/>
      <c r="AT532" s="464"/>
      <c r="AU532" s="464"/>
    </row>
    <row r="533" spans="1:47" ht="13.5" customHeight="1" thickBot="1">
      <c r="A533" s="636" t="s">
        <v>99</v>
      </c>
      <c r="B533" s="638" t="s">
        <v>100</v>
      </c>
      <c r="C533" s="621" t="s">
        <v>101</v>
      </c>
      <c r="D533" s="621" t="s">
        <v>104</v>
      </c>
      <c r="E533" s="643" t="s">
        <v>105</v>
      </c>
      <c r="F533" s="621" t="s">
        <v>106</v>
      </c>
      <c r="G533" s="449"/>
      <c r="H533" s="638" t="s">
        <v>137</v>
      </c>
      <c r="I533" s="449"/>
      <c r="J533" s="621" t="s">
        <v>101</v>
      </c>
      <c r="K533" s="621" t="s">
        <v>104</v>
      </c>
      <c r="L533" s="621" t="s">
        <v>192</v>
      </c>
      <c r="M533" s="638" t="s">
        <v>194</v>
      </c>
      <c r="N533" s="621" t="s">
        <v>193</v>
      </c>
      <c r="O533" s="449"/>
      <c r="P533" s="642" t="s">
        <v>101</v>
      </c>
      <c r="Q533" s="638" t="s">
        <v>102</v>
      </c>
      <c r="R533" s="638" t="s">
        <v>191</v>
      </c>
      <c r="S533" s="638" t="s">
        <v>103</v>
      </c>
      <c r="T533" s="639" t="s">
        <v>131</v>
      </c>
      <c r="U533" s="641" t="s">
        <v>209</v>
      </c>
      <c r="V533" s="623" t="s">
        <v>203</v>
      </c>
      <c r="W533" s="70"/>
      <c r="X533" s="464"/>
      <c r="Y533" s="464"/>
      <c r="Z533" s="464"/>
      <c r="AA533" s="640"/>
      <c r="AB533" s="640"/>
      <c r="AC533" s="640"/>
      <c r="AD533" s="640"/>
      <c r="AE533" s="640"/>
      <c r="AF533" s="640"/>
      <c r="AG533" s="640"/>
      <c r="AH533" s="640"/>
      <c r="AI533" s="640"/>
      <c r="AJ533" s="640"/>
      <c r="AK533" s="640"/>
      <c r="AL533" s="640"/>
      <c r="AM533" s="630" t="s">
        <v>149</v>
      </c>
      <c r="AN533" s="631"/>
      <c r="AO533" s="631"/>
      <c r="AP533" s="631"/>
      <c r="AQ533" s="631"/>
      <c r="AR533" s="631"/>
      <c r="AS533" s="631"/>
      <c r="AT533" s="631"/>
      <c r="AU533" s="632"/>
    </row>
    <row r="534" spans="1:47" ht="12.75" customHeight="1" thickBot="1">
      <c r="A534" s="637"/>
      <c r="B534" s="621"/>
      <c r="C534" s="622"/>
      <c r="D534" s="622"/>
      <c r="E534" s="644"/>
      <c r="F534" s="622"/>
      <c r="G534" s="449"/>
      <c r="H534" s="638"/>
      <c r="I534" s="449"/>
      <c r="J534" s="650"/>
      <c r="K534" s="622"/>
      <c r="L534" s="622"/>
      <c r="M534" s="638"/>
      <c r="N534" s="622"/>
      <c r="O534" s="449"/>
      <c r="P534" s="642"/>
      <c r="Q534" s="638"/>
      <c r="R534" s="638"/>
      <c r="S534" s="638"/>
      <c r="T534" s="639"/>
      <c r="U534" s="641"/>
      <c r="V534" s="624"/>
      <c r="W534" s="452" t="s">
        <v>100</v>
      </c>
      <c r="X534" s="473">
        <v>39630</v>
      </c>
      <c r="Y534" s="473">
        <v>39661</v>
      </c>
      <c r="Z534" s="473">
        <v>39692</v>
      </c>
      <c r="AA534" s="473">
        <v>39722</v>
      </c>
      <c r="AB534" s="473">
        <v>39753</v>
      </c>
      <c r="AC534" s="473">
        <v>39783</v>
      </c>
      <c r="AD534" s="473">
        <v>39814</v>
      </c>
      <c r="AE534" s="473">
        <v>39845</v>
      </c>
      <c r="AF534" s="473">
        <v>39873</v>
      </c>
      <c r="AG534" s="473">
        <v>39904</v>
      </c>
      <c r="AH534" s="473">
        <v>39934</v>
      </c>
      <c r="AI534" s="473">
        <v>39965</v>
      </c>
      <c r="AJ534" s="473">
        <v>39995</v>
      </c>
      <c r="AK534" s="473">
        <v>40026</v>
      </c>
      <c r="AL534" s="474">
        <v>40057</v>
      </c>
      <c r="AM534" s="471">
        <v>40087</v>
      </c>
      <c r="AN534" s="450">
        <v>40118</v>
      </c>
      <c r="AO534" s="450">
        <v>40148</v>
      </c>
      <c r="AP534" s="450">
        <v>40179</v>
      </c>
      <c r="AQ534" s="450">
        <v>40210</v>
      </c>
      <c r="AR534" s="450">
        <v>40238</v>
      </c>
      <c r="AS534" s="450">
        <v>40269</v>
      </c>
      <c r="AT534" s="450">
        <v>40299</v>
      </c>
      <c r="AU534" s="472">
        <v>40330</v>
      </c>
    </row>
    <row r="535" spans="1:47" ht="26.25">
      <c r="A535" s="470" t="s">
        <v>196</v>
      </c>
      <c r="B535" s="555" t="s">
        <v>132</v>
      </c>
      <c r="C535" s="252">
        <f>IF(F535/E535&gt;0.899999999,1,IF(F535/E535&lt;0.75,3,2))</f>
        <v>1</v>
      </c>
      <c r="D535" s="46" t="str">
        <f>'Input &amp; Calc'!EO556</f>
        <v>Ç</v>
      </c>
      <c r="E535" s="590">
        <f>'Input &amp; Calc'!EE533</f>
        <v>6.5</v>
      </c>
      <c r="F535" s="567">
        <f>'Input &amp; Calc'!EH556</f>
        <v>12</v>
      </c>
      <c r="G535" s="591"/>
      <c r="H535" s="592" t="s">
        <v>16</v>
      </c>
      <c r="I535" s="593"/>
      <c r="J535" s="594">
        <f>IF(N535/M535&gt;0.899999999,1,IF(N535/M535&lt;0.75,3,2))</f>
        <v>1</v>
      </c>
      <c r="K535" s="595" t="str">
        <f>'Input &amp; Calc'!EP556</f>
        <v>Ç</v>
      </c>
      <c r="L535" s="589">
        <f>Q535/4</f>
        <v>19.5</v>
      </c>
      <c r="M535" s="589">
        <f>L535/3*$T$3</f>
        <v>13</v>
      </c>
      <c r="N535" s="565">
        <f>'Input &amp; Calc'!EI556</f>
        <v>32</v>
      </c>
      <c r="O535" s="596"/>
      <c r="P535" s="594">
        <f>IF(S535/R535&gt;0.899999999,1,IF(S535/R535&lt;0.75,3,2))</f>
        <v>1</v>
      </c>
      <c r="Q535" s="565">
        <f>'Input &amp; Calc'!EG533</f>
        <v>78</v>
      </c>
      <c r="R535" s="602">
        <f>Q535/12*$T$4</f>
        <v>71.5</v>
      </c>
      <c r="S535" s="566">
        <f>'Input &amp; Calc'!EJ556</f>
        <v>131</v>
      </c>
      <c r="T535" s="488">
        <f>S535/R535</f>
        <v>1.8321678321678321</v>
      </c>
      <c r="U535" s="455"/>
      <c r="V535" s="563">
        <f>$V$733</f>
        <v>1</v>
      </c>
      <c r="W535" s="554" t="str">
        <f>B535</f>
        <v># of Ext Engag Clients; &gt;5 Hrs contact since 10/05</v>
      </c>
      <c r="X535" s="268">
        <v>1</v>
      </c>
      <c r="Y535" s="268">
        <v>1</v>
      </c>
      <c r="Z535" s="268">
        <v>1</v>
      </c>
      <c r="AA535" s="268">
        <v>1</v>
      </c>
      <c r="AB535" s="268">
        <v>1</v>
      </c>
      <c r="AC535" s="268">
        <v>1</v>
      </c>
      <c r="AD535" s="268">
        <v>1</v>
      </c>
      <c r="AE535" s="268">
        <v>1</v>
      </c>
      <c r="AF535" s="268">
        <v>1</v>
      </c>
      <c r="AG535" s="268">
        <v>1</v>
      </c>
      <c r="AH535" s="268">
        <v>1</v>
      </c>
      <c r="AI535" s="268">
        <v>1</v>
      </c>
      <c r="AJ535" s="268">
        <f>IF('Input &amp; Calc'!V556="","",IF('Input &amp; Calc'!DB556/'Input &amp; Calc'!DB533&gt;=0.9,1,IF('Input &amp; Calc'!DB556/'Input &amp; Calc'!DB533&lt;0.75,3,2)))</f>
        <v>3</v>
      </c>
      <c r="AK535" s="268">
        <f>IF('Input &amp; Calc'!W556="","",IF('Input &amp; Calc'!DC556/'Input &amp; Calc'!DC533&gt;=0.9,1,IF('Input &amp; Calc'!DC556/'Input &amp; Calc'!DC533&lt;0.75,3,2)))</f>
        <v>3</v>
      </c>
      <c r="AL535" s="270">
        <f>IF('Input &amp; Calc'!X556="","",IF('Input &amp; Calc'!DD556/'Input &amp; Calc'!DD533&gt;=0.9,1,IF('Input &amp; Calc'!DD556/'Input &amp; Calc'!DD533&lt;0.75,3,2)))</f>
        <v>3</v>
      </c>
      <c r="AM535" s="268">
        <f>IF('Input &amp; Calc'!Y556="","",IF('Input &amp; Calc'!DE556/'Input &amp; Calc'!DE533&gt;=0.9,1,IF('Input &amp; Calc'!DE556/'Input &amp; Calc'!DE533&lt;0.75,3,2)))</f>
        <v>1</v>
      </c>
      <c r="AN535" s="268">
        <f>IF('Input &amp; Calc'!Z556="","",IF('Input &amp; Calc'!DF556/'Input &amp; Calc'!DF533&gt;=0.9,1,IF('Input &amp; Calc'!DF556/'Input &amp; Calc'!DF533&lt;0.75,3,2)))</f>
        <v>1</v>
      </c>
      <c r="AO535" s="271">
        <f>IF('Input &amp; Calc'!AA556="","",IF('Input &amp; Calc'!DG556/'Input &amp; Calc'!DG533&gt;=0.9,1,IF('Input &amp; Calc'!DG556/'Input &amp; Calc'!DG533&lt;0.75,3,2)))</f>
        <v>1</v>
      </c>
      <c r="AP535" s="271">
        <f>IF('Input &amp; Calc'!AB556="","",IF('Input &amp; Calc'!DH556/'Input &amp; Calc'!DH533&gt;=0.9,1,IF('Input &amp; Calc'!DH556/'Input &amp; Calc'!DH533&lt;0.75,3,2)))</f>
        <v>1</v>
      </c>
      <c r="AQ535" s="271">
        <f>IF('Input &amp; Calc'!AC556="","",IF('Input &amp; Calc'!DI556/'Input &amp; Calc'!DI533&gt;=0.9,1,IF('Input &amp; Calc'!DI556/'Input &amp; Calc'!DI533&lt;0.75,3,2)))</f>
        <v>1</v>
      </c>
      <c r="AR535" s="271">
        <f>IF('Input &amp; Calc'!AD556="","",IF('Input &amp; Calc'!DJ556/'Input &amp; Calc'!DJ533&gt;=0.9,1,IF('Input &amp; Calc'!DJ556/'Input &amp; Calc'!DJ533&lt;0.75,3,2)))</f>
        <v>1</v>
      </c>
      <c r="AS535" s="271">
        <f>IF('Input &amp; Calc'!AE556="","",IF('Input &amp; Calc'!DK556/'Input &amp; Calc'!DK533&gt;=0.9,1,IF('Input &amp; Calc'!DK556/'Input &amp; Calc'!DK533&lt;0.75,3,2)))</f>
        <v>1</v>
      </c>
      <c r="AT535" s="271">
        <f>IF('Input &amp; Calc'!AF556="","",IF('Input &amp; Calc'!DL556/'Input &amp; Calc'!DL533&gt;=0.9,1,IF('Input &amp; Calc'!DL556/'Input &amp; Calc'!DL533&lt;0.75,3,2)))</f>
        <v>1</v>
      </c>
      <c r="AU535" s="271">
        <f>IF('Input &amp; Calc'!AG556="","",IF('Input &amp; Calc'!DM556/'Input &amp; Calc'!DM533&gt;=0.9,1,IF('Input &amp; Calc'!DM556/'Input &amp; Calc'!DM533&lt;0.75,3,2)))</f>
        <v>1</v>
      </c>
    </row>
    <row r="536" spans="1:47">
      <c r="A536" s="633" t="s">
        <v>206</v>
      </c>
      <c r="B536" s="556" t="s">
        <v>107</v>
      </c>
      <c r="C536" s="252">
        <f>IF(F536/E536&gt;0.899999999,1,IF(F536/E536&lt;0.75,3,2))</f>
        <v>3</v>
      </c>
      <c r="D536" s="97" t="str">
        <f>'Input &amp; Calc'!EO558</f>
        <v>È</v>
      </c>
      <c r="E536" s="590">
        <f>'Input &amp; Calc'!EE535</f>
        <v>2.9160000000000004</v>
      </c>
      <c r="F536" s="567">
        <f>'Input &amp; Calc'!EH558</f>
        <v>2</v>
      </c>
      <c r="G536" s="591"/>
      <c r="H536" s="592" t="s">
        <v>16</v>
      </c>
      <c r="I536" s="593"/>
      <c r="J536" s="594">
        <f>IF(N536/M536&gt;0.899999999,1,IF(N536/M536&lt;0.75,3,2))</f>
        <v>2</v>
      </c>
      <c r="K536" s="597" t="str">
        <f>'Input &amp; Calc'!EP558</f>
        <v>Ç</v>
      </c>
      <c r="L536" s="589">
        <f>Q536/4</f>
        <v>8.7479999999999993</v>
      </c>
      <c r="M536" s="589">
        <f>L536/3*$T$3</f>
        <v>5.8319999999999999</v>
      </c>
      <c r="N536" s="565">
        <f>'Input &amp; Calc'!EI558</f>
        <v>5</v>
      </c>
      <c r="O536" s="596"/>
      <c r="P536" s="594">
        <f>IF(S536/R536&gt;0.899999999,1,IF(S536/R536&lt;0.75,3,2))</f>
        <v>1</v>
      </c>
      <c r="Q536" s="565">
        <f>'Input &amp; Calc'!EG535</f>
        <v>34.991999999999997</v>
      </c>
      <c r="R536" s="565">
        <f>Q536/12*$T$4</f>
        <v>32.076000000000001</v>
      </c>
      <c r="S536" s="566">
        <f>'Input &amp; Calc'!EJ558</f>
        <v>35</v>
      </c>
      <c r="T536" s="488">
        <f>S536/R536</f>
        <v>1.091158498565906</v>
      </c>
      <c r="U536" s="455"/>
      <c r="V536" s="563">
        <f>$V$734</f>
        <v>1</v>
      </c>
      <c r="W536" s="554" t="str">
        <f>B536</f>
        <v># of Business Starts</v>
      </c>
      <c r="X536" s="268">
        <v>1</v>
      </c>
      <c r="Y536" s="268">
        <v>1</v>
      </c>
      <c r="Z536" s="268">
        <v>1</v>
      </c>
      <c r="AA536" s="268">
        <v>1</v>
      </c>
      <c r="AB536" s="272">
        <v>1</v>
      </c>
      <c r="AC536" s="272">
        <v>1</v>
      </c>
      <c r="AD536" s="272">
        <v>1</v>
      </c>
      <c r="AE536" s="272">
        <v>1</v>
      </c>
      <c r="AF536" s="272">
        <v>1</v>
      </c>
      <c r="AG536" s="272">
        <v>1</v>
      </c>
      <c r="AH536" s="272">
        <v>1</v>
      </c>
      <c r="AI536" s="272">
        <v>1</v>
      </c>
      <c r="AJ536" s="272">
        <f>IF('Input &amp; Calc'!V556="","",IF('Input &amp; Calc'!DB558/'Input &amp; Calc'!DB535&gt;=0.9,1,IF('Input &amp; Calc'!DB558/'Input &amp; Calc'!DB535&lt;0.75,3,2)))</f>
        <v>1</v>
      </c>
      <c r="AK536" s="272">
        <f>IF('Input &amp; Calc'!W556="","",IF('Input &amp; Calc'!DC558/'Input &amp; Calc'!DC535&gt;=0.9,1,IF('Input &amp; Calc'!DC558/'Input &amp; Calc'!DC535&lt;0.75,3,2)))</f>
        <v>1</v>
      </c>
      <c r="AL536" s="272">
        <f>IF('Input &amp; Calc'!X556="","",IF('Input &amp; Calc'!DD558/'Input &amp; Calc'!DD535&gt;=0.9,1,IF('Input &amp; Calc'!DD558/'Input &amp; Calc'!DD535&lt;0.75,3,2)))</f>
        <v>1</v>
      </c>
      <c r="AM536" s="272">
        <f>IF('Input &amp; Calc'!Y556="","",IF('Input &amp; Calc'!DE558/'Input &amp; Calc'!DE535&gt;=0.9,1,IF('Input &amp; Calc'!DE558/'Input &amp; Calc'!DE535&lt;0.75,3,2)))</f>
        <v>3</v>
      </c>
      <c r="AN536" s="272">
        <f>IF('Input &amp; Calc'!Z556="","",IF('Input &amp; Calc'!DF558/'Input &amp; Calc'!DF535&gt;=0.9,1,IF('Input &amp; Calc'!DF558/'Input &amp; Calc'!DF535&lt;0.75,3,2)))</f>
        <v>3</v>
      </c>
      <c r="AO536" s="272">
        <f>IF('Input &amp; Calc'!AA556="","",IF('Input &amp; Calc'!DG558/'Input &amp; Calc'!DG535&gt;=0.9,1,IF('Input &amp; Calc'!DG558/'Input &amp; Calc'!DG535&lt;0.75,3,2)))</f>
        <v>2</v>
      </c>
      <c r="AP536" s="272">
        <f>IF('Input &amp; Calc'!AB556="","",IF('Input &amp; Calc'!DH558/'Input &amp; Calc'!DH535&gt;=0.9,1,IF('Input &amp; Calc'!DH558/'Input &amp; Calc'!DH535&lt;0.75,3,2)))</f>
        <v>1</v>
      </c>
      <c r="AQ536" s="272">
        <f>IF('Input &amp; Calc'!AC556="","",IF('Input &amp; Calc'!DI558/'Input &amp; Calc'!DI535&gt;=0.9,1,IF('Input &amp; Calc'!DI558/'Input &amp; Calc'!DI535&lt;0.75,3,2)))</f>
        <v>1</v>
      </c>
      <c r="AR536" s="272">
        <f>IF('Input &amp; Calc'!AD556="","",IF('Input &amp; Calc'!DJ558/'Input &amp; Calc'!DJ535&gt;=0.9,1,IF('Input &amp; Calc'!DJ558/'Input &amp; Calc'!DJ535&lt;0.75,3,2)))</f>
        <v>1</v>
      </c>
      <c r="AS536" s="272">
        <f>IF('Input &amp; Calc'!AE556="","",IF('Input &amp; Calc'!DK558/'Input &amp; Calc'!DK535&gt;=0.9,1,IF('Input &amp; Calc'!DK558/'Input &amp; Calc'!DK535&lt;0.75,3,2)))</f>
        <v>1</v>
      </c>
      <c r="AT536" s="272">
        <f>IF('Input &amp; Calc'!AF556="","",IF('Input &amp; Calc'!DL558/'Input &amp; Calc'!DL535&gt;=0.9,1,IF('Input &amp; Calc'!DL558/'Input &amp; Calc'!DL535&lt;0.75,3,2)))</f>
        <v>1</v>
      </c>
      <c r="AU536" s="272">
        <f>IF('Input &amp; Calc'!AG556="","",IF('Input &amp; Calc'!DM558/'Input &amp; Calc'!DM535&gt;=0.9,1,IF('Input &amp; Calc'!DM558/'Input &amp; Calc'!DM535&lt;0.75,3,2)))</f>
        <v>1</v>
      </c>
    </row>
    <row r="537" spans="1:47" ht="16.5" thickBot="1">
      <c r="A537" s="634"/>
      <c r="B537" s="557" t="s">
        <v>138</v>
      </c>
      <c r="C537" s="252">
        <f>IF(F537/E537&gt;0.899999999,1,IF(F537/E537&lt;0.75,3,2))</f>
        <v>3</v>
      </c>
      <c r="D537" s="85" t="str">
        <f>'Input &amp; Calc'!EO559</f>
        <v>È</v>
      </c>
      <c r="E537" s="279">
        <f>'Input &amp; Calc'!EE536</f>
        <v>1.6528333333333334</v>
      </c>
      <c r="F537" s="485">
        <f>'Input &amp; Calc'!EH559</f>
        <v>0.42749999999999932</v>
      </c>
      <c r="G537" s="458"/>
      <c r="H537" s="467" t="s">
        <v>16</v>
      </c>
      <c r="I537" s="459"/>
      <c r="J537" s="252">
        <f>IF(N537/M537&gt;0.899999999,1,IF(N537/M537&lt;0.75,3,2))</f>
        <v>3</v>
      </c>
      <c r="K537" s="85" t="str">
        <f>'Input &amp; Calc'!EP559</f>
        <v>È</v>
      </c>
      <c r="L537" s="442">
        <f>Q537/4</f>
        <v>1.6625009166666664</v>
      </c>
      <c r="M537" s="604">
        <f>L537/3*$T$3</f>
        <v>1.1083339444444442</v>
      </c>
      <c r="N537" s="602">
        <f>'Input &amp; Calc'!EI559</f>
        <v>0.51449999999999996</v>
      </c>
      <c r="O537" s="457"/>
      <c r="P537" s="252">
        <f>IF(S537/R537&gt;0.899999999,1,IF(S537/R537&lt;0.75,3,2))</f>
        <v>1</v>
      </c>
      <c r="Q537" s="389">
        <f>'Input &amp; Calc'!EG536</f>
        <v>6.6500036666666658</v>
      </c>
      <c r="R537" s="389">
        <f>Q537/12*$T$4</f>
        <v>6.0958366944444435</v>
      </c>
      <c r="S537" s="487">
        <f>'Input &amp; Calc'!EJ559</f>
        <v>8.0344999999999995</v>
      </c>
      <c r="T537" s="488">
        <f>S537/R537</f>
        <v>1.3180307155082409</v>
      </c>
      <c r="U537" s="468"/>
      <c r="V537" s="563">
        <f>$V$735</f>
        <v>1</v>
      </c>
      <c r="W537" s="554" t="str">
        <f>B537</f>
        <v>Capital Infusion $ - Million</v>
      </c>
      <c r="X537" s="275">
        <v>1</v>
      </c>
      <c r="Y537" s="275">
        <v>1</v>
      </c>
      <c r="Z537" s="275">
        <v>1</v>
      </c>
      <c r="AA537" s="275">
        <v>1</v>
      </c>
      <c r="AB537" s="323">
        <v>1</v>
      </c>
      <c r="AC537" s="323">
        <v>2</v>
      </c>
      <c r="AD537" s="323">
        <v>3</v>
      </c>
      <c r="AE537" s="323">
        <v>3</v>
      </c>
      <c r="AF537" s="323">
        <v>3</v>
      </c>
      <c r="AG537" s="323">
        <v>1</v>
      </c>
      <c r="AH537" s="323">
        <v>1</v>
      </c>
      <c r="AI537" s="323">
        <v>1</v>
      </c>
      <c r="AJ537" s="272">
        <f>IF('Input &amp; Calc'!V557="","",IF('Input &amp; Calc'!DB559/'Input &amp; Calc'!DB536&gt;=0.9,1,IF('Input &amp; Calc'!DB559/'Input &amp; Calc'!DB536&lt;0.75,3,2)))</f>
        <v>2</v>
      </c>
      <c r="AK537" s="272">
        <f>IF('Input &amp; Calc'!W557="","",IF('Input &amp; Calc'!DC559/'Input &amp; Calc'!DC536&gt;=0.9,1,IF('Input &amp; Calc'!DC559/'Input &amp; Calc'!DC536&lt;0.75,3,2)))</f>
        <v>2</v>
      </c>
      <c r="AL537" s="272">
        <f>IF('Input &amp; Calc'!X557="","",IF('Input &amp; Calc'!DD559/'Input &amp; Calc'!DD536&gt;=0.9,1,IF('Input &amp; Calc'!DD559/'Input &amp; Calc'!DD536&lt;0.75,3,2)))</f>
        <v>3</v>
      </c>
      <c r="AM537" s="272">
        <f>IF('Input &amp; Calc'!Y557="","",IF('Input &amp; Calc'!DE559/'Input &amp; Calc'!DE536&gt;=0.9,1,IF('Input &amp; Calc'!DE559/'Input &amp; Calc'!DE536&lt;0.75,3,2)))</f>
        <v>3</v>
      </c>
      <c r="AN537" s="272">
        <f>IF('Input &amp; Calc'!Z557="","",IF('Input &amp; Calc'!DF559/'Input &amp; Calc'!DF536&gt;=0.9,1,IF('Input &amp; Calc'!DF559/'Input &amp; Calc'!DF536&lt;0.75,3,2)))</f>
        <v>2</v>
      </c>
      <c r="AO537" s="272">
        <f>IF('Input &amp; Calc'!AA557="","",IF('Input &amp; Calc'!DG559/'Input &amp; Calc'!DG536&gt;=0.9,1,IF('Input &amp; Calc'!DG559/'Input &amp; Calc'!DG536&lt;0.75,3,2)))</f>
        <v>1</v>
      </c>
      <c r="AP537" s="272">
        <f>IF('Input &amp; Calc'!AB557="","",IF('Input &amp; Calc'!DH559/'Input &amp; Calc'!DH536&gt;=0.9,1,IF('Input &amp; Calc'!DH559/'Input &amp; Calc'!DH536&lt;0.75,3,2)))</f>
        <v>1</v>
      </c>
      <c r="AQ537" s="272">
        <f>IF('Input &amp; Calc'!AC557="","",IF('Input &amp; Calc'!DI559/'Input &amp; Calc'!DI536&gt;=0.9,1,IF('Input &amp; Calc'!DI559/'Input &amp; Calc'!DI536&lt;0.75,3,2)))</f>
        <v>1</v>
      </c>
      <c r="AR537" s="272">
        <f>IF('Input &amp; Calc'!AD557="","",IF('Input &amp; Calc'!DJ559/'Input &amp; Calc'!DJ536&gt;=0.9,1,IF('Input &amp; Calc'!DJ559/'Input &amp; Calc'!DJ536&lt;0.75,3,2)))</f>
        <v>1</v>
      </c>
      <c r="AS537" s="272">
        <f>IF('Input &amp; Calc'!AE557="","",IF('Input &amp; Calc'!DK559/'Input &amp; Calc'!DK536&gt;=0.9,1,IF('Input &amp; Calc'!DK559/'Input &amp; Calc'!DK536&lt;0.75,3,2)))</f>
        <v>1</v>
      </c>
      <c r="AT537" s="272">
        <f>IF('Input &amp; Calc'!AF557="","",IF('Input &amp; Calc'!DL559/'Input &amp; Calc'!DL536&gt;=0.9,1,IF('Input &amp; Calc'!DL559/'Input &amp; Calc'!DL536&lt;0.75,3,2)))</f>
        <v>1</v>
      </c>
      <c r="AU537" s="272">
        <f>IF('Input &amp; Calc'!AG557="","",IF('Input &amp; Calc'!DM559/'Input &amp; Calc'!DM536&gt;=0.9,1,IF('Input &amp; Calc'!DM559/'Input &amp; Calc'!DM536&lt;0.75,3,2)))</f>
        <v>1</v>
      </c>
    </row>
    <row r="538" spans="1:47" ht="14.25" customHeight="1" thickBot="1">
      <c r="A538" s="96" t="s">
        <v>135</v>
      </c>
      <c r="B538" s="460"/>
      <c r="C538" s="90"/>
      <c r="D538" s="93" t="s">
        <v>238</v>
      </c>
      <c r="E538" s="94">
        <f>'Input &amp; Calc'!$I$67</f>
        <v>40391</v>
      </c>
      <c r="F538" s="95"/>
      <c r="G538" s="461"/>
      <c r="H538" s="635" t="s">
        <v>130</v>
      </c>
      <c r="I538" s="635"/>
      <c r="J538" s="635"/>
      <c r="K538" s="635"/>
      <c r="L538" s="635"/>
      <c r="M538" s="635"/>
      <c r="N538" s="635"/>
      <c r="O538" s="461"/>
      <c r="P538" s="90"/>
      <c r="Q538" s="277"/>
      <c r="R538" s="277"/>
      <c r="S538" s="91" t="s">
        <v>136</v>
      </c>
      <c r="T538" s="278">
        <f>'Input &amp; Calc'!EK530</f>
        <v>2</v>
      </c>
      <c r="U538" s="325" t="s">
        <v>159</v>
      </c>
      <c r="V538" s="462"/>
      <c r="W538" s="392"/>
      <c r="X538" s="469"/>
      <c r="Y538" s="469"/>
      <c r="Z538" s="469"/>
      <c r="AA538" s="469"/>
      <c r="AB538" s="469"/>
      <c r="AC538" s="469"/>
      <c r="AD538" s="469"/>
      <c r="AE538" s="469"/>
      <c r="AF538" s="469"/>
      <c r="AG538" s="469"/>
      <c r="AH538" s="469"/>
      <c r="AI538" s="469"/>
      <c r="AJ538" s="469"/>
      <c r="AK538" s="469"/>
      <c r="AL538" s="469"/>
      <c r="AM538" s="469"/>
      <c r="AN538" s="469"/>
      <c r="AO538" s="469"/>
      <c r="AP538" s="469"/>
      <c r="AQ538" s="469"/>
      <c r="AR538" s="469"/>
      <c r="AS538" s="469"/>
      <c r="AT538" s="469"/>
      <c r="AU538" s="469"/>
    </row>
    <row r="539" spans="1:47" ht="12" customHeight="1" thickBot="1">
      <c r="A539" s="636" t="s">
        <v>99</v>
      </c>
      <c r="B539" s="638" t="s">
        <v>100</v>
      </c>
      <c r="C539" s="621" t="s">
        <v>101</v>
      </c>
      <c r="D539" s="621" t="s">
        <v>104</v>
      </c>
      <c r="E539" s="643" t="s">
        <v>105</v>
      </c>
      <c r="F539" s="621" t="s">
        <v>106</v>
      </c>
      <c r="G539" s="449"/>
      <c r="H539" s="638" t="s">
        <v>137</v>
      </c>
      <c r="I539" s="449"/>
      <c r="J539" s="621" t="s">
        <v>101</v>
      </c>
      <c r="K539" s="621" t="s">
        <v>104</v>
      </c>
      <c r="L539" s="621" t="s">
        <v>192</v>
      </c>
      <c r="M539" s="638" t="s">
        <v>194</v>
      </c>
      <c r="N539" s="621" t="s">
        <v>193</v>
      </c>
      <c r="O539" s="449"/>
      <c r="P539" s="642" t="s">
        <v>101</v>
      </c>
      <c r="Q539" s="638" t="s">
        <v>102</v>
      </c>
      <c r="R539" s="638" t="s">
        <v>191</v>
      </c>
      <c r="S539" s="638" t="s">
        <v>103</v>
      </c>
      <c r="T539" s="649" t="s">
        <v>108</v>
      </c>
      <c r="U539" s="641" t="s">
        <v>209</v>
      </c>
      <c r="V539" s="623" t="s">
        <v>203</v>
      </c>
      <c r="W539" s="393"/>
      <c r="X539" s="464"/>
      <c r="Y539" s="464"/>
      <c r="Z539" s="464"/>
      <c r="AA539" s="464"/>
      <c r="AB539" s="464"/>
      <c r="AC539" s="464"/>
      <c r="AD539" s="464"/>
      <c r="AE539" s="464"/>
      <c r="AF539" s="464"/>
      <c r="AG539" s="464"/>
      <c r="AH539" s="464"/>
      <c r="AI539" s="464"/>
      <c r="AJ539" s="464"/>
      <c r="AK539" s="464"/>
      <c r="AL539" s="464"/>
      <c r="AM539" s="464"/>
      <c r="AN539" s="464"/>
      <c r="AO539" s="464"/>
      <c r="AP539" s="464"/>
      <c r="AQ539" s="464"/>
      <c r="AR539" s="464"/>
      <c r="AS539" s="464"/>
      <c r="AT539" s="464"/>
      <c r="AU539" s="464"/>
    </row>
    <row r="540" spans="1:47" ht="15.75" customHeight="1" thickBot="1">
      <c r="A540" s="637"/>
      <c r="B540" s="621"/>
      <c r="C540" s="622"/>
      <c r="D540" s="622"/>
      <c r="E540" s="644"/>
      <c r="F540" s="622"/>
      <c r="G540" s="449"/>
      <c r="H540" s="638"/>
      <c r="I540" s="449"/>
      <c r="J540" s="622"/>
      <c r="K540" s="622"/>
      <c r="L540" s="622"/>
      <c r="M540" s="638"/>
      <c r="N540" s="622"/>
      <c r="O540" s="449"/>
      <c r="P540" s="642"/>
      <c r="Q540" s="638"/>
      <c r="R540" s="638"/>
      <c r="S540" s="638"/>
      <c r="T540" s="649"/>
      <c r="U540" s="641"/>
      <c r="V540" s="624"/>
      <c r="W540" s="564"/>
      <c r="X540" s="625" t="s">
        <v>150</v>
      </c>
      <c r="Y540" s="626"/>
      <c r="Z540" s="626"/>
      <c r="AA540" s="626"/>
      <c r="AB540" s="626"/>
      <c r="AC540" s="626"/>
      <c r="AD540" s="626"/>
      <c r="AE540" s="626"/>
      <c r="AF540" s="626"/>
      <c r="AG540" s="626"/>
      <c r="AH540" s="626"/>
      <c r="AI540" s="627"/>
      <c r="AJ540" s="625" t="s">
        <v>151</v>
      </c>
      <c r="AK540" s="626"/>
      <c r="AL540" s="626"/>
      <c r="AM540" s="626"/>
      <c r="AN540" s="626"/>
      <c r="AO540" s="626"/>
      <c r="AP540" s="626"/>
      <c r="AQ540" s="626"/>
      <c r="AR540" s="626"/>
      <c r="AS540" s="626"/>
      <c r="AT540" s="626"/>
      <c r="AU540" s="628"/>
    </row>
    <row r="541" spans="1:47" ht="25.5">
      <c r="A541" s="470" t="s">
        <v>197</v>
      </c>
      <c r="B541" s="551" t="s">
        <v>190</v>
      </c>
      <c r="C541" s="252">
        <f>IF(F541/E541&gt;0.899999999,1,IF(F541/E541&lt;0.75,3,2))</f>
        <v>1</v>
      </c>
      <c r="D541" s="500" t="str">
        <f>'Input &amp; Calc'!EO575</f>
        <v>Ç</v>
      </c>
      <c r="E541" s="590">
        <f>'Input &amp; Calc'!EE550</f>
        <v>76.666666666666671</v>
      </c>
      <c r="F541" s="567">
        <f>'Input &amp; Calc'!EH575</f>
        <v>117</v>
      </c>
      <c r="G541" s="598"/>
      <c r="H541" s="592" t="s">
        <v>16</v>
      </c>
      <c r="I541" s="599"/>
      <c r="J541" s="594">
        <f>IF(N541/M541&gt;0.899999999,1,IF(N541/M541&lt;0.75,3,2))</f>
        <v>1</v>
      </c>
      <c r="K541" s="600" t="str">
        <f>'Input &amp; Calc'!EP575</f>
        <v>È</v>
      </c>
      <c r="L541" s="589">
        <f>Q541/4</f>
        <v>115</v>
      </c>
      <c r="M541" s="589">
        <f>L541/3*$T$3</f>
        <v>76.666666666666671</v>
      </c>
      <c r="N541" s="565">
        <f>'Input &amp; Calc'!EI575</f>
        <v>230</v>
      </c>
      <c r="O541" s="601"/>
      <c r="P541" s="594">
        <f>IF(S541/R541&gt;0.899999999,1,IF(S541/R541&lt;0.75,3,2))</f>
        <v>1</v>
      </c>
      <c r="Q541" s="565">
        <f>'Input &amp; Calc'!EG550</f>
        <v>460</v>
      </c>
      <c r="R541" s="565">
        <f>Q541/12*$T$10</f>
        <v>76.666666666666671</v>
      </c>
      <c r="S541" s="566">
        <f>'Input &amp; Calc'!EJ575</f>
        <v>230</v>
      </c>
      <c r="T541" s="491">
        <f>S541/R541</f>
        <v>3</v>
      </c>
      <c r="U541" s="454"/>
      <c r="V541" s="563">
        <f>$V$739</f>
        <v>1</v>
      </c>
      <c r="W541" s="476" t="str">
        <f>B541</f>
        <v># of Unique Clients YTD</v>
      </c>
      <c r="X541" s="269">
        <v>1</v>
      </c>
      <c r="Y541" s="268">
        <v>1</v>
      </c>
      <c r="Z541" s="268">
        <v>1</v>
      </c>
      <c r="AA541" s="268">
        <v>1</v>
      </c>
      <c r="AB541" s="268">
        <v>1</v>
      </c>
      <c r="AC541" s="268">
        <v>1</v>
      </c>
      <c r="AD541" s="268">
        <v>1</v>
      </c>
      <c r="AE541" s="268">
        <v>1</v>
      </c>
      <c r="AF541" s="268">
        <v>1</v>
      </c>
      <c r="AG541" s="268">
        <v>1</v>
      </c>
      <c r="AH541" s="268">
        <v>1</v>
      </c>
      <c r="AI541" s="270">
        <v>1</v>
      </c>
      <c r="AJ541" s="268">
        <f>IF('Input &amp; Calc'!V575="","",IF('Input &amp; Calc'!DB575/'Input &amp; Calc'!DB550&gt;=0.9,1,IF('Input &amp; Calc'!DB575/'Input &amp; Calc'!DB550&lt;0.75,3,2)))</f>
        <v>1</v>
      </c>
      <c r="AK541" s="268">
        <f>IF('Input &amp; Calc'!W575="","",IF('Input &amp; Calc'!DC575/'Input &amp; Calc'!DC550&gt;=0.9,1,IF('Input &amp; Calc'!DC575/'Input &amp; Calc'!DC550&lt;0.75,3,2)))</f>
        <v>1</v>
      </c>
      <c r="AL541" s="268">
        <f>IF('Input &amp; Calc'!X575="","",IF('Input &amp; Calc'!DD575/'Input &amp; Calc'!DD550&gt;=0.9,1,IF('Input &amp; Calc'!DD575/'Input &amp; Calc'!DD550&lt;0.75,3,2)))</f>
        <v>1</v>
      </c>
      <c r="AM541" s="268">
        <f>IF('Input &amp; Calc'!Y575="","",IF('Input &amp; Calc'!DE575/'Input &amp; Calc'!DE550&gt;=0.9,1,IF('Input &amp; Calc'!DE575/'Input &amp; Calc'!DE550&lt;0.75,3,2)))</f>
        <v>1</v>
      </c>
      <c r="AN541" s="268">
        <f>IF('Input &amp; Calc'!Z575="","",IF('Input &amp; Calc'!DF575/'Input &amp; Calc'!DF550&gt;=0.9,1,IF('Input &amp; Calc'!DF575/'Input &amp; Calc'!DF550&lt;0.75,3,2)))</f>
        <v>1</v>
      </c>
      <c r="AO541" s="268">
        <f>IF('Input &amp; Calc'!AA575="","",IF('Input &amp; Calc'!DG575/'Input &amp; Calc'!DG550&gt;=0.9,1,IF('Input &amp; Calc'!DG575/'Input &amp; Calc'!DG550&lt;0.75,3,2)))</f>
        <v>1</v>
      </c>
      <c r="AP541" s="268">
        <f>IF('Input &amp; Calc'!AB575="","",IF('Input &amp; Calc'!DH575/'Input &amp; Calc'!DH550&gt;=0.9,1,IF('Input &amp; Calc'!DH575/'Input &amp; Calc'!DH550&lt;0.75,3,2)))</f>
        <v>1</v>
      </c>
      <c r="AQ541" s="268">
        <f>IF('Input &amp; Calc'!AC575="","",IF('Input &amp; Calc'!DI575/'Input &amp; Calc'!DI550&gt;=0.9,1,IF('Input &amp; Calc'!DI575/'Input &amp; Calc'!DI550&lt;0.75,3,2)))</f>
        <v>1</v>
      </c>
      <c r="AR541" s="268">
        <f>IF('Input &amp; Calc'!AD575="","",IF('Input &amp; Calc'!DJ575/'Input &amp; Calc'!DJ550&gt;=0.9,1,IF('Input &amp; Calc'!DJ575/'Input &amp; Calc'!DJ550&lt;0.75,3,2)))</f>
        <v>1</v>
      </c>
      <c r="AS541" s="268">
        <f>IF('Input &amp; Calc'!AE575="","",IF('Input &amp; Calc'!DK575/'Input &amp; Calc'!DK550&gt;=0.9,1,IF('Input &amp; Calc'!DK575/'Input &amp; Calc'!DK550&lt;0.75,3,2)))</f>
        <v>1</v>
      </c>
      <c r="AT541" s="268">
        <f>IF('Input &amp; Calc'!AF575="","",IF('Input &amp; Calc'!DL575/'Input &amp; Calc'!DL550&gt;=0.9,1,IF('Input &amp; Calc'!DL575/'Input &amp; Calc'!DL550&lt;0.75,3,2)))</f>
        <v>1</v>
      </c>
      <c r="AU541" s="268">
        <f>IF('Input &amp; Calc'!AG575="","",IF('Input &amp; Calc'!DM575/'Input &amp; Calc'!DM550&gt;=0.9,1,IF('Input &amp; Calc'!DM575/'Input &amp; Calc'!DM550&lt;0.75,3,2)))</f>
        <v>1</v>
      </c>
    </row>
    <row r="542" spans="1:47" ht="27.75" customHeight="1">
      <c r="A542" s="620" t="s">
        <v>198</v>
      </c>
      <c r="B542" s="551" t="s">
        <v>199</v>
      </c>
      <c r="C542" s="252">
        <f>IF(F542/E542&gt;0.899999999,1,IF(F542/E542&lt;0.75,3,2))</f>
        <v>1</v>
      </c>
      <c r="D542" s="46" t="str">
        <f>'Input &amp; Calc'!EO588</f>
        <v>Ç</v>
      </c>
      <c r="E542" s="489">
        <f>'Input &amp; Calc'!EE581</f>
        <v>0.3744394618834081</v>
      </c>
      <c r="F542" s="494">
        <f>'Input &amp; Calc'!EH588</f>
        <v>0.53191489361702127</v>
      </c>
      <c r="G542" s="558"/>
      <c r="H542" s="453" t="s">
        <v>16</v>
      </c>
      <c r="I542" s="559"/>
      <c r="J542" s="252">
        <f>IF(N542/M542&gt;0.899999999,1,IF(N542/M542&lt;0.75,3,2))</f>
        <v>1</v>
      </c>
      <c r="K542" s="46" t="str">
        <f>'Input &amp; Calc'!EP588</f>
        <v>Ç</v>
      </c>
      <c r="L542" s="490">
        <f>'Input &amp; Calc'!EF581</f>
        <v>0.3744394618834081</v>
      </c>
      <c r="M542" s="490">
        <f>L542</f>
        <v>0.3744394618834081</v>
      </c>
      <c r="N542" s="491">
        <f>'Input &amp; Calc'!EI588</f>
        <v>0.4</v>
      </c>
      <c r="O542" s="561"/>
      <c r="P542" s="252">
        <f>IF(S542/R542&gt;0.899999999,1,IF(S542/R542&lt;0.75,3,2))</f>
        <v>1</v>
      </c>
      <c r="Q542" s="491">
        <f>'Input &amp; Calc'!EG581</f>
        <v>0.3744394618834081</v>
      </c>
      <c r="R542" s="492">
        <f>Q542</f>
        <v>0.3744394618834081</v>
      </c>
      <c r="S542" s="493">
        <f>'Input &amp; Calc'!EJ588</f>
        <v>0.4</v>
      </c>
      <c r="T542" s="488">
        <f>+S542-R542</f>
        <v>2.5560538116591924E-2</v>
      </c>
      <c r="U542" s="455"/>
      <c r="V542" s="563">
        <f>$V$740</f>
        <v>1</v>
      </c>
      <c r="W542" s="476" t="str">
        <f>B542</f>
        <v>% of existing business new clients to initial clients</v>
      </c>
      <c r="X542" s="475">
        <v>1</v>
      </c>
      <c r="Y542" s="274">
        <v>1</v>
      </c>
      <c r="Z542" s="274">
        <v>1</v>
      </c>
      <c r="AA542" s="274">
        <v>1</v>
      </c>
      <c r="AB542" s="274">
        <v>1</v>
      </c>
      <c r="AC542" s="274">
        <v>1</v>
      </c>
      <c r="AD542" s="274">
        <v>1</v>
      </c>
      <c r="AE542" s="274">
        <v>1</v>
      </c>
      <c r="AF542" s="274">
        <v>1</v>
      </c>
      <c r="AG542" s="274">
        <v>1</v>
      </c>
      <c r="AH542" s="274">
        <v>1</v>
      </c>
      <c r="AI542" s="514">
        <v>1</v>
      </c>
      <c r="AJ542" s="274">
        <f>IF('Input &amp; Calc'!V588="","",IF('Input &amp; Calc'!DB581*0.9&lt;'Input &amp; Calc'!V588,1,IF('Input &amp; Calc'!DB581*0.75&gt;'Input &amp; Calc'!DB588,3,2)))</f>
        <v>3</v>
      </c>
      <c r="AK542" s="273">
        <f>IF('Input &amp; Calc'!W588="","",IF('Input &amp; Calc'!DC581*0.9&lt;'Input &amp; Calc'!W588,1,IF('Input &amp; Calc'!DC581*0.75&gt;'Input &amp; Calc'!DC588,3,2)))</f>
        <v>1</v>
      </c>
      <c r="AL542" s="273">
        <f>IF('Input &amp; Calc'!X588="","",IF('Input &amp; Calc'!DD581*0.9&lt;'Input &amp; Calc'!X588,1,IF('Input &amp; Calc'!DD581*0.75&gt;'Input &amp; Calc'!DD588,3,2)))</f>
        <v>1</v>
      </c>
      <c r="AM542" s="273">
        <f>IF('Input &amp; Calc'!Y588="","",IF('Input &amp; Calc'!DE581*0.9&lt;'Input &amp; Calc'!Y588,1,IF('Input &amp; Calc'!DE581*0.75&gt;'Input &amp; Calc'!DE588,3,2)))</f>
        <v>1</v>
      </c>
      <c r="AN542" s="273">
        <f>IF('Input &amp; Calc'!Z588="","",IF('Input &amp; Calc'!DF581*0.9&lt;'Input &amp; Calc'!Z588,1,IF('Input &amp; Calc'!DF581*0.75&gt;'Input &amp; Calc'!DF588,3,2)))</f>
        <v>1</v>
      </c>
      <c r="AO542" s="273">
        <f>IF('Input &amp; Calc'!AA588="","",IF('Input &amp; Calc'!DG581*0.9&lt;'Input &amp; Calc'!AA588,1,IF('Input &amp; Calc'!DG581*0.75&gt;'Input &amp; Calc'!DG588,3,2)))</f>
        <v>1</v>
      </c>
      <c r="AP542" s="273">
        <f>IF('Input &amp; Calc'!AB588="","",IF('Input &amp; Calc'!DH581*0.9&lt;'Input &amp; Calc'!AB588,1,IF('Input &amp; Calc'!DH581*0.75&gt;'Input &amp; Calc'!DH588,3,2)))</f>
        <v>1</v>
      </c>
      <c r="AQ542" s="273">
        <f>IF('Input &amp; Calc'!AC588="","",IF('Input &amp; Calc'!DI581*0.9&lt;'Input &amp; Calc'!AC588,1,IF('Input &amp; Calc'!DI581*0.75&gt;'Input &amp; Calc'!DI588,3,2)))</f>
        <v>1</v>
      </c>
      <c r="AR542" s="273">
        <f>IF('Input &amp; Calc'!AD588="","",IF('Input &amp; Calc'!DJ581*0.9&lt;'Input &amp; Calc'!AD588,1,IF('Input &amp; Calc'!DJ581*0.75&gt;'Input &amp; Calc'!DJ588,3,2)))</f>
        <v>1</v>
      </c>
      <c r="AS542" s="273">
        <f>IF('Input &amp; Calc'!AE588="","",IF('Input &amp; Calc'!DK581*0.9&lt;'Input &amp; Calc'!AE588,1,IF('Input &amp; Calc'!DK581*0.75&gt;'Input &amp; Calc'!DK588,3,2)))</f>
        <v>1</v>
      </c>
      <c r="AT542" s="273">
        <f>IF('Input &amp; Calc'!AF588="","",IF('Input &amp; Calc'!DL581*0.9&lt;'Input &amp; Calc'!AF588,1,IF('Input &amp; Calc'!DL581*0.75&gt;'Input &amp; Calc'!DL588,3,2)))</f>
        <v>1</v>
      </c>
      <c r="AU542" s="273">
        <v>1</v>
      </c>
    </row>
    <row r="543" spans="1:47">
      <c r="A543" s="620"/>
      <c r="B543" s="551" t="s">
        <v>200</v>
      </c>
      <c r="C543" s="252">
        <f>'Input &amp; Calc'!EQ903</f>
        <v>3</v>
      </c>
      <c r="D543" s="46" t="str">
        <f>'Input &amp; Calc'!EO903</f>
        <v>Ç</v>
      </c>
      <c r="E543" s="279">
        <v>3.8</v>
      </c>
      <c r="F543" s="279">
        <f>'Input &amp; Calc'!EH903</f>
        <v>2.3309401709401714</v>
      </c>
      <c r="G543" s="558"/>
      <c r="H543" s="453" t="s">
        <v>16</v>
      </c>
      <c r="I543" s="559"/>
      <c r="J543" s="252">
        <f>'Input &amp; Calc'!ER903</f>
        <v>3</v>
      </c>
      <c r="K543" s="46" t="str">
        <f>'Input &amp; Calc'!EP903</f>
        <v>È</v>
      </c>
      <c r="L543" s="279">
        <v>3.8</v>
      </c>
      <c r="M543" s="442">
        <v>3.8</v>
      </c>
      <c r="N543" s="388">
        <f>'Input &amp; Calc'!EI903</f>
        <v>2.1874782608695651</v>
      </c>
      <c r="O543" s="561"/>
      <c r="P543" s="252">
        <f>'Input &amp; Calc'!ES903</f>
        <v>3</v>
      </c>
      <c r="Q543" s="388">
        <v>3.8</v>
      </c>
      <c r="R543" s="442">
        <v>3.8</v>
      </c>
      <c r="S543" s="486">
        <f>'Input &amp; Calc'!EJ903</f>
        <v>2.1874782608695651</v>
      </c>
      <c r="T543" s="491">
        <f>S543/R543</f>
        <v>0.57565217391304346</v>
      </c>
      <c r="U543" s="456"/>
      <c r="V543" s="563">
        <f>$V$741</f>
        <v>3</v>
      </c>
      <c r="W543" s="476" t="str">
        <f>B543</f>
        <v>Average Hours/Client</v>
      </c>
      <c r="X543" s="269">
        <v>1</v>
      </c>
      <c r="Y543" s="268">
        <v>1</v>
      </c>
      <c r="Z543" s="268">
        <v>1</v>
      </c>
      <c r="AA543" s="268">
        <v>1</v>
      </c>
      <c r="AB543" s="268">
        <v>1</v>
      </c>
      <c r="AC543" s="268">
        <v>1</v>
      </c>
      <c r="AD543" s="268">
        <v>1</v>
      </c>
      <c r="AE543" s="268">
        <v>1</v>
      </c>
      <c r="AF543" s="268">
        <v>1</v>
      </c>
      <c r="AG543" s="268">
        <v>1</v>
      </c>
      <c r="AH543" s="268">
        <v>1</v>
      </c>
      <c r="AI543" s="270">
        <v>1</v>
      </c>
      <c r="AJ543" s="274">
        <f>IF('Input &amp; Calc'!V575="","",IF('Input &amp; Calc'!DB542/'Input &amp; Calc'!DB550*0.9/12*'Input &amp; Calc'!DB$51&lt;'Input &amp; Calc'!DB567/'Input &amp; Calc'!DB575,1,IF('Input &amp; Calc'!DB542/'Input &amp; Calc'!DB550*0.75/12*'Input &amp; Calc'!DB$51&gt;'Input &amp; Calc'!DB567/'Input &amp; Calc'!DB575,3,2)))</f>
        <v>1</v>
      </c>
      <c r="AK543" s="273">
        <f>IF('Input &amp; Calc'!W575="","",IF('Input &amp; Calc'!DC542/'Input &amp; Calc'!DC550*0.9/12*'Input &amp; Calc'!DC$51&lt;'Input &amp; Calc'!DC567/'Input &amp; Calc'!DC575,1,IF('Input &amp; Calc'!DC542/'Input &amp; Calc'!DC550*0.75/12*'Input &amp; Calc'!DC$51&gt;'Input &amp; Calc'!DC567/'Input &amp; Calc'!DC575,3,2)))</f>
        <v>1</v>
      </c>
      <c r="AL543" s="273">
        <f>IF('Input &amp; Calc'!X575="","",IF('Input &amp; Calc'!DD542/'Input &amp; Calc'!DD550*0.9/12*'Input &amp; Calc'!DD$51&lt;'Input &amp; Calc'!DD567/'Input &amp; Calc'!DD575,1,IF('Input &amp; Calc'!DD542/'Input &amp; Calc'!DD550*0.75/12*'Input &amp; Calc'!DD$51&gt;'Input &amp; Calc'!DD567/'Input &amp; Calc'!DD575,3,2)))</f>
        <v>1</v>
      </c>
      <c r="AM543" s="273">
        <f>IF('Input &amp; Calc'!Y575="","",IF('Input &amp; Calc'!DE542/'Input &amp; Calc'!DE550*0.9/12*'Input &amp; Calc'!DE$51&lt;'Input &amp; Calc'!DE567/'Input &amp; Calc'!DE575,1,IF('Input &amp; Calc'!DE542/'Input &amp; Calc'!DE550*0.75/12*'Input &amp; Calc'!DE$51&gt;'Input &amp; Calc'!DE567/'Input &amp; Calc'!DE575,3,2)))</f>
        <v>1</v>
      </c>
      <c r="AN543" s="273">
        <f>IF('Input &amp; Calc'!Z575="","",IF('Input &amp; Calc'!DF542/'Input &amp; Calc'!DF550*0.9/12*'Input &amp; Calc'!DF$51&lt;'Input &amp; Calc'!DF567/'Input &amp; Calc'!DF575,1,IF('Input &amp; Calc'!DF542/'Input &amp; Calc'!DF550*0.75/12*'Input &amp; Calc'!DF$51&gt;'Input &amp; Calc'!DF567/'Input &amp; Calc'!DF575,3,2)))</f>
        <v>1</v>
      </c>
      <c r="AO543" s="273">
        <f>IF('Input &amp; Calc'!AA575="","",IF('Input &amp; Calc'!DG542/'Input &amp; Calc'!DG550*0.9/12*'Input &amp; Calc'!DG$51&lt;'Input &amp; Calc'!DG567/'Input &amp; Calc'!DG575,1,IF('Input &amp; Calc'!DG542/'Input &amp; Calc'!DG550*0.75/12*'Input &amp; Calc'!DG$51&gt;'Input &amp; Calc'!DG567/'Input &amp; Calc'!DG575,3,2)))</f>
        <v>1</v>
      </c>
      <c r="AP543" s="273">
        <f>IF('Input &amp; Calc'!AB575="","",IF('Input &amp; Calc'!DH542/'Input &amp; Calc'!DH550*0.9/12*'Input &amp; Calc'!DH$51&lt;'Input &amp; Calc'!DH567/'Input &amp; Calc'!DH575,1,IF('Input &amp; Calc'!DH542/'Input &amp; Calc'!DH550*0.75/12*'Input &amp; Calc'!DH$51&gt;'Input &amp; Calc'!DH567/'Input &amp; Calc'!DH575,3,2)))</f>
        <v>1</v>
      </c>
      <c r="AQ543" s="273">
        <f>IF('Input &amp; Calc'!AC575="","",IF('Input &amp; Calc'!DI542/'Input &amp; Calc'!DI550*0.9/12*'Input &amp; Calc'!DI$51&lt;'Input &amp; Calc'!DI567/'Input &amp; Calc'!DI575,1,IF('Input &amp; Calc'!DI542/'Input &amp; Calc'!DI550*0.75/12*'Input &amp; Calc'!DI$51&gt;'Input &amp; Calc'!DI567/'Input &amp; Calc'!DI575,3,2)))</f>
        <v>1</v>
      </c>
      <c r="AR543" s="273">
        <f>IF('Input &amp; Calc'!AD575="","",IF('Input &amp; Calc'!DJ542/'Input &amp; Calc'!DJ550*0.9/12*'Input &amp; Calc'!DJ$51&lt;'Input &amp; Calc'!DJ567/'Input &amp; Calc'!DJ575,1,IF('Input &amp; Calc'!DJ542/'Input &amp; Calc'!DJ550*0.75/12*'Input &amp; Calc'!DJ$51&gt;'Input &amp; Calc'!DJ567/'Input &amp; Calc'!DJ575,3,2)))</f>
        <v>1</v>
      </c>
      <c r="AS543" s="273">
        <f>IF('Input &amp; Calc'!AE575="","",IF('Input &amp; Calc'!DK542/'Input &amp; Calc'!DK550*0.9/12*'Input &amp; Calc'!DK$51&lt;'Input &amp; Calc'!DK567/'Input &amp; Calc'!DK575,1,IF('Input &amp; Calc'!DK542/'Input &amp; Calc'!DK550*0.75/12*'Input &amp; Calc'!DK$51&gt;'Input &amp; Calc'!DK567/'Input &amp; Calc'!DK575,3,2)))</f>
        <v>1</v>
      </c>
      <c r="AT543" s="273">
        <f>IF('Input &amp; Calc'!AF575="","",IF('Input &amp; Calc'!DL542/'Input &amp; Calc'!DL550*0.9/12*'Input &amp; Calc'!DL$51&lt;'Input &amp; Calc'!DL567/'Input &amp; Calc'!DL575,1,IF('Input &amp; Calc'!DL542/'Input &amp; Calc'!DL550*0.75/12*'Input &amp; Calc'!DL$51&gt;'Input &amp; Calc'!DL567/'Input &amp; Calc'!DL575,3,2)))</f>
        <v>1</v>
      </c>
      <c r="AU543" s="273">
        <f>IF('Input &amp; Calc'!AG575="","",IF('Input &amp; Calc'!DM542/'Input &amp; Calc'!DM550*0.9/12*'Input &amp; Calc'!DM$51&gt;'Input &amp; Calc'!DM567/'Input &amp; Calc'!DM575,1,IF('Input &amp; Calc'!DM542/'Input &amp; Calc'!DM550*0.75/12*'Input &amp; Calc'!DM$51&lt;'Input &amp; Calc'!DM567/'Input &amp; Calc'!DM575,3,2)))</f>
        <v>3</v>
      </c>
    </row>
    <row r="544" spans="1:47">
      <c r="A544" s="470" t="s">
        <v>109</v>
      </c>
      <c r="B544" s="551" t="s">
        <v>201</v>
      </c>
      <c r="C544" s="521"/>
      <c r="D544" s="522"/>
      <c r="E544" s="529"/>
      <c r="F544" s="520"/>
      <c r="G544" s="558"/>
      <c r="H544" s="453" t="s">
        <v>16</v>
      </c>
      <c r="I544" s="559"/>
      <c r="J544" s="252">
        <f>IF(N544/M544&gt;0.899999999,1,IF(N544/M544&lt;0.75,3,2))</f>
        <v>3</v>
      </c>
      <c r="K544" s="46" t="str">
        <f>'Input &amp; Calc'!EP565</f>
        <v>Ç</v>
      </c>
      <c r="L544" s="490">
        <f>Q544</f>
        <v>0.95</v>
      </c>
      <c r="M544" s="490">
        <f>L544</f>
        <v>0.95</v>
      </c>
      <c r="N544" s="491">
        <f>'Input &amp; Calc'!EI565</f>
        <v>0.70842105263157895</v>
      </c>
      <c r="O544" s="561"/>
      <c r="P544" s="252">
        <f>IF(S544/R544&gt;0.899999999,1,IF(S544/R544&lt;0.75,3,2))</f>
        <v>1</v>
      </c>
      <c r="Q544" s="491">
        <f>'Input &amp; Calc'!EG540</f>
        <v>0.95</v>
      </c>
      <c r="R544" s="491">
        <f>Q544</f>
        <v>0.95</v>
      </c>
      <c r="S544" s="493">
        <f>'Input &amp; Calc'!EJ565</f>
        <v>0.95578947368421052</v>
      </c>
      <c r="T544" s="491">
        <f>S544-R544</f>
        <v>5.7894736842105665E-3</v>
      </c>
      <c r="U544" s="455"/>
      <c r="V544" s="563">
        <f>$V$742</f>
        <v>1</v>
      </c>
      <c r="W544" s="476" t="str">
        <f>B544</f>
        <v>Client satisfaction rating %</v>
      </c>
      <c r="X544" s="269">
        <v>3</v>
      </c>
      <c r="Y544" s="268">
        <v>1</v>
      </c>
      <c r="Z544" s="268">
        <v>1</v>
      </c>
      <c r="AA544" s="268">
        <v>1</v>
      </c>
      <c r="AB544" s="268">
        <v>1</v>
      </c>
      <c r="AC544" s="268">
        <v>1</v>
      </c>
      <c r="AD544" s="268">
        <v>1</v>
      </c>
      <c r="AE544" s="268">
        <v>1</v>
      </c>
      <c r="AF544" s="268">
        <v>1</v>
      </c>
      <c r="AG544" s="268">
        <v>1</v>
      </c>
      <c r="AH544" s="268">
        <v>1</v>
      </c>
      <c r="AI544" s="270">
        <v>1</v>
      </c>
      <c r="AJ544" s="268">
        <f>IF('Input &amp; Calc'!V565="","",IF('Input &amp; Calc'!DB540*0.9&lt;'Input &amp; Calc'!DB565,1,IF('Input &amp; Calc'!DB540*0.75&gt;'Input &amp; Calc'!DB565,3,2)))</f>
        <v>1</v>
      </c>
      <c r="AK544" s="268">
        <f>IF('Input &amp; Calc'!W565="","",IF('Input &amp; Calc'!DC540*0.9&lt;'Input &amp; Calc'!DC565,1,IF('Input &amp; Calc'!DC540*0.75&gt;'Input &amp; Calc'!DC565,3,2)))</f>
        <v>1</v>
      </c>
      <c r="AL544" s="268">
        <f>IF('Input &amp; Calc'!X565="","",IF('Input &amp; Calc'!DD540*0.9&lt;'Input &amp; Calc'!DD565,1,IF('Input &amp; Calc'!DD540*0.75&gt;'Input &amp; Calc'!DD565,3,2)))</f>
        <v>1</v>
      </c>
      <c r="AM544" s="268">
        <f>IF('Input &amp; Calc'!Y565="","",IF('Input &amp; Calc'!DE540*0.9&lt;'Input &amp; Calc'!DE565,1,IF('Input &amp; Calc'!DE540*0.75&gt;'Input &amp; Calc'!DE565,3,2)))</f>
        <v>1</v>
      </c>
      <c r="AN544" s="268">
        <f>IF('Input &amp; Calc'!Z565="","",IF('Input &amp; Calc'!DF540*0.9&lt;'Input &amp; Calc'!DF565,1,IF('Input &amp; Calc'!DF540*0.75&gt;'Input &amp; Calc'!DF565,3,2)))</f>
        <v>1</v>
      </c>
      <c r="AO544" s="268">
        <f>IF('Input &amp; Calc'!AA565="","",IF('Input &amp; Calc'!DG540*0.9&lt;'Input &amp; Calc'!DG565,1,IF('Input &amp; Calc'!DG540*0.75&gt;'Input &amp; Calc'!DG565,3,2)))</f>
        <v>1</v>
      </c>
      <c r="AP544" s="268">
        <f>IF('Input &amp; Calc'!AB565="","",IF('Input &amp; Calc'!DH540*0.9&lt;'Input &amp; Calc'!DH565,1,IF('Input &amp; Calc'!DH540*0.75&gt;'Input &amp; Calc'!DH565,3,2)))</f>
        <v>1</v>
      </c>
      <c r="AQ544" s="268">
        <f>IF('Input &amp; Calc'!AC565="","",IF('Input &amp; Calc'!DI540*0.9&lt;'Input &amp; Calc'!DI565,1,IF('Input &amp; Calc'!DI540*0.75&gt;'Input &amp; Calc'!DI565,3,2)))</f>
        <v>1</v>
      </c>
      <c r="AR544" s="268">
        <f>IF('Input &amp; Calc'!AD565="","",IF('Input &amp; Calc'!DJ540*0.9&lt;'Input &amp; Calc'!DJ565,1,IF('Input &amp; Calc'!DJ540*0.75&gt;'Input &amp; Calc'!DJ565,3,2)))</f>
        <v>1</v>
      </c>
      <c r="AS544" s="268">
        <f>IF('Input &amp; Calc'!AE565="","",IF('Input &amp; Calc'!DK540*0.9&lt;'Input &amp; Calc'!DK565,1,IF('Input &amp; Calc'!DK540*0.75&gt;'Input &amp; Calc'!DK565,3,2)))</f>
        <v>1</v>
      </c>
      <c r="AT544" s="268">
        <f>IF('Input &amp; Calc'!AF565="","",IF('Input &amp; Calc'!DL540*0.9&lt;'Input &amp; Calc'!DL565,1,IF('Input &amp; Calc'!DL540*0.75&gt;'Input &amp; Calc'!DL565,3,2)))</f>
        <v>1</v>
      </c>
      <c r="AU544" s="268">
        <f>IF('Input &amp; Calc'!AG565="","",IF('Input &amp; Calc'!DM540*0.9&lt;'Input &amp; Calc'!DM565,1,IF('Input &amp; Calc'!DM540*0.75&gt;'Input &amp; Calc'!DM565,3,2)))</f>
        <v>1</v>
      </c>
    </row>
    <row r="545" spans="1:47" s="465" customFormat="1">
      <c r="A545" s="620" t="s">
        <v>207</v>
      </c>
      <c r="B545" s="551" t="s">
        <v>227</v>
      </c>
      <c r="C545" s="523"/>
      <c r="D545" s="524"/>
      <c r="E545" s="525"/>
      <c r="F545" s="515">
        <f>'Input &amp; Calc'!EH857</f>
        <v>34</v>
      </c>
      <c r="G545" s="451"/>
      <c r="H545" s="453" t="s">
        <v>16</v>
      </c>
      <c r="I545" s="560"/>
      <c r="J545" s="521"/>
      <c r="K545" s="522"/>
      <c r="L545" s="530"/>
      <c r="M545" s="531"/>
      <c r="N545" s="516">
        <f>'Input &amp; Calc'!EI857</f>
        <v>42</v>
      </c>
      <c r="O545" s="562"/>
      <c r="P545" s="521"/>
      <c r="Q545" s="536"/>
      <c r="R545" s="537"/>
      <c r="S545" s="517">
        <f>'Input &amp; Calc'!EJ857</f>
        <v>42</v>
      </c>
      <c r="T545" s="542"/>
      <c r="U545" s="543"/>
      <c r="V545" s="544"/>
      <c r="W545" s="554" t="s">
        <v>227</v>
      </c>
      <c r="X545" s="271"/>
      <c r="Y545" s="268"/>
      <c r="Z545" s="268"/>
      <c r="AA545" s="268"/>
      <c r="AB545" s="268"/>
      <c r="AC545" s="268"/>
      <c r="AD545" s="268"/>
      <c r="AE545" s="268"/>
      <c r="AF545" s="268"/>
      <c r="AG545" s="268"/>
      <c r="AH545" s="268"/>
      <c r="AI545" s="270"/>
      <c r="AJ545" s="268"/>
      <c r="AK545" s="268"/>
      <c r="AL545" s="268"/>
      <c r="AM545" s="268"/>
      <c r="AN545" s="268"/>
      <c r="AO545" s="268"/>
      <c r="AP545" s="268"/>
      <c r="AQ545" s="268"/>
      <c r="AR545" s="268"/>
      <c r="AS545" s="268"/>
      <c r="AT545" s="268"/>
      <c r="AU545" s="268"/>
    </row>
    <row r="546" spans="1:47" s="465" customFormat="1">
      <c r="A546" s="620"/>
      <c r="B546" s="551" t="s">
        <v>228</v>
      </c>
      <c r="C546" s="523"/>
      <c r="D546" s="524"/>
      <c r="E546" s="525"/>
      <c r="F546" s="515">
        <f>'Input &amp; Calc'!EH873</f>
        <v>0</v>
      </c>
      <c r="G546" s="451"/>
      <c r="H546" s="453" t="s">
        <v>16</v>
      </c>
      <c r="I546" s="560"/>
      <c r="J546" s="523"/>
      <c r="K546" s="524"/>
      <c r="L546" s="532"/>
      <c r="M546" s="533"/>
      <c r="N546" s="516">
        <f>'Input &amp; Calc'!EI873</f>
        <v>0</v>
      </c>
      <c r="O546" s="562"/>
      <c r="P546" s="523"/>
      <c r="Q546" s="538"/>
      <c r="R546" s="539"/>
      <c r="S546" s="517">
        <f>'Input &amp; Calc'!EJ873</f>
        <v>0</v>
      </c>
      <c r="T546" s="545"/>
      <c r="U546" s="546"/>
      <c r="V546" s="547"/>
      <c r="W546" s="554" t="s">
        <v>228</v>
      </c>
      <c r="X546" s="271"/>
      <c r="Y546" s="268"/>
      <c r="Z546" s="268"/>
      <c r="AA546" s="268"/>
      <c r="AB546" s="268"/>
      <c r="AC546" s="268"/>
      <c r="AD546" s="268"/>
      <c r="AE546" s="268"/>
      <c r="AF546" s="268"/>
      <c r="AG546" s="268"/>
      <c r="AH546" s="268"/>
      <c r="AI546" s="270"/>
      <c r="AJ546" s="268"/>
      <c r="AK546" s="268"/>
      <c r="AL546" s="268"/>
      <c r="AM546" s="268"/>
      <c r="AN546" s="268"/>
      <c r="AO546" s="268"/>
      <c r="AP546" s="268"/>
      <c r="AQ546" s="268"/>
      <c r="AR546" s="268"/>
      <c r="AS546" s="268"/>
      <c r="AT546" s="268"/>
      <c r="AU546" s="268"/>
    </row>
    <row r="547" spans="1:47" s="465" customFormat="1">
      <c r="A547" s="620"/>
      <c r="B547" s="551" t="s">
        <v>234</v>
      </c>
      <c r="C547" s="526"/>
      <c r="D547" s="527"/>
      <c r="E547" s="528"/>
      <c r="F547" s="495">
        <f>'Input &amp; Calc'!EH888</f>
        <v>1.3109999999999997</v>
      </c>
      <c r="G547" s="451"/>
      <c r="H547" s="453" t="s">
        <v>16</v>
      </c>
      <c r="I547" s="560"/>
      <c r="J547" s="526"/>
      <c r="K547" s="527"/>
      <c r="L547" s="534"/>
      <c r="M547" s="535"/>
      <c r="N547" s="496">
        <f>'Input &amp; Calc'!EI888</f>
        <v>2.6309999999999998</v>
      </c>
      <c r="O547" s="562"/>
      <c r="P547" s="526"/>
      <c r="Q547" s="540"/>
      <c r="R547" s="541"/>
      <c r="S547" s="497">
        <f>'Input &amp; Calc'!EJ888</f>
        <v>2.6309999999999998</v>
      </c>
      <c r="T547" s="548"/>
      <c r="U547" s="549"/>
      <c r="V547" s="550"/>
      <c r="W547" s="554" t="s">
        <v>208</v>
      </c>
      <c r="X547" s="271"/>
      <c r="Y547" s="268"/>
      <c r="Z547" s="268"/>
      <c r="AA547" s="268"/>
      <c r="AB547" s="268"/>
      <c r="AC547" s="268"/>
      <c r="AD547" s="268"/>
      <c r="AE547" s="268"/>
      <c r="AF547" s="268"/>
      <c r="AG547" s="268"/>
      <c r="AH547" s="268"/>
      <c r="AI547" s="270"/>
      <c r="AJ547" s="268"/>
      <c r="AK547" s="268"/>
      <c r="AL547" s="268"/>
      <c r="AM547" s="268"/>
      <c r="AN547" s="268"/>
      <c r="AO547" s="268"/>
      <c r="AP547" s="268"/>
      <c r="AQ547" s="268"/>
      <c r="AR547" s="268"/>
      <c r="AS547" s="268"/>
      <c r="AT547" s="268"/>
      <c r="AU547" s="268"/>
    </row>
    <row r="548" spans="1:47" ht="16.5" thickBot="1">
      <c r="A548" s="86" t="s">
        <v>139</v>
      </c>
      <c r="B548" s="321"/>
      <c r="C548" s="645" t="s">
        <v>164</v>
      </c>
      <c r="D548" s="645"/>
      <c r="E548" s="87" t="s">
        <v>140</v>
      </c>
      <c r="F548" s="448"/>
      <c r="G548" s="448"/>
      <c r="H548" s="645" t="s">
        <v>165</v>
      </c>
      <c r="I548" s="645"/>
      <c r="J548" s="645"/>
      <c r="K548" s="88" t="s">
        <v>141</v>
      </c>
      <c r="L548" s="448"/>
      <c r="M548" s="448"/>
      <c r="N548" s="647" t="s">
        <v>166</v>
      </c>
      <c r="O548" s="647"/>
      <c r="P548" s="647"/>
      <c r="Q548" s="89" t="s">
        <v>142</v>
      </c>
      <c r="R548" s="257"/>
      <c r="S548" s="68"/>
      <c r="T548" s="68"/>
      <c r="U548" s="69"/>
      <c r="V548" s="69"/>
      <c r="W548" s="69"/>
      <c r="X548" s="464"/>
      <c r="Y548" s="464"/>
      <c r="Z548" s="464"/>
      <c r="AA548" s="464"/>
      <c r="AB548" s="464"/>
      <c r="AC548" s="464"/>
      <c r="AD548" s="464"/>
      <c r="AE548" s="464"/>
      <c r="AF548" s="464"/>
      <c r="AG548" s="464"/>
      <c r="AH548" s="464"/>
      <c r="AI548" s="464"/>
      <c r="AJ548" s="464"/>
      <c r="AK548" s="464"/>
      <c r="AL548" s="464"/>
      <c r="AM548" s="464"/>
      <c r="AN548" s="464"/>
      <c r="AO548" s="464"/>
      <c r="AP548" s="464"/>
      <c r="AQ548" s="464"/>
      <c r="AR548" s="464"/>
      <c r="AS548" s="464"/>
      <c r="AT548" s="464"/>
      <c r="AU548" s="464"/>
    </row>
    <row r="549" spans="1:47">
      <c r="A549" s="519" t="s">
        <v>229</v>
      </c>
    </row>
    <row r="550" spans="1:47" hidden="1"/>
    <row r="551" spans="1:47" hidden="1"/>
    <row r="552" spans="1:47" hidden="1"/>
    <row r="553" spans="1:47" hidden="1"/>
    <row r="554" spans="1:47" hidden="1"/>
    <row r="555" spans="1:47" hidden="1"/>
    <row r="556" spans="1:47" hidden="1"/>
    <row r="557" spans="1:47" hidden="1"/>
    <row r="558" spans="1:47" hidden="1"/>
    <row r="559" spans="1:47" hidden="1"/>
    <row r="560" spans="1:47"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spans="1:47" hidden="1"/>
    <row r="594" spans="1:47" hidden="1"/>
    <row r="595" spans="1:47">
      <c r="A595" s="76" t="s">
        <v>148</v>
      </c>
      <c r="B595" s="76"/>
      <c r="C595" s="77"/>
      <c r="D595" s="77"/>
      <c r="E595" s="78"/>
      <c r="F595" s="67"/>
      <c r="G595" s="77"/>
      <c r="H595" s="77"/>
      <c r="I595" s="77"/>
      <c r="J595" s="106" t="str">
        <f>'Input &amp; Calc'!A595</f>
        <v>St George SBDC</v>
      </c>
      <c r="K595" s="77"/>
      <c r="L595" s="78"/>
      <c r="M595" s="78"/>
      <c r="N595" s="77"/>
      <c r="O595" s="77"/>
      <c r="P595" s="67"/>
      <c r="Q595" s="105" t="s">
        <v>146</v>
      </c>
      <c r="R595" s="105"/>
      <c r="S595" s="106" t="str">
        <f>'Input &amp; Calc'!C595</f>
        <v>Len Erickson</v>
      </c>
      <c r="T595" s="79"/>
      <c r="U595" s="80"/>
      <c r="V595" s="80"/>
      <c r="W595" s="76"/>
      <c r="X595" s="469"/>
      <c r="Y595" s="469"/>
      <c r="Z595" s="469"/>
      <c r="AA595" s="469"/>
      <c r="AB595" s="469"/>
      <c r="AC595" s="469"/>
      <c r="AD595" s="469"/>
      <c r="AJ595" s="502" t="str">
        <f>J595</f>
        <v>St George SBDC</v>
      </c>
      <c r="AK595" s="502"/>
      <c r="AL595" s="502"/>
      <c r="AM595" s="503" t="s">
        <v>146</v>
      </c>
      <c r="AN595" s="502" t="str">
        <f>S595</f>
        <v>Len Erickson</v>
      </c>
      <c r="AP595" s="469"/>
      <c r="AQ595" s="464"/>
      <c r="AR595" s="464"/>
      <c r="AS595" s="464"/>
      <c r="AT595" s="464"/>
      <c r="AU595" s="464"/>
    </row>
    <row r="596" spans="1:47">
      <c r="A596" s="81" t="s">
        <v>205</v>
      </c>
      <c r="B596" s="322"/>
      <c r="C596" s="82"/>
      <c r="D596" s="82"/>
      <c r="E596" s="83"/>
      <c r="F596" s="82"/>
      <c r="G596" s="82"/>
      <c r="H596" s="82"/>
      <c r="I596" s="82"/>
      <c r="J596" s="82"/>
      <c r="K596" s="82"/>
      <c r="L596" s="83"/>
      <c r="M596" s="83"/>
      <c r="N596" s="82"/>
      <c r="O596" s="82"/>
      <c r="P596" s="84"/>
      <c r="Q596" s="82"/>
      <c r="R596" s="82"/>
      <c r="S596" s="82"/>
      <c r="T596" s="82"/>
      <c r="U596" s="128"/>
      <c r="V596" s="128"/>
      <c r="W596" s="322"/>
      <c r="X596" s="464"/>
      <c r="Y596" s="464"/>
      <c r="Z596" s="464"/>
      <c r="AA596" s="464"/>
      <c r="AB596" s="464"/>
      <c r="AC596" s="464"/>
      <c r="AD596" s="464"/>
      <c r="AE596" s="464"/>
      <c r="AF596" s="464"/>
      <c r="AG596" s="464"/>
      <c r="AH596" s="464"/>
      <c r="AI596" s="464"/>
      <c r="AJ596" s="464"/>
      <c r="AK596" s="464"/>
      <c r="AL596" s="464"/>
      <c r="AM596" s="464"/>
      <c r="AN596" s="464"/>
      <c r="AO596" s="464"/>
      <c r="AP596" s="464"/>
      <c r="AQ596" s="464"/>
      <c r="AR596" s="464"/>
      <c r="AS596" s="464"/>
      <c r="AT596" s="464"/>
      <c r="AU596" s="464"/>
    </row>
    <row r="597" spans="1:47" ht="16.5" thickBot="1"/>
    <row r="598" spans="1:47" ht="14.25" customHeight="1" thickBot="1">
      <c r="A598" s="96" t="s">
        <v>134</v>
      </c>
      <c r="B598" s="460"/>
      <c r="C598" s="90"/>
      <c r="D598" s="93" t="s">
        <v>238</v>
      </c>
      <c r="E598" s="94">
        <f>'Input &amp; Calc'!I595</f>
        <v>40391</v>
      </c>
      <c r="F598" s="95"/>
      <c r="G598" s="92"/>
      <c r="H598" s="92"/>
      <c r="I598" s="92"/>
      <c r="J598" s="90"/>
      <c r="K598" s="90"/>
      <c r="L598" s="93" t="s">
        <v>237</v>
      </c>
      <c r="M598" s="93"/>
      <c r="N598" s="463"/>
      <c r="O598" s="92"/>
      <c r="P598" s="90"/>
      <c r="Q598" s="90"/>
      <c r="R598" s="90"/>
      <c r="S598" s="91" t="s">
        <v>133</v>
      </c>
      <c r="T598" s="103">
        <f>'Input &amp; Calc'!EK595</f>
        <v>11</v>
      </c>
      <c r="U598" s="325" t="s">
        <v>159</v>
      </c>
      <c r="V598" s="104"/>
      <c r="W598" s="70"/>
      <c r="X598" s="70"/>
      <c r="Y598" s="70"/>
      <c r="Z598" s="70"/>
      <c r="AA598" s="70"/>
      <c r="AB598" s="70"/>
      <c r="AC598" s="70"/>
      <c r="AD598" s="70"/>
      <c r="AE598" s="70"/>
      <c r="AF598" s="70"/>
      <c r="AG598" s="70"/>
      <c r="AH598" s="70"/>
      <c r="AI598" s="70"/>
      <c r="AJ598" s="70"/>
      <c r="AK598" s="70"/>
      <c r="AL598" s="70"/>
      <c r="AM598" s="464"/>
      <c r="AN598" s="464"/>
      <c r="AO598" s="464"/>
      <c r="AP598" s="464"/>
      <c r="AQ598" s="464"/>
      <c r="AR598" s="464"/>
      <c r="AS598" s="464"/>
      <c r="AT598" s="464"/>
      <c r="AU598" s="464"/>
    </row>
    <row r="599" spans="1:47" ht="13.5" customHeight="1" thickBot="1">
      <c r="A599" s="636" t="s">
        <v>99</v>
      </c>
      <c r="B599" s="638" t="s">
        <v>100</v>
      </c>
      <c r="C599" s="621" t="s">
        <v>101</v>
      </c>
      <c r="D599" s="621" t="s">
        <v>104</v>
      </c>
      <c r="E599" s="643" t="s">
        <v>105</v>
      </c>
      <c r="F599" s="621" t="s">
        <v>106</v>
      </c>
      <c r="G599" s="449"/>
      <c r="H599" s="638" t="s">
        <v>137</v>
      </c>
      <c r="I599" s="449"/>
      <c r="J599" s="621" t="s">
        <v>101</v>
      </c>
      <c r="K599" s="621" t="s">
        <v>104</v>
      </c>
      <c r="L599" s="621" t="s">
        <v>192</v>
      </c>
      <c r="M599" s="638" t="s">
        <v>194</v>
      </c>
      <c r="N599" s="621" t="s">
        <v>193</v>
      </c>
      <c r="O599" s="449"/>
      <c r="P599" s="642" t="s">
        <v>101</v>
      </c>
      <c r="Q599" s="638" t="s">
        <v>102</v>
      </c>
      <c r="R599" s="638" t="s">
        <v>191</v>
      </c>
      <c r="S599" s="638" t="s">
        <v>103</v>
      </c>
      <c r="T599" s="639" t="s">
        <v>131</v>
      </c>
      <c r="U599" s="641" t="s">
        <v>209</v>
      </c>
      <c r="V599" s="623" t="s">
        <v>203</v>
      </c>
      <c r="W599" s="70"/>
      <c r="X599" s="464"/>
      <c r="Y599" s="464"/>
      <c r="Z599" s="464"/>
      <c r="AA599" s="640"/>
      <c r="AB599" s="640"/>
      <c r="AC599" s="640"/>
      <c r="AD599" s="640"/>
      <c r="AE599" s="640"/>
      <c r="AF599" s="640"/>
      <c r="AG599" s="640"/>
      <c r="AH599" s="640"/>
      <c r="AI599" s="640"/>
      <c r="AJ599" s="640"/>
      <c r="AK599" s="640"/>
      <c r="AL599" s="640"/>
      <c r="AM599" s="630" t="s">
        <v>149</v>
      </c>
      <c r="AN599" s="631"/>
      <c r="AO599" s="631"/>
      <c r="AP599" s="631"/>
      <c r="AQ599" s="631"/>
      <c r="AR599" s="631"/>
      <c r="AS599" s="631"/>
      <c r="AT599" s="631"/>
      <c r="AU599" s="632"/>
    </row>
    <row r="600" spans="1:47" ht="12.75" customHeight="1" thickBot="1">
      <c r="A600" s="637"/>
      <c r="B600" s="621"/>
      <c r="C600" s="622"/>
      <c r="D600" s="622"/>
      <c r="E600" s="644"/>
      <c r="F600" s="622"/>
      <c r="G600" s="449"/>
      <c r="H600" s="638"/>
      <c r="I600" s="449"/>
      <c r="J600" s="650"/>
      <c r="K600" s="622"/>
      <c r="L600" s="622"/>
      <c r="M600" s="638"/>
      <c r="N600" s="622"/>
      <c r="O600" s="449"/>
      <c r="P600" s="642"/>
      <c r="Q600" s="638"/>
      <c r="R600" s="638"/>
      <c r="S600" s="638"/>
      <c r="T600" s="639"/>
      <c r="U600" s="641"/>
      <c r="V600" s="624"/>
      <c r="W600" s="452" t="s">
        <v>100</v>
      </c>
      <c r="X600" s="473">
        <v>39630</v>
      </c>
      <c r="Y600" s="473">
        <v>39661</v>
      </c>
      <c r="Z600" s="473">
        <v>39692</v>
      </c>
      <c r="AA600" s="473">
        <v>39722</v>
      </c>
      <c r="AB600" s="473">
        <v>39753</v>
      </c>
      <c r="AC600" s="473">
        <v>39783</v>
      </c>
      <c r="AD600" s="473">
        <v>39814</v>
      </c>
      <c r="AE600" s="473">
        <v>39845</v>
      </c>
      <c r="AF600" s="473">
        <v>39873</v>
      </c>
      <c r="AG600" s="473">
        <v>39904</v>
      </c>
      <c r="AH600" s="473">
        <v>39934</v>
      </c>
      <c r="AI600" s="473">
        <v>39965</v>
      </c>
      <c r="AJ600" s="473">
        <v>39995</v>
      </c>
      <c r="AK600" s="473">
        <v>40026</v>
      </c>
      <c r="AL600" s="474">
        <v>40057</v>
      </c>
      <c r="AM600" s="471">
        <v>40087</v>
      </c>
      <c r="AN600" s="450">
        <v>40118</v>
      </c>
      <c r="AO600" s="450">
        <v>40148</v>
      </c>
      <c r="AP600" s="450">
        <v>40179</v>
      </c>
      <c r="AQ600" s="450">
        <v>40210</v>
      </c>
      <c r="AR600" s="450">
        <v>40238</v>
      </c>
      <c r="AS600" s="450">
        <v>40269</v>
      </c>
      <c r="AT600" s="450">
        <v>40299</v>
      </c>
      <c r="AU600" s="472">
        <v>40330</v>
      </c>
    </row>
    <row r="601" spans="1:47" ht="26.25">
      <c r="A601" s="470" t="s">
        <v>196</v>
      </c>
      <c r="B601" s="555" t="s">
        <v>132</v>
      </c>
      <c r="C601" s="252">
        <f>IF(F601/E601&gt;0.899999999,1,IF(F601/E601&gt;0.75,3,2))</f>
        <v>1</v>
      </c>
      <c r="D601" s="46" t="str">
        <f>'Input &amp; Calc'!EO622</f>
        <v>È</v>
      </c>
      <c r="E601" s="590">
        <f>'Input &amp; Calc'!EE599</f>
        <v>5.4166699999999963</v>
      </c>
      <c r="F601" s="567">
        <f>'Input &amp; Calc'!EH622</f>
        <v>5</v>
      </c>
      <c r="G601" s="591"/>
      <c r="H601" s="592" t="s">
        <v>16</v>
      </c>
      <c r="I601" s="593"/>
      <c r="J601" s="594">
        <f>IF(N601/M601&gt;0.899999999,1,IF(N601/M601&lt;0.75,3,2))</f>
        <v>2</v>
      </c>
      <c r="K601" s="595" t="str">
        <f>'Input &amp; Calc'!EP622</f>
        <v>È</v>
      </c>
      <c r="L601" s="589">
        <f>Q601/4</f>
        <v>16.250009166666661</v>
      </c>
      <c r="M601" s="589">
        <f>L601/3*$T$3</f>
        <v>10.833339444444441</v>
      </c>
      <c r="N601" s="565">
        <f>'Input &amp; Calc'!EI622</f>
        <v>9</v>
      </c>
      <c r="O601" s="596"/>
      <c r="P601" s="594">
        <f>IF(S601/R601&gt;0.899999999,1,IF(S601/R601&lt;0.75,3,2))</f>
        <v>1</v>
      </c>
      <c r="Q601" s="565">
        <f>'Input &amp; Calc'!EG599</f>
        <v>65.000036666666645</v>
      </c>
      <c r="R601" s="602">
        <f>Q601/12*$T$4</f>
        <v>59.583366944444421</v>
      </c>
      <c r="S601" s="566">
        <f>'Input &amp; Calc'!EJ622</f>
        <v>68</v>
      </c>
      <c r="T601" s="488">
        <f>S601/R601</f>
        <v>1.1412580974721227</v>
      </c>
      <c r="U601" s="455"/>
      <c r="V601" s="563">
        <f>$V$733</f>
        <v>1</v>
      </c>
      <c r="W601" s="554" t="str">
        <f>B601</f>
        <v># of Ext Engag Clients; &gt;5 Hrs contact since 10/05</v>
      </c>
      <c r="X601" s="268">
        <v>1</v>
      </c>
      <c r="Y601" s="268">
        <v>1</v>
      </c>
      <c r="Z601" s="268">
        <v>1</v>
      </c>
      <c r="AA601" s="268">
        <v>1</v>
      </c>
      <c r="AB601" s="268">
        <v>1</v>
      </c>
      <c r="AC601" s="268">
        <v>1</v>
      </c>
      <c r="AD601" s="268">
        <v>1</v>
      </c>
      <c r="AE601" s="268">
        <v>1</v>
      </c>
      <c r="AF601" s="268">
        <v>1</v>
      </c>
      <c r="AG601" s="268">
        <v>1</v>
      </c>
      <c r="AH601" s="268">
        <v>1</v>
      </c>
      <c r="AI601" s="268">
        <v>1</v>
      </c>
      <c r="AJ601" s="268">
        <f>IF('Input &amp; Calc'!V622="","",IF('Input &amp; Calc'!DB622/'Input &amp; Calc'!DB599&gt;=0.9,1,IF('Input &amp; Calc'!DB622/'Input &amp; Calc'!DB599&lt;0.75,3,2)))</f>
        <v>1</v>
      </c>
      <c r="AK601" s="268">
        <f>IF('Input &amp; Calc'!W622="","",IF('Input &amp; Calc'!DC622/'Input &amp; Calc'!DC599&gt;=0.9,1,IF('Input &amp; Calc'!DC622/'Input &amp; Calc'!DC599&lt;0.75,3,2)))</f>
        <v>1</v>
      </c>
      <c r="AL601" s="270">
        <f>IF('Input &amp; Calc'!X622="","",IF('Input &amp; Calc'!DD622/'Input &amp; Calc'!DD599&gt;=0.9,1,IF('Input &amp; Calc'!DD622/'Input &amp; Calc'!DD599&lt;0.75,3,2)))</f>
        <v>1</v>
      </c>
      <c r="AM601" s="268">
        <f>IF('Input &amp; Calc'!Y622="","",IF('Input &amp; Calc'!DE622/'Input &amp; Calc'!DE599&gt;=0.9,1,IF('Input &amp; Calc'!DE622/'Input &amp; Calc'!DE599&lt;0.75,3,2)))</f>
        <v>3</v>
      </c>
      <c r="AN601" s="268">
        <f>IF('Input &amp; Calc'!Z622="","",IF('Input &amp; Calc'!DF622/'Input &amp; Calc'!DF599&gt;=0.9,1,IF('Input &amp; Calc'!DF622/'Input &amp; Calc'!DF599&lt;0.75,3,2)))</f>
        <v>3</v>
      </c>
      <c r="AO601" s="271">
        <f>IF('Input &amp; Calc'!AA622="","",IF('Input &amp; Calc'!DG622/'Input &amp; Calc'!DG599&gt;=0.9,1,IF('Input &amp; Calc'!DG622/'Input &amp; Calc'!DG599&lt;0.75,3,2)))</f>
        <v>1</v>
      </c>
      <c r="AP601" s="271">
        <f>IF('Input &amp; Calc'!AB622="","",IF('Input &amp; Calc'!DH622/'Input &amp; Calc'!DH599&gt;=0.9,1,IF('Input &amp; Calc'!DH622/'Input &amp; Calc'!DH599&lt;0.75,3,2)))</f>
        <v>1</v>
      </c>
      <c r="AQ601" s="271">
        <f>IF('Input &amp; Calc'!AC622="","",IF('Input &amp; Calc'!DI622/'Input &amp; Calc'!DI599&gt;=0.9,1,IF('Input &amp; Calc'!DI622/'Input &amp; Calc'!DI599&lt;0.75,3,2)))</f>
        <v>1</v>
      </c>
      <c r="AR601" s="271">
        <f>IF('Input &amp; Calc'!AD622="","",IF('Input &amp; Calc'!DJ622/'Input &amp; Calc'!DJ599&gt;=0.9,1,IF('Input &amp; Calc'!DJ622/'Input &amp; Calc'!DJ599&lt;0.75,3,2)))</f>
        <v>1</v>
      </c>
      <c r="AS601" s="271">
        <f>IF('Input &amp; Calc'!AE622="","",IF('Input &amp; Calc'!DK622/'Input &amp; Calc'!DK599&gt;=0.9,1,IF('Input &amp; Calc'!DK622/'Input &amp; Calc'!DK599&lt;0.75,3,2)))</f>
        <v>1</v>
      </c>
      <c r="AT601" s="271">
        <f>IF('Input &amp; Calc'!AF622="","",IF('Input &amp; Calc'!DL622/'Input &amp; Calc'!DL599&gt;=0.9,1,IF('Input &amp; Calc'!DL622/'Input &amp; Calc'!DL599&lt;0.75,3,2)))</f>
        <v>1</v>
      </c>
      <c r="AU601" s="271">
        <f>IF('Input &amp; Calc'!AG622="","",IF('Input &amp; Calc'!DM622/'Input &amp; Calc'!DM599&gt;=0.9,1,IF('Input &amp; Calc'!DM622/'Input &amp; Calc'!DM599&lt;0.75,3,2)))</f>
        <v>1</v>
      </c>
    </row>
    <row r="602" spans="1:47">
      <c r="A602" s="633" t="s">
        <v>206</v>
      </c>
      <c r="B602" s="556" t="s">
        <v>107</v>
      </c>
      <c r="C602" s="252">
        <f>IF(F602/E602&gt;0.899999999,1,IF(F602/E602&lt;0.75,3,2))</f>
        <v>3</v>
      </c>
      <c r="D602" s="97" t="str">
        <f>'Input &amp; Calc'!EO624</f>
        <v>È</v>
      </c>
      <c r="E602" s="590">
        <f>'Input &amp; Calc'!EE601</f>
        <v>1.3333300000000001</v>
      </c>
      <c r="F602" s="567">
        <f>'Input &amp; Calc'!EH624</f>
        <v>0</v>
      </c>
      <c r="G602" s="591"/>
      <c r="H602" s="592" t="s">
        <v>16</v>
      </c>
      <c r="I602" s="593"/>
      <c r="J602" s="594">
        <f>IF(N602/M602&gt;0.899999999,1,IF(N602/M602&lt;0.75,3,2))</f>
        <v>2</v>
      </c>
      <c r="K602" s="597" t="str">
        <f>'Input &amp; Calc'!EP624</f>
        <v>Ç</v>
      </c>
      <c r="L602" s="589">
        <f>Q602/4</f>
        <v>3.9999908333333334</v>
      </c>
      <c r="M602" s="589">
        <f>L602/3*$T$3</f>
        <v>2.6666605555555556</v>
      </c>
      <c r="N602" s="565">
        <f>'Input &amp; Calc'!EI624</f>
        <v>2</v>
      </c>
      <c r="O602" s="596"/>
      <c r="P602" s="594">
        <f>IF(S602/R602&gt;0.899999999,1,IF(S602/R602&lt;0.75,3,2))</f>
        <v>2</v>
      </c>
      <c r="Q602" s="565">
        <f>'Input &amp; Calc'!EG601</f>
        <v>15.999963333333334</v>
      </c>
      <c r="R602" s="602">
        <f>Q602/12*$T$4</f>
        <v>14.666633055555556</v>
      </c>
      <c r="S602" s="566">
        <f>'Input &amp; Calc'!EJ624</f>
        <v>12</v>
      </c>
      <c r="T602" s="488">
        <f>S602/R602</f>
        <v>0.81818369318611506</v>
      </c>
      <c r="U602" s="455"/>
      <c r="V602" s="563">
        <f>$V$734</f>
        <v>1</v>
      </c>
      <c r="W602" s="554" t="str">
        <f>B602</f>
        <v># of Business Starts</v>
      </c>
      <c r="X602" s="268">
        <v>1</v>
      </c>
      <c r="Y602" s="268">
        <v>1</v>
      </c>
      <c r="Z602" s="268">
        <v>1</v>
      </c>
      <c r="AA602" s="268">
        <v>1</v>
      </c>
      <c r="AB602" s="272">
        <v>1</v>
      </c>
      <c r="AC602" s="272">
        <v>1</v>
      </c>
      <c r="AD602" s="272">
        <v>1</v>
      </c>
      <c r="AE602" s="272">
        <v>1</v>
      </c>
      <c r="AF602" s="272">
        <v>1</v>
      </c>
      <c r="AG602" s="272">
        <v>1</v>
      </c>
      <c r="AH602" s="272">
        <v>1</v>
      </c>
      <c r="AI602" s="272">
        <v>1</v>
      </c>
      <c r="AJ602" s="272">
        <f>IF('Input &amp; Calc'!V622="","",IF('Input &amp; Calc'!DB624/'Input &amp; Calc'!DB601&gt;=0.9,1,IF('Input &amp; Calc'!DB624/'Input &amp; Calc'!DB601&lt;0.75,3,2)))</f>
        <v>1</v>
      </c>
      <c r="AK602" s="272">
        <f>IF('Input &amp; Calc'!W622="","",IF('Input &amp; Calc'!DC624/'Input &amp; Calc'!DC601&gt;=0.9,1,IF('Input &amp; Calc'!DC624/'Input &amp; Calc'!DC601&lt;0.75,3,2)))</f>
        <v>1</v>
      </c>
      <c r="AL602" s="272">
        <f>IF('Input &amp; Calc'!X622="","",IF('Input &amp; Calc'!DD624/'Input &amp; Calc'!DD601&gt;=0.9,1,IF('Input &amp; Calc'!DD624/'Input &amp; Calc'!DD601&lt;0.75,3,2)))</f>
        <v>1</v>
      </c>
      <c r="AM602" s="272">
        <f>IF('Input &amp; Calc'!Y622="","",IF('Input &amp; Calc'!DE624/'Input &amp; Calc'!DE601&gt;=0.9,1,IF('Input &amp; Calc'!DE624/'Input &amp; Calc'!DE601&lt;0.75,3,2)))</f>
        <v>3</v>
      </c>
      <c r="AN602" s="272">
        <f>IF('Input &amp; Calc'!Z622="","",IF('Input &amp; Calc'!DF624/'Input &amp; Calc'!DF601&gt;=0.9,1,IF('Input &amp; Calc'!DF624/'Input &amp; Calc'!DF601&lt;0.75,3,2)))</f>
        <v>3</v>
      </c>
      <c r="AO602" s="272">
        <f>IF('Input &amp; Calc'!AA622="","",IF('Input &amp; Calc'!DG624/'Input &amp; Calc'!DG601&gt;=0.9,1,IF('Input &amp; Calc'!DG624/'Input &amp; Calc'!DG601&lt;0.75,3,2)))</f>
        <v>3</v>
      </c>
      <c r="AP602" s="272">
        <f>IF('Input &amp; Calc'!AB622="","",IF('Input &amp; Calc'!DH624/'Input &amp; Calc'!DH601&lt;=0.9,1,IF('Input &amp; Calc'!DH624/'Input &amp; Calc'!DH601&lt;0.75,3,2)))</f>
        <v>1</v>
      </c>
      <c r="AQ602" s="272">
        <f>IF('Input &amp; Calc'!AC622="","",IF('Input &amp; Calc'!DI624/'Input &amp; Calc'!DI601&lt;=0.9,1,IF('Input &amp; Calc'!DI624/'Input &amp; Calc'!DI601&lt;0.75,3,2)))</f>
        <v>1</v>
      </c>
      <c r="AR602" s="272">
        <f>IF('Input &amp; Calc'!AD622="","",IF('Input &amp; Calc'!DJ624/'Input &amp; Calc'!DJ601&gt;=0.9,1,IF('Input &amp; Calc'!DJ624/'Input &amp; Calc'!DJ601&lt;0.75,3,2)))</f>
        <v>1</v>
      </c>
      <c r="AS602" s="272">
        <f>IF('Input &amp; Calc'!AE622="","",IF('Input &amp; Calc'!DK624/'Input &amp; Calc'!DK601&gt;=0.9,1,IF('Input &amp; Calc'!DK624/'Input &amp; Calc'!DK601&lt;0.75,3,2)))</f>
        <v>1</v>
      </c>
      <c r="AT602" s="272">
        <f>IF('Input &amp; Calc'!AF622="","",IF('Input &amp; Calc'!DL624/'Input &amp; Calc'!DL601&gt;=0.9,1,IF('Input &amp; Calc'!DL624/'Input &amp; Calc'!DL601&lt;0.75,3,2)))</f>
        <v>1</v>
      </c>
      <c r="AU602" s="272">
        <v>2</v>
      </c>
    </row>
    <row r="603" spans="1:47" ht="16.5" thickBot="1">
      <c r="A603" s="634"/>
      <c r="B603" s="557" t="s">
        <v>138</v>
      </c>
      <c r="C603" s="252">
        <f>IF(F603/E603&gt;0.899999999,1,IF(F603/E603&lt;0.75,3,2))</f>
        <v>3</v>
      </c>
      <c r="D603" s="85" t="str">
        <f>'Input &amp; Calc'!EO625</f>
        <v>È</v>
      </c>
      <c r="E603" s="279">
        <f>'Input &amp; Calc'!EE602</f>
        <v>0.33333000000000013</v>
      </c>
      <c r="F603" s="485">
        <f>'Input &amp; Calc'!EH625</f>
        <v>1.4999999999965041E-4</v>
      </c>
      <c r="G603" s="458"/>
      <c r="H603" s="467" t="s">
        <v>16</v>
      </c>
      <c r="I603" s="459"/>
      <c r="J603" s="252">
        <f>IF(N603/M603&gt;0.899999999,1,IF(N603/M603&lt;0.75,3,2))</f>
        <v>3</v>
      </c>
      <c r="K603" s="85" t="str">
        <f>'Input &amp; Calc'!EP625</f>
        <v>Ç</v>
      </c>
      <c r="L603" s="442">
        <f>Q603/4</f>
        <v>0.99999083333333361</v>
      </c>
      <c r="M603" s="442">
        <f>L603/3*$T$3</f>
        <v>0.6666605555555557</v>
      </c>
      <c r="N603" s="388">
        <f>'Input &amp; Calc'!EI625</f>
        <v>0.49950000000000028</v>
      </c>
      <c r="O603" s="457"/>
      <c r="P603" s="252">
        <f>IF(S603/R603&gt;0.899999999,1,IF(S603/R603&lt;0.75,3,2))</f>
        <v>1</v>
      </c>
      <c r="Q603" s="389">
        <f>'Input &amp; Calc'!EG602</f>
        <v>3.9999633333333344</v>
      </c>
      <c r="R603" s="389">
        <f>Q603/12*$T$4</f>
        <v>3.6666330555555562</v>
      </c>
      <c r="S603" s="487">
        <f>'Input &amp; Calc'!EJ625</f>
        <v>5.54915</v>
      </c>
      <c r="T603" s="488">
        <f>S603/R603</f>
        <v>1.5134184184567143</v>
      </c>
      <c r="U603" s="468"/>
      <c r="V603" s="563">
        <f>$V$735</f>
        <v>1</v>
      </c>
      <c r="W603" s="554" t="str">
        <f>B603</f>
        <v>Capital Infusion $ - Million</v>
      </c>
      <c r="X603" s="275">
        <v>1</v>
      </c>
      <c r="Y603" s="275">
        <v>1</v>
      </c>
      <c r="Z603" s="275">
        <v>1</v>
      </c>
      <c r="AA603" s="275">
        <v>1</v>
      </c>
      <c r="AB603" s="323">
        <v>1</v>
      </c>
      <c r="AC603" s="323">
        <v>2</v>
      </c>
      <c r="AD603" s="323">
        <v>3</v>
      </c>
      <c r="AE603" s="323">
        <v>3</v>
      </c>
      <c r="AF603" s="323">
        <v>3</v>
      </c>
      <c r="AG603" s="323">
        <v>1</v>
      </c>
      <c r="AH603" s="323">
        <v>1</v>
      </c>
      <c r="AI603" s="323">
        <v>1</v>
      </c>
      <c r="AJ603" s="272">
        <f>IF('Input &amp; Calc'!V623="","",IF('Input &amp; Calc'!DB625/'Input &amp; Calc'!DB602&gt;=0.9,1,IF('Input &amp; Calc'!DB625/'Input &amp; Calc'!DB602&lt;0.75,3,2)))</f>
        <v>1</v>
      </c>
      <c r="AK603" s="272">
        <f>IF('Input &amp; Calc'!W623="","",IF('Input &amp; Calc'!DC625/'Input &amp; Calc'!DC602&gt;=0.9,1,IF('Input &amp; Calc'!DC625/'Input &amp; Calc'!DC602&lt;0.75,3,2)))</f>
        <v>1</v>
      </c>
      <c r="AL603" s="272">
        <f>IF('Input &amp; Calc'!X623="","",IF('Input &amp; Calc'!DD625/'Input &amp; Calc'!DD602&gt;=0.9,1,IF('Input &amp; Calc'!DD625/'Input &amp; Calc'!DD602&lt;0.75,3,2)))</f>
        <v>1</v>
      </c>
      <c r="AM603" s="272">
        <f>IF('Input &amp; Calc'!Y623="","",IF('Input &amp; Calc'!DE625/'Input &amp; Calc'!DE602&gt;=0.9,1,IF('Input &amp; Calc'!DE625/'Input &amp; Calc'!DE602&lt;0.75,3,2)))</f>
        <v>3</v>
      </c>
      <c r="AN603" s="272">
        <f>IF('Input &amp; Calc'!Z623="","",IF('Input &amp; Calc'!DF625/'Input &amp; Calc'!DF602&gt;=0.9,1,IF('Input &amp; Calc'!DF625/'Input &amp; Calc'!DF602&lt;0.75,3,2)))</f>
        <v>3</v>
      </c>
      <c r="AO603" s="272">
        <f>IF('Input &amp; Calc'!AA623="","",IF('Input &amp; Calc'!DG625/'Input &amp; Calc'!DG602&gt;=0.9,1,IF('Input &amp; Calc'!DG625/'Input &amp; Calc'!DG602&lt;0.75,3,2)))</f>
        <v>3</v>
      </c>
      <c r="AP603" s="272">
        <f>IF('Input &amp; Calc'!AB623="","",IF('Input &amp; Calc'!DH625/'Input &amp; Calc'!DH602&lt;=0.9,1,IF('Input &amp; Calc'!DH625/'Input &amp; Calc'!DH602&lt;0.75,3,2)))</f>
        <v>1</v>
      </c>
      <c r="AQ603" s="272">
        <f>IF('Input &amp; Calc'!AC623="","",IF('Input &amp; Calc'!DI625/'Input &amp; Calc'!DI602&gt;=0.9,1,IF('Input &amp; Calc'!DI625/'Input &amp; Calc'!DI602&lt;0.75,3,2)))</f>
        <v>1</v>
      </c>
      <c r="AR603" s="272">
        <f>IF('Input &amp; Calc'!AD623="","",IF('Input &amp; Calc'!DJ625/'Input &amp; Calc'!DJ602&gt;=0.9,1,IF('Input &amp; Calc'!DJ625/'Input &amp; Calc'!DJ602&lt;0.75,3,2)))</f>
        <v>1</v>
      </c>
      <c r="AS603" s="272">
        <f>IF('Input &amp; Calc'!AE623="","",IF('Input &amp; Calc'!DK625/'Input &amp; Calc'!DK602&gt;=0.9,1,IF('Input &amp; Calc'!DK625/'Input &amp; Calc'!DK602&lt;0.75,3,2)))</f>
        <v>1</v>
      </c>
      <c r="AT603" s="272">
        <f>IF('Input &amp; Calc'!AF623="","",IF('Input &amp; Calc'!DL625/'Input &amp; Calc'!DL602&gt;=0.9,1,IF('Input &amp; Calc'!DL625/'Input &amp; Calc'!DL602&lt;0.75,3,2)))</f>
        <v>1</v>
      </c>
      <c r="AU603" s="272">
        <f>IF('Input &amp; Calc'!AG623="","",IF('Input &amp; Calc'!DM625/'Input &amp; Calc'!DM602&gt;=0.9,1,IF('Input &amp; Calc'!DM625/'Input &amp; Calc'!DM602&lt;0.75,3,2)))</f>
        <v>1</v>
      </c>
    </row>
    <row r="604" spans="1:47" ht="14.25" customHeight="1" thickBot="1">
      <c r="A604" s="96" t="s">
        <v>135</v>
      </c>
      <c r="B604" s="460"/>
      <c r="C604" s="90"/>
      <c r="D604" s="93" t="s">
        <v>238</v>
      </c>
      <c r="E604" s="94">
        <f>'Input &amp; Calc'!$I$67</f>
        <v>40391</v>
      </c>
      <c r="F604" s="95"/>
      <c r="G604" s="461"/>
      <c r="H604" s="635" t="s">
        <v>130</v>
      </c>
      <c r="I604" s="635"/>
      <c r="J604" s="635"/>
      <c r="K604" s="635"/>
      <c r="L604" s="635"/>
      <c r="M604" s="635"/>
      <c r="N604" s="635"/>
      <c r="O604" s="461"/>
      <c r="P604" s="90"/>
      <c r="Q604" s="277"/>
      <c r="R604" s="277"/>
      <c r="S604" s="91" t="s">
        <v>136</v>
      </c>
      <c r="T604" s="278">
        <f>'Input &amp; Calc'!EK596</f>
        <v>2</v>
      </c>
      <c r="U604" s="325" t="s">
        <v>159</v>
      </c>
      <c r="V604" s="462"/>
      <c r="W604" s="392"/>
      <c r="X604" s="469"/>
      <c r="Y604" s="469"/>
      <c r="Z604" s="469"/>
      <c r="AA604" s="469"/>
      <c r="AB604" s="469"/>
      <c r="AC604" s="469"/>
      <c r="AD604" s="469"/>
      <c r="AE604" s="469"/>
      <c r="AF604" s="469"/>
      <c r="AG604" s="469"/>
      <c r="AH604" s="469"/>
      <c r="AI604" s="469"/>
      <c r="AJ604" s="469"/>
      <c r="AK604" s="469"/>
      <c r="AL604" s="469"/>
      <c r="AM604" s="469"/>
      <c r="AN604" s="469"/>
      <c r="AO604" s="469"/>
      <c r="AP604" s="469"/>
      <c r="AQ604" s="469"/>
      <c r="AR604" s="469"/>
      <c r="AS604" s="469"/>
      <c r="AT604" s="469"/>
      <c r="AU604" s="469"/>
    </row>
    <row r="605" spans="1:47" ht="12" customHeight="1" thickBot="1">
      <c r="A605" s="636" t="s">
        <v>99</v>
      </c>
      <c r="B605" s="638" t="s">
        <v>100</v>
      </c>
      <c r="C605" s="621" t="s">
        <v>101</v>
      </c>
      <c r="D605" s="621" t="s">
        <v>104</v>
      </c>
      <c r="E605" s="643" t="s">
        <v>105</v>
      </c>
      <c r="F605" s="621" t="s">
        <v>106</v>
      </c>
      <c r="G605" s="449"/>
      <c r="H605" s="638" t="s">
        <v>137</v>
      </c>
      <c r="I605" s="449"/>
      <c r="J605" s="621" t="s">
        <v>101</v>
      </c>
      <c r="K605" s="621" t="s">
        <v>104</v>
      </c>
      <c r="L605" s="621" t="s">
        <v>192</v>
      </c>
      <c r="M605" s="638" t="s">
        <v>194</v>
      </c>
      <c r="N605" s="621" t="s">
        <v>193</v>
      </c>
      <c r="O605" s="449"/>
      <c r="P605" s="642" t="s">
        <v>101</v>
      </c>
      <c r="Q605" s="638" t="s">
        <v>102</v>
      </c>
      <c r="R605" s="638" t="s">
        <v>191</v>
      </c>
      <c r="S605" s="638" t="s">
        <v>103</v>
      </c>
      <c r="T605" s="649" t="s">
        <v>108</v>
      </c>
      <c r="U605" s="641" t="s">
        <v>209</v>
      </c>
      <c r="V605" s="623" t="s">
        <v>203</v>
      </c>
      <c r="W605" s="393"/>
      <c r="X605" s="464"/>
      <c r="Y605" s="464"/>
      <c r="Z605" s="464"/>
      <c r="AA605" s="464"/>
      <c r="AB605" s="464"/>
      <c r="AC605" s="464"/>
      <c r="AD605" s="464"/>
      <c r="AE605" s="464"/>
      <c r="AF605" s="464"/>
      <c r="AG605" s="464"/>
      <c r="AH605" s="464"/>
      <c r="AI605" s="464"/>
      <c r="AJ605" s="464"/>
      <c r="AK605" s="464"/>
      <c r="AL605" s="464"/>
      <c r="AM605" s="464"/>
      <c r="AN605" s="464"/>
      <c r="AO605" s="464"/>
      <c r="AP605" s="464"/>
      <c r="AQ605" s="464"/>
      <c r="AR605" s="464"/>
      <c r="AS605" s="464"/>
      <c r="AT605" s="464"/>
      <c r="AU605" s="464"/>
    </row>
    <row r="606" spans="1:47" ht="15.75" customHeight="1" thickBot="1">
      <c r="A606" s="637"/>
      <c r="B606" s="621"/>
      <c r="C606" s="622"/>
      <c r="D606" s="622"/>
      <c r="E606" s="644"/>
      <c r="F606" s="622"/>
      <c r="G606" s="449"/>
      <c r="H606" s="638"/>
      <c r="I606" s="449"/>
      <c r="J606" s="622"/>
      <c r="K606" s="622"/>
      <c r="L606" s="622"/>
      <c r="M606" s="638"/>
      <c r="N606" s="622"/>
      <c r="O606" s="449"/>
      <c r="P606" s="642"/>
      <c r="Q606" s="638"/>
      <c r="R606" s="638"/>
      <c r="S606" s="638"/>
      <c r="T606" s="649"/>
      <c r="U606" s="641"/>
      <c r="V606" s="624"/>
      <c r="W606" s="564"/>
      <c r="X606" s="625" t="s">
        <v>150</v>
      </c>
      <c r="Y606" s="626"/>
      <c r="Z606" s="626"/>
      <c r="AA606" s="626"/>
      <c r="AB606" s="626"/>
      <c r="AC606" s="626"/>
      <c r="AD606" s="626"/>
      <c r="AE606" s="626"/>
      <c r="AF606" s="626"/>
      <c r="AG606" s="626"/>
      <c r="AH606" s="626"/>
      <c r="AI606" s="627"/>
      <c r="AJ606" s="625" t="s">
        <v>151</v>
      </c>
      <c r="AK606" s="626"/>
      <c r="AL606" s="626"/>
      <c r="AM606" s="626"/>
      <c r="AN606" s="626"/>
      <c r="AO606" s="626"/>
      <c r="AP606" s="626"/>
      <c r="AQ606" s="626"/>
      <c r="AR606" s="626"/>
      <c r="AS606" s="626"/>
      <c r="AT606" s="626"/>
      <c r="AU606" s="628"/>
    </row>
    <row r="607" spans="1:47" ht="25.5">
      <c r="A607" s="470" t="s">
        <v>197</v>
      </c>
      <c r="B607" s="551" t="s">
        <v>190</v>
      </c>
      <c r="C607" s="252">
        <f>IF(F607/E607&gt;0.899999999,1,IF(F607/E607&lt;0.75,3,2))</f>
        <v>3</v>
      </c>
      <c r="D607" s="46" t="str">
        <f>'Input &amp; Calc'!EO641</f>
        <v>È</v>
      </c>
      <c r="E607" s="590">
        <f>'Input &amp; Calc'!EE616</f>
        <v>37.5</v>
      </c>
      <c r="F607" s="567">
        <f>'Input &amp; Calc'!EH641</f>
        <v>14</v>
      </c>
      <c r="G607" s="598"/>
      <c r="H607" s="592" t="s">
        <v>16</v>
      </c>
      <c r="I607" s="599"/>
      <c r="J607" s="594">
        <f>IF(N607/M607&gt;0.899999999,1,IF(N607/M607&lt;0.75,3,2))</f>
        <v>1</v>
      </c>
      <c r="K607" s="600" t="str">
        <f>'Input &amp; Calc'!EP641</f>
        <v>Ç</v>
      </c>
      <c r="L607" s="589">
        <f>Q607/4</f>
        <v>56.25</v>
      </c>
      <c r="M607" s="589">
        <f>L607/3*$T$3</f>
        <v>37.5</v>
      </c>
      <c r="N607" s="565">
        <f>'Input &amp; Calc'!EI641</f>
        <v>53</v>
      </c>
      <c r="O607" s="601"/>
      <c r="P607" s="594">
        <f>IF(S607/R607&gt;0.899999999,1,IF(S607/R607&lt;0.75,3,2))</f>
        <v>1</v>
      </c>
      <c r="Q607" s="565">
        <f>'Input &amp; Calc'!EG616</f>
        <v>225</v>
      </c>
      <c r="R607" s="602">
        <f>Q607/12*$T$10</f>
        <v>37.5</v>
      </c>
      <c r="S607" s="566">
        <f>'Input &amp; Calc'!EJ641</f>
        <v>53</v>
      </c>
      <c r="T607" s="491">
        <f>S607/R607</f>
        <v>1.4133333333333333</v>
      </c>
      <c r="U607" s="454"/>
      <c r="V607" s="563">
        <f>$V$739</f>
        <v>1</v>
      </c>
      <c r="W607" s="476" t="str">
        <f>B607</f>
        <v># of Unique Clients YTD</v>
      </c>
      <c r="X607" s="269">
        <v>1</v>
      </c>
      <c r="Y607" s="268">
        <v>1</v>
      </c>
      <c r="Z607" s="268">
        <v>1</v>
      </c>
      <c r="AA607" s="268">
        <v>1</v>
      </c>
      <c r="AB607" s="268">
        <v>1</v>
      </c>
      <c r="AC607" s="268">
        <v>1</v>
      </c>
      <c r="AD607" s="268">
        <v>1</v>
      </c>
      <c r="AE607" s="268">
        <v>1</v>
      </c>
      <c r="AF607" s="268">
        <v>1</v>
      </c>
      <c r="AG607" s="268">
        <v>1</v>
      </c>
      <c r="AH607" s="268">
        <v>1</v>
      </c>
      <c r="AI607" s="270">
        <v>1</v>
      </c>
      <c r="AJ607" s="268">
        <f>IF('Input &amp; Calc'!V641="","",IF('Input &amp; Calc'!DB641/'Input &amp; Calc'!DB616&gt;=0.9,1,IF('Input &amp; Calc'!DB641/'Input &amp; Calc'!DB616&lt;0.75,3,2)))</f>
        <v>2</v>
      </c>
      <c r="AK607" s="268">
        <f>IF('Input &amp; Calc'!W641="","",IF('Input &amp; Calc'!DC641/'Input &amp; Calc'!DC616&gt;=0.9,1,IF('Input &amp; Calc'!DC641/'Input &amp; Calc'!DC616&lt;0.75,3,2)))</f>
        <v>3</v>
      </c>
      <c r="AL607" s="268">
        <f>IF('Input &amp; Calc'!X641="","",IF('Input &amp; Calc'!DD641/'Input &amp; Calc'!DD616&gt;=0.9,1,IF('Input &amp; Calc'!DD641/'Input &amp; Calc'!DD616&lt;0.75,3,2)))</f>
        <v>1</v>
      </c>
      <c r="AM607" s="268">
        <f>IF('Input &amp; Calc'!Y641="","",IF('Input &amp; Calc'!DE641/'Input &amp; Calc'!DE616&gt;=0.9,1,IF('Input &amp; Calc'!DE641/'Input &amp; Calc'!DE616&lt;0.75,3,2)))</f>
        <v>1</v>
      </c>
      <c r="AN607" s="268">
        <f>IF('Input &amp; Calc'!Z641="","",IF('Input &amp; Calc'!DF641/'Input &amp; Calc'!DF616&gt;=0.9,1,IF('Input &amp; Calc'!DF641/'Input &amp; Calc'!DF616&lt;0.75,3,2)))</f>
        <v>1</v>
      </c>
      <c r="AO607" s="268">
        <f>IF('Input &amp; Calc'!AA641="","",IF('Input &amp; Calc'!DG641/'Input &amp; Calc'!DG616&gt;=0.9,1,IF('Input &amp; Calc'!DG641/'Input &amp; Calc'!DG616&lt;0.75,3,2)))</f>
        <v>1</v>
      </c>
      <c r="AP607" s="268">
        <f>IF('Input &amp; Calc'!AB641="","",IF('Input &amp; Calc'!DH641/'Input &amp; Calc'!DH616&gt;=0.9,1,IF('Input &amp; Calc'!DH641/'Input &amp; Calc'!DH616&lt;0.75,3,2)))</f>
        <v>1</v>
      </c>
      <c r="AQ607" s="268">
        <f>IF('Input &amp; Calc'!AC641="","",IF('Input &amp; Calc'!DI641/'Input &amp; Calc'!DI616&gt;=0.9,1,IF('Input &amp; Calc'!DI641/'Input &amp; Calc'!DI616&lt;0.75,3,2)))</f>
        <v>1</v>
      </c>
      <c r="AR607" s="268">
        <f>IF('Input &amp; Calc'!AD641="","",IF('Input &amp; Calc'!DJ641/'Input &amp; Calc'!DJ616&gt;=0.9,1,IF('Input &amp; Calc'!DJ641/'Input &amp; Calc'!DJ616&lt;0.75,3,2)))</f>
        <v>1</v>
      </c>
      <c r="AS607" s="268">
        <f>IF('Input &amp; Calc'!AE641="","",IF('Input &amp; Calc'!DK641/'Input &amp; Calc'!DK616&gt;=0.9,1,IF('Input &amp; Calc'!DK641/'Input &amp; Calc'!DK616&lt;0.75,3,2)))</f>
        <v>1</v>
      </c>
      <c r="AT607" s="268">
        <f>IF('Input &amp; Calc'!AF641="","",IF('Input &amp; Calc'!DL641/'Input &amp; Calc'!DL616&gt;=0.9,1,IF('Input &amp; Calc'!DL641/'Input &amp; Calc'!DL616&lt;0.75,3,2)))</f>
        <v>1</v>
      </c>
      <c r="AU607" s="268">
        <f>IF('Input &amp; Calc'!AG641="","",IF('Input &amp; Calc'!DM641/'Input &amp; Calc'!DM616&gt;=0.9,1,IF('Input &amp; Calc'!DM641/'Input &amp; Calc'!DM616&lt;0.75,3,2)))</f>
        <v>1</v>
      </c>
    </row>
    <row r="608" spans="1:47" ht="27.75" customHeight="1">
      <c r="A608" s="620" t="s">
        <v>198</v>
      </c>
      <c r="B608" s="551" t="s">
        <v>199</v>
      </c>
      <c r="C608" s="252">
        <f>IF(F608/E608&gt;0.899999999,1,IF(F608/E608&lt;0.75,3,2))</f>
        <v>2</v>
      </c>
      <c r="D608" s="46" t="str">
        <f>'Input &amp; Calc'!EO654</f>
        <v>È</v>
      </c>
      <c r="E608" s="489">
        <f>'Input &amp; Calc'!EE647</f>
        <v>0.5</v>
      </c>
      <c r="F608" s="494">
        <f>'Input &amp; Calc'!EH654</f>
        <v>0.4</v>
      </c>
      <c r="G608" s="558"/>
      <c r="H608" s="453" t="s">
        <v>16</v>
      </c>
      <c r="I608" s="559"/>
      <c r="J608" s="252">
        <f>IF(N608/M608&gt;0.899999999,1,IF(N608/M608&lt;0.75,3,2))</f>
        <v>2</v>
      </c>
      <c r="K608" s="46" t="str">
        <f>'Input &amp; Calc'!EP654</f>
        <v>È</v>
      </c>
      <c r="L608" s="490">
        <f>'Input &amp; Calc'!EF647</f>
        <v>0.5</v>
      </c>
      <c r="M608" s="490">
        <f>L608</f>
        <v>0.5</v>
      </c>
      <c r="N608" s="491">
        <f>'Input &amp; Calc'!EI654</f>
        <v>0.44444444444444442</v>
      </c>
      <c r="O608" s="561"/>
      <c r="P608" s="252">
        <f>IF(S608/R608&gt;0.899999999,1,IF(S608/R608&lt;0.75,3,2))</f>
        <v>2</v>
      </c>
      <c r="Q608" s="491">
        <f>'Input &amp; Calc'!EG647</f>
        <v>0.5</v>
      </c>
      <c r="R608" s="492">
        <f>Q608</f>
        <v>0.5</v>
      </c>
      <c r="S608" s="493">
        <f>'Input &amp; Calc'!EJ654</f>
        <v>0.44444444444444442</v>
      </c>
      <c r="T608" s="488">
        <f>+S608-R608</f>
        <v>-5.555555555555558E-2</v>
      </c>
      <c r="U608" s="455"/>
      <c r="V608" s="563">
        <f>$V$740</f>
        <v>1</v>
      </c>
      <c r="W608" s="476" t="str">
        <f>B608</f>
        <v>% of existing business new clients to initial clients</v>
      </c>
      <c r="X608" s="475">
        <v>1</v>
      </c>
      <c r="Y608" s="274">
        <v>1</v>
      </c>
      <c r="Z608" s="274">
        <v>1</v>
      </c>
      <c r="AA608" s="274">
        <v>1</v>
      </c>
      <c r="AB608" s="274">
        <v>1</v>
      </c>
      <c r="AC608" s="274">
        <v>1</v>
      </c>
      <c r="AD608" s="274">
        <v>1</v>
      </c>
      <c r="AE608" s="274">
        <v>1</v>
      </c>
      <c r="AF608" s="274">
        <v>1</v>
      </c>
      <c r="AG608" s="274">
        <v>1</v>
      </c>
      <c r="AH608" s="274">
        <v>1</v>
      </c>
      <c r="AI608" s="514">
        <v>1</v>
      </c>
      <c r="AJ608" s="274">
        <f>IF('Input &amp; Calc'!V654="","",IF('Input &amp; Calc'!DB647*0.9&lt;'Input &amp; Calc'!V654,1,IF('Input &amp; Calc'!DB647*0.75&gt;'Input &amp; Calc'!DB654,3,2)))</f>
        <v>1</v>
      </c>
      <c r="AK608" s="273">
        <f>IF('Input &amp; Calc'!W654="","",IF('Input &amp; Calc'!DC647*0.9&lt;'Input &amp; Calc'!W654,1,IF('Input &amp; Calc'!DC647*0.75&gt;'Input &amp; Calc'!DC654,3,2)))</f>
        <v>1</v>
      </c>
      <c r="AL608" s="273">
        <f>IF('Input &amp; Calc'!X654="","",IF('Input &amp; Calc'!DD647*0.9&lt;'Input &amp; Calc'!X654,1,IF('Input &amp; Calc'!DD647*0.75&gt;'Input &amp; Calc'!DD654,3,2)))</f>
        <v>1</v>
      </c>
      <c r="AM608" s="273">
        <f>IF('Input &amp; Calc'!Y654="","",IF('Input &amp; Calc'!DE647*0.9&lt;'Input &amp; Calc'!Y654,1,IF('Input &amp; Calc'!DE647*0.75&gt;'Input &amp; Calc'!DE654,3,2)))</f>
        <v>1</v>
      </c>
      <c r="AN608" s="273">
        <f>IF('Input &amp; Calc'!Z654="","",IF('Input &amp; Calc'!DF647*0.9&lt;'Input &amp; Calc'!Z654,1,IF('Input &amp; Calc'!DF647*0.75&gt;'Input &amp; Calc'!DF654,3,2)))</f>
        <v>1</v>
      </c>
      <c r="AO608" s="273">
        <f>IF('Input &amp; Calc'!AA654="","",IF('Input &amp; Calc'!DG647*0.9&lt;'Input &amp; Calc'!AA654,1,IF('Input &amp; Calc'!DG647*0.75&gt;'Input &amp; Calc'!DG654,3,2)))</f>
        <v>1</v>
      </c>
      <c r="AP608" s="273">
        <f>IF('Input &amp; Calc'!AB654="","",IF('Input &amp; Calc'!DH647*0.9&lt;'Input &amp; Calc'!AB654,1,IF('Input &amp; Calc'!DH647*0.75&gt;'Input &amp; Calc'!DH654,3,2)))</f>
        <v>1</v>
      </c>
      <c r="AQ608" s="273">
        <f>IF('Input &amp; Calc'!AC654="","",IF('Input &amp; Calc'!DI647*0.9&lt;'Input &amp; Calc'!AC654,1,IF('Input &amp; Calc'!DI647*0.75&gt;'Input &amp; Calc'!DI654,3,2)))</f>
        <v>2</v>
      </c>
      <c r="AR608" s="273">
        <f>IF('Input &amp; Calc'!AD654="","",IF('Input &amp; Calc'!DJ647*0.9&lt;'Input &amp; Calc'!AD654,1,IF('Input &amp; Calc'!DJ647*0.75&gt;'Input &amp; Calc'!DJ654,3,2)))</f>
        <v>2</v>
      </c>
      <c r="AS608" s="273">
        <f>IF('Input &amp; Calc'!AE654="","",IF('Input &amp; Calc'!DK647*0.9&lt;'Input &amp; Calc'!AE654,1,IF('Input &amp; Calc'!DK647*0.75&gt;'Input &amp; Calc'!DK654,3,2)))</f>
        <v>2</v>
      </c>
      <c r="AT608" s="273">
        <f>IF('Input &amp; Calc'!AF654="","",IF('Input &amp; Calc'!DL647*0.9&lt;'Input &amp; Calc'!AF654,1,IF('Input &amp; Calc'!DL647*0.75&gt;'Input &amp; Calc'!DL654,3,2)))</f>
        <v>2</v>
      </c>
      <c r="AU608" s="273">
        <v>2</v>
      </c>
    </row>
    <row r="609" spans="1:47">
      <c r="A609" s="620"/>
      <c r="B609" s="551" t="s">
        <v>200</v>
      </c>
      <c r="C609" s="252">
        <f>'Input &amp; Calc'!EQ904</f>
        <v>1</v>
      </c>
      <c r="D609" s="46" t="str">
        <f>'Input &amp; Calc'!EO904</f>
        <v>Ç</v>
      </c>
      <c r="E609" s="279">
        <v>6.9</v>
      </c>
      <c r="F609" s="279">
        <f>'Input &amp; Calc'!EH904</f>
        <v>10.428571428571432</v>
      </c>
      <c r="G609" s="558"/>
      <c r="H609" s="453" t="s">
        <v>16</v>
      </c>
      <c r="I609" s="559"/>
      <c r="J609" s="252">
        <f>'Input &amp; Calc'!ER904</f>
        <v>1</v>
      </c>
      <c r="K609" s="46" t="str">
        <f>'Input &amp; Calc'!EP904</f>
        <v>Ç</v>
      </c>
      <c r="L609" s="279">
        <v>6.9</v>
      </c>
      <c r="M609" s="442">
        <v>6.9</v>
      </c>
      <c r="N609" s="388">
        <f>'Input &amp; Calc'!EI904</f>
        <v>10.093396226415095</v>
      </c>
      <c r="O609" s="561"/>
      <c r="P609" s="252">
        <f>'Input &amp; Calc'!ES904</f>
        <v>1</v>
      </c>
      <c r="Q609" s="388">
        <v>6.9</v>
      </c>
      <c r="R609" s="442">
        <v>6.9</v>
      </c>
      <c r="S609" s="486">
        <f>'Input &amp; Calc'!EJ904</f>
        <v>10.093396226415095</v>
      </c>
      <c r="T609" s="491">
        <f>S609/R609</f>
        <v>1.4628110473065354</v>
      </c>
      <c r="U609" s="456"/>
      <c r="V609" s="563">
        <f>$V$741</f>
        <v>3</v>
      </c>
      <c r="W609" s="476" t="str">
        <f>B609</f>
        <v>Average Hours/Client</v>
      </c>
      <c r="X609" s="269">
        <v>1</v>
      </c>
      <c r="Y609" s="268">
        <v>1</v>
      </c>
      <c r="Z609" s="268">
        <v>1</v>
      </c>
      <c r="AA609" s="268">
        <v>1</v>
      </c>
      <c r="AB609" s="268">
        <v>1</v>
      </c>
      <c r="AC609" s="268">
        <v>1</v>
      </c>
      <c r="AD609" s="268">
        <v>1</v>
      </c>
      <c r="AE609" s="268">
        <v>1</v>
      </c>
      <c r="AF609" s="268">
        <v>1</v>
      </c>
      <c r="AG609" s="268">
        <v>1</v>
      </c>
      <c r="AH609" s="268">
        <v>1</v>
      </c>
      <c r="AI609" s="270">
        <v>1</v>
      </c>
      <c r="AJ609" s="274">
        <f>IF('Input &amp; Calc'!V641="","",IF('Input &amp; Calc'!DB608/'Input &amp; Calc'!DB616*0.9/12*'Input &amp; Calc'!DB$51&lt;'Input &amp; Calc'!DB633/'Input &amp; Calc'!DB641,1,IF('Input &amp; Calc'!DB608/'Input &amp; Calc'!DB616*0.75/12*'Input &amp; Calc'!DB$51&gt;'Input &amp; Calc'!DB633/'Input &amp; Calc'!DB641,3,2)))</f>
        <v>1</v>
      </c>
      <c r="AK609" s="273">
        <f>IF('Input &amp; Calc'!W641="","",IF('Input &amp; Calc'!DC608/'Input &amp; Calc'!DC616*0.9/12*'Input &amp; Calc'!DC$51&lt;'Input &amp; Calc'!DC633/'Input &amp; Calc'!DC641,1,IF('Input &amp; Calc'!DC608/'Input &amp; Calc'!DC616*0.75/12*'Input &amp; Calc'!DC$51&gt;'Input &amp; Calc'!DC633/'Input &amp; Calc'!DC641,3,2)))</f>
        <v>1</v>
      </c>
      <c r="AL609" s="273">
        <f>IF('Input &amp; Calc'!X641="","",IF('Input &amp; Calc'!DD608/'Input &amp; Calc'!DD616*0.9/12*'Input &amp; Calc'!DD$51&lt;'Input &amp; Calc'!DD633/'Input &amp; Calc'!DD641,1,IF('Input &amp; Calc'!DD608/'Input &amp; Calc'!DD616*0.75/12*'Input &amp; Calc'!DD$51&gt;'Input &amp; Calc'!DD633/'Input &amp; Calc'!DD641,3,2)))</f>
        <v>1</v>
      </c>
      <c r="AM609" s="273">
        <f>IF('Input &amp; Calc'!Y641="","",IF('Input &amp; Calc'!DE608/'Input &amp; Calc'!DE616*0.9/12*'Input &amp; Calc'!DE$51&lt;'Input &amp; Calc'!DE633/'Input &amp; Calc'!DE641,1,IF('Input &amp; Calc'!DE608/'Input &amp; Calc'!DE616*0.75/12*'Input &amp; Calc'!DE$51&gt;'Input &amp; Calc'!DE633/'Input &amp; Calc'!DE641,3,2)))</f>
        <v>1</v>
      </c>
      <c r="AN609" s="273">
        <f>IF('Input &amp; Calc'!Z641="","",IF('Input &amp; Calc'!DF608/'Input &amp; Calc'!DF616*0.9/12*'Input &amp; Calc'!DF$51&lt;'Input &amp; Calc'!DF633/'Input &amp; Calc'!DF641,1,IF('Input &amp; Calc'!DF608/'Input &amp; Calc'!DF616*0.75/12*'Input &amp; Calc'!DF$51&gt;'Input &amp; Calc'!DF633/'Input &amp; Calc'!DF641,3,2)))</f>
        <v>1</v>
      </c>
      <c r="AO609" s="273">
        <f>IF('Input &amp; Calc'!AA641="","",IF('Input &amp; Calc'!DG608/'Input &amp; Calc'!DG616*0.9/12*'Input &amp; Calc'!DG$51&lt;'Input &amp; Calc'!DG633/'Input &amp; Calc'!DG641,1,IF('Input &amp; Calc'!DG608/'Input &amp; Calc'!DG616*0.75/12*'Input &amp; Calc'!DG$51&lt;'Input &amp; Calc'!DG633/'Input &amp; Calc'!DG641,3,2)))</f>
        <v>1</v>
      </c>
      <c r="AP609" s="273">
        <f>IF('Input &amp; Calc'!AB641="","",IF('Input &amp; Calc'!DH608/'Input &amp; Calc'!DH616*0.9/12*'Input &amp; Calc'!DH$51&lt;'Input &amp; Calc'!DH633/'Input &amp; Calc'!DH641,1,IF('Input &amp; Calc'!DH608/'Input &amp; Calc'!DH616*0.75/12*'Input &amp; Calc'!DH$51&lt;'Input &amp; Calc'!DH633/'Input &amp; Calc'!DH641,3,2)))</f>
        <v>1</v>
      </c>
      <c r="AQ609" s="273">
        <f>IF('Input &amp; Calc'!AC641="","",IF('Input &amp; Calc'!DI608/'Input &amp; Calc'!DI616*0.9/12*'Input &amp; Calc'!DI$51&lt;'Input &amp; Calc'!DI633/'Input &amp; Calc'!DI641,1,IF('Input &amp; Calc'!DI608/'Input &amp; Calc'!DI616*0.75/12*'Input &amp; Calc'!DI$51&lt;'Input &amp; Calc'!DI633/'Input &amp; Calc'!DI641,3,2)))</f>
        <v>1</v>
      </c>
      <c r="AR609" s="273">
        <f>IF('Input &amp; Calc'!AD641="","",IF('Input &amp; Calc'!DJ608/'Input &amp; Calc'!DJ616*0.9/12*'Input &amp; Calc'!DJ$51&lt;'Input &amp; Calc'!DJ633/'Input &amp; Calc'!DJ641,1,IF('Input &amp; Calc'!DJ608/'Input &amp; Calc'!DJ616*0.75/12*'Input &amp; Calc'!DJ$51&lt;'Input &amp; Calc'!DJ633/'Input &amp; Calc'!DJ641,3,2)))</f>
        <v>1</v>
      </c>
      <c r="AS609" s="273">
        <f>IF('Input &amp; Calc'!AE641="","",IF('Input &amp; Calc'!DK608/'Input &amp; Calc'!DK616*0.9/12*'Input &amp; Calc'!DK$51&lt;'Input &amp; Calc'!DK633/'Input &amp; Calc'!DK641,1,IF('Input &amp; Calc'!DK608/'Input &amp; Calc'!DK616*0.75/12*'Input &amp; Calc'!DK$51&lt;'Input &amp; Calc'!DK633/'Input &amp; Calc'!DK641,3,2)))</f>
        <v>1</v>
      </c>
      <c r="AT609" s="273">
        <f>IF('Input &amp; Calc'!AF641="","",IF('Input &amp; Calc'!DL608/'Input &amp; Calc'!DL616*0.9/12*'Input &amp; Calc'!DL$51&lt;'Input &amp; Calc'!DL633/'Input &amp; Calc'!DL641,1,IF('Input &amp; Calc'!DL608/'Input &amp; Calc'!DL616*0.75/12*'Input &amp; Calc'!DL$51&lt;'Input &amp; Calc'!DL633/'Input &amp; Calc'!DL641,3,2)))</f>
        <v>1</v>
      </c>
      <c r="AU609" s="273">
        <f>IF('Input &amp; Calc'!AG641="","",IF('Input &amp; Calc'!DM608/'Input &amp; Calc'!DM616*0.9/12*'Input &amp; Calc'!DM$51&lt;'Input &amp; Calc'!DM633/'Input &amp; Calc'!DM641,1,IF('Input &amp; Calc'!DM608/'Input &amp; Calc'!DM616*0.75/12*'Input &amp; Calc'!DM$51&lt;'Input &amp; Calc'!DM633/'Input &amp; Calc'!DM641,3,2)))</f>
        <v>1</v>
      </c>
    </row>
    <row r="610" spans="1:47">
      <c r="A610" s="470" t="s">
        <v>109</v>
      </c>
      <c r="B610" s="551" t="s">
        <v>201</v>
      </c>
      <c r="C610" s="521"/>
      <c r="D610" s="522"/>
      <c r="E610" s="529"/>
      <c r="F610" s="520"/>
      <c r="G610" s="558"/>
      <c r="H610" s="453" t="s">
        <v>16</v>
      </c>
      <c r="I610" s="559"/>
      <c r="J610" s="252">
        <f>IF(N610/M610&gt;0.899999999,1,IF(N610/M610&lt;0.75,3,2))</f>
        <v>1</v>
      </c>
      <c r="K610" s="46" t="str">
        <f>'Input &amp; Calc'!EP631</f>
        <v>È</v>
      </c>
      <c r="L610" s="490">
        <f>'Input &amp; Calc'!EF606</f>
        <v>0.95</v>
      </c>
      <c r="M610" s="490">
        <f>L610</f>
        <v>0.95</v>
      </c>
      <c r="N610" s="491">
        <f>'Input &amp; Calc'!EI631</f>
        <v>0.875</v>
      </c>
      <c r="O610" s="561"/>
      <c r="P610" s="252">
        <f>IF(S610/R610&gt;0.899999999,1,IF(S610/R610&lt;0.75,3,2))</f>
        <v>1</v>
      </c>
      <c r="Q610" s="491">
        <f>'Input &amp; Calc'!EG606</f>
        <v>0.95</v>
      </c>
      <c r="R610" s="491">
        <f>Q610</f>
        <v>0.95</v>
      </c>
      <c r="S610" s="493">
        <f>'Input &amp; Calc'!EJ631</f>
        <v>0.875</v>
      </c>
      <c r="T610" s="491">
        <f>S610-R610</f>
        <v>-7.4999999999999956E-2</v>
      </c>
      <c r="U610" s="455"/>
      <c r="V610" s="563">
        <f>$V$742</f>
        <v>1</v>
      </c>
      <c r="W610" s="476" t="str">
        <f>B610</f>
        <v>Client satisfaction rating %</v>
      </c>
      <c r="X610" s="269">
        <v>3</v>
      </c>
      <c r="Y610" s="268">
        <v>1</v>
      </c>
      <c r="Z610" s="268">
        <v>1</v>
      </c>
      <c r="AA610" s="268">
        <v>1</v>
      </c>
      <c r="AB610" s="268">
        <v>1</v>
      </c>
      <c r="AC610" s="268">
        <v>1</v>
      </c>
      <c r="AD610" s="268">
        <v>1</v>
      </c>
      <c r="AE610" s="268">
        <v>1</v>
      </c>
      <c r="AF610" s="268">
        <v>1</v>
      </c>
      <c r="AG610" s="268">
        <v>1</v>
      </c>
      <c r="AH610" s="268">
        <v>1</v>
      </c>
      <c r="AI610" s="270">
        <v>1</v>
      </c>
      <c r="AJ610" s="268">
        <f>IF('Input &amp; Calc'!V631="","",IF('Input &amp; Calc'!DB606*0.9&lt;'Input &amp; Calc'!DB631,1,IF('Input &amp; Calc'!DB606*0.75&gt;'Input &amp; Calc'!DB631,3,2)))</f>
        <v>1</v>
      </c>
      <c r="AK610" s="268">
        <f>IF('Input &amp; Calc'!W631="","",IF('Input &amp; Calc'!DC606*0.9&lt;'Input &amp; Calc'!DC631,1,IF('Input &amp; Calc'!DC606*0.75&gt;'Input &amp; Calc'!DC631,3,2)))</f>
        <v>2</v>
      </c>
      <c r="AL610" s="268">
        <f>IF('Input &amp; Calc'!X631="","",IF('Input &amp; Calc'!DD606*0.9&lt;'Input &amp; Calc'!DD631,1,IF('Input &amp; Calc'!DD606*0.75&gt;'Input &amp; Calc'!DD631,3,2)))</f>
        <v>2</v>
      </c>
      <c r="AM610" s="268">
        <f>IF('Input &amp; Calc'!Y631="","",IF('Input &amp; Calc'!DE606*0.9&lt;'Input &amp; Calc'!DE631,1,IF('Input &amp; Calc'!DE606*0.75&gt;'Input &amp; Calc'!DE631,3,2)))</f>
        <v>2</v>
      </c>
      <c r="AN610" s="268">
        <f>IF('Input &amp; Calc'!Z631="","",IF('Input &amp; Calc'!DF606*0.9&lt;'Input &amp; Calc'!DF631,1,IF('Input &amp; Calc'!DF606*0.75&gt;'Input &amp; Calc'!DF631,3,2)))</f>
        <v>2</v>
      </c>
      <c r="AO610" s="268">
        <f>IF('Input &amp; Calc'!AA631="","",IF('Input &amp; Calc'!DG606*0.9&lt;'Input &amp; Calc'!DG631,1,IF('Input &amp; Calc'!DG606*0.75&gt;'Input &amp; Calc'!DG631,3,2)))</f>
        <v>2</v>
      </c>
      <c r="AP610" s="268">
        <f>IF('Input &amp; Calc'!AB631="","",IF('Input &amp; Calc'!DH606*0.9&lt;'Input &amp; Calc'!DH631,1,IF('Input &amp; Calc'!DH606*0.75&gt;'Input &amp; Calc'!DH631,3,2)))</f>
        <v>2</v>
      </c>
      <c r="AQ610" s="268">
        <f>IF('Input &amp; Calc'!AC631="","",IF('Input &amp; Calc'!DI606*0.9&lt;'Input &amp; Calc'!DI631,1,IF('Input &amp; Calc'!DI606*0.75&gt;'Input &amp; Calc'!DI631,3,2)))</f>
        <v>2</v>
      </c>
      <c r="AR610" s="268">
        <f>IF('Input &amp; Calc'!AD631="","",IF('Input &amp; Calc'!DJ606*0.9&lt;'Input &amp; Calc'!DJ631,1,IF('Input &amp; Calc'!DJ606*0.75&gt;'Input &amp; Calc'!DJ631,3,2)))</f>
        <v>2</v>
      </c>
      <c r="AS610" s="268">
        <f>IF('Input &amp; Calc'!AE631="","",IF('Input &amp; Calc'!DK606*0.9&lt;'Input &amp; Calc'!DK631,1,IF('Input &amp; Calc'!DK606*0.75&gt;'Input &amp; Calc'!DK631,3,2)))</f>
        <v>1</v>
      </c>
      <c r="AT610" s="268">
        <f>IF('Input &amp; Calc'!AF631="","",IF('Input &amp; Calc'!DL606*0.9&lt;'Input &amp; Calc'!DL631,1,IF('Input &amp; Calc'!DL606*0.75&gt;'Input &amp; Calc'!DL631,3,2)))</f>
        <v>1</v>
      </c>
      <c r="AU610" s="268">
        <v>1</v>
      </c>
    </row>
    <row r="611" spans="1:47" s="465" customFormat="1">
      <c r="A611" s="620" t="s">
        <v>207</v>
      </c>
      <c r="B611" s="551" t="s">
        <v>227</v>
      </c>
      <c r="C611" s="523"/>
      <c r="D611" s="524"/>
      <c r="E611" s="525"/>
      <c r="F611" s="515">
        <f>'Input &amp; Calc'!EH858</f>
        <v>0</v>
      </c>
      <c r="G611" s="451"/>
      <c r="H611" s="453" t="s">
        <v>16</v>
      </c>
      <c r="I611" s="560"/>
      <c r="J611" s="521"/>
      <c r="K611" s="522"/>
      <c r="L611" s="530"/>
      <c r="M611" s="531"/>
      <c r="N611" s="516">
        <f>'Input &amp; Calc'!EI858</f>
        <v>11</v>
      </c>
      <c r="O611" s="562"/>
      <c r="P611" s="521"/>
      <c r="Q611" s="536"/>
      <c r="R611" s="537"/>
      <c r="S611" s="517">
        <f>'Input &amp; Calc'!EJ858</f>
        <v>11</v>
      </c>
      <c r="T611" s="542"/>
      <c r="U611" s="543"/>
      <c r="V611" s="544"/>
      <c r="W611" s="554" t="s">
        <v>227</v>
      </c>
      <c r="X611" s="271"/>
      <c r="Y611" s="268"/>
      <c r="Z611" s="268"/>
      <c r="AA611" s="268"/>
      <c r="AB611" s="268"/>
      <c r="AC611" s="268"/>
      <c r="AD611" s="268"/>
      <c r="AE611" s="268"/>
      <c r="AF611" s="268"/>
      <c r="AG611" s="268"/>
      <c r="AH611" s="268"/>
      <c r="AI611" s="270"/>
      <c r="AJ611" s="268"/>
      <c r="AK611" s="268"/>
      <c r="AL611" s="268"/>
      <c r="AM611" s="268"/>
      <c r="AN611" s="268"/>
      <c r="AO611" s="268"/>
      <c r="AP611" s="268"/>
      <c r="AQ611" s="268"/>
      <c r="AR611" s="268"/>
      <c r="AS611" s="268"/>
      <c r="AT611" s="268"/>
      <c r="AU611" s="268"/>
    </row>
    <row r="612" spans="1:47" s="465" customFormat="1">
      <c r="A612" s="620"/>
      <c r="B612" s="551" t="s">
        <v>228</v>
      </c>
      <c r="C612" s="523"/>
      <c r="D612" s="524"/>
      <c r="E612" s="525"/>
      <c r="F612" s="515">
        <f>'Input &amp; Calc'!EH874</f>
        <v>0</v>
      </c>
      <c r="G612" s="451"/>
      <c r="H612" s="453" t="s">
        <v>16</v>
      </c>
      <c r="I612" s="560"/>
      <c r="J612" s="523"/>
      <c r="K612" s="524"/>
      <c r="L612" s="532"/>
      <c r="M612" s="533"/>
      <c r="N612" s="516">
        <f>'Input &amp; Calc'!EI874</f>
        <v>0</v>
      </c>
      <c r="O612" s="562"/>
      <c r="P612" s="523"/>
      <c r="Q612" s="538"/>
      <c r="R612" s="539"/>
      <c r="S612" s="517">
        <f>'Input &amp; Calc'!EJ874</f>
        <v>0</v>
      </c>
      <c r="T612" s="545"/>
      <c r="U612" s="546"/>
      <c r="V612" s="547"/>
      <c r="W612" s="554" t="s">
        <v>228</v>
      </c>
      <c r="X612" s="271"/>
      <c r="Y612" s="268"/>
      <c r="Z612" s="268"/>
      <c r="AA612" s="268"/>
      <c r="AB612" s="268"/>
      <c r="AC612" s="268"/>
      <c r="AD612" s="268"/>
      <c r="AE612" s="268"/>
      <c r="AF612" s="268"/>
      <c r="AG612" s="268"/>
      <c r="AH612" s="268"/>
      <c r="AI612" s="270"/>
      <c r="AJ612" s="268"/>
      <c r="AK612" s="268"/>
      <c r="AL612" s="268"/>
      <c r="AM612" s="268"/>
      <c r="AN612" s="268"/>
      <c r="AO612" s="268"/>
      <c r="AP612" s="268"/>
      <c r="AQ612" s="268"/>
      <c r="AR612" s="268"/>
      <c r="AS612" s="268"/>
      <c r="AT612" s="268"/>
      <c r="AU612" s="268"/>
    </row>
    <row r="613" spans="1:47" s="465" customFormat="1">
      <c r="A613" s="620"/>
      <c r="B613" s="551" t="s">
        <v>234</v>
      </c>
      <c r="C613" s="526"/>
      <c r="D613" s="527"/>
      <c r="E613" s="528"/>
      <c r="F613" s="495">
        <f>'Input &amp; Calc'!EH889</f>
        <v>0</v>
      </c>
      <c r="G613" s="451"/>
      <c r="H613" s="453" t="s">
        <v>16</v>
      </c>
      <c r="I613" s="560"/>
      <c r="J613" s="526"/>
      <c r="K613" s="527"/>
      <c r="L613" s="534"/>
      <c r="M613" s="535"/>
      <c r="N613" s="496">
        <f>'Input &amp; Calc'!EI889</f>
        <v>0.53</v>
      </c>
      <c r="O613" s="562"/>
      <c r="P613" s="526"/>
      <c r="Q613" s="540"/>
      <c r="R613" s="541"/>
      <c r="S613" s="497">
        <f>'Input &amp; Calc'!EJ889</f>
        <v>0.53</v>
      </c>
      <c r="T613" s="548"/>
      <c r="U613" s="549"/>
      <c r="V613" s="550"/>
      <c r="W613" s="554" t="s">
        <v>208</v>
      </c>
      <c r="X613" s="271"/>
      <c r="Y613" s="268"/>
      <c r="Z613" s="268"/>
      <c r="AA613" s="268"/>
      <c r="AB613" s="268"/>
      <c r="AC613" s="268"/>
      <c r="AD613" s="268"/>
      <c r="AE613" s="268"/>
      <c r="AF613" s="268"/>
      <c r="AG613" s="268"/>
      <c r="AH613" s="268"/>
      <c r="AI613" s="270"/>
      <c r="AJ613" s="268"/>
      <c r="AK613" s="268"/>
      <c r="AL613" s="268"/>
      <c r="AM613" s="268"/>
      <c r="AN613" s="268"/>
      <c r="AO613" s="268"/>
      <c r="AP613" s="268"/>
      <c r="AQ613" s="268"/>
      <c r="AR613" s="268"/>
      <c r="AS613" s="268"/>
      <c r="AT613" s="268"/>
      <c r="AU613" s="268"/>
    </row>
    <row r="614" spans="1:47" ht="16.5" thickBot="1">
      <c r="A614" s="86" t="s">
        <v>139</v>
      </c>
      <c r="B614" s="321"/>
      <c r="C614" s="645" t="s">
        <v>164</v>
      </c>
      <c r="D614" s="645"/>
      <c r="E614" s="87" t="s">
        <v>140</v>
      </c>
      <c r="F614" s="448"/>
      <c r="G614" s="448"/>
      <c r="H614" s="645" t="s">
        <v>165</v>
      </c>
      <c r="I614" s="645"/>
      <c r="J614" s="645"/>
      <c r="K614" s="88" t="s">
        <v>141</v>
      </c>
      <c r="L614" s="448"/>
      <c r="M614" s="448"/>
      <c r="N614" s="647" t="s">
        <v>166</v>
      </c>
      <c r="O614" s="647"/>
      <c r="P614" s="647"/>
      <c r="Q614" s="89" t="s">
        <v>142</v>
      </c>
      <c r="R614" s="257"/>
      <c r="S614" s="68"/>
      <c r="T614" s="68"/>
      <c r="U614" s="69"/>
      <c r="V614" s="69"/>
      <c r="W614" s="69"/>
      <c r="X614" s="464"/>
      <c r="Y614" s="464"/>
      <c r="Z614" s="464"/>
      <c r="AA614" s="464"/>
      <c r="AB614" s="464"/>
      <c r="AC614" s="464"/>
      <c r="AD614" s="464"/>
      <c r="AE614" s="464"/>
      <c r="AF614" s="464"/>
      <c r="AG614" s="464"/>
      <c r="AH614" s="464"/>
      <c r="AI614" s="464"/>
      <c r="AJ614" s="464"/>
      <c r="AK614" s="464"/>
      <c r="AL614" s="464"/>
      <c r="AM614" s="464"/>
      <c r="AN614" s="464"/>
      <c r="AO614" s="464"/>
      <c r="AP614" s="464"/>
      <c r="AQ614" s="464"/>
      <c r="AR614" s="464"/>
      <c r="AS614" s="464"/>
      <c r="AT614" s="464"/>
      <c r="AU614" s="464"/>
    </row>
    <row r="615" spans="1:47">
      <c r="A615" s="519" t="s">
        <v>229</v>
      </c>
    </row>
    <row r="616" spans="1:47" hidden="1"/>
    <row r="617" spans="1:47" hidden="1"/>
    <row r="618" spans="1:47" hidden="1"/>
    <row r="619" spans="1:47" hidden="1"/>
    <row r="620" spans="1:47" hidden="1"/>
    <row r="621" spans="1:47" hidden="1"/>
    <row r="622" spans="1:47" hidden="1"/>
    <row r="623" spans="1:47" hidden="1"/>
    <row r="624" spans="1:47"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spans="1:47" hidden="1"/>
    <row r="658" spans="1:47" hidden="1"/>
    <row r="659" spans="1:47" hidden="1"/>
    <row r="660" spans="1:47" hidden="1"/>
    <row r="661" spans="1:47">
      <c r="A661" s="76" t="s">
        <v>148</v>
      </c>
      <c r="B661" s="76"/>
      <c r="C661" s="77"/>
      <c r="D661" s="77"/>
      <c r="E661" s="78"/>
      <c r="F661" s="67"/>
      <c r="G661" s="77"/>
      <c r="H661" s="77"/>
      <c r="I661" s="77"/>
      <c r="J661" s="106" t="str">
        <f>'Input &amp; Calc'!A661</f>
        <v>Vernal SBDC</v>
      </c>
      <c r="K661" s="501"/>
      <c r="L661" s="78"/>
      <c r="M661" s="78"/>
      <c r="N661" s="77"/>
      <c r="O661" s="77"/>
      <c r="P661" s="67"/>
      <c r="Q661" s="105" t="s">
        <v>146</v>
      </c>
      <c r="R661" s="105"/>
      <c r="S661" s="106" t="str">
        <f>'Input &amp; Calc'!C661</f>
        <v>Mark Holmes</v>
      </c>
      <c r="T661" s="79"/>
      <c r="U661" s="80"/>
      <c r="V661" s="80"/>
      <c r="W661" s="76"/>
      <c r="X661" s="469"/>
      <c r="Y661" s="469"/>
      <c r="Z661" s="469"/>
      <c r="AA661" s="469"/>
      <c r="AB661" s="469"/>
      <c r="AC661" s="469"/>
      <c r="AD661" s="469"/>
      <c r="AJ661" s="502" t="str">
        <f>J661</f>
        <v>Vernal SBDC</v>
      </c>
      <c r="AK661" s="502"/>
      <c r="AL661" s="502"/>
      <c r="AM661" s="503" t="s">
        <v>146</v>
      </c>
      <c r="AN661" s="502" t="str">
        <f>S661</f>
        <v>Mark Holmes</v>
      </c>
      <c r="AP661" s="469"/>
      <c r="AQ661" s="464"/>
      <c r="AR661" s="464"/>
      <c r="AS661" s="464"/>
      <c r="AT661" s="464"/>
      <c r="AU661" s="464"/>
    </row>
    <row r="662" spans="1:47">
      <c r="A662" s="81" t="s">
        <v>205</v>
      </c>
      <c r="B662" s="322"/>
      <c r="C662" s="82"/>
      <c r="D662" s="82"/>
      <c r="E662" s="83"/>
      <c r="F662" s="82"/>
      <c r="G662" s="82"/>
      <c r="H662" s="82"/>
      <c r="I662" s="82"/>
      <c r="J662" s="82"/>
      <c r="K662" s="82"/>
      <c r="L662" s="83"/>
      <c r="M662" s="83"/>
      <c r="N662" s="82"/>
      <c r="O662" s="82"/>
      <c r="P662" s="84"/>
      <c r="Q662" s="82"/>
      <c r="R662" s="82"/>
      <c r="S662" s="82"/>
      <c r="T662" s="82"/>
      <c r="U662" s="128"/>
      <c r="V662" s="128"/>
      <c r="W662" s="322"/>
      <c r="X662" s="464"/>
      <c r="Y662" s="464"/>
      <c r="Z662" s="464"/>
      <c r="AA662" s="464"/>
      <c r="AB662" s="464"/>
      <c r="AC662" s="464"/>
      <c r="AD662" s="464"/>
      <c r="AE662" s="464"/>
      <c r="AF662" s="464"/>
      <c r="AG662" s="464"/>
      <c r="AH662" s="464"/>
      <c r="AI662" s="464"/>
      <c r="AJ662" s="464"/>
      <c r="AK662" s="464"/>
      <c r="AL662" s="464"/>
      <c r="AM662" s="464"/>
      <c r="AN662" s="464"/>
      <c r="AO662" s="464"/>
      <c r="AP662" s="464"/>
      <c r="AQ662" s="464"/>
      <c r="AR662" s="464"/>
      <c r="AS662" s="464"/>
      <c r="AT662" s="464"/>
      <c r="AU662" s="464"/>
    </row>
    <row r="663" spans="1:47" ht="16.5" thickBot="1"/>
    <row r="664" spans="1:47" ht="14.25" customHeight="1" thickBot="1">
      <c r="A664" s="96" t="s">
        <v>134</v>
      </c>
      <c r="B664" s="460"/>
      <c r="C664" s="90"/>
      <c r="D664" s="93" t="s">
        <v>238</v>
      </c>
      <c r="E664" s="94">
        <f>'Input &amp; Calc'!I661</f>
        <v>40391</v>
      </c>
      <c r="F664" s="95"/>
      <c r="G664" s="92"/>
      <c r="H664" s="92"/>
      <c r="I664" s="92"/>
      <c r="J664" s="90"/>
      <c r="K664" s="90"/>
      <c r="L664" s="93" t="s">
        <v>237</v>
      </c>
      <c r="M664" s="93"/>
      <c r="N664" s="463"/>
      <c r="O664" s="92"/>
      <c r="P664" s="90"/>
      <c r="Q664" s="90"/>
      <c r="R664" s="90"/>
      <c r="S664" s="91" t="s">
        <v>133</v>
      </c>
      <c r="T664" s="103">
        <f>'Input &amp; Calc'!EK661</f>
        <v>11</v>
      </c>
      <c r="U664" s="325" t="s">
        <v>159</v>
      </c>
      <c r="V664" s="104"/>
      <c r="W664" s="70"/>
      <c r="X664" s="70"/>
      <c r="Y664" s="70"/>
      <c r="Z664" s="70"/>
      <c r="AA664" s="70"/>
      <c r="AB664" s="70"/>
      <c r="AC664" s="70"/>
      <c r="AD664" s="70"/>
      <c r="AE664" s="70"/>
      <c r="AF664" s="70"/>
      <c r="AG664" s="70"/>
      <c r="AH664" s="70"/>
      <c r="AI664" s="70"/>
      <c r="AJ664" s="70"/>
      <c r="AK664" s="70"/>
      <c r="AL664" s="70"/>
      <c r="AM664" s="464"/>
      <c r="AN664" s="464"/>
      <c r="AO664" s="464"/>
      <c r="AP664" s="464"/>
      <c r="AQ664" s="464"/>
      <c r="AR664" s="464"/>
      <c r="AS664" s="464"/>
      <c r="AT664" s="464"/>
      <c r="AU664" s="464"/>
    </row>
    <row r="665" spans="1:47" ht="13.5" customHeight="1" thickBot="1">
      <c r="A665" s="636" t="s">
        <v>99</v>
      </c>
      <c r="B665" s="638" t="s">
        <v>100</v>
      </c>
      <c r="C665" s="621" t="s">
        <v>101</v>
      </c>
      <c r="D665" s="621" t="s">
        <v>104</v>
      </c>
      <c r="E665" s="643" t="s">
        <v>105</v>
      </c>
      <c r="F665" s="621" t="s">
        <v>106</v>
      </c>
      <c r="G665" s="449"/>
      <c r="H665" s="638" t="s">
        <v>137</v>
      </c>
      <c r="I665" s="449"/>
      <c r="J665" s="621" t="s">
        <v>101</v>
      </c>
      <c r="K665" s="621" t="s">
        <v>104</v>
      </c>
      <c r="L665" s="621" t="s">
        <v>192</v>
      </c>
      <c r="M665" s="638" t="s">
        <v>194</v>
      </c>
      <c r="N665" s="621" t="s">
        <v>193</v>
      </c>
      <c r="O665" s="449"/>
      <c r="P665" s="642" t="s">
        <v>101</v>
      </c>
      <c r="Q665" s="638" t="s">
        <v>102</v>
      </c>
      <c r="R665" s="638" t="s">
        <v>191</v>
      </c>
      <c r="S665" s="638" t="s">
        <v>103</v>
      </c>
      <c r="T665" s="639" t="s">
        <v>131</v>
      </c>
      <c r="U665" s="641" t="s">
        <v>209</v>
      </c>
      <c r="V665" s="623" t="s">
        <v>203</v>
      </c>
      <c r="W665" s="70"/>
      <c r="X665" s="464"/>
      <c r="Y665" s="464"/>
      <c r="Z665" s="464"/>
      <c r="AA665" s="640"/>
      <c r="AB665" s="640"/>
      <c r="AC665" s="640"/>
      <c r="AD665" s="640"/>
      <c r="AE665" s="640"/>
      <c r="AF665" s="640"/>
      <c r="AG665" s="640"/>
      <c r="AH665" s="640"/>
      <c r="AI665" s="640"/>
      <c r="AJ665" s="640"/>
      <c r="AK665" s="640"/>
      <c r="AL665" s="640"/>
      <c r="AM665" s="630" t="s">
        <v>149</v>
      </c>
      <c r="AN665" s="631"/>
      <c r="AO665" s="631"/>
      <c r="AP665" s="631"/>
      <c r="AQ665" s="631"/>
      <c r="AR665" s="631"/>
      <c r="AS665" s="631"/>
      <c r="AT665" s="631"/>
      <c r="AU665" s="632"/>
    </row>
    <row r="666" spans="1:47" ht="12.75" customHeight="1" thickBot="1">
      <c r="A666" s="637"/>
      <c r="B666" s="621"/>
      <c r="C666" s="622"/>
      <c r="D666" s="622"/>
      <c r="E666" s="644"/>
      <c r="F666" s="622"/>
      <c r="G666" s="449"/>
      <c r="H666" s="638"/>
      <c r="I666" s="449"/>
      <c r="J666" s="650"/>
      <c r="K666" s="622"/>
      <c r="L666" s="622"/>
      <c r="M666" s="638"/>
      <c r="N666" s="622"/>
      <c r="O666" s="449"/>
      <c r="P666" s="642"/>
      <c r="Q666" s="638"/>
      <c r="R666" s="638"/>
      <c r="S666" s="638"/>
      <c r="T666" s="639"/>
      <c r="U666" s="641"/>
      <c r="V666" s="624"/>
      <c r="W666" s="452" t="s">
        <v>100</v>
      </c>
      <c r="X666" s="473">
        <v>39630</v>
      </c>
      <c r="Y666" s="473">
        <v>39661</v>
      </c>
      <c r="Z666" s="473">
        <v>39692</v>
      </c>
      <c r="AA666" s="473">
        <v>39722</v>
      </c>
      <c r="AB666" s="473">
        <v>39753</v>
      </c>
      <c r="AC666" s="473">
        <v>39783</v>
      </c>
      <c r="AD666" s="473">
        <v>39814</v>
      </c>
      <c r="AE666" s="473">
        <v>39845</v>
      </c>
      <c r="AF666" s="473">
        <v>39873</v>
      </c>
      <c r="AG666" s="473">
        <v>39904</v>
      </c>
      <c r="AH666" s="473">
        <v>39934</v>
      </c>
      <c r="AI666" s="473">
        <v>39965</v>
      </c>
      <c r="AJ666" s="473">
        <v>39995</v>
      </c>
      <c r="AK666" s="473">
        <v>40026</v>
      </c>
      <c r="AL666" s="474">
        <v>40057</v>
      </c>
      <c r="AM666" s="471">
        <v>40087</v>
      </c>
      <c r="AN666" s="450">
        <v>40118</v>
      </c>
      <c r="AO666" s="450">
        <v>40148</v>
      </c>
      <c r="AP666" s="450">
        <v>40179</v>
      </c>
      <c r="AQ666" s="450">
        <v>40210</v>
      </c>
      <c r="AR666" s="450">
        <v>40238</v>
      </c>
      <c r="AS666" s="450">
        <v>40269</v>
      </c>
      <c r="AT666" s="450">
        <v>40299</v>
      </c>
      <c r="AU666" s="472">
        <v>40330</v>
      </c>
    </row>
    <row r="667" spans="1:47" ht="26.25">
      <c r="A667" s="470" t="s">
        <v>196</v>
      </c>
      <c r="B667" s="555" t="s">
        <v>132</v>
      </c>
      <c r="C667" s="252">
        <f>IF(F667/E667&gt;0.899999999,1,IF(F667/E667&lt;0.75,3,2))</f>
        <v>1</v>
      </c>
      <c r="D667" s="46" t="str">
        <f>'Input &amp; Calc'!EO688</f>
        <v>Ç</v>
      </c>
      <c r="E667" s="590">
        <f>'Input &amp; Calc'!EE665</f>
        <v>1</v>
      </c>
      <c r="F667" s="567">
        <f>'Input &amp; Calc'!EH688</f>
        <v>1</v>
      </c>
      <c r="G667" s="591"/>
      <c r="H667" s="592" t="s">
        <v>16</v>
      </c>
      <c r="I667" s="593"/>
      <c r="J667" s="594">
        <f>IF(N667/M667&gt;0.899999999,1,IF(N667/M667&lt;0.75,3,2))</f>
        <v>3</v>
      </c>
      <c r="K667" s="595" t="str">
        <f>'Input &amp; Calc'!EP688</f>
        <v>È</v>
      </c>
      <c r="L667" s="589">
        <f>Q667/4</f>
        <v>3</v>
      </c>
      <c r="M667" s="589">
        <f>L667/3*$T$3</f>
        <v>2</v>
      </c>
      <c r="N667" s="565">
        <f>'Input &amp; Calc'!EI688</f>
        <v>1</v>
      </c>
      <c r="O667" s="596"/>
      <c r="P667" s="594">
        <f>IF(S667/R667&gt;0.899999999,1,IF(S667/R667&lt;0.75,3,2))</f>
        <v>1</v>
      </c>
      <c r="Q667" s="565">
        <f>'Input &amp; Calc'!EG665</f>
        <v>12</v>
      </c>
      <c r="R667" s="565">
        <f>Q667/12*$T$4</f>
        <v>11</v>
      </c>
      <c r="S667" s="566">
        <f>'Input &amp; Calc'!EJ688</f>
        <v>13</v>
      </c>
      <c r="T667" s="488">
        <f>S667/R667</f>
        <v>1.1818181818181819</v>
      </c>
      <c r="U667" s="455"/>
      <c r="V667" s="563">
        <f>$V$733</f>
        <v>1</v>
      </c>
      <c r="W667" s="554" t="str">
        <f>B667</f>
        <v># of Ext Engag Clients; &gt;5 Hrs contact since 10/05</v>
      </c>
      <c r="X667" s="268">
        <v>1</v>
      </c>
      <c r="Y667" s="268">
        <v>1</v>
      </c>
      <c r="Z667" s="268">
        <v>1</v>
      </c>
      <c r="AA667" s="268">
        <v>1</v>
      </c>
      <c r="AB667" s="268">
        <v>1</v>
      </c>
      <c r="AC667" s="268">
        <v>1</v>
      </c>
      <c r="AD667" s="268">
        <v>1</v>
      </c>
      <c r="AE667" s="268">
        <v>1</v>
      </c>
      <c r="AF667" s="268">
        <v>1</v>
      </c>
      <c r="AG667" s="268">
        <v>1</v>
      </c>
      <c r="AH667" s="268">
        <v>1</v>
      </c>
      <c r="AI667" s="268">
        <v>1</v>
      </c>
      <c r="AJ667" s="268">
        <f>IF('Input &amp; Calc'!V688="","",IF('Input &amp; Calc'!DB688/'Input &amp; Calc'!DB665&gt;=0.9,1,IF('Input &amp; Calc'!DB688/'Input &amp; Calc'!DB665&lt;0.75,3,2)))</f>
        <v>3</v>
      </c>
      <c r="AK667" s="268">
        <f>IF('Input &amp; Calc'!W688="","",IF('Input &amp; Calc'!DC688/'Input &amp; Calc'!DC665&gt;=0.9,1,IF('Input &amp; Calc'!DC688/'Input &amp; Calc'!DC665&lt;0.75,3,2)))</f>
        <v>3</v>
      </c>
      <c r="AL667" s="270">
        <f>IF('Input &amp; Calc'!X688="","",IF('Input &amp; Calc'!DD688/'Input &amp; Calc'!DD665&gt;=0.9,1,IF('Input &amp; Calc'!DD688/'Input &amp; Calc'!DD665&lt;0.75,3,2)))</f>
        <v>3</v>
      </c>
      <c r="AM667" s="268">
        <f>IF('Input &amp; Calc'!Y688="","",IF('Input &amp; Calc'!DE688/'Input &amp; Calc'!DE665&gt;=0.9,1,IF('Input &amp; Calc'!DE688/'Input &amp; Calc'!DE665&lt;0.75,3,2)))</f>
        <v>1</v>
      </c>
      <c r="AN667" s="268">
        <f>IF('Input &amp; Calc'!Z688="","",IF('Input &amp; Calc'!DF688/'Input &amp; Calc'!DF665&gt;=0.9,1,IF('Input &amp; Calc'!DF688/'Input &amp; Calc'!DF665&lt;0.75,3,2)))</f>
        <v>1</v>
      </c>
      <c r="AO667" s="271">
        <f>IF('Input &amp; Calc'!AA688="","",IF('Input &amp; Calc'!DG688/'Input &amp; Calc'!DG665&gt;=0.9,1,IF('Input &amp; Calc'!DG688/'Input &amp; Calc'!DG665&lt;0.75,3,2)))</f>
        <v>1</v>
      </c>
      <c r="AP667" s="271">
        <f>IF('Input &amp; Calc'!AB688="","",IF('Input &amp; Calc'!DH688/'Input &amp; Calc'!DH665&gt;=0.9,1,IF('Input &amp; Calc'!DH688/'Input &amp; Calc'!DH665&lt;0.75,3,2)))</f>
        <v>1</v>
      </c>
      <c r="AQ667" s="271">
        <f>IF('Input &amp; Calc'!AC688="","",IF('Input &amp; Calc'!DI688/'Input &amp; Calc'!DI665&gt;=0.9,1,IF('Input &amp; Calc'!DI688/'Input &amp; Calc'!DI665&lt;0.75,3,2)))</f>
        <v>1</v>
      </c>
      <c r="AR667" s="271">
        <f>IF('Input &amp; Calc'!AD688="","",IF('Input &amp; Calc'!DJ688/'Input &amp; Calc'!DJ665&gt;=0.9,1,IF('Input &amp; Calc'!DJ688/'Input &amp; Calc'!DJ665&lt;0.75,3,2)))</f>
        <v>1</v>
      </c>
      <c r="AS667" s="271">
        <f>IF('Input &amp; Calc'!AE688="","",IF('Input &amp; Calc'!DK688/'Input &amp; Calc'!DK665&gt;=0.9,1,IF('Input &amp; Calc'!DK688/'Input &amp; Calc'!DK665&lt;0.75,3,2)))</f>
        <v>1</v>
      </c>
      <c r="AT667" s="271">
        <f>IF('Input &amp; Calc'!AF688="","",IF('Input &amp; Calc'!DL688/'Input &amp; Calc'!DL665&gt;=0.9,1,IF('Input &amp; Calc'!DL688/'Input &amp; Calc'!DL665&lt;0.75,3,2)))</f>
        <v>1</v>
      </c>
      <c r="AU667" s="271">
        <f>IF('Input &amp; Calc'!AG688="","",IF('Input &amp; Calc'!DM688/'Input &amp; Calc'!DM665&gt;=0.9,1,IF('Input &amp; Calc'!DM688/'Input &amp; Calc'!DM665&lt;0.75,3,2)))</f>
        <v>1</v>
      </c>
    </row>
    <row r="668" spans="1:47">
      <c r="A668" s="633" t="s">
        <v>206</v>
      </c>
      <c r="B668" s="556" t="s">
        <v>107</v>
      </c>
      <c r="C668" s="252">
        <f>IF(F668/E668&gt;0.899999999,1,IF(F668/E668&lt;0.75,3,2))</f>
        <v>3</v>
      </c>
      <c r="D668" s="97" t="str">
        <f>'Input &amp; Calc'!EO690</f>
        <v>È</v>
      </c>
      <c r="E668" s="590">
        <f>'Input &amp; Calc'!EE667</f>
        <v>1</v>
      </c>
      <c r="F668" s="567">
        <f>'Input &amp; Calc'!EH690</f>
        <v>0</v>
      </c>
      <c r="G668" s="591"/>
      <c r="H668" s="592" t="s">
        <v>16</v>
      </c>
      <c r="I668" s="593"/>
      <c r="J668" s="594">
        <f>IF(N668/M668&gt;0.899999999,1,IF(N668/M668&lt;0.75,3,2))</f>
        <v>3</v>
      </c>
      <c r="K668" s="597" t="str">
        <f>'Input &amp; Calc'!EP690</f>
        <v>È</v>
      </c>
      <c r="L668" s="589">
        <f>Q668/4</f>
        <v>3</v>
      </c>
      <c r="M668" s="589">
        <f>L668/3*$T$3</f>
        <v>2</v>
      </c>
      <c r="N668" s="565">
        <f>'Input &amp; Calc'!EI690</f>
        <v>0</v>
      </c>
      <c r="O668" s="596"/>
      <c r="P668" s="594">
        <f>IF(S668/R668&gt;0.899999999,1,IF(S668/R668&lt;0.75,3,2))</f>
        <v>3</v>
      </c>
      <c r="Q668" s="565">
        <f>'Input &amp; Calc'!EG667</f>
        <v>12</v>
      </c>
      <c r="R668" s="565">
        <f>Q668/12*$T$4</f>
        <v>11</v>
      </c>
      <c r="S668" s="566">
        <f>'Input &amp; Calc'!EJ690</f>
        <v>7</v>
      </c>
      <c r="T668" s="488">
        <f>S668/R668</f>
        <v>0.63636363636363635</v>
      </c>
      <c r="U668" s="455"/>
      <c r="V668" s="563">
        <f>$V$734</f>
        <v>1</v>
      </c>
      <c r="W668" s="554" t="str">
        <f>B668</f>
        <v># of Business Starts</v>
      </c>
      <c r="X668" s="268">
        <v>1</v>
      </c>
      <c r="Y668" s="268">
        <v>1</v>
      </c>
      <c r="Z668" s="268">
        <v>1</v>
      </c>
      <c r="AA668" s="268">
        <v>1</v>
      </c>
      <c r="AB668" s="272">
        <v>1</v>
      </c>
      <c r="AC668" s="272">
        <v>1</v>
      </c>
      <c r="AD668" s="272">
        <v>1</v>
      </c>
      <c r="AE668" s="272">
        <v>1</v>
      </c>
      <c r="AF668" s="272">
        <v>1</v>
      </c>
      <c r="AG668" s="272">
        <v>1</v>
      </c>
      <c r="AH668" s="272">
        <v>1</v>
      </c>
      <c r="AI668" s="272">
        <v>1</v>
      </c>
      <c r="AJ668" s="272">
        <f>IF('Input &amp; Calc'!V688="","",IF('Input &amp; Calc'!DB690/'Input &amp; Calc'!DB667&gt;=0.9,1,IF('Input &amp; Calc'!DB690/'Input &amp; Calc'!DB667&lt;0.75,3,2)))</f>
        <v>3</v>
      </c>
      <c r="AK668" s="272">
        <f>IF('Input &amp; Calc'!W688="","",IF('Input &amp; Calc'!DC690/'Input &amp; Calc'!DC667&gt;=0.9,1,IF('Input &amp; Calc'!DC690/'Input &amp; Calc'!DC667&lt;0.75,3,2)))</f>
        <v>3</v>
      </c>
      <c r="AL668" s="272">
        <f>IF('Input &amp; Calc'!X688="","",IF('Input &amp; Calc'!DD690/'Input &amp; Calc'!DD667&gt;=0.9,1,IF('Input &amp; Calc'!DD690/'Input &amp; Calc'!DD667&lt;0.75,3,2)))</f>
        <v>3</v>
      </c>
      <c r="AM668" s="272">
        <f>IF('Input &amp; Calc'!Y688="","",IF('Input &amp; Calc'!DE690/'Input &amp; Calc'!DE667&gt;=0.9,1,IF('Input &amp; Calc'!DE690/'Input &amp; Calc'!DE667&lt;0.75,3,2)))</f>
        <v>1</v>
      </c>
      <c r="AN668" s="272">
        <f>IF('Input &amp; Calc'!Z688="","",IF('Input &amp; Calc'!DF690/'Input &amp; Calc'!DF667&gt;=0.9,1,IF('Input &amp; Calc'!DF690/'Input &amp; Calc'!DF667&lt;0.75,3,2)))</f>
        <v>3</v>
      </c>
      <c r="AO668" s="272">
        <f>IF('Input &amp; Calc'!AA688="","",IF('Input &amp; Calc'!DG690/'Input &amp; Calc'!DG667&gt;=0.9,1,IF('Input &amp; Calc'!DG690/'Input &amp; Calc'!DG667&lt;0.75,3,2)))</f>
        <v>3</v>
      </c>
      <c r="AP668" s="272">
        <f>IF('Input &amp; Calc'!AB688="","",IF('Input &amp; Calc'!DH690/'Input &amp; Calc'!DH667&gt;=0.9,1,IF('Input &amp; Calc'!DH690/'Input &amp; Calc'!DH667&lt;0.75,3,2)))</f>
        <v>2</v>
      </c>
      <c r="AQ668" s="272">
        <f>IF('Input &amp; Calc'!AC688="","",IF('Input &amp; Calc'!DI690/'Input &amp; Calc'!DI667&gt;=0.9,1,IF('Input &amp; Calc'!DI690/'Input &amp; Calc'!DI667&lt;0.75,3,2)))</f>
        <v>3</v>
      </c>
      <c r="AR668" s="272">
        <f>IF('Input &amp; Calc'!AD688="","",IF('Input &amp; Calc'!DJ690/'Input &amp; Calc'!DJ667&gt;=0.9,1,IF('Input &amp; Calc'!DJ690/'Input &amp; Calc'!DJ667&lt;0.75,3,2)))</f>
        <v>2</v>
      </c>
      <c r="AS668" s="272">
        <f>IF('Input &amp; Calc'!AE688="","",IF('Input &amp; Calc'!DK690/'Input &amp; Calc'!DK667&gt;=0.9,1,IF('Input &amp; Calc'!DK690/'Input &amp; Calc'!DK667&lt;0.75,3,2)))</f>
        <v>3</v>
      </c>
      <c r="AT668" s="272">
        <f>IF('Input &amp; Calc'!AF688="","",IF('Input &amp; Calc'!DL690/'Input &amp; Calc'!DL667&gt;=0.9,1,IF('Input &amp; Calc'!DL690/'Input &amp; Calc'!DL667&lt;0.75,3,2)))</f>
        <v>2</v>
      </c>
      <c r="AU668" s="272">
        <f>IF('Input &amp; Calc'!AG688="","",IF('Input &amp; Calc'!DM690/'Input &amp; Calc'!DM667&gt;=0.9,1,IF('Input &amp; Calc'!DM690/'Input &amp; Calc'!DM667&gt;0.75,3,2)))</f>
        <v>3</v>
      </c>
    </row>
    <row r="669" spans="1:47" ht="16.5" thickBot="1">
      <c r="A669" s="634"/>
      <c r="B669" s="557" t="s">
        <v>138</v>
      </c>
      <c r="C669" s="252">
        <f>IF(F669/E669&gt;0.899999999,1,IF(F669/E669&lt;0.75,3,2))</f>
        <v>3</v>
      </c>
      <c r="D669" s="85" t="str">
        <f>'Input &amp; Calc'!EO691</f>
        <v>È</v>
      </c>
      <c r="E669" s="573">
        <f>'Input &amp; Calc'!EE668</f>
        <v>3.125E-2</v>
      </c>
      <c r="F669" s="485">
        <f>'Input &amp; Calc'!EH691</f>
        <v>0</v>
      </c>
      <c r="G669" s="458"/>
      <c r="H669" s="467" t="s">
        <v>16</v>
      </c>
      <c r="I669" s="459"/>
      <c r="J669" s="252">
        <f>IF(N669/M669&gt;0.899999999,1,IF(N669/M669&lt;0.75,3,2))</f>
        <v>3</v>
      </c>
      <c r="K669" s="85" t="str">
        <f>'Input &amp; Calc'!EP691</f>
        <v>È</v>
      </c>
      <c r="L669" s="442">
        <f>Q669/4</f>
        <v>9.375E-2</v>
      </c>
      <c r="M669" s="442">
        <f>L669/3*$T$3</f>
        <v>6.25E-2</v>
      </c>
      <c r="N669" s="388">
        <f>'Input &amp; Calc'!EI691</f>
        <v>0</v>
      </c>
      <c r="O669" s="457"/>
      <c r="P669" s="252">
        <f>IF(S669/R669&gt;0.899999999,1,IF(S669/R669&lt;0.75,3,2))</f>
        <v>1</v>
      </c>
      <c r="Q669" s="389">
        <f>'Input &amp; Calc'!EG668</f>
        <v>0.375</v>
      </c>
      <c r="R669" s="389">
        <f>Q669/12*$T$4</f>
        <v>0.34375</v>
      </c>
      <c r="S669" s="487">
        <f>'Input &amp; Calc'!EJ691</f>
        <v>1.040246</v>
      </c>
      <c r="T669" s="488">
        <f>S669/R669</f>
        <v>3.0261701818181819</v>
      </c>
      <c r="U669" s="468"/>
      <c r="V669" s="563">
        <f>$V$735</f>
        <v>1</v>
      </c>
      <c r="W669" s="554" t="str">
        <f>B669</f>
        <v>Capital Infusion $ - Million</v>
      </c>
      <c r="X669" s="275">
        <v>1</v>
      </c>
      <c r="Y669" s="275">
        <v>1</v>
      </c>
      <c r="Z669" s="275">
        <v>1</v>
      </c>
      <c r="AA669" s="275">
        <v>1</v>
      </c>
      <c r="AB669" s="323">
        <v>1</v>
      </c>
      <c r="AC669" s="323">
        <v>2</v>
      </c>
      <c r="AD669" s="323">
        <v>3</v>
      </c>
      <c r="AE669" s="323">
        <v>3</v>
      </c>
      <c r="AF669" s="323">
        <v>3</v>
      </c>
      <c r="AG669" s="323">
        <v>1</v>
      </c>
      <c r="AH669" s="323">
        <v>1</v>
      </c>
      <c r="AI669" s="323">
        <v>1</v>
      </c>
      <c r="AJ669" s="272">
        <f>IF('Input &amp; Calc'!V689="","",IF('Input &amp; Calc'!DB691/'Input &amp; Calc'!DB668&gt;=0.9,1,IF('Input &amp; Calc'!DB691/'Input &amp; Calc'!DB668&lt;0.75,3,2)))</f>
        <v>1</v>
      </c>
      <c r="AK669" s="272">
        <f>IF('Input &amp; Calc'!W689="","",IF('Input &amp; Calc'!DC691/'Input &amp; Calc'!DC668&gt;=0.9,1,IF('Input &amp; Calc'!DC691/'Input &amp; Calc'!DC668&lt;0.75,3,2)))</f>
        <v>1</v>
      </c>
      <c r="AL669" s="272">
        <f>IF('Input &amp; Calc'!X689="","",IF('Input &amp; Calc'!DD691/'Input &amp; Calc'!DD668&gt;=0.9,1,IF('Input &amp; Calc'!DD691/'Input &amp; Calc'!DD668&lt;0.75,3,2)))</f>
        <v>1</v>
      </c>
      <c r="AM669" s="272">
        <f>IF('Input &amp; Calc'!Y689="","",IF('Input &amp; Calc'!DE691/'Input &amp; Calc'!DE668&gt;=0.9,1,IF('Input &amp; Calc'!DE691/'Input &amp; Calc'!DE668&lt;0.75,3,2)))</f>
        <v>3</v>
      </c>
      <c r="AN669" s="272">
        <f>IF('Input &amp; Calc'!Z689="","",IF('Input &amp; Calc'!DF691/'Input &amp; Calc'!DF668&gt;=0.9,1,IF('Input &amp; Calc'!DF691/'Input &amp; Calc'!DF668&lt;0.75,3,2)))</f>
        <v>3</v>
      </c>
      <c r="AO669" s="272">
        <f>IF('Input &amp; Calc'!AA689="","",IF('Input &amp; Calc'!DG691/'Input &amp; Calc'!DG668&gt;=0.9,1,IF('Input &amp; Calc'!DG691/'Input &amp; Calc'!DG668&lt;0.75,3,2)))</f>
        <v>3</v>
      </c>
      <c r="AP669" s="272">
        <f>IF('Input &amp; Calc'!AB689="","",IF('Input &amp; Calc'!DH691/'Input &amp; Calc'!DH668&gt;=0.9,1,IF('Input &amp; Calc'!DH691/'Input &amp; Calc'!DH668&lt;0.75,3,2)))</f>
        <v>1</v>
      </c>
      <c r="AQ669" s="272">
        <f>IF('Input &amp; Calc'!AC689="","",IF('Input &amp; Calc'!DI691/'Input &amp; Calc'!DI668&gt;=0.9,1,IF('Input &amp; Calc'!DI691/'Input &amp; Calc'!DI668&lt;0.75,3,2)))</f>
        <v>1</v>
      </c>
      <c r="AR669" s="272">
        <f>IF('Input &amp; Calc'!AD689="","",IF('Input &amp; Calc'!DJ691/'Input &amp; Calc'!DJ668&gt;=0.9,1,IF('Input &amp; Calc'!DJ691/'Input &amp; Calc'!DJ668&lt;0.75,3,2)))</f>
        <v>1</v>
      </c>
      <c r="AS669" s="272">
        <f>IF('Input &amp; Calc'!AE689="","",IF('Input &amp; Calc'!DK691/'Input &amp; Calc'!DK668&gt;=0.9,1,IF('Input &amp; Calc'!DK691/'Input &amp; Calc'!DK668&lt;0.75,3,2)))</f>
        <v>1</v>
      </c>
      <c r="AT669" s="272">
        <f>IF('Input &amp; Calc'!AF689="","",IF('Input &amp; Calc'!DL691/'Input &amp; Calc'!DL668&gt;=0.9,1,IF('Input &amp; Calc'!DL691/'Input &amp; Calc'!DL668&lt;0.75,3,2)))</f>
        <v>1</v>
      </c>
      <c r="AU669" s="272">
        <f>IF('Input &amp; Calc'!AG689="","",IF('Input &amp; Calc'!DM691/'Input &amp; Calc'!DM668&gt;=0.9,1,IF('Input &amp; Calc'!DM691/'Input &amp; Calc'!DM668&lt;0.75,3,2)))</f>
        <v>1</v>
      </c>
    </row>
    <row r="670" spans="1:47" ht="14.25" customHeight="1" thickBot="1">
      <c r="A670" s="96" t="s">
        <v>135</v>
      </c>
      <c r="B670" s="460"/>
      <c r="C670" s="90"/>
      <c r="D670" s="93" t="s">
        <v>238</v>
      </c>
      <c r="E670" s="94">
        <f>'Input &amp; Calc'!$I$67</f>
        <v>40391</v>
      </c>
      <c r="F670" s="95"/>
      <c r="G670" s="461"/>
      <c r="H670" s="635" t="s">
        <v>130</v>
      </c>
      <c r="I670" s="635"/>
      <c r="J670" s="635"/>
      <c r="K670" s="635"/>
      <c r="L670" s="635"/>
      <c r="M670" s="635"/>
      <c r="N670" s="635"/>
      <c r="O670" s="461"/>
      <c r="P670" s="90"/>
      <c r="Q670" s="277"/>
      <c r="R670" s="277"/>
      <c r="S670" s="91" t="s">
        <v>136</v>
      </c>
      <c r="T670" s="278">
        <f>'Input &amp; Calc'!EK662</f>
        <v>2</v>
      </c>
      <c r="U670" s="325" t="s">
        <v>159</v>
      </c>
      <c r="V670" s="462"/>
      <c r="W670" s="392"/>
      <c r="X670" s="469"/>
      <c r="Y670" s="469"/>
      <c r="Z670" s="469"/>
      <c r="AA670" s="469"/>
      <c r="AB670" s="469"/>
      <c r="AC670" s="469"/>
      <c r="AD670" s="469"/>
      <c r="AE670" s="469"/>
      <c r="AF670" s="469"/>
      <c r="AG670" s="469"/>
      <c r="AH670" s="469"/>
      <c r="AI670" s="469"/>
      <c r="AJ670" s="469"/>
      <c r="AK670" s="469"/>
      <c r="AL670" s="469"/>
      <c r="AM670" s="469"/>
      <c r="AN670" s="469"/>
      <c r="AO670" s="469"/>
      <c r="AP670" s="469"/>
      <c r="AQ670" s="469"/>
      <c r="AR670" s="469"/>
      <c r="AS670" s="469"/>
      <c r="AT670" s="469"/>
      <c r="AU670" s="469"/>
    </row>
    <row r="671" spans="1:47" ht="12" customHeight="1" thickBot="1">
      <c r="A671" s="636" t="s">
        <v>99</v>
      </c>
      <c r="B671" s="638" t="s">
        <v>100</v>
      </c>
      <c r="C671" s="621" t="s">
        <v>101</v>
      </c>
      <c r="D671" s="621" t="s">
        <v>104</v>
      </c>
      <c r="E671" s="643" t="s">
        <v>105</v>
      </c>
      <c r="F671" s="621" t="s">
        <v>106</v>
      </c>
      <c r="G671" s="449"/>
      <c r="H671" s="638" t="s">
        <v>137</v>
      </c>
      <c r="I671" s="449"/>
      <c r="J671" s="621" t="s">
        <v>101</v>
      </c>
      <c r="K671" s="621" t="s">
        <v>104</v>
      </c>
      <c r="L671" s="621" t="s">
        <v>192</v>
      </c>
      <c r="M671" s="638" t="s">
        <v>194</v>
      </c>
      <c r="N671" s="621" t="s">
        <v>193</v>
      </c>
      <c r="O671" s="449"/>
      <c r="P671" s="642" t="s">
        <v>101</v>
      </c>
      <c r="Q671" s="638" t="s">
        <v>102</v>
      </c>
      <c r="R671" s="638" t="s">
        <v>191</v>
      </c>
      <c r="S671" s="638" t="s">
        <v>103</v>
      </c>
      <c r="T671" s="649" t="s">
        <v>108</v>
      </c>
      <c r="U671" s="641" t="s">
        <v>209</v>
      </c>
      <c r="V671" s="623" t="s">
        <v>203</v>
      </c>
      <c r="W671" s="393"/>
      <c r="X671" s="464"/>
      <c r="Y671" s="464"/>
      <c r="Z671" s="464"/>
      <c r="AA671" s="464"/>
      <c r="AB671" s="464"/>
      <c r="AC671" s="464"/>
      <c r="AD671" s="464"/>
      <c r="AE671" s="464"/>
      <c r="AF671" s="464"/>
      <c r="AG671" s="464"/>
      <c r="AH671" s="464"/>
      <c r="AI671" s="464"/>
      <c r="AJ671" s="464"/>
      <c r="AK671" s="464"/>
      <c r="AL671" s="464"/>
      <c r="AM671" s="464"/>
      <c r="AN671" s="464"/>
      <c r="AO671" s="464"/>
      <c r="AP671" s="464"/>
      <c r="AQ671" s="464"/>
      <c r="AR671" s="464"/>
      <c r="AS671" s="464"/>
      <c r="AT671" s="464"/>
      <c r="AU671" s="464"/>
    </row>
    <row r="672" spans="1:47" ht="16.5" customHeight="1" thickBot="1">
      <c r="A672" s="637"/>
      <c r="B672" s="621"/>
      <c r="C672" s="622"/>
      <c r="D672" s="622"/>
      <c r="E672" s="644"/>
      <c r="F672" s="622"/>
      <c r="G672" s="449"/>
      <c r="H672" s="638"/>
      <c r="I672" s="449"/>
      <c r="J672" s="622"/>
      <c r="K672" s="622"/>
      <c r="L672" s="622"/>
      <c r="M672" s="638"/>
      <c r="N672" s="622"/>
      <c r="O672" s="449"/>
      <c r="P672" s="642"/>
      <c r="Q672" s="638"/>
      <c r="R672" s="638"/>
      <c r="S672" s="638"/>
      <c r="T672" s="649"/>
      <c r="U672" s="641"/>
      <c r="V672" s="624"/>
      <c r="W672" s="564"/>
      <c r="X672" s="625" t="s">
        <v>150</v>
      </c>
      <c r="Y672" s="626"/>
      <c r="Z672" s="626"/>
      <c r="AA672" s="626"/>
      <c r="AB672" s="626"/>
      <c r="AC672" s="626"/>
      <c r="AD672" s="626"/>
      <c r="AE672" s="626"/>
      <c r="AF672" s="626"/>
      <c r="AG672" s="626"/>
      <c r="AH672" s="626"/>
      <c r="AI672" s="627"/>
      <c r="AJ672" s="625" t="s">
        <v>151</v>
      </c>
      <c r="AK672" s="626"/>
      <c r="AL672" s="626"/>
      <c r="AM672" s="626"/>
      <c r="AN672" s="626"/>
      <c r="AO672" s="626"/>
      <c r="AP672" s="626"/>
      <c r="AQ672" s="626"/>
      <c r="AR672" s="626"/>
      <c r="AS672" s="626"/>
      <c r="AT672" s="626"/>
      <c r="AU672" s="628"/>
    </row>
    <row r="673" spans="1:47" ht="25.5">
      <c r="A673" s="470" t="s">
        <v>197</v>
      </c>
      <c r="B673" s="551" t="s">
        <v>190</v>
      </c>
      <c r="C673" s="252">
        <f>IF(F673/E673&gt;0.899999999,1,IF(F673/E673&lt;0.75,3,2))</f>
        <v>3</v>
      </c>
      <c r="D673" s="46" t="str">
        <f>'Input &amp; Calc'!EO707</f>
        <v>È</v>
      </c>
      <c r="E673" s="590">
        <f>'Input &amp; Calc'!EE682</f>
        <v>20</v>
      </c>
      <c r="F673" s="567">
        <f>'Input &amp; Calc'!EH707</f>
        <v>12</v>
      </c>
      <c r="G673" s="598"/>
      <c r="H673" s="592" t="s">
        <v>16</v>
      </c>
      <c r="I673" s="599"/>
      <c r="J673" s="594">
        <f>IF(N673/M673&gt;0.899999999,1,IF(N673/M673&lt;0.75,3,2))</f>
        <v>1</v>
      </c>
      <c r="K673" s="600" t="str">
        <f>'Input &amp; Calc'!EP707</f>
        <v>È</v>
      </c>
      <c r="L673" s="589">
        <f>Q673/4</f>
        <v>30</v>
      </c>
      <c r="M673" s="589">
        <f>L673/3*$T$3</f>
        <v>20</v>
      </c>
      <c r="N673" s="565">
        <f>'Input &amp; Calc'!EI707</f>
        <v>20</v>
      </c>
      <c r="O673" s="601"/>
      <c r="P673" s="594">
        <f>IF(S673/R673&gt;0.899999999,1,IF(S673/R673&lt;0.75,3,2))</f>
        <v>1</v>
      </c>
      <c r="Q673" s="565">
        <f>'Input &amp; Calc'!EG682</f>
        <v>120</v>
      </c>
      <c r="R673" s="565">
        <f>Q673/12*$T$10</f>
        <v>20</v>
      </c>
      <c r="S673" s="566">
        <f>'Input &amp; Calc'!EJ707</f>
        <v>20</v>
      </c>
      <c r="T673" s="491">
        <f>S673/R673</f>
        <v>1</v>
      </c>
      <c r="U673" s="454"/>
      <c r="V673" s="563">
        <f>$V$739</f>
        <v>1</v>
      </c>
      <c r="W673" s="476" t="str">
        <f>B673</f>
        <v># of Unique Clients YTD</v>
      </c>
      <c r="X673" s="269">
        <v>1</v>
      </c>
      <c r="Y673" s="268">
        <v>1</v>
      </c>
      <c r="Z673" s="268">
        <v>1</v>
      </c>
      <c r="AA673" s="268">
        <v>1</v>
      </c>
      <c r="AB673" s="268">
        <v>1</v>
      </c>
      <c r="AC673" s="268">
        <v>1</v>
      </c>
      <c r="AD673" s="268">
        <v>1</v>
      </c>
      <c r="AE673" s="268">
        <v>1</v>
      </c>
      <c r="AF673" s="268">
        <v>1</v>
      </c>
      <c r="AG673" s="268">
        <v>1</v>
      </c>
      <c r="AH673" s="268">
        <v>1</v>
      </c>
      <c r="AI673" s="270">
        <v>1</v>
      </c>
      <c r="AJ673" s="268">
        <f>IF('Input &amp; Calc'!V707="","",IF('Input &amp; Calc'!DB707/'Input &amp; Calc'!DB682&gt;=0.9,1,IF('Input &amp; Calc'!DB707/'Input &amp; Calc'!DB682&lt;0.75,3,2)))</f>
        <v>1</v>
      </c>
      <c r="AK673" s="268">
        <f>IF('Input &amp; Calc'!W707="","",IF('Input &amp; Calc'!DC707/'Input &amp; Calc'!DC682&gt;=0.9,1,IF('Input &amp; Calc'!DC707/'Input &amp; Calc'!DC682&lt;0.75,3,2)))</f>
        <v>1</v>
      </c>
      <c r="AL673" s="268">
        <f>IF('Input &amp; Calc'!X707="","",IF('Input &amp; Calc'!DD707/'Input &amp; Calc'!DD682&gt;=0.9,1,IF('Input &amp; Calc'!DD707/'Input &amp; Calc'!DD682&lt;0.75,3,2)))</f>
        <v>1</v>
      </c>
      <c r="AM673" s="268">
        <f>IF('Input &amp; Calc'!Y707="","",IF('Input &amp; Calc'!DE707/'Input &amp; Calc'!DE682&gt;=0.9,1,IF('Input &amp; Calc'!DE707/'Input &amp; Calc'!DE682&lt;0.75,3,2)))</f>
        <v>1</v>
      </c>
      <c r="AN673" s="268">
        <f>IF('Input &amp; Calc'!Z707="","",IF('Input &amp; Calc'!DF707/'Input &amp; Calc'!DF682&gt;=0.9,1,IF('Input &amp; Calc'!DF707/'Input &amp; Calc'!DF682&lt;0.75,3,2)))</f>
        <v>1</v>
      </c>
      <c r="AO673" s="268">
        <f>IF('Input &amp; Calc'!AA707="","",IF('Input &amp; Calc'!DG707/'Input &amp; Calc'!DG682&gt;=0.9,1,IF('Input &amp; Calc'!DG707/'Input &amp; Calc'!DG682&lt;0.75,3,2)))</f>
        <v>1</v>
      </c>
      <c r="AP673" s="268">
        <f>IF('Input &amp; Calc'!AB707="","",IF('Input &amp; Calc'!DH707/'Input &amp; Calc'!DH682&gt;=0.9,1,IF('Input &amp; Calc'!DH707/'Input &amp; Calc'!DH682&lt;0.75,3,2)))</f>
        <v>1</v>
      </c>
      <c r="AQ673" s="268">
        <f>IF('Input &amp; Calc'!AC707="","",IF('Input &amp; Calc'!DI707/'Input &amp; Calc'!DI682&gt;=0.9,1,IF('Input &amp; Calc'!DI707/'Input &amp; Calc'!DI682&lt;0.75,3,2)))</f>
        <v>1</v>
      </c>
      <c r="AR673" s="268">
        <f>IF('Input &amp; Calc'!AD707="","",IF('Input &amp; Calc'!DJ707/'Input &amp; Calc'!DJ682&gt;=0.9,1,IF('Input &amp; Calc'!DJ707/'Input &amp; Calc'!DJ682&lt;0.75,3,2)))</f>
        <v>1</v>
      </c>
      <c r="AS673" s="268">
        <f>IF('Input &amp; Calc'!AE707="","",IF('Input &amp; Calc'!DK707/'Input &amp; Calc'!DK682&gt;=0.9,1,IF('Input &amp; Calc'!DK707/'Input &amp; Calc'!DK682&lt;0.75,3,2)))</f>
        <v>1</v>
      </c>
      <c r="AT673" s="268">
        <f>IF('Input &amp; Calc'!AF707="","",IF('Input &amp; Calc'!DL707/'Input &amp; Calc'!DL682&gt;=0.9,1,IF('Input &amp; Calc'!DL707/'Input &amp; Calc'!DL682&lt;0.75,3,2)))</f>
        <v>1</v>
      </c>
      <c r="AU673" s="268">
        <v>1</v>
      </c>
    </row>
    <row r="674" spans="1:47" ht="27.75" customHeight="1">
      <c r="A674" s="620" t="s">
        <v>198</v>
      </c>
      <c r="B674" s="551" t="s">
        <v>199</v>
      </c>
      <c r="C674" s="252">
        <f>IF(F674/E674&gt;0.899999999,1,IF(F674/E674&lt;0.75,3,2))</f>
        <v>1</v>
      </c>
      <c r="D674" s="46" t="str">
        <f>'Input &amp; Calc'!EO720</f>
        <v>Ç</v>
      </c>
      <c r="E674" s="489">
        <f>'Input &amp; Calc'!EE713</f>
        <v>0.2533333333333333</v>
      </c>
      <c r="F674" s="494">
        <f>'Input &amp; Calc'!EH720</f>
        <v>0.33333333333333331</v>
      </c>
      <c r="G674" s="558"/>
      <c r="H674" s="453" t="s">
        <v>16</v>
      </c>
      <c r="I674" s="559"/>
      <c r="J674" s="252">
        <f>IF(N674/M674&gt;0.899999999,1,IF(N674/M674&lt;0.75,3,2))</f>
        <v>1</v>
      </c>
      <c r="K674" s="46" t="str">
        <f>'Input &amp; Calc'!EP720</f>
        <v>È</v>
      </c>
      <c r="L674" s="490">
        <f>'Input &amp; Calc'!EF713</f>
        <v>0.25333333333333335</v>
      </c>
      <c r="M674" s="490">
        <f>L674</f>
        <v>0.25333333333333335</v>
      </c>
      <c r="N674" s="491">
        <f>'Input &amp; Calc'!EI720</f>
        <v>0.23529411764705882</v>
      </c>
      <c r="O674" s="561"/>
      <c r="P674" s="252">
        <f>IF(S674/R674&gt;0.899999999,1,IF(S674/R674&lt;0.75,3,2))</f>
        <v>1</v>
      </c>
      <c r="Q674" s="491">
        <f>'Input &amp; Calc'!EG713</f>
        <v>0.25333333333333335</v>
      </c>
      <c r="R674" s="492">
        <f>Q674</f>
        <v>0.25333333333333335</v>
      </c>
      <c r="S674" s="493">
        <f>'Input &amp; Calc'!EJ720</f>
        <v>0.23529411764705882</v>
      </c>
      <c r="T674" s="488">
        <f>+S674-R674</f>
        <v>-1.8039215686274535E-2</v>
      </c>
      <c r="U674" s="455"/>
      <c r="V674" s="563">
        <f>$V$740</f>
        <v>1</v>
      </c>
      <c r="W674" s="476" t="str">
        <f>B674</f>
        <v>% of existing business new clients to initial clients</v>
      </c>
      <c r="X674" s="475">
        <v>1</v>
      </c>
      <c r="Y674" s="274">
        <v>1</v>
      </c>
      <c r="Z674" s="274">
        <v>1</v>
      </c>
      <c r="AA674" s="274">
        <v>1</v>
      </c>
      <c r="AB674" s="274">
        <v>1</v>
      </c>
      <c r="AC674" s="274">
        <v>1</v>
      </c>
      <c r="AD674" s="274">
        <v>1</v>
      </c>
      <c r="AE674" s="274">
        <v>1</v>
      </c>
      <c r="AF674" s="274">
        <v>1</v>
      </c>
      <c r="AG674" s="274">
        <v>1</v>
      </c>
      <c r="AH674" s="274">
        <v>1</v>
      </c>
      <c r="AI674" s="514">
        <v>1</v>
      </c>
      <c r="AJ674" s="274">
        <f>IF('Input &amp; Calc'!V720="","",IF('Input &amp; Calc'!DB713*0.9&lt;'Input &amp; Calc'!V720,1,IF('Input &amp; Calc'!DB713*0.75&gt;'Input &amp; Calc'!DB720,3,2)))</f>
        <v>3</v>
      </c>
      <c r="AK674" s="273">
        <f>IF('Input &amp; Calc'!W720="","",IF('Input &amp; Calc'!DC713*0.9&lt;'Input &amp; Calc'!W720,1,IF('Input &amp; Calc'!DC713*0.75&gt;'Input &amp; Calc'!DC720,3,2)))</f>
        <v>3</v>
      </c>
      <c r="AL674" s="273">
        <f>IF('Input &amp; Calc'!X720="","",IF('Input &amp; Calc'!DD713*0.9&lt;'Input &amp; Calc'!X720,1,IF('Input &amp; Calc'!DD713*0.75&gt;'Input &amp; Calc'!DD720,3,2)))</f>
        <v>2</v>
      </c>
      <c r="AM674" s="273">
        <f>IF('Input &amp; Calc'!Y720="","",IF('Input &amp; Calc'!DE713*0.9&lt;'Input &amp; Calc'!Y720,1,IF('Input &amp; Calc'!DE713*0.75&gt;'Input &amp; Calc'!DE720,3,2)))</f>
        <v>2</v>
      </c>
      <c r="AN674" s="273">
        <f>IF('Input &amp; Calc'!Z720="","",IF('Input &amp; Calc'!DF713*0.9&lt;'Input &amp; Calc'!Z720,1,IF('Input &amp; Calc'!DF713*0.75&gt;'Input &amp; Calc'!DF720,3,2)))</f>
        <v>2</v>
      </c>
      <c r="AO674" s="273">
        <f>IF('Input &amp; Calc'!AA720="","",IF('Input &amp; Calc'!DG713*0.9&lt;'Input &amp; Calc'!AA720,1,IF('Input &amp; Calc'!DG713*0.75&gt;'Input &amp; Calc'!DG720,3,2)))</f>
        <v>2</v>
      </c>
      <c r="AP674" s="273">
        <f>IF('Input &amp; Calc'!AB720="","",IF('Input &amp; Calc'!DH713*0.9&lt;'Input &amp; Calc'!AB720,1,IF('Input &amp; Calc'!DH713*0.75&gt;'Input &amp; Calc'!DH720,3,2)))</f>
        <v>2</v>
      </c>
      <c r="AQ674" s="273">
        <f>IF('Input &amp; Calc'!AC720="","",IF('Input &amp; Calc'!DI713*0.9&lt;'Input &amp; Calc'!AC720,1,IF('Input &amp; Calc'!DI713*0.75&gt;'Input &amp; Calc'!DI720,3,2)))</f>
        <v>2</v>
      </c>
      <c r="AR674" s="273">
        <f>IF('Input &amp; Calc'!AD720="","",IF('Input &amp; Calc'!DJ713*0.9&lt;'Input &amp; Calc'!AD720,1,IF('Input &amp; Calc'!DJ713*0.75&gt;'Input &amp; Calc'!DJ720,3,2)))</f>
        <v>2</v>
      </c>
      <c r="AS674" s="273">
        <f>IF('Input &amp; Calc'!AE720="","",IF('Input &amp; Calc'!DK713*0.9&lt;'Input &amp; Calc'!AE720,1,IF('Input &amp; Calc'!DK713*0.75&gt;'Input &amp; Calc'!DK720,3,2)))</f>
        <v>2</v>
      </c>
      <c r="AT674" s="273">
        <f>IF('Input &amp; Calc'!AF720="","",IF('Input &amp; Calc'!DL713*0.9&lt;'Input &amp; Calc'!AF720,1,IF('Input &amp; Calc'!DL713*0.75&gt;'Input &amp; Calc'!DL720,3,2)))</f>
        <v>2</v>
      </c>
      <c r="AU674" s="273">
        <v>1</v>
      </c>
    </row>
    <row r="675" spans="1:47">
      <c r="A675" s="620"/>
      <c r="B675" s="551" t="s">
        <v>200</v>
      </c>
      <c r="C675" s="252">
        <f>'Input &amp; Calc'!EQ905</f>
        <v>1</v>
      </c>
      <c r="D675" s="46" t="str">
        <f>'Input &amp; Calc'!EO905</f>
        <v>Ç</v>
      </c>
      <c r="E675" s="279">
        <v>3.3</v>
      </c>
      <c r="F675" s="279">
        <f>'Input &amp; Calc'!EH905</f>
        <v>2.3333333333333335</v>
      </c>
      <c r="G675" s="558"/>
      <c r="H675" s="453" t="s">
        <v>16</v>
      </c>
      <c r="I675" s="559"/>
      <c r="J675" s="252">
        <f>'Input &amp; Calc'!ER905</f>
        <v>3</v>
      </c>
      <c r="K675" s="46" t="str">
        <f>'Input &amp; Calc'!EP905</f>
        <v>È</v>
      </c>
      <c r="L675" s="279">
        <v>3.3</v>
      </c>
      <c r="M675" s="604">
        <v>3.3</v>
      </c>
      <c r="N675" s="609">
        <f>'Input &amp; Calc'!EI905</f>
        <v>2.4500000000000002</v>
      </c>
      <c r="O675" s="561"/>
      <c r="P675" s="252">
        <f>'Input &amp; Calc'!ES905</f>
        <v>3</v>
      </c>
      <c r="Q675" s="388">
        <f>'Input &amp; Calc'!EG918</f>
        <v>3.3333333333333335</v>
      </c>
      <c r="R675" s="442">
        <v>3.3</v>
      </c>
      <c r="S675" s="486">
        <f>'Input &amp; Calc'!EJ905</f>
        <v>2.4500000000000002</v>
      </c>
      <c r="T675" s="491">
        <f>S675/R675</f>
        <v>0.74242424242424254</v>
      </c>
      <c r="U675" s="456"/>
      <c r="V675" s="563">
        <f>$V$741</f>
        <v>3</v>
      </c>
      <c r="W675" s="476" t="str">
        <f>B675</f>
        <v>Average Hours/Client</v>
      </c>
      <c r="X675" s="269">
        <v>1</v>
      </c>
      <c r="Y675" s="268">
        <v>1</v>
      </c>
      <c r="Z675" s="268">
        <v>1</v>
      </c>
      <c r="AA675" s="268">
        <v>1</v>
      </c>
      <c r="AB675" s="268">
        <v>1</v>
      </c>
      <c r="AC675" s="268">
        <v>1</v>
      </c>
      <c r="AD675" s="268">
        <v>1</v>
      </c>
      <c r="AE675" s="268">
        <v>1</v>
      </c>
      <c r="AF675" s="268">
        <v>1</v>
      </c>
      <c r="AG675" s="268">
        <v>1</v>
      </c>
      <c r="AH675" s="268">
        <v>1</v>
      </c>
      <c r="AI675" s="270">
        <v>1</v>
      </c>
      <c r="AJ675" s="274">
        <f>IF('Input &amp; Calc'!V707="","",IF('Input &amp; Calc'!DB674/'Input &amp; Calc'!DB682*0.9/12*'Input &amp; Calc'!DB$51&lt;'Input &amp; Calc'!DB699/'Input &amp; Calc'!DB707,1,IF('Input &amp; Calc'!DB674/'Input &amp; Calc'!DB682*0.75/12*'Input &amp; Calc'!DB$51&gt;'Input &amp; Calc'!DB699/'Input &amp; Calc'!DB707,3,2)))</f>
        <v>1</v>
      </c>
      <c r="AK675" s="273">
        <f>IF('Input &amp; Calc'!W707="","",IF('Input &amp; Calc'!DC674/'Input &amp; Calc'!DC682*0.9/12*'Input &amp; Calc'!DC$51&lt;'Input &amp; Calc'!DC699/'Input &amp; Calc'!DC707,1,IF('Input &amp; Calc'!DC674/'Input &amp; Calc'!DC682*0.75/12*'Input &amp; Calc'!DC$51&gt;'Input &amp; Calc'!DC699/'Input &amp; Calc'!DC707,3,2)))</f>
        <v>1</v>
      </c>
      <c r="AL675" s="273">
        <f>IF('Input &amp; Calc'!X707="","",IF('Input &amp; Calc'!DD674/'Input &amp; Calc'!DD682*0.9/12*'Input &amp; Calc'!DD$51&lt;'Input &amp; Calc'!DD699/'Input &amp; Calc'!DD707,1,IF('Input &amp; Calc'!DD674/'Input &amp; Calc'!DD682*0.75/12*'Input &amp; Calc'!DD$51&gt;'Input &amp; Calc'!DD699/'Input &amp; Calc'!DD707,3,2)))</f>
        <v>1</v>
      </c>
      <c r="AM675" s="273">
        <f>IF('Input &amp; Calc'!Y707="","",IF('Input &amp; Calc'!DE674/'Input &amp; Calc'!DE682*0.9/12*'Input &amp; Calc'!DE$51&lt;'Input &amp; Calc'!DE699/'Input &amp; Calc'!DE707,1,IF('Input &amp; Calc'!DE674/'Input &amp; Calc'!DE682*0.75/12*'Input &amp; Calc'!DE$51&gt;'Input &amp; Calc'!DE699/'Input &amp; Calc'!DE707,3,2)))</f>
        <v>1</v>
      </c>
      <c r="AN675" s="273">
        <f>IF('Input &amp; Calc'!Z707="","",IF('Input &amp; Calc'!DF674/'Input &amp; Calc'!DF682*0.9/12*'Input &amp; Calc'!DF$51&lt;'Input &amp; Calc'!DF699/'Input &amp; Calc'!DF707,1,IF('Input &amp; Calc'!DF674/'Input &amp; Calc'!DF682*0.75/12*'Input &amp; Calc'!DF$51&gt;'Input &amp; Calc'!DF699/'Input &amp; Calc'!DF707,3,2)))</f>
        <v>1</v>
      </c>
      <c r="AO675" s="273">
        <f>IF('Input &amp; Calc'!AA707="","",IF('Input &amp; Calc'!DG674/'Input &amp; Calc'!DG682*0.9/12*'Input &amp; Calc'!DG$51&lt;'Input &amp; Calc'!DG699/'Input &amp; Calc'!DG707,1,IF('Input &amp; Calc'!DG674/'Input &amp; Calc'!DG682*0.75/12*'Input &amp; Calc'!DG$51&gt;'Input &amp; Calc'!DG699/'Input &amp; Calc'!DG707,3,2)))</f>
        <v>1</v>
      </c>
      <c r="AP675" s="273">
        <f>IF('Input &amp; Calc'!AB707="","",IF('Input &amp; Calc'!DH674/'Input &amp; Calc'!DH682*0.9/12*'Input &amp; Calc'!DH$51&lt;'Input &amp; Calc'!DH699/'Input &amp; Calc'!DH707,1,IF('Input &amp; Calc'!DH674/'Input &amp; Calc'!DH682*0.75/12*'Input &amp; Calc'!DH$51&gt;'Input &amp; Calc'!DH699/'Input &amp; Calc'!DH707,3,2)))</f>
        <v>1</v>
      </c>
      <c r="AQ675" s="273">
        <f>IF('Input &amp; Calc'!AC707="","",IF('Input &amp; Calc'!DI674/'Input &amp; Calc'!DI682*0.9/12*'Input &amp; Calc'!DI$51&lt;'Input &amp; Calc'!DI699/'Input &amp; Calc'!DI707,1,IF('Input &amp; Calc'!DI674/'Input &amp; Calc'!DI682*0.75/12*'Input &amp; Calc'!DI$51&gt;'Input &amp; Calc'!DI699/'Input &amp; Calc'!DI707,3,2)))</f>
        <v>2</v>
      </c>
      <c r="AR675" s="273">
        <f>IF('Input &amp; Calc'!AD707="","",IF('Input &amp; Calc'!DJ674/'Input &amp; Calc'!DJ682*0.9/12*'Input &amp; Calc'!DJ$51&gt;'Input &amp; Calc'!DJ699/'Input &amp; Calc'!DJ707,1,IF('Input &amp; Calc'!DJ674/'Input &amp; Calc'!DJ682*0.75/12*'Input &amp; Calc'!DJ$51&gt;'Input &amp; Calc'!DJ699/'Input &amp; Calc'!DJ707,3,2)))</f>
        <v>1</v>
      </c>
      <c r="AS675" s="273">
        <f>IF('Input &amp; Calc'!AE707="","",IF('Input &amp; Calc'!DK674/'Input &amp; Calc'!DK682*0.9/12*'Input &amp; Calc'!DK$51&gt;'Input &amp; Calc'!DK699/'Input &amp; Calc'!DK707,1,IF('Input &amp; Calc'!DK674/'Input &amp; Calc'!DK682*0.75/12*'Input &amp; Calc'!DK$51&gt;'Input &amp; Calc'!DK699/'Input &amp; Calc'!DK707,3,2)))</f>
        <v>1</v>
      </c>
      <c r="AT675" s="273">
        <f>IF('Input &amp; Calc'!AF707="","",IF('Input &amp; Calc'!DL674/'Input &amp; Calc'!DL682*0.9/12*'Input &amp; Calc'!DL$51&gt;'Input &amp; Calc'!DL699/'Input &amp; Calc'!DL707,1,IF('Input &amp; Calc'!DL674/'Input &amp; Calc'!DL682*0.75/12*'Input &amp; Calc'!DL$51&gt;'Input &amp; Calc'!DL699/'Input &amp; Calc'!DL707,3,2)))</f>
        <v>1</v>
      </c>
      <c r="AU675" s="273">
        <v>3</v>
      </c>
    </row>
    <row r="676" spans="1:47">
      <c r="A676" s="470" t="s">
        <v>109</v>
      </c>
      <c r="B676" s="551" t="s">
        <v>201</v>
      </c>
      <c r="C676" s="521"/>
      <c r="D676" s="522"/>
      <c r="E676" s="529"/>
      <c r="F676" s="520"/>
      <c r="G676" s="558"/>
      <c r="H676" s="453" t="s">
        <v>16</v>
      </c>
      <c r="I676" s="559"/>
      <c r="J676" s="252">
        <f>IF(N676/M676&gt;0.899999999,1,IF(N676/M676&lt;0.75,3,2))</f>
        <v>1</v>
      </c>
      <c r="K676" s="46" t="str">
        <f>'Input &amp; Calc'!EP697</f>
        <v>Ç</v>
      </c>
      <c r="L676" s="490">
        <f>Q676</f>
        <v>0.94999999999999984</v>
      </c>
      <c r="M676" s="490">
        <f>L676</f>
        <v>0.94999999999999984</v>
      </c>
      <c r="N676" s="491">
        <f>'Input &amp; Calc'!EI697</f>
        <v>1</v>
      </c>
      <c r="O676" s="561"/>
      <c r="P676" s="252">
        <f>IF(S676/R676&gt;0.899999999,1,IF(S676/R676&lt;0.75,3,2))</f>
        <v>1</v>
      </c>
      <c r="Q676" s="491">
        <f>'Input &amp; Calc'!EG672</f>
        <v>0.94999999999999984</v>
      </c>
      <c r="R676" s="491">
        <f>Q676</f>
        <v>0.94999999999999984</v>
      </c>
      <c r="S676" s="493">
        <f>'Input &amp; Calc'!EJ697</f>
        <v>1</v>
      </c>
      <c r="T676" s="491">
        <f>S676-R676</f>
        <v>5.0000000000000155E-2</v>
      </c>
      <c r="U676" s="455"/>
      <c r="V676" s="563">
        <f>$V$742</f>
        <v>1</v>
      </c>
      <c r="W676" s="476" t="str">
        <f>B676</f>
        <v>Client satisfaction rating %</v>
      </c>
      <c r="X676" s="269">
        <v>3</v>
      </c>
      <c r="Y676" s="268">
        <v>1</v>
      </c>
      <c r="Z676" s="268">
        <v>1</v>
      </c>
      <c r="AA676" s="268">
        <v>1</v>
      </c>
      <c r="AB676" s="268">
        <v>1</v>
      </c>
      <c r="AC676" s="268">
        <v>1</v>
      </c>
      <c r="AD676" s="268">
        <v>1</v>
      </c>
      <c r="AE676" s="268">
        <v>1</v>
      </c>
      <c r="AF676" s="268">
        <v>1</v>
      </c>
      <c r="AG676" s="268">
        <v>1</v>
      </c>
      <c r="AH676" s="268">
        <v>1</v>
      </c>
      <c r="AI676" s="270">
        <v>1</v>
      </c>
      <c r="AJ676" s="268">
        <f>IF('Input &amp; Calc'!V697="","",IF('Input &amp; Calc'!DB672*0.9&lt;'Input &amp; Calc'!DB697,1,IF('Input &amp; Calc'!DB672*0.75&gt;'Input &amp; Calc'!DB697,3,2)))</f>
        <v>1</v>
      </c>
      <c r="AK676" s="268">
        <f>IF('Input &amp; Calc'!W697="","",IF('Input &amp; Calc'!DC672*0.9&lt;'Input &amp; Calc'!DC697,1,IF('Input &amp; Calc'!DC672*0.75&gt;'Input &amp; Calc'!DC697,3,2)))</f>
        <v>1</v>
      </c>
      <c r="AL676" s="268">
        <f>IF('Input &amp; Calc'!X697="","",IF('Input &amp; Calc'!DD672*0.9&lt;'Input &amp; Calc'!DD697,1,IF('Input &amp; Calc'!DD672*0.75&gt;'Input &amp; Calc'!DD697,3,2)))</f>
        <v>1</v>
      </c>
      <c r="AM676" s="268">
        <f>IF('Input &amp; Calc'!Y697="","",IF('Input &amp; Calc'!DE672*0.9&lt;'Input &amp; Calc'!DE697,1,IF('Input &amp; Calc'!DE672*0.75&gt;'Input &amp; Calc'!DE697,3,2)))</f>
        <v>1</v>
      </c>
      <c r="AN676" s="268">
        <f>IF('Input &amp; Calc'!Z697="","",IF('Input &amp; Calc'!DF672*0.9&lt;'Input &amp; Calc'!DF697,1,IF('Input &amp; Calc'!DF672*0.75&gt;'Input &amp; Calc'!DF697,3,2)))</f>
        <v>1</v>
      </c>
      <c r="AO676" s="268">
        <f>IF('Input &amp; Calc'!AA697="","",IF('Input &amp; Calc'!DG672*0.9&lt;'Input &amp; Calc'!DG697,1,IF('Input &amp; Calc'!DG672*0.75&gt;'Input &amp; Calc'!DG697,3,2)))</f>
        <v>1</v>
      </c>
      <c r="AP676" s="268">
        <f>IF('Input &amp; Calc'!AB697="","",IF('Input &amp; Calc'!DH672*0.9&gt;'Input &amp; Calc'!DH697,1,IF('Input &amp; Calc'!DH672*0.75&gt;'Input &amp; Calc'!DH697,3,2)))</f>
        <v>2</v>
      </c>
      <c r="AQ676" s="268">
        <f>IF('Input &amp; Calc'!AC697="","",IF('Input &amp; Calc'!DI672*0.9&gt;'Input &amp; Calc'!DI697,1,IF('Input &amp; Calc'!DI672*0.75&gt;'Input &amp; Calc'!DI697,3,2)))</f>
        <v>2</v>
      </c>
      <c r="AR676" s="268">
        <f>IF('Input &amp; Calc'!AD697="","",IF('Input &amp; Calc'!DJ672*0.9&gt;'Input &amp; Calc'!DJ697,1,IF('Input &amp; Calc'!DJ672*0.75&gt;'Input &amp; Calc'!DJ697,3,2)))</f>
        <v>2</v>
      </c>
      <c r="AS676" s="268">
        <f>IF('Input &amp; Calc'!AE697="","",IF('Input &amp; Calc'!DK672*0.9&gt;'Input &amp; Calc'!DK697,1,IF('Input &amp; Calc'!DK672*0.75&gt;'Input &amp; Calc'!DK697,3,2)))</f>
        <v>2</v>
      </c>
      <c r="AT676" s="268">
        <f>IF('Input &amp; Calc'!AF697="","",IF('Input &amp; Calc'!DL672*0.9&lt;'Input &amp; Calc'!DL697,1,IF('Input &amp; Calc'!DL672*0.75&gt;'Input &amp; Calc'!DL697,3,2)))</f>
        <v>1</v>
      </c>
      <c r="AU676" s="268">
        <v>1</v>
      </c>
    </row>
    <row r="677" spans="1:47" s="465" customFormat="1">
      <c r="A677" s="620" t="s">
        <v>207</v>
      </c>
      <c r="B677" s="551" t="s">
        <v>227</v>
      </c>
      <c r="C677" s="523"/>
      <c r="D677" s="524"/>
      <c r="E677" s="525"/>
      <c r="F677" s="515">
        <f>'Input &amp; Calc'!EH859</f>
        <v>0</v>
      </c>
      <c r="G677" s="451"/>
      <c r="H677" s="453" t="s">
        <v>16</v>
      </c>
      <c r="I677" s="560"/>
      <c r="J677" s="521"/>
      <c r="K677" s="522"/>
      <c r="L677" s="530"/>
      <c r="M677" s="531"/>
      <c r="N677" s="516">
        <f>'Input &amp; Calc'!EI859</f>
        <v>0</v>
      </c>
      <c r="O677" s="562"/>
      <c r="P677" s="521"/>
      <c r="Q677" s="536"/>
      <c r="R677" s="537"/>
      <c r="S677" s="517">
        <f>'Input &amp; Calc'!EJ859</f>
        <v>0</v>
      </c>
      <c r="T677" s="542"/>
      <c r="U677" s="543"/>
      <c r="V677" s="544"/>
      <c r="W677" s="554" t="s">
        <v>227</v>
      </c>
      <c r="X677" s="271"/>
      <c r="Y677" s="268"/>
      <c r="Z677" s="268"/>
      <c r="AA677" s="268"/>
      <c r="AB677" s="268"/>
      <c r="AC677" s="268"/>
      <c r="AD677" s="268"/>
      <c r="AE677" s="268"/>
      <c r="AF677" s="268"/>
      <c r="AG677" s="268"/>
      <c r="AH677" s="268"/>
      <c r="AI677" s="270"/>
      <c r="AJ677" s="268"/>
      <c r="AK677" s="268"/>
      <c r="AL677" s="268"/>
      <c r="AM677" s="268"/>
      <c r="AN677" s="268"/>
      <c r="AO677" s="268"/>
      <c r="AP677" s="268"/>
      <c r="AQ677" s="268"/>
      <c r="AR677" s="268"/>
      <c r="AS677" s="268"/>
      <c r="AT677" s="268"/>
      <c r="AU677" s="268"/>
    </row>
    <row r="678" spans="1:47" s="465" customFormat="1">
      <c r="A678" s="620"/>
      <c r="B678" s="551" t="s">
        <v>228</v>
      </c>
      <c r="C678" s="523"/>
      <c r="D678" s="524"/>
      <c r="E678" s="525"/>
      <c r="F678" s="515">
        <f>'Input &amp; Calc'!EH875</f>
        <v>0</v>
      </c>
      <c r="G678" s="451"/>
      <c r="H678" s="453" t="s">
        <v>16</v>
      </c>
      <c r="I678" s="560"/>
      <c r="J678" s="523"/>
      <c r="K678" s="524"/>
      <c r="L678" s="532"/>
      <c r="M678" s="533"/>
      <c r="N678" s="516">
        <f>'Input &amp; Calc'!EI875</f>
        <v>0</v>
      </c>
      <c r="O678" s="562"/>
      <c r="P678" s="523"/>
      <c r="Q678" s="538"/>
      <c r="R678" s="539"/>
      <c r="S678" s="517">
        <f>'Input &amp; Calc'!EJ875</f>
        <v>0</v>
      </c>
      <c r="T678" s="545"/>
      <c r="U678" s="546"/>
      <c r="V678" s="547"/>
      <c r="W678" s="554" t="s">
        <v>228</v>
      </c>
      <c r="X678" s="271"/>
      <c r="Y678" s="268"/>
      <c r="Z678" s="268"/>
      <c r="AA678" s="268"/>
      <c r="AB678" s="268"/>
      <c r="AC678" s="268"/>
      <c r="AD678" s="268"/>
      <c r="AE678" s="268"/>
      <c r="AF678" s="268"/>
      <c r="AG678" s="268"/>
      <c r="AH678" s="268"/>
      <c r="AI678" s="270"/>
      <c r="AJ678" s="268"/>
      <c r="AK678" s="268"/>
      <c r="AL678" s="268"/>
      <c r="AM678" s="268"/>
      <c r="AN678" s="268"/>
      <c r="AO678" s="268"/>
      <c r="AP678" s="268"/>
      <c r="AQ678" s="268"/>
      <c r="AR678" s="268"/>
      <c r="AS678" s="268"/>
      <c r="AT678" s="268"/>
      <c r="AU678" s="268"/>
    </row>
    <row r="679" spans="1:47" s="465" customFormat="1">
      <c r="A679" s="620"/>
      <c r="B679" s="551" t="s">
        <v>234</v>
      </c>
      <c r="C679" s="526"/>
      <c r="D679" s="527"/>
      <c r="E679" s="528"/>
      <c r="F679" s="495">
        <f>'Input &amp; Calc'!EH890</f>
        <v>0</v>
      </c>
      <c r="G679" s="451"/>
      <c r="H679" s="453" t="s">
        <v>16</v>
      </c>
      <c r="I679" s="560"/>
      <c r="J679" s="526"/>
      <c r="K679" s="527"/>
      <c r="L679" s="534"/>
      <c r="M679" s="535"/>
      <c r="N679" s="496">
        <f>'Input &amp; Calc'!EI890</f>
        <v>0</v>
      </c>
      <c r="O679" s="562"/>
      <c r="P679" s="526"/>
      <c r="Q679" s="540"/>
      <c r="R679" s="541"/>
      <c r="S679" s="497">
        <f>'Input &amp; Calc'!EJ890</f>
        <v>0</v>
      </c>
      <c r="T679" s="548"/>
      <c r="U679" s="549"/>
      <c r="V679" s="550"/>
      <c r="W679" s="554" t="s">
        <v>208</v>
      </c>
      <c r="X679" s="271"/>
      <c r="Y679" s="268"/>
      <c r="Z679" s="268"/>
      <c r="AA679" s="268"/>
      <c r="AB679" s="268"/>
      <c r="AC679" s="268"/>
      <c r="AD679" s="268"/>
      <c r="AE679" s="268"/>
      <c r="AF679" s="268"/>
      <c r="AG679" s="268"/>
      <c r="AH679" s="268"/>
      <c r="AI679" s="270"/>
      <c r="AJ679" s="268"/>
      <c r="AK679" s="268"/>
      <c r="AL679" s="268"/>
      <c r="AM679" s="268"/>
      <c r="AN679" s="268"/>
      <c r="AO679" s="268"/>
      <c r="AP679" s="268"/>
      <c r="AQ679" s="268"/>
      <c r="AR679" s="268"/>
      <c r="AS679" s="268"/>
      <c r="AT679" s="268"/>
      <c r="AU679" s="268"/>
    </row>
    <row r="680" spans="1:47" ht="16.5" thickBot="1">
      <c r="A680" s="86" t="s">
        <v>139</v>
      </c>
      <c r="B680" s="321"/>
      <c r="C680" s="645" t="s">
        <v>164</v>
      </c>
      <c r="D680" s="645"/>
      <c r="E680" s="87" t="s">
        <v>140</v>
      </c>
      <c r="F680" s="448"/>
      <c r="G680" s="448"/>
      <c r="H680" s="645" t="s">
        <v>165</v>
      </c>
      <c r="I680" s="645"/>
      <c r="J680" s="645"/>
      <c r="K680" s="88" t="s">
        <v>141</v>
      </c>
      <c r="L680" s="448"/>
      <c r="M680" s="448"/>
      <c r="N680" s="647" t="s">
        <v>166</v>
      </c>
      <c r="O680" s="647"/>
      <c r="P680" s="647"/>
      <c r="Q680" s="89" t="s">
        <v>142</v>
      </c>
      <c r="R680" s="257"/>
      <c r="S680" s="68"/>
      <c r="T680" s="68"/>
      <c r="U680" s="69"/>
      <c r="V680" s="69"/>
      <c r="W680" s="69"/>
      <c r="X680" s="464"/>
      <c r="Y680" s="464"/>
      <c r="Z680" s="464"/>
      <c r="AA680" s="464"/>
      <c r="AB680" s="464"/>
      <c r="AC680" s="464"/>
      <c r="AD680" s="464"/>
      <c r="AE680" s="464"/>
      <c r="AF680" s="464"/>
      <c r="AG680" s="464"/>
      <c r="AH680" s="464"/>
      <c r="AI680" s="464"/>
      <c r="AJ680" s="464"/>
      <c r="AK680" s="464"/>
      <c r="AL680" s="464"/>
      <c r="AM680" s="464"/>
      <c r="AN680" s="464"/>
      <c r="AO680" s="464"/>
      <c r="AP680" s="464"/>
      <c r="AQ680" s="464"/>
      <c r="AR680" s="464"/>
      <c r="AS680" s="464"/>
      <c r="AT680" s="464"/>
      <c r="AU680" s="464"/>
    </row>
    <row r="681" spans="1:47">
      <c r="A681" s="519" t="s">
        <v>229</v>
      </c>
    </row>
    <row r="682" spans="1:47" hidden="1"/>
    <row r="683" spans="1:47" hidden="1"/>
    <row r="684" spans="1:47" hidden="1"/>
    <row r="685" spans="1:47" hidden="1"/>
    <row r="686" spans="1:47" hidden="1"/>
    <row r="687" spans="1:47" hidden="1"/>
    <row r="688" spans="1:47"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spans="1:47" hidden="1"/>
    <row r="722" spans="1:47" hidden="1"/>
    <row r="723" spans="1:47" hidden="1"/>
    <row r="724" spans="1:47" hidden="1"/>
    <row r="725" spans="1:47" hidden="1"/>
    <row r="726" spans="1:47" hidden="1"/>
    <row r="727" spans="1:47">
      <c r="A727" s="76" t="s">
        <v>148</v>
      </c>
      <c r="B727" s="76"/>
      <c r="C727" s="77"/>
      <c r="D727" s="77"/>
      <c r="E727" s="78"/>
      <c r="F727" s="67"/>
      <c r="G727" s="77"/>
      <c r="H727" s="77"/>
      <c r="I727" s="77"/>
      <c r="J727" s="106" t="str">
        <f>'Input &amp; Calc'!A727</f>
        <v>Utah SBDC</v>
      </c>
      <c r="K727" s="77"/>
      <c r="L727" s="78"/>
      <c r="M727" s="78"/>
      <c r="N727" s="77"/>
      <c r="O727" s="77"/>
      <c r="P727" s="67"/>
      <c r="Q727" s="105" t="s">
        <v>146</v>
      </c>
      <c r="R727" s="105"/>
      <c r="S727" s="106" t="str">
        <f>'Input &amp; Calc'!C727</f>
        <v>Greg Panichello</v>
      </c>
      <c r="T727" s="79"/>
      <c r="U727" s="80"/>
      <c r="V727" s="80"/>
      <c r="W727" s="76"/>
      <c r="X727" s="469"/>
      <c r="Y727" s="469"/>
      <c r="Z727" s="469"/>
      <c r="AA727" s="469"/>
      <c r="AB727" s="469"/>
      <c r="AC727" s="469"/>
      <c r="AD727" s="469"/>
      <c r="AJ727" s="502" t="str">
        <f>J727</f>
        <v>Utah SBDC</v>
      </c>
      <c r="AK727" s="502"/>
      <c r="AL727" s="502"/>
      <c r="AM727" s="503" t="s">
        <v>146</v>
      </c>
      <c r="AN727" s="502" t="str">
        <f>S727</f>
        <v>Greg Panichello</v>
      </c>
      <c r="AP727" s="469"/>
      <c r="AQ727" s="464"/>
      <c r="AR727" s="464"/>
      <c r="AS727" s="464"/>
      <c r="AT727" s="464"/>
      <c r="AU727" s="464"/>
    </row>
    <row r="728" spans="1:47">
      <c r="A728" s="81" t="s">
        <v>205</v>
      </c>
      <c r="B728" s="322"/>
      <c r="C728" s="82"/>
      <c r="D728" s="82"/>
      <c r="E728" s="83"/>
      <c r="F728" s="82"/>
      <c r="G728" s="82"/>
      <c r="H728" s="82"/>
      <c r="I728" s="82"/>
      <c r="J728" s="82"/>
      <c r="K728" s="82"/>
      <c r="L728" s="83"/>
      <c r="M728" s="83"/>
      <c r="N728" s="82"/>
      <c r="O728" s="82"/>
      <c r="P728" s="84"/>
      <c r="Q728" s="82"/>
      <c r="R728" s="82"/>
      <c r="S728" s="82"/>
      <c r="T728" s="82"/>
      <c r="U728" s="128"/>
      <c r="V728" s="128"/>
      <c r="W728" s="322"/>
      <c r="X728" s="464"/>
      <c r="Y728" s="464"/>
      <c r="Z728" s="464"/>
      <c r="AA728" s="464"/>
      <c r="AB728" s="464"/>
      <c r="AC728" s="464"/>
      <c r="AD728" s="464"/>
      <c r="AE728" s="464"/>
      <c r="AF728" s="464"/>
      <c r="AG728" s="464"/>
      <c r="AH728" s="464"/>
      <c r="AI728" s="464"/>
      <c r="AJ728" s="464"/>
      <c r="AK728" s="464"/>
      <c r="AL728" s="464"/>
      <c r="AM728" s="464"/>
      <c r="AN728" s="464"/>
      <c r="AO728" s="464"/>
      <c r="AP728" s="464"/>
      <c r="AQ728" s="464"/>
      <c r="AR728" s="464"/>
      <c r="AS728" s="464"/>
      <c r="AT728" s="464"/>
      <c r="AU728" s="464"/>
    </row>
    <row r="729" spans="1:47" ht="16.5" thickBot="1"/>
    <row r="730" spans="1:47" ht="14.25" customHeight="1" thickBot="1">
      <c r="A730" s="96" t="s">
        <v>134</v>
      </c>
      <c r="B730" s="460"/>
      <c r="C730" s="90"/>
      <c r="D730" s="93" t="s">
        <v>238</v>
      </c>
      <c r="E730" s="94">
        <f>'Input &amp; Calc'!I727</f>
        <v>40391</v>
      </c>
      <c r="F730" s="95"/>
      <c r="G730" s="92"/>
      <c r="H730" s="92"/>
      <c r="I730" s="92"/>
      <c r="J730" s="90"/>
      <c r="K730" s="90"/>
      <c r="L730" s="93" t="s">
        <v>237</v>
      </c>
      <c r="M730" s="93"/>
      <c r="N730" s="463"/>
      <c r="O730" s="92"/>
      <c r="P730" s="90"/>
      <c r="Q730" s="90"/>
      <c r="R730" s="90"/>
      <c r="S730" s="91" t="s">
        <v>133</v>
      </c>
      <c r="T730" s="103">
        <f>'Input &amp; Calc'!EK727</f>
        <v>11</v>
      </c>
      <c r="U730" s="325" t="s">
        <v>159</v>
      </c>
      <c r="V730" s="104"/>
      <c r="W730" s="70"/>
      <c r="X730" s="70"/>
      <c r="Y730" s="70"/>
      <c r="Z730" s="70"/>
      <c r="AA730" s="70"/>
      <c r="AB730" s="70"/>
      <c r="AC730" s="70"/>
      <c r="AD730" s="70"/>
      <c r="AE730" s="70"/>
      <c r="AF730" s="70"/>
      <c r="AG730" s="70"/>
      <c r="AH730" s="70"/>
      <c r="AI730" s="70"/>
      <c r="AJ730" s="70"/>
      <c r="AK730" s="70"/>
      <c r="AL730" s="70"/>
      <c r="AM730" s="464"/>
      <c r="AN730" s="464"/>
      <c r="AO730" s="464"/>
      <c r="AP730" s="464"/>
      <c r="AQ730" s="464"/>
      <c r="AR730" s="464"/>
      <c r="AS730" s="464"/>
      <c r="AT730" s="464"/>
      <c r="AU730" s="464"/>
    </row>
    <row r="731" spans="1:47" ht="13.5" customHeight="1" thickBot="1">
      <c r="A731" s="636" t="s">
        <v>99</v>
      </c>
      <c r="B731" s="638" t="s">
        <v>100</v>
      </c>
      <c r="C731" s="621" t="s">
        <v>101</v>
      </c>
      <c r="D731" s="621" t="s">
        <v>104</v>
      </c>
      <c r="E731" s="643" t="s">
        <v>105</v>
      </c>
      <c r="F731" s="621" t="s">
        <v>106</v>
      </c>
      <c r="G731" s="449"/>
      <c r="H731" s="638" t="s">
        <v>137</v>
      </c>
      <c r="I731" s="449"/>
      <c r="J731" s="621" t="s">
        <v>101</v>
      </c>
      <c r="K731" s="621" t="s">
        <v>104</v>
      </c>
      <c r="L731" s="621" t="s">
        <v>192</v>
      </c>
      <c r="M731" s="638" t="s">
        <v>194</v>
      </c>
      <c r="N731" s="621" t="s">
        <v>193</v>
      </c>
      <c r="O731" s="449"/>
      <c r="P731" s="642" t="s">
        <v>101</v>
      </c>
      <c r="Q731" s="638" t="s">
        <v>102</v>
      </c>
      <c r="R731" s="638" t="s">
        <v>191</v>
      </c>
      <c r="S731" s="638" t="s">
        <v>103</v>
      </c>
      <c r="T731" s="639" t="s">
        <v>131</v>
      </c>
      <c r="U731" s="641" t="s">
        <v>209</v>
      </c>
      <c r="V731" s="623" t="s">
        <v>203</v>
      </c>
      <c r="W731" s="70"/>
      <c r="X731" s="464"/>
      <c r="Y731" s="464"/>
      <c r="Z731" s="464"/>
      <c r="AA731" s="640"/>
      <c r="AB731" s="640"/>
      <c r="AC731" s="640"/>
      <c r="AD731" s="640"/>
      <c r="AE731" s="640"/>
      <c r="AF731" s="640"/>
      <c r="AG731" s="640"/>
      <c r="AH731" s="640"/>
      <c r="AI731" s="640"/>
      <c r="AJ731" s="640"/>
      <c r="AK731" s="640"/>
      <c r="AL731" s="640"/>
      <c r="AM731" s="630" t="s">
        <v>149</v>
      </c>
      <c r="AN731" s="631"/>
      <c r="AO731" s="631"/>
      <c r="AP731" s="631"/>
      <c r="AQ731" s="631"/>
      <c r="AR731" s="631"/>
      <c r="AS731" s="631"/>
      <c r="AT731" s="631"/>
      <c r="AU731" s="632"/>
    </row>
    <row r="732" spans="1:47" ht="12.75" customHeight="1" thickBot="1">
      <c r="A732" s="637"/>
      <c r="B732" s="621"/>
      <c r="C732" s="622"/>
      <c r="D732" s="622"/>
      <c r="E732" s="644"/>
      <c r="F732" s="622"/>
      <c r="G732" s="449"/>
      <c r="H732" s="638"/>
      <c r="I732" s="449"/>
      <c r="J732" s="650"/>
      <c r="K732" s="622"/>
      <c r="L732" s="622"/>
      <c r="M732" s="638"/>
      <c r="N732" s="622"/>
      <c r="O732" s="449"/>
      <c r="P732" s="642"/>
      <c r="Q732" s="638"/>
      <c r="R732" s="638"/>
      <c r="S732" s="638"/>
      <c r="T732" s="639"/>
      <c r="U732" s="641"/>
      <c r="V732" s="624"/>
      <c r="W732" s="452" t="s">
        <v>100</v>
      </c>
      <c r="X732" s="473">
        <v>39630</v>
      </c>
      <c r="Y732" s="473">
        <v>39661</v>
      </c>
      <c r="Z732" s="473">
        <v>39692</v>
      </c>
      <c r="AA732" s="473">
        <v>39722</v>
      </c>
      <c r="AB732" s="473">
        <v>39753</v>
      </c>
      <c r="AC732" s="473">
        <v>39783</v>
      </c>
      <c r="AD732" s="473">
        <v>39814</v>
      </c>
      <c r="AE732" s="473">
        <v>39845</v>
      </c>
      <c r="AF732" s="473">
        <v>39873</v>
      </c>
      <c r="AG732" s="473">
        <v>39904</v>
      </c>
      <c r="AH732" s="473">
        <v>39934</v>
      </c>
      <c r="AI732" s="473">
        <v>39965</v>
      </c>
      <c r="AJ732" s="473">
        <v>39995</v>
      </c>
      <c r="AK732" s="473">
        <v>40026</v>
      </c>
      <c r="AL732" s="474">
        <v>40057</v>
      </c>
      <c r="AM732" s="471">
        <v>40087</v>
      </c>
      <c r="AN732" s="450">
        <v>40118</v>
      </c>
      <c r="AO732" s="450">
        <v>40148</v>
      </c>
      <c r="AP732" s="450">
        <v>40179</v>
      </c>
      <c r="AQ732" s="450">
        <v>40210</v>
      </c>
      <c r="AR732" s="450">
        <v>40238</v>
      </c>
      <c r="AS732" s="450">
        <v>40269</v>
      </c>
      <c r="AT732" s="450">
        <v>40299</v>
      </c>
      <c r="AU732" s="472">
        <v>40330</v>
      </c>
    </row>
    <row r="733" spans="1:47" ht="26.25">
      <c r="A733" s="470" t="s">
        <v>196</v>
      </c>
      <c r="B733" s="555" t="s">
        <v>132</v>
      </c>
      <c r="C733" s="252">
        <f>IF(F733/E733&gt;0.899999999,1,IF(F733/E733&lt;0.75,3,2))</f>
        <v>1</v>
      </c>
      <c r="D733" s="46" t="str">
        <f>'Input &amp; Calc'!EO754</f>
        <v>È</v>
      </c>
      <c r="E733" s="590">
        <f t="shared" ref="E733:F733" si="1">E7+E73+E139+E205+E271+E337+E403+E469+E535+E601+E667</f>
        <v>56.828269999999989</v>
      </c>
      <c r="F733" s="567">
        <f t="shared" si="1"/>
        <v>56</v>
      </c>
      <c r="G733" s="591"/>
      <c r="H733" s="592" t="s">
        <v>16</v>
      </c>
      <c r="I733" s="593"/>
      <c r="J733" s="594">
        <f>IF(N733/M733&gt;0.899999999,1,IF(N733/M733&lt;0.75,3,2))</f>
        <v>1</v>
      </c>
      <c r="K733" s="595" t="str">
        <f>'Input &amp; Calc'!EP754</f>
        <v>È</v>
      </c>
      <c r="L733" s="589">
        <f t="shared" ref="L733:N733" si="2">L7+L73+L139+L205+L271+L337+L403+L469+L535+L601+L667</f>
        <v>170.48497583333332</v>
      </c>
      <c r="M733" s="589">
        <f t="shared" si="2"/>
        <v>113.65665055555556</v>
      </c>
      <c r="N733" s="565">
        <f t="shared" si="2"/>
        <v>122</v>
      </c>
      <c r="O733" s="596"/>
      <c r="P733" s="594">
        <f>IF(S733/R733&gt;0.899999999,1,IF(S733/R733&lt;0.75,3,2))</f>
        <v>1</v>
      </c>
      <c r="Q733" s="565">
        <f>Q7+Q73+Q139+Q205+Q271+Q337+Q403+Q469+Q535+Q601+Q667</f>
        <v>681.93990333333329</v>
      </c>
      <c r="R733" s="565">
        <f t="shared" ref="R733:S733" si="3">R7+R73+R139+R205+R271+R337+R403+R469+R535+R601+R667</f>
        <v>625.11157805555547</v>
      </c>
      <c r="S733" s="566">
        <f t="shared" si="3"/>
        <v>855</v>
      </c>
      <c r="T733" s="488">
        <f>S733/R733</f>
        <v>1.3677558215439318</v>
      </c>
      <c r="U733" s="455"/>
      <c r="V733" s="563">
        <f>P733</f>
        <v>1</v>
      </c>
      <c r="W733" s="554" t="str">
        <f>B733</f>
        <v># of Ext Engag Clients; &gt;5 Hrs contact since 10/05</v>
      </c>
      <c r="X733" s="268">
        <v>1</v>
      </c>
      <c r="Y733" s="268">
        <v>1</v>
      </c>
      <c r="Z733" s="268">
        <v>1</v>
      </c>
      <c r="AA733" s="268">
        <v>1</v>
      </c>
      <c r="AB733" s="268">
        <v>1</v>
      </c>
      <c r="AC733" s="268">
        <v>1</v>
      </c>
      <c r="AD733" s="268">
        <v>1</v>
      </c>
      <c r="AE733" s="268">
        <v>1</v>
      </c>
      <c r="AF733" s="268">
        <v>1</v>
      </c>
      <c r="AG733" s="268">
        <v>1</v>
      </c>
      <c r="AH733" s="268">
        <v>1</v>
      </c>
      <c r="AI733" s="268">
        <v>1</v>
      </c>
      <c r="AJ733" s="268">
        <f>IF('Input &amp; Calc'!V754="","",IF('Input &amp; Calc'!DB754/'Input &amp; Calc'!DB731&gt;=0.9,1,IF('Input &amp; Calc'!DB754/'Input &amp; Calc'!DB731&lt;0.75,3,2)))</f>
        <v>1</v>
      </c>
      <c r="AK733" s="268">
        <f>IF('Input &amp; Calc'!W754="","",IF('Input &amp; Calc'!DC754/'Input &amp; Calc'!DC731&gt;=0.9,1,IF('Input &amp; Calc'!DC754/'Input &amp; Calc'!DC731&lt;0.75,3,2)))</f>
        <v>1</v>
      </c>
      <c r="AL733" s="270">
        <f>IF('Input &amp; Calc'!X754="","",IF('Input &amp; Calc'!DD754/'Input &amp; Calc'!DD731&gt;=0.9,1,IF('Input &amp; Calc'!DD754/'Input &amp; Calc'!DD731&lt;0.75,3,2)))</f>
        <v>1</v>
      </c>
      <c r="AM733" s="268">
        <f>IF('Input &amp; Calc'!Y754="","",IF('Input &amp; Calc'!DE754/'Input &amp; Calc'!DE731&gt;=0.9,1,IF('Input &amp; Calc'!DE754/'Input &amp; Calc'!DE731&lt;0.75,3,2)))</f>
        <v>1</v>
      </c>
      <c r="AN733" s="268">
        <f>IF('Input &amp; Calc'!Z754="","",IF('Input &amp; Calc'!DF754/'Input &amp; Calc'!DF731&gt;=0.9,1,IF('Input &amp; Calc'!DF754/'Input &amp; Calc'!DF731&lt;0.75,3,2)))</f>
        <v>1</v>
      </c>
      <c r="AO733" s="271">
        <f>IF('Input &amp; Calc'!AA754="","",IF('Input &amp; Calc'!DG754/'Input &amp; Calc'!DG731&gt;=0.9,1,IF('Input &amp; Calc'!DG754/'Input &amp; Calc'!DG731&lt;0.75,3,2)))</f>
        <v>1</v>
      </c>
      <c r="AP733" s="271">
        <f>IF('Input &amp; Calc'!AB754="","",IF('Input &amp; Calc'!DH754/'Input &amp; Calc'!DH731&gt;=0.9,1,IF('Input &amp; Calc'!DH754/'Input &amp; Calc'!DH731&lt;0.75,3,2)))</f>
        <v>1</v>
      </c>
      <c r="AQ733" s="271">
        <f>IF('Input &amp; Calc'!AC754="","",IF('Input &amp; Calc'!DI754/'Input &amp; Calc'!DI731&gt;=0.9,1,IF('Input &amp; Calc'!DI754/'Input &amp; Calc'!DI731&lt;0.75,3,2)))</f>
        <v>1</v>
      </c>
      <c r="AR733" s="271">
        <f>IF('Input &amp; Calc'!AD754="","",IF('Input &amp; Calc'!DJ754/'Input &amp; Calc'!DJ731&gt;=0.9,1,IF('Input &amp; Calc'!DJ754/'Input &amp; Calc'!DJ731&lt;0.75,3,2)))</f>
        <v>1</v>
      </c>
      <c r="AS733" s="271">
        <f>IF('Input &amp; Calc'!AE754="","",IF('Input &amp; Calc'!DK754/'Input &amp; Calc'!DK731&gt;=0.9,1,IF('Input &amp; Calc'!DK754/'Input &amp; Calc'!DK731&lt;0.75,3,2)))</f>
        <v>1</v>
      </c>
      <c r="AT733" s="271">
        <f>IF('Input &amp; Calc'!AF754="","",IF('Input &amp; Calc'!DL754/'Input &amp; Calc'!DL731&gt;=0.9,1,IF('Input &amp; Calc'!DL754/'Input &amp; Calc'!DL731&lt;0.75,3,2)))</f>
        <v>1</v>
      </c>
      <c r="AU733" s="271">
        <f>IF('Input &amp; Calc'!AG754="","",IF('Input &amp; Calc'!DM754/'Input &amp; Calc'!DM731&gt;=0.9,1,IF('Input &amp; Calc'!DM754/'Input &amp; Calc'!DM731&lt;0.75,3,2)))</f>
        <v>1</v>
      </c>
    </row>
    <row r="734" spans="1:47">
      <c r="A734" s="633" t="s">
        <v>206</v>
      </c>
      <c r="B734" s="556" t="s">
        <v>107</v>
      </c>
      <c r="C734" s="252">
        <f>IF(F734/E734&gt;0.899999999,1,IF(F734/E734&lt;0.75,3,2))</f>
        <v>1</v>
      </c>
      <c r="D734" s="97" t="str">
        <f>'Input &amp; Calc'!EO756</f>
        <v>Ç</v>
      </c>
      <c r="E734" s="590">
        <f t="shared" ref="E734:F734" si="4">E8+E74+E140+E206+E272+E338+E404+E470+E536+E602+E668</f>
        <v>15.651930000000002</v>
      </c>
      <c r="F734" s="567">
        <f t="shared" si="4"/>
        <v>20</v>
      </c>
      <c r="G734" s="591"/>
      <c r="H734" s="592" t="s">
        <v>16</v>
      </c>
      <c r="I734" s="593"/>
      <c r="J734" s="594">
        <f>IF(N734/M734&gt;0.899999999,1,IF(N734/M734&lt;0.75,3,2))</f>
        <v>1</v>
      </c>
      <c r="K734" s="597" t="str">
        <f>'Input &amp; Calc'!EP756</f>
        <v>È</v>
      </c>
      <c r="L734" s="589">
        <f t="shared" ref="L734:N734" si="5">L8+L74+L140+L206+L272+L338+L404+L470+L536+L602+L668</f>
        <v>46.955790833333332</v>
      </c>
      <c r="M734" s="589">
        <f t="shared" si="5"/>
        <v>31.303860555555556</v>
      </c>
      <c r="N734" s="565">
        <f t="shared" si="5"/>
        <v>44</v>
      </c>
      <c r="O734" s="596"/>
      <c r="P734" s="594">
        <f>IF(S734/R734&gt;0.899999999,1,IF(S734/R734&lt;0.75,3,2))</f>
        <v>1</v>
      </c>
      <c r="Q734" s="565">
        <f t="shared" ref="Q734:S734" si="6">Q8+Q74+Q140+Q206+Q272+Q338+Q404+Q470+Q536+Q602+Q668</f>
        <v>187.82316333333333</v>
      </c>
      <c r="R734" s="565">
        <f t="shared" si="6"/>
        <v>172.17123305555558</v>
      </c>
      <c r="S734" s="566">
        <f t="shared" si="6"/>
        <v>245</v>
      </c>
      <c r="T734" s="488">
        <f>S734/R734</f>
        <v>1.4230019478395923</v>
      </c>
      <c r="U734" s="455"/>
      <c r="V734" s="563">
        <f t="shared" ref="V734:V735" si="7">P734</f>
        <v>1</v>
      </c>
      <c r="W734" s="554" t="str">
        <f>B734</f>
        <v># of Business Starts</v>
      </c>
      <c r="X734" s="268">
        <v>1</v>
      </c>
      <c r="Y734" s="268">
        <v>1</v>
      </c>
      <c r="Z734" s="268">
        <v>1</v>
      </c>
      <c r="AA734" s="268">
        <v>1</v>
      </c>
      <c r="AB734" s="272">
        <v>1</v>
      </c>
      <c r="AC734" s="272">
        <v>1</v>
      </c>
      <c r="AD734" s="272">
        <v>1</v>
      </c>
      <c r="AE734" s="272">
        <v>1</v>
      </c>
      <c r="AF734" s="272">
        <v>1</v>
      </c>
      <c r="AG734" s="272">
        <v>1</v>
      </c>
      <c r="AH734" s="272">
        <v>1</v>
      </c>
      <c r="AI734" s="272">
        <v>1</v>
      </c>
      <c r="AJ734" s="272">
        <f>IF('Input &amp; Calc'!V754="","",IF('Input &amp; Calc'!DB756/'Input &amp; Calc'!DB733&gt;=0.9,1,IF('Input &amp; Calc'!DB756/'Input &amp; Calc'!DB733&lt;0.75,3,2)))</f>
        <v>1</v>
      </c>
      <c r="AK734" s="272">
        <f>IF('Input &amp; Calc'!W754="","",IF('Input &amp; Calc'!DC756/'Input &amp; Calc'!DC733&gt;=0.9,1,IF('Input &amp; Calc'!DC756/'Input &amp; Calc'!DC733&lt;0.75,3,2)))</f>
        <v>1</v>
      </c>
      <c r="AL734" s="272">
        <f>IF('Input &amp; Calc'!X754="","",IF('Input &amp; Calc'!DD756/'Input &amp; Calc'!DD733&gt;=0.9,1,IF('Input &amp; Calc'!DD756/'Input &amp; Calc'!DD733&lt;0.75,3,2)))</f>
        <v>1</v>
      </c>
      <c r="AM734" s="272">
        <f>IF('Input &amp; Calc'!Y754="","",IF('Input &amp; Calc'!DE756/'Input &amp; Calc'!DE733&gt;=0.9,1,IF('Input &amp; Calc'!DE756/'Input &amp; Calc'!DE733&lt;0.75,3,2)))</f>
        <v>1</v>
      </c>
      <c r="AN734" s="272">
        <f>IF('Input &amp; Calc'!Z754="","",IF('Input &amp; Calc'!DF756/'Input &amp; Calc'!DF733&gt;=0.9,1,IF('Input &amp; Calc'!DF756/'Input &amp; Calc'!DF733&lt;0.75,3,2)))</f>
        <v>2</v>
      </c>
      <c r="AO734" s="272">
        <f>IF('Input &amp; Calc'!AA754="","",IF('Input &amp; Calc'!DG756/'Input &amp; Calc'!DG733&gt;=0.9,1,IF('Input &amp; Calc'!DG756/'Input &amp; Calc'!DG733&lt;0.75,3,2)))</f>
        <v>1</v>
      </c>
      <c r="AP734" s="272">
        <f>IF('Input &amp; Calc'!AB754="","",IF('Input &amp; Calc'!DH756/'Input &amp; Calc'!DH733&gt;=0.9,1,IF('Input &amp; Calc'!DH756/'Input &amp; Calc'!DH733&lt;0.75,3,2)))</f>
        <v>1</v>
      </c>
      <c r="AQ734" s="272">
        <f>IF('Input &amp; Calc'!AC754="","",IF('Input &amp; Calc'!DI756/'Input &amp; Calc'!DI733&gt;=0.9,1,IF('Input &amp; Calc'!DI756/'Input &amp; Calc'!DI733&lt;0.75,3,2)))</f>
        <v>1</v>
      </c>
      <c r="AR734" s="272">
        <f>IF('Input &amp; Calc'!AD754="","",IF('Input &amp; Calc'!DJ756/'Input &amp; Calc'!DJ733&gt;=0.9,1,IF('Input &amp; Calc'!DJ756/'Input &amp; Calc'!DJ733&lt;0.75,3,2)))</f>
        <v>1</v>
      </c>
      <c r="AS734" s="272">
        <f>IF('Input &amp; Calc'!AE754="","",IF('Input &amp; Calc'!DK756/'Input &amp; Calc'!DK733&gt;=0.9,1,IF('Input &amp; Calc'!DK756/'Input &amp; Calc'!DK733&lt;0.75,3,2)))</f>
        <v>1</v>
      </c>
      <c r="AT734" s="272">
        <f>IF('Input &amp; Calc'!AF754="","",IF('Input &amp; Calc'!DL756/'Input &amp; Calc'!DL733&gt;=0.9,1,IF('Input &amp; Calc'!DL756/'Input &amp; Calc'!DL733&lt;0.75,3,2)))</f>
        <v>1</v>
      </c>
      <c r="AU734" s="272">
        <f>IF('Input &amp; Calc'!AG754="","",IF('Input &amp; Calc'!DM756/'Input &amp; Calc'!DM733&gt;=0.9,1,IF('Input &amp; Calc'!DM756/'Input &amp; Calc'!DM733&lt;0.75,3,2)))</f>
        <v>1</v>
      </c>
    </row>
    <row r="735" spans="1:47" ht="16.5" thickBot="1">
      <c r="A735" s="634"/>
      <c r="B735" s="557" t="s">
        <v>138</v>
      </c>
      <c r="C735" s="252">
        <f>IF(F735/E735&gt;0.899999999,1,IF(F735/E735&lt;0.75,3,2))</f>
        <v>3</v>
      </c>
      <c r="D735" s="85" t="str">
        <f>'Input &amp; Calc'!EO757</f>
        <v>È</v>
      </c>
      <c r="E735" s="279">
        <f t="shared" ref="E735:F735" si="8">E9+E75+E141+E207+E273+E339+E405+E471+E537+E603+E669</f>
        <v>4.0137433333333341</v>
      </c>
      <c r="F735" s="485">
        <f t="shared" si="8"/>
        <v>1.1749789999999989</v>
      </c>
      <c r="G735" s="458"/>
      <c r="H735" s="467" t="s">
        <v>16</v>
      </c>
      <c r="I735" s="459"/>
      <c r="J735" s="252">
        <f>IF(N735/M735&gt;0.899999999,1,IF(N735/M735&lt;0.75,3,2))</f>
        <v>1</v>
      </c>
      <c r="K735" s="85" t="str">
        <f>'Input &amp; Calc'!EP757</f>
        <v>Ç</v>
      </c>
      <c r="L735" s="442">
        <f t="shared" ref="L735:N735" si="9">L9+L75+L141+L207+L273+L339+L405+L471+L537+L603+L669</f>
        <v>8.7462150750000003</v>
      </c>
      <c r="M735" s="442">
        <f t="shared" si="9"/>
        <v>5.8308100499999993</v>
      </c>
      <c r="N735" s="388">
        <f t="shared" si="9"/>
        <v>7.5392049999999999</v>
      </c>
      <c r="O735" s="457"/>
      <c r="P735" s="252">
        <f>IF(S735/R735&gt;0.899999999,1,IF(S735/R735&lt;0.75,3,2))</f>
        <v>1</v>
      </c>
      <c r="Q735" s="388">
        <f t="shared" ref="Q735:S735" si="10">Q9+Q75+Q141+Q207+Q273+Q339+Q405+Q471+Q537+Q603+Q669</f>
        <v>34.984860300000001</v>
      </c>
      <c r="R735" s="388">
        <f t="shared" si="10"/>
        <v>32.069455274999996</v>
      </c>
      <c r="S735" s="486">
        <f t="shared" si="10"/>
        <v>40.041424999999997</v>
      </c>
      <c r="T735" s="488">
        <f>S735/R735</f>
        <v>1.2485845068660899</v>
      </c>
      <c r="U735" s="468"/>
      <c r="V735" s="563">
        <f t="shared" si="7"/>
        <v>1</v>
      </c>
      <c r="W735" s="554" t="str">
        <f>B735</f>
        <v>Capital Infusion $ - Million</v>
      </c>
      <c r="X735" s="275">
        <v>1</v>
      </c>
      <c r="Y735" s="275">
        <v>1</v>
      </c>
      <c r="Z735" s="275">
        <v>1</v>
      </c>
      <c r="AA735" s="275">
        <v>1</v>
      </c>
      <c r="AB735" s="323">
        <v>1</v>
      </c>
      <c r="AC735" s="323">
        <v>2</v>
      </c>
      <c r="AD735" s="323">
        <v>3</v>
      </c>
      <c r="AE735" s="323">
        <v>3</v>
      </c>
      <c r="AF735" s="323">
        <v>3</v>
      </c>
      <c r="AG735" s="323">
        <v>1</v>
      </c>
      <c r="AH735" s="323">
        <v>1</v>
      </c>
      <c r="AI735" s="323">
        <v>1</v>
      </c>
      <c r="AJ735" s="272">
        <f>IF('Input &amp; Calc'!V755="","",IF('Input &amp; Calc'!DB757/'Input &amp; Calc'!DB734&gt;=0.9,1,IF('Input &amp; Calc'!DB757/'Input &amp; Calc'!DB734&lt;0.75,3,2)))</f>
        <v>1</v>
      </c>
      <c r="AK735" s="272">
        <f>IF('Input &amp; Calc'!W755="","",IF('Input &amp; Calc'!DC757/'Input &amp; Calc'!DC734&gt;=0.9,1,IF('Input &amp; Calc'!DC757/'Input &amp; Calc'!DC734&lt;0.75,3,2)))</f>
        <v>1</v>
      </c>
      <c r="AL735" s="272">
        <f>IF('Input &amp; Calc'!X755="","",IF('Input &amp; Calc'!DD757/'Input &amp; Calc'!DD734&gt;=0.9,1,IF('Input &amp; Calc'!DD757/'Input &amp; Calc'!DD734&lt;0.75,3,2)))</f>
        <v>1</v>
      </c>
      <c r="AM735" s="272">
        <f>IF('Input &amp; Calc'!Y755="","",IF('Input &amp; Calc'!DE757/'Input &amp; Calc'!DE734&gt;=0.9,1,IF('Input &amp; Calc'!DE757/'Input &amp; Calc'!DE734&lt;0.75,3,2)))</f>
        <v>1</v>
      </c>
      <c r="AN735" s="272">
        <f>IF('Input &amp; Calc'!Z755="","",IF('Input &amp; Calc'!DF757/'Input &amp; Calc'!DF734&gt;=0.9,1,IF('Input &amp; Calc'!DF757/'Input &amp; Calc'!DF734&lt;0.75,3,2)))</f>
        <v>1</v>
      </c>
      <c r="AO735" s="272">
        <f>IF('Input &amp; Calc'!AA755="","",IF('Input &amp; Calc'!DG757/'Input &amp; Calc'!DG734&gt;=0.9,1,IF('Input &amp; Calc'!DG757/'Input &amp; Calc'!DG734&lt;0.75,3,2)))</f>
        <v>1</v>
      </c>
      <c r="AP735" s="272">
        <f>IF('Input &amp; Calc'!AB755="","",IF('Input &amp; Calc'!DH757/'Input &amp; Calc'!DH734&gt;=0.9,1,IF('Input &amp; Calc'!DH757/'Input &amp; Calc'!DH734&lt;0.75,3,2)))</f>
        <v>1</v>
      </c>
      <c r="AQ735" s="272">
        <f>IF('Input &amp; Calc'!AC755="","",IF('Input &amp; Calc'!DI757/'Input &amp; Calc'!DI734&gt;=0.9,1,IF('Input &amp; Calc'!DI757/'Input &amp; Calc'!DI734&lt;0.75,3,2)))</f>
        <v>1</v>
      </c>
      <c r="AR735" s="272">
        <f>IF('Input &amp; Calc'!AD755="","",IF('Input &amp; Calc'!DJ757/'Input &amp; Calc'!DJ734&gt;=0.9,1,IF('Input &amp; Calc'!DJ757/'Input &amp; Calc'!DJ734&lt;0.75,3,2)))</f>
        <v>1</v>
      </c>
      <c r="AS735" s="272">
        <f>IF('Input &amp; Calc'!AE755="","",IF('Input &amp; Calc'!DK757/'Input &amp; Calc'!DK734&gt;=0.9,1,IF('Input &amp; Calc'!DK757/'Input &amp; Calc'!DK734&lt;0.75,3,2)))</f>
        <v>1</v>
      </c>
      <c r="AT735" s="272">
        <f>IF('Input &amp; Calc'!AF755="","",IF('Input &amp; Calc'!DL757/'Input &amp; Calc'!DL734&gt;=0.9,1,IF('Input &amp; Calc'!DL757/'Input &amp; Calc'!DL734&lt;0.75,3,2)))</f>
        <v>1</v>
      </c>
      <c r="AU735" s="272">
        <f>IF('Input &amp; Calc'!AG755="","",IF('Input &amp; Calc'!DM757/'Input &amp; Calc'!DM734&gt;=0.9,1,IF('Input &amp; Calc'!DM757/'Input &amp; Calc'!DM734&lt;0.75,3,2)))</f>
        <v>1</v>
      </c>
    </row>
    <row r="736" spans="1:47" ht="14.25" customHeight="1" thickBot="1">
      <c r="A736" s="96" t="s">
        <v>135</v>
      </c>
      <c r="B736" s="460"/>
      <c r="C736" s="90"/>
      <c r="D736" s="93" t="s">
        <v>238</v>
      </c>
      <c r="E736" s="94">
        <f>'Input &amp; Calc'!$I$67</f>
        <v>40391</v>
      </c>
      <c r="F736" s="95"/>
      <c r="G736" s="461"/>
      <c r="H736" s="635" t="s">
        <v>130</v>
      </c>
      <c r="I736" s="635"/>
      <c r="J736" s="635"/>
      <c r="K736" s="635"/>
      <c r="L736" s="635"/>
      <c r="M736" s="635"/>
      <c r="N736" s="635"/>
      <c r="O736" s="461"/>
      <c r="P736" s="90"/>
      <c r="Q736" s="277"/>
      <c r="R736" s="277"/>
      <c r="S736" s="91" t="s">
        <v>136</v>
      </c>
      <c r="T736" s="278">
        <f>'Input &amp; Calc'!EK728</f>
        <v>2</v>
      </c>
      <c r="U736" s="325" t="s">
        <v>159</v>
      </c>
      <c r="V736" s="462"/>
      <c r="W736" s="392"/>
      <c r="X736" s="469"/>
      <c r="Y736" s="469"/>
      <c r="Z736" s="469"/>
      <c r="AA736" s="469"/>
      <c r="AB736" s="469"/>
      <c r="AC736" s="469"/>
      <c r="AD736" s="469"/>
      <c r="AE736" s="469"/>
      <c r="AF736" s="469"/>
      <c r="AG736" s="469"/>
      <c r="AH736" s="469"/>
      <c r="AI736" s="469"/>
      <c r="AJ736" s="469"/>
      <c r="AK736" s="469"/>
      <c r="AL736" s="469"/>
      <c r="AM736" s="469"/>
      <c r="AN736" s="469"/>
      <c r="AO736" s="469"/>
      <c r="AP736" s="469"/>
      <c r="AQ736" s="469"/>
      <c r="AR736" s="469"/>
      <c r="AS736" s="469"/>
      <c r="AT736" s="469"/>
      <c r="AU736" s="469"/>
    </row>
    <row r="737" spans="1:47" ht="12" customHeight="1" thickBot="1">
      <c r="A737" s="636" t="s">
        <v>99</v>
      </c>
      <c r="B737" s="638" t="s">
        <v>100</v>
      </c>
      <c r="C737" s="621" t="s">
        <v>101</v>
      </c>
      <c r="D737" s="621" t="s">
        <v>104</v>
      </c>
      <c r="E737" s="643" t="s">
        <v>105</v>
      </c>
      <c r="F737" s="621" t="s">
        <v>106</v>
      </c>
      <c r="G737" s="449"/>
      <c r="H737" s="638" t="s">
        <v>137</v>
      </c>
      <c r="I737" s="449"/>
      <c r="J737" s="621" t="s">
        <v>101</v>
      </c>
      <c r="K737" s="621" t="s">
        <v>104</v>
      </c>
      <c r="L737" s="621" t="s">
        <v>192</v>
      </c>
      <c r="M737" s="638" t="s">
        <v>194</v>
      </c>
      <c r="N737" s="621" t="s">
        <v>193</v>
      </c>
      <c r="O737" s="449"/>
      <c r="P737" s="642" t="s">
        <v>101</v>
      </c>
      <c r="Q737" s="638" t="s">
        <v>102</v>
      </c>
      <c r="R737" s="638" t="s">
        <v>191</v>
      </c>
      <c r="S737" s="638" t="s">
        <v>103</v>
      </c>
      <c r="T737" s="649" t="s">
        <v>108</v>
      </c>
      <c r="U737" s="641" t="s">
        <v>209</v>
      </c>
      <c r="V737" s="623" t="s">
        <v>203</v>
      </c>
      <c r="W737" s="393"/>
      <c r="X737" s="464"/>
      <c r="Y737" s="464"/>
      <c r="Z737" s="464"/>
      <c r="AA737" s="464"/>
      <c r="AB737" s="464"/>
      <c r="AC737" s="464"/>
      <c r="AD737" s="464"/>
      <c r="AE737" s="464"/>
      <c r="AF737" s="464"/>
      <c r="AG737" s="464"/>
      <c r="AH737" s="464"/>
      <c r="AI737" s="464"/>
      <c r="AJ737" s="464"/>
      <c r="AK737" s="464"/>
      <c r="AL737" s="464"/>
      <c r="AM737" s="464"/>
      <c r="AN737" s="464"/>
      <c r="AO737" s="464"/>
      <c r="AP737" s="464"/>
      <c r="AQ737" s="464"/>
      <c r="AR737" s="464"/>
      <c r="AS737" s="464"/>
      <c r="AT737" s="464"/>
      <c r="AU737" s="464"/>
    </row>
    <row r="738" spans="1:47" ht="17.25" customHeight="1" thickBot="1">
      <c r="A738" s="637"/>
      <c r="B738" s="621"/>
      <c r="C738" s="622"/>
      <c r="D738" s="622"/>
      <c r="E738" s="644"/>
      <c r="F738" s="622"/>
      <c r="G738" s="449"/>
      <c r="H738" s="638"/>
      <c r="I738" s="449"/>
      <c r="J738" s="622"/>
      <c r="K738" s="622"/>
      <c r="L738" s="622"/>
      <c r="M738" s="638"/>
      <c r="N738" s="622"/>
      <c r="O738" s="449"/>
      <c r="P738" s="642"/>
      <c r="Q738" s="638"/>
      <c r="R738" s="638"/>
      <c r="S738" s="638"/>
      <c r="T738" s="649"/>
      <c r="U738" s="641"/>
      <c r="V738" s="624"/>
      <c r="W738" s="564"/>
      <c r="X738" s="625" t="s">
        <v>150</v>
      </c>
      <c r="Y738" s="626"/>
      <c r="Z738" s="626"/>
      <c r="AA738" s="626"/>
      <c r="AB738" s="626"/>
      <c r="AC738" s="626"/>
      <c r="AD738" s="626"/>
      <c r="AE738" s="626"/>
      <c r="AF738" s="626"/>
      <c r="AG738" s="626"/>
      <c r="AH738" s="626"/>
      <c r="AI738" s="627"/>
      <c r="AJ738" s="625" t="s">
        <v>151</v>
      </c>
      <c r="AK738" s="626"/>
      <c r="AL738" s="626"/>
      <c r="AM738" s="626"/>
      <c r="AN738" s="626"/>
      <c r="AO738" s="626"/>
      <c r="AP738" s="626"/>
      <c r="AQ738" s="626"/>
      <c r="AR738" s="626"/>
      <c r="AS738" s="626"/>
      <c r="AT738" s="626"/>
      <c r="AU738" s="628"/>
    </row>
    <row r="739" spans="1:47" ht="25.5">
      <c r="A739" s="470" t="s">
        <v>197</v>
      </c>
      <c r="B739" s="551" t="s">
        <v>190</v>
      </c>
      <c r="C739" s="252">
        <f>IF(F739/E739&gt;0.899999999,1,IF(F739/E739&lt;0.75,3,2))</f>
        <v>1</v>
      </c>
      <c r="D739" s="46" t="str">
        <f>'Input &amp; Calc'!EO773</f>
        <v>È</v>
      </c>
      <c r="E739" s="590">
        <f t="shared" ref="E739:F739" si="11">E13+E79+E145+E211+E277+E343+E409+E475+E541+E607+E673</f>
        <v>286.99933333333331</v>
      </c>
      <c r="F739" s="567">
        <f t="shared" si="11"/>
        <v>384</v>
      </c>
      <c r="G739" s="598"/>
      <c r="H739" s="592" t="s">
        <v>16</v>
      </c>
      <c r="I739" s="599"/>
      <c r="J739" s="594">
        <f>IF(N739/M739&gt;0.899999999,1,IF(N739/M739&lt;0.75,3,2))</f>
        <v>1</v>
      </c>
      <c r="K739" s="600" t="str">
        <f>'Input &amp; Calc'!EP773</f>
        <v>È</v>
      </c>
      <c r="L739" s="589">
        <f>L13+L79+L145+L211+L277+L343+L409+L475+L541+L607+L673</f>
        <v>593.5</v>
      </c>
      <c r="M739" s="589">
        <f t="shared" ref="M739:N739" si="12">M13+M79+M145+M211+M277+M343+M409+M475+M541+M607+M673</f>
        <v>395.66666666666669</v>
      </c>
      <c r="N739" s="565">
        <f t="shared" si="12"/>
        <v>805</v>
      </c>
      <c r="O739" s="601"/>
      <c r="P739" s="594">
        <f>IF(S739/R739&gt;0.899999999,1,IF(S739/R739&lt;0.75,3,2))</f>
        <v>1</v>
      </c>
      <c r="Q739" s="565">
        <f>Q13+Q79+Q145+Q211+Q277+Q343+Q409+Q475+Q541+Q607+Q673</f>
        <v>2374</v>
      </c>
      <c r="R739" s="565">
        <f t="shared" ref="R739:S739" si="13">R13+R79+R145+R211+R277+R343+R409+R475+R541+R607+R673</f>
        <v>395.66666666666669</v>
      </c>
      <c r="S739" s="566">
        <f t="shared" si="13"/>
        <v>817</v>
      </c>
      <c r="T739" s="491">
        <f>S739/R739</f>
        <v>2.0648694187026115</v>
      </c>
      <c r="U739" s="454"/>
      <c r="V739" s="563">
        <f>P739</f>
        <v>1</v>
      </c>
      <c r="W739" s="476" t="str">
        <f>B739</f>
        <v># of Unique Clients YTD</v>
      </c>
      <c r="X739" s="269">
        <v>1</v>
      </c>
      <c r="Y739" s="268">
        <v>1</v>
      </c>
      <c r="Z739" s="268">
        <v>1</v>
      </c>
      <c r="AA739" s="268">
        <v>1</v>
      </c>
      <c r="AB739" s="268">
        <v>1</v>
      </c>
      <c r="AC739" s="268">
        <v>1</v>
      </c>
      <c r="AD739" s="268">
        <v>1</v>
      </c>
      <c r="AE739" s="268">
        <v>1</v>
      </c>
      <c r="AF739" s="268">
        <v>1</v>
      </c>
      <c r="AG739" s="268">
        <v>1</v>
      </c>
      <c r="AH739" s="268">
        <v>1</v>
      </c>
      <c r="AI739" s="270">
        <v>1</v>
      </c>
      <c r="AJ739" s="268">
        <f>IF('Input &amp; Calc'!V773="","",IF('Input &amp; Calc'!DB773/'Input &amp; Calc'!DB748&gt;=0.9,1,IF('Input &amp; Calc'!DB773/'Input &amp; Calc'!DB748&lt;0.75,3,2)))</f>
        <v>1</v>
      </c>
      <c r="AK739" s="268">
        <f>IF('Input &amp; Calc'!W773="","",IF('Input &amp; Calc'!DC773/'Input &amp; Calc'!DC748&gt;=0.9,1,IF('Input &amp; Calc'!DC773/'Input &amp; Calc'!DC748&lt;0.75,3,2)))</f>
        <v>1</v>
      </c>
      <c r="AL739" s="268">
        <f>IF('Input &amp; Calc'!X773="","",IF('Input &amp; Calc'!DD773/'Input &amp; Calc'!DD748&gt;=0.9,1,IF('Input &amp; Calc'!DD773/'Input &amp; Calc'!DD748&lt;0.75,3,2)))</f>
        <v>1</v>
      </c>
      <c r="AM739" s="268">
        <f>IF('Input &amp; Calc'!Y773="","",IF('Input &amp; Calc'!DE773/'Input &amp; Calc'!DE748&gt;=0.9,1,IF('Input &amp; Calc'!DE773/'Input &amp; Calc'!DE748&lt;0.75,3,2)))</f>
        <v>1</v>
      </c>
      <c r="AN739" s="268">
        <f>IF('Input &amp; Calc'!Z773="","",IF('Input &amp; Calc'!DF773/'Input &amp; Calc'!DF748&gt;=0.9,1,IF('Input &amp; Calc'!DF773/'Input &amp; Calc'!DF748&lt;0.75,3,2)))</f>
        <v>1</v>
      </c>
      <c r="AO739" s="268">
        <f>IF('Input &amp; Calc'!AA773="","",IF('Input &amp; Calc'!DG773/'Input &amp; Calc'!DG748&gt;=0.9,1,IF('Input &amp; Calc'!DG773/'Input &amp; Calc'!DG748&lt;0.75,3,2)))</f>
        <v>1</v>
      </c>
      <c r="AP739" s="268">
        <f>IF('Input &amp; Calc'!AB773="","",IF('Input &amp; Calc'!DH773/'Input &amp; Calc'!DH748&gt;=0.9,1,IF('Input &amp; Calc'!DH773/'Input &amp; Calc'!DH748&lt;0.75,3,2)))</f>
        <v>1</v>
      </c>
      <c r="AQ739" s="268">
        <f>IF('Input &amp; Calc'!AC773="","",IF('Input &amp; Calc'!DI773/'Input &amp; Calc'!DI748&gt;=0.9,1,IF('Input &amp; Calc'!DI773/'Input &amp; Calc'!DI748&lt;0.75,3,2)))</f>
        <v>1</v>
      </c>
      <c r="AR739" s="268">
        <f>IF('Input &amp; Calc'!AD773="","",IF('Input &amp; Calc'!DJ773/'Input &amp; Calc'!DJ748&gt;=0.9,1,IF('Input &amp; Calc'!DJ773/'Input &amp; Calc'!DJ748&lt;0.75,3,2)))</f>
        <v>1</v>
      </c>
      <c r="AS739" s="268">
        <f>IF('Input &amp; Calc'!AE773="","",IF('Input &amp; Calc'!DK773/'Input &amp; Calc'!DK748&gt;=0.9,1,IF('Input &amp; Calc'!DK773/'Input &amp; Calc'!DK748&lt;0.75,3,2)))</f>
        <v>1</v>
      </c>
      <c r="AT739" s="268">
        <f>IF('Input &amp; Calc'!AF773="","",IF('Input &amp; Calc'!DL773/'Input &amp; Calc'!DL748&gt;=0.9,1,IF('Input &amp; Calc'!DL773/'Input &amp; Calc'!DL748&lt;0.75,3,2)))</f>
        <v>1</v>
      </c>
      <c r="AU739" s="268">
        <v>1</v>
      </c>
    </row>
    <row r="740" spans="1:47" ht="27.75" customHeight="1">
      <c r="A740" s="620" t="s">
        <v>198</v>
      </c>
      <c r="B740" s="551" t="s">
        <v>199</v>
      </c>
      <c r="C740" s="252">
        <f>IF(F740/E740&gt;0.899999999,1,IF(F740/E740&lt;0.75,3,2))</f>
        <v>1</v>
      </c>
      <c r="D740" s="46" t="str">
        <f>'Input &amp; Calc'!EO786</f>
        <v>Ç</v>
      </c>
      <c r="E740" s="489">
        <v>0.41</v>
      </c>
      <c r="F740" s="494">
        <f>'Input &amp; Calc'!EH786</f>
        <v>0.42603550295857989</v>
      </c>
      <c r="G740" s="558"/>
      <c r="H740" s="453" t="s">
        <v>16</v>
      </c>
      <c r="I740" s="559"/>
      <c r="J740" s="252">
        <f>IF(N740/M740&gt;0.899999999,1,IF(N740/M740&lt;0.75,3,2))</f>
        <v>1</v>
      </c>
      <c r="K740" s="500" t="str">
        <f>'Input &amp; Calc'!EP774</f>
        <v>Ç</v>
      </c>
      <c r="L740" s="490">
        <v>0.41</v>
      </c>
      <c r="M740" s="490">
        <f>L740</f>
        <v>0.41</v>
      </c>
      <c r="N740" s="491">
        <f>'Input &amp; Calc'!EI786</f>
        <v>0.42812499999999998</v>
      </c>
      <c r="O740" s="561"/>
      <c r="P740" s="252">
        <f>IF(S740/R740&gt;0.899999999,1,IF(S740/R740&lt;0.75,3,2))</f>
        <v>1</v>
      </c>
      <c r="Q740" s="491">
        <v>0.41</v>
      </c>
      <c r="R740" s="492">
        <f>Q740</f>
        <v>0.41</v>
      </c>
      <c r="S740" s="493">
        <f>'Input &amp; Calc'!EJ786</f>
        <v>0.42812499999999998</v>
      </c>
      <c r="T740" s="488">
        <f>+S740-R740</f>
        <v>1.8125000000000002E-2</v>
      </c>
      <c r="U740" s="455"/>
      <c r="V740" s="563">
        <f t="shared" ref="V740:V742" si="14">P740</f>
        <v>1</v>
      </c>
      <c r="W740" s="476" t="str">
        <f>B740</f>
        <v>% of existing business new clients to initial clients</v>
      </c>
      <c r="X740" s="475">
        <v>1</v>
      </c>
      <c r="Y740" s="274">
        <v>1</v>
      </c>
      <c r="Z740" s="274">
        <v>1</v>
      </c>
      <c r="AA740" s="274">
        <v>1</v>
      </c>
      <c r="AB740" s="274">
        <v>1</v>
      </c>
      <c r="AC740" s="274">
        <v>1</v>
      </c>
      <c r="AD740" s="274">
        <v>1</v>
      </c>
      <c r="AE740" s="274">
        <v>1</v>
      </c>
      <c r="AF740" s="274">
        <v>1</v>
      </c>
      <c r="AG740" s="274">
        <v>1</v>
      </c>
      <c r="AH740" s="274">
        <v>1</v>
      </c>
      <c r="AI740" s="514">
        <v>1</v>
      </c>
      <c r="AJ740" s="274">
        <f>IF('Input &amp; Calc'!V786="","",IF('Input &amp; Calc'!DB779*0.9&lt;'Input &amp; Calc'!V786,1,IF('Input &amp; Calc'!DB779*0.75&gt;'Input &amp; Calc'!DB786,3,2)))</f>
        <v>1</v>
      </c>
      <c r="AK740" s="273">
        <f>IF('Input &amp; Calc'!W786="","",IF('Input &amp; Calc'!DC779*0.9&lt;'Input &amp; Calc'!W786,1,IF('Input &amp; Calc'!DC779*0.75&gt;'Input &amp; Calc'!DC786,3,2)))</f>
        <v>1</v>
      </c>
      <c r="AL740" s="273">
        <f>IF('Input &amp; Calc'!X786="","",IF('Input &amp; Calc'!DD779*0.9&lt;'Input &amp; Calc'!X786,1,IF('Input &amp; Calc'!DD779*0.75&gt;'Input &amp; Calc'!DD786,3,2)))</f>
        <v>1</v>
      </c>
      <c r="AM740" s="273">
        <f>IF('Input &amp; Calc'!Y786="","",IF('Input &amp; Calc'!DE779*0.9&lt;'Input &amp; Calc'!Y786,1,IF('Input &amp; Calc'!DE779*0.75&gt;'Input &amp; Calc'!DE786,3,2)))</f>
        <v>1</v>
      </c>
      <c r="AN740" s="273">
        <f>IF('Input &amp; Calc'!Z786="","",IF('Input &amp; Calc'!DF779*0.9&lt;'Input &amp; Calc'!Z786,1,IF('Input &amp; Calc'!DF779*0.75&gt;'Input &amp; Calc'!DF786,3,2)))</f>
        <v>1</v>
      </c>
      <c r="AO740" s="273">
        <f>IF('Input &amp; Calc'!AA786="","",IF('Input &amp; Calc'!DG779*0.9&lt;'Input &amp; Calc'!AA786,1,IF('Input &amp; Calc'!DG779*0.75&gt;'Input &amp; Calc'!DG786,3,2)))</f>
        <v>1</v>
      </c>
      <c r="AP740" s="273">
        <f>IF('Input &amp; Calc'!AB786="","",IF('Input &amp; Calc'!DH779*0.9&lt;'Input &amp; Calc'!AB786,1,IF('Input &amp; Calc'!DH779*0.75&gt;'Input &amp; Calc'!DH786,3,2)))</f>
        <v>1</v>
      </c>
      <c r="AQ740" s="273">
        <f>IF('Input &amp; Calc'!AC786="","",IF('Input &amp; Calc'!DI779*0.9&lt;'Input &amp; Calc'!AC786,1,IF('Input &amp; Calc'!DI779*0.75&gt;'Input &amp; Calc'!DI786,3,2)))</f>
        <v>1</v>
      </c>
      <c r="AR740" s="273">
        <f>IF('Input &amp; Calc'!AD786="","",IF('Input &amp; Calc'!DJ779*0.9&lt;'Input &amp; Calc'!AD786,1,IF('Input &amp; Calc'!DJ779*0.75&gt;'Input &amp; Calc'!DJ786,3,2)))</f>
        <v>1</v>
      </c>
      <c r="AS740" s="273">
        <f>IF('Input &amp; Calc'!AE786="","",IF('Input &amp; Calc'!DK779*0.9&lt;'Input &amp; Calc'!AE786,1,IF('Input &amp; Calc'!DK779*0.75&gt;'Input &amp; Calc'!DK786,3,2)))</f>
        <v>1</v>
      </c>
      <c r="AT740" s="273">
        <f>IF('Input &amp; Calc'!AF786="","",IF('Input &amp; Calc'!DL779*0.9&lt;'Input &amp; Calc'!AF786,1,IF('Input &amp; Calc'!DL779*0.75&gt;'Input &amp; Calc'!DL786,3,2)))</f>
        <v>1</v>
      </c>
      <c r="AU740" s="273">
        <f>IF('Input &amp; Calc'!AG786="","",IF('Input &amp; Calc'!DM779*0.9&lt;'Input &amp; Calc'!AG786,1,IF('Input &amp; Calc'!DM779*0.75&gt;'Input &amp; Calc'!DM786,3,2)))</f>
        <v>1</v>
      </c>
    </row>
    <row r="741" spans="1:47">
      <c r="A741" s="620"/>
      <c r="B741" s="551" t="s">
        <v>200</v>
      </c>
      <c r="C741" s="252">
        <f>'Input &amp; Calc'!EQ906</f>
        <v>3</v>
      </c>
      <c r="D741" s="46" t="str">
        <f>'Input &amp; Calc'!EO906</f>
        <v>È</v>
      </c>
      <c r="E741" s="279">
        <v>6</v>
      </c>
      <c r="F741" s="279">
        <f>'Input &amp; Calc'!EH906</f>
        <v>3.268906250000001</v>
      </c>
      <c r="G741" s="558"/>
      <c r="H741" s="453" t="s">
        <v>16</v>
      </c>
      <c r="I741" s="559"/>
      <c r="J741" s="252">
        <f>'Input &amp; Calc'!ER906</f>
        <v>3</v>
      </c>
      <c r="K741" s="500" t="str">
        <f>'Input &amp; Calc'!EP905</f>
        <v>È</v>
      </c>
      <c r="L741" s="279">
        <v>6</v>
      </c>
      <c r="M741" s="442">
        <f>E741</f>
        <v>6</v>
      </c>
      <c r="N741" s="388">
        <f>'Input &amp; Calc'!EI906</f>
        <v>3.1887760097919222</v>
      </c>
      <c r="O741" s="561"/>
      <c r="P741" s="252">
        <f>'Input &amp; Calc'!ES906</f>
        <v>3</v>
      </c>
      <c r="Q741" s="388">
        <v>6</v>
      </c>
      <c r="R741" s="442">
        <v>6</v>
      </c>
      <c r="S741" s="486">
        <f>'Input &amp; Calc'!EJ906</f>
        <v>3.1887760097919222</v>
      </c>
      <c r="T741" s="491">
        <f>S741/R741</f>
        <v>0.53146266829865374</v>
      </c>
      <c r="U741" s="456"/>
      <c r="V741" s="563">
        <f t="shared" si="14"/>
        <v>3</v>
      </c>
      <c r="W741" s="476" t="str">
        <f>B741</f>
        <v>Average Hours/Client</v>
      </c>
      <c r="X741" s="269">
        <v>1</v>
      </c>
      <c r="Y741" s="268">
        <v>1</v>
      </c>
      <c r="Z741" s="268">
        <v>1</v>
      </c>
      <c r="AA741" s="268">
        <v>1</v>
      </c>
      <c r="AB741" s="268">
        <v>1</v>
      </c>
      <c r="AC741" s="268">
        <v>1</v>
      </c>
      <c r="AD741" s="268">
        <v>1</v>
      </c>
      <c r="AE741" s="268">
        <v>1</v>
      </c>
      <c r="AF741" s="268">
        <v>1</v>
      </c>
      <c r="AG741" s="268">
        <v>1</v>
      </c>
      <c r="AH741" s="268">
        <v>1</v>
      </c>
      <c r="AI741" s="270">
        <v>1</v>
      </c>
      <c r="AJ741" s="274">
        <f>IF('Input &amp; Calc'!V773="","",IF('Input &amp; Calc'!DB740/'Input &amp; Calc'!DB748*0.9/12*'Input &amp; Calc'!DB$51&lt;'Input &amp; Calc'!DB765/'Input &amp; Calc'!DB773,1,IF('Input &amp; Calc'!DB740/'Input &amp; Calc'!DB748*0.75/12*'Input &amp; Calc'!DB$51&gt;'Input &amp; Calc'!DB765/'Input &amp; Calc'!DB773,3,2)))</f>
        <v>1</v>
      </c>
      <c r="AK741" s="273">
        <f>IF('Input &amp; Calc'!W773="","",IF('Input &amp; Calc'!DC740/'Input &amp; Calc'!DC748*0.9/12*'Input &amp; Calc'!DC$51&lt;'Input &amp; Calc'!DC765/'Input &amp; Calc'!DC773,1,IF('Input &amp; Calc'!DC740/'Input &amp; Calc'!DC748*0.75/12*'Input &amp; Calc'!DC$51&gt;'Input &amp; Calc'!DC765/'Input &amp; Calc'!DC773,3,2)))</f>
        <v>1</v>
      </c>
      <c r="AL741" s="273">
        <f>IF('Input &amp; Calc'!X773="","",IF('Input &amp; Calc'!DD740/'Input &amp; Calc'!DD748*0.9/12*'Input &amp; Calc'!DD$51&lt;'Input &amp; Calc'!DD765/'Input &amp; Calc'!DD773,1,IF('Input &amp; Calc'!DD740/'Input &amp; Calc'!DD748*0.75/12*'Input &amp; Calc'!DD$51&gt;'Input &amp; Calc'!DD765/'Input &amp; Calc'!DD773,3,2)))</f>
        <v>1</v>
      </c>
      <c r="AM741" s="273">
        <f>IF('Input &amp; Calc'!Y773="","",IF('Input &amp; Calc'!DE740/'Input &amp; Calc'!DE748*0.9/12*'Input &amp; Calc'!DE$51&lt;'Input &amp; Calc'!DE765/'Input &amp; Calc'!DE773,1,IF('Input &amp; Calc'!DE740/'Input &amp; Calc'!DE748*0.75/12*'Input &amp; Calc'!DE$51&gt;'Input &amp; Calc'!DE765/'Input &amp; Calc'!DE773,3,2)))</f>
        <v>1</v>
      </c>
      <c r="AN741" s="273">
        <f>IF('Input &amp; Calc'!Z773="","",IF('Input &amp; Calc'!DF740/'Input &amp; Calc'!DF748*0.9/12*'Input &amp; Calc'!DF$51&lt;'Input &amp; Calc'!DF765/'Input &amp; Calc'!DF773,1,IF('Input &amp; Calc'!DF740/'Input &amp; Calc'!DF748*0.75/12*'Input &amp; Calc'!DF$51&gt;'Input &amp; Calc'!DF765/'Input &amp; Calc'!DF773,3,2)))</f>
        <v>1</v>
      </c>
      <c r="AO741" s="273">
        <f>IF('Input &amp; Calc'!AA773="","",IF('Input &amp; Calc'!DG740/'Input &amp; Calc'!DG748*0.9/12*'Input &amp; Calc'!DG$51&lt;'Input &amp; Calc'!DG765/'Input &amp; Calc'!DG773,1,IF('Input &amp; Calc'!DG740/'Input &amp; Calc'!DG748*0.75/12*'Input &amp; Calc'!DG$51&gt;'Input &amp; Calc'!DG765/'Input &amp; Calc'!DG773,3,2)))</f>
        <v>1</v>
      </c>
      <c r="AP741" s="273">
        <f>IF('Input &amp; Calc'!AB773="","",IF('Input &amp; Calc'!DH740/'Input &amp; Calc'!DH748*0.9/12*'Input &amp; Calc'!DH$51&lt;'Input &amp; Calc'!DH765/'Input &amp; Calc'!DH773,1,IF('Input &amp; Calc'!DH740/'Input &amp; Calc'!DH748*0.75/12*'Input &amp; Calc'!DH$51&gt;'Input &amp; Calc'!DH765/'Input &amp; Calc'!DH773,3,2)))</f>
        <v>1</v>
      </c>
      <c r="AQ741" s="273">
        <f>IF('Input &amp; Calc'!AC773="","",IF('Input &amp; Calc'!DI740/'Input &amp; Calc'!DI748*0.9/12*'Input &amp; Calc'!DI$51&lt;'Input &amp; Calc'!DI765/'Input &amp; Calc'!DI773,1,IF('Input &amp; Calc'!DI740/'Input &amp; Calc'!DI748*0.75/12*'Input &amp; Calc'!DI$51&gt;'Input &amp; Calc'!DI765/'Input &amp; Calc'!DI773,3,2)))</f>
        <v>1</v>
      </c>
      <c r="AR741" s="273">
        <f>IF('Input &amp; Calc'!AD773="","",IF('Input &amp; Calc'!DJ740/'Input &amp; Calc'!DJ748*0.9/12*'Input &amp; Calc'!DJ$51&lt;'Input &amp; Calc'!DJ765/'Input &amp; Calc'!DJ773,1,IF('Input &amp; Calc'!DJ740/'Input &amp; Calc'!DJ748*0.75/12*'Input &amp; Calc'!DJ$51&gt;'Input &amp; Calc'!DJ765/'Input &amp; Calc'!DJ773,3,2)))</f>
        <v>1</v>
      </c>
      <c r="AS741" s="273">
        <f>IF('Input &amp; Calc'!AE773="","",IF('Input &amp; Calc'!DK740/'Input &amp; Calc'!DK748*0.9/12*'Input &amp; Calc'!DK$51&lt;'Input &amp; Calc'!DK765/'Input &amp; Calc'!DK773,1,IF('Input &amp; Calc'!DK740/'Input &amp; Calc'!DK748*0.75/12*'Input &amp; Calc'!DK$51&gt;'Input &amp; Calc'!DK765/'Input &amp; Calc'!DK773,3,2)))</f>
        <v>1</v>
      </c>
      <c r="AT741" s="273">
        <f>IF('Input &amp; Calc'!AF773="","",IF('Input &amp; Calc'!DL740/'Input &amp; Calc'!DL748*0.9/12*'Input &amp; Calc'!DL$51&lt;'Input &amp; Calc'!DL765/'Input &amp; Calc'!DL773,1,IF('Input &amp; Calc'!DL740/'Input &amp; Calc'!DL748*0.75/12*'Input &amp; Calc'!DL$51&gt;'Input &amp; Calc'!DL765/'Input &amp; Calc'!DL773,3,2)))</f>
        <v>1</v>
      </c>
      <c r="AU741" s="273">
        <f>IF('Input &amp; Calc'!AG773="","",IF('Input &amp; Calc'!DM740/'Input &amp; Calc'!DM748*0.9/12*'Input &amp; Calc'!DM$51&gt;'Input &amp; Calc'!DM765/'Input &amp; Calc'!DM773,1,IF('Input &amp; Calc'!DM740/'Input &amp; Calc'!DM748*0.75/12*'Input &amp; Calc'!DM$51&lt;'Input &amp; Calc'!DM765/'Input &amp; Calc'!DM773,3,2)))</f>
        <v>3</v>
      </c>
    </row>
    <row r="742" spans="1:47">
      <c r="A742" s="470" t="s">
        <v>109</v>
      </c>
      <c r="B742" s="551" t="s">
        <v>201</v>
      </c>
      <c r="C742" s="521"/>
      <c r="D742" s="522"/>
      <c r="E742" s="529"/>
      <c r="F742" s="520"/>
      <c r="G742" s="558"/>
      <c r="H742" s="453" t="s">
        <v>16</v>
      </c>
      <c r="I742" s="559"/>
      <c r="J742" s="252">
        <f>IF(N742/M742&gt;0.899999999,1,IF(N742/M742&lt;0.75,3,2))</f>
        <v>1</v>
      </c>
      <c r="K742" s="500">
        <f>'Input &amp; Calc'!EO775</f>
        <v>0</v>
      </c>
      <c r="L742" s="490">
        <f>Q742</f>
        <v>0.94999999999999984</v>
      </c>
      <c r="M742" s="490">
        <f>L742</f>
        <v>0.94999999999999984</v>
      </c>
      <c r="N742" s="491">
        <f>'Input &amp; Calc'!EI763</f>
        <v>1.2371815718157182</v>
      </c>
      <c r="O742" s="561"/>
      <c r="P742" s="252">
        <f>IF(S742/R742&gt;0.899999999,1,IF(S742/R742&lt;0.75,3,2))</f>
        <v>1</v>
      </c>
      <c r="Q742" s="491">
        <f>'Input &amp; Calc'!EG738</f>
        <v>0.94999999999999984</v>
      </c>
      <c r="R742" s="491">
        <f>Q742</f>
        <v>0.94999999999999984</v>
      </c>
      <c r="S742" s="493">
        <f>'Input &amp; Calc'!EJ763</f>
        <v>2.2526829268292681</v>
      </c>
      <c r="T742" s="491">
        <f>S742-R742</f>
        <v>1.3026829268292683</v>
      </c>
      <c r="U742" s="455"/>
      <c r="V742" s="563">
        <f t="shared" si="14"/>
        <v>1</v>
      </c>
      <c r="W742" s="476" t="str">
        <f>B742</f>
        <v>Client satisfaction rating %</v>
      </c>
      <c r="X742" s="269">
        <v>3</v>
      </c>
      <c r="Y742" s="268">
        <v>1</v>
      </c>
      <c r="Z742" s="268">
        <v>1</v>
      </c>
      <c r="AA742" s="268">
        <v>1</v>
      </c>
      <c r="AB742" s="268">
        <v>1</v>
      </c>
      <c r="AC742" s="268">
        <v>1</v>
      </c>
      <c r="AD742" s="268">
        <v>1</v>
      </c>
      <c r="AE742" s="268">
        <v>1</v>
      </c>
      <c r="AF742" s="268">
        <v>1</v>
      </c>
      <c r="AG742" s="268">
        <v>1</v>
      </c>
      <c r="AH742" s="268">
        <v>1</v>
      </c>
      <c r="AI742" s="270">
        <v>1</v>
      </c>
      <c r="AJ742" s="268">
        <f>IF('Input &amp; Calc'!V763="","",IF('Input &amp; Calc'!DB738*0.9&lt;'Input &amp; Calc'!DB763,1,IF('Input &amp; Calc'!DB738*0.75&gt;'Input &amp; Calc'!DB763,3,2)))</f>
        <v>1</v>
      </c>
      <c r="AK742" s="268">
        <f>IF('Input &amp; Calc'!W763="","",IF('Input &amp; Calc'!DC738*0.9&lt;'Input &amp; Calc'!DC763,1,IF('Input &amp; Calc'!DC738*0.75&gt;'Input &amp; Calc'!DC763,3,2)))</f>
        <v>1</v>
      </c>
      <c r="AL742" s="268">
        <f>IF('Input &amp; Calc'!X763="","",IF('Input &amp; Calc'!DD738*0.9&lt;'Input &amp; Calc'!DD763,1,IF('Input &amp; Calc'!DD738*0.75&gt;'Input &amp; Calc'!DD763,3,2)))</f>
        <v>1</v>
      </c>
      <c r="AM742" s="268">
        <f>IF('Input &amp; Calc'!Y763="","",IF('Input &amp; Calc'!DE738*0.9&lt;'Input &amp; Calc'!DE763,1,IF('Input &amp; Calc'!DE738*0.75&gt;'Input &amp; Calc'!DE763,3,2)))</f>
        <v>1</v>
      </c>
      <c r="AN742" s="268">
        <f>IF('Input &amp; Calc'!Z763="","",IF('Input &amp; Calc'!DF738*0.9&lt;'Input &amp; Calc'!DF763,1,IF('Input &amp; Calc'!DF738*0.75&gt;'Input &amp; Calc'!DF763,3,2)))</f>
        <v>1</v>
      </c>
      <c r="AO742" s="268">
        <f>IF('Input &amp; Calc'!AA763="","",IF('Input &amp; Calc'!DG738*0.9&lt;'Input &amp; Calc'!DG763,1,IF('Input &amp; Calc'!DG738*0.75&gt;'Input &amp; Calc'!DG763,3,2)))</f>
        <v>1</v>
      </c>
      <c r="AP742" s="268">
        <f>IF('Input &amp; Calc'!AB763="","",IF('Input &amp; Calc'!DH738*0.9&lt;'Input &amp; Calc'!DH763,1,IF('Input &amp; Calc'!DH738*0.75&gt;'Input &amp; Calc'!DH763,3,2)))</f>
        <v>1</v>
      </c>
      <c r="AQ742" s="268">
        <f>IF('Input &amp; Calc'!AC763="","",IF('Input &amp; Calc'!DI738*0.9&lt;'Input &amp; Calc'!DI763,1,IF('Input &amp; Calc'!DI738*0.75&gt;'Input &amp; Calc'!DI763,3,2)))</f>
        <v>1</v>
      </c>
      <c r="AR742" s="268">
        <f>IF('Input &amp; Calc'!AD763="","",IF('Input &amp; Calc'!DJ738*0.9&lt;'Input &amp; Calc'!DJ763,1,IF('Input &amp; Calc'!DJ738*0.75&gt;'Input &amp; Calc'!DJ763,3,2)))</f>
        <v>1</v>
      </c>
      <c r="AS742" s="268">
        <f>IF('Input &amp; Calc'!AE763="","",IF('Input &amp; Calc'!DK738*0.9&lt;'Input &amp; Calc'!DK763,1,IF('Input &amp; Calc'!DK738*0.75&gt;'Input &amp; Calc'!DK763,3,2)))</f>
        <v>1</v>
      </c>
      <c r="AT742" s="268">
        <f>IF('Input &amp; Calc'!AF763="","",IF('Input &amp; Calc'!DL738*0.9&lt;'Input &amp; Calc'!DL763,1,IF('Input &amp; Calc'!DL738*0.75&gt;'Input &amp; Calc'!DL763,3,2)))</f>
        <v>1</v>
      </c>
      <c r="AU742" s="268">
        <f>IF('Input &amp; Calc'!AG763="","",IF('Input &amp; Calc'!DM738*0.9&lt;'Input &amp; Calc'!DM763,1,IF('Input &amp; Calc'!DM738*0.75&gt;'Input &amp; Calc'!DM763,3,2)))</f>
        <v>1</v>
      </c>
    </row>
    <row r="743" spans="1:47" s="465" customFormat="1">
      <c r="A743" s="620" t="s">
        <v>207</v>
      </c>
      <c r="B743" s="551" t="s">
        <v>227</v>
      </c>
      <c r="C743" s="523"/>
      <c r="D743" s="524"/>
      <c r="E743" s="525"/>
      <c r="F743" s="515">
        <f>'Input &amp; Calc'!EH860</f>
        <v>79</v>
      </c>
      <c r="G743" s="451"/>
      <c r="H743" s="453" t="s">
        <v>16</v>
      </c>
      <c r="I743" s="560"/>
      <c r="J743" s="521"/>
      <c r="K743" s="522"/>
      <c r="L743" s="530"/>
      <c r="M743" s="531"/>
      <c r="N743" s="516">
        <f>'Input &amp; Calc'!EI860</f>
        <v>146</v>
      </c>
      <c r="O743" s="562"/>
      <c r="P743" s="521"/>
      <c r="Q743" s="536"/>
      <c r="R743" s="537"/>
      <c r="S743" s="517">
        <f>'Input &amp; Calc'!EJ860</f>
        <v>146</v>
      </c>
      <c r="T743" s="542"/>
      <c r="U743" s="543"/>
      <c r="V743" s="544"/>
      <c r="W743" s="554" t="s">
        <v>227</v>
      </c>
      <c r="X743" s="271"/>
      <c r="Y743" s="268"/>
      <c r="Z743" s="268"/>
      <c r="AA743" s="268"/>
      <c r="AB743" s="268"/>
      <c r="AC743" s="268"/>
      <c r="AD743" s="268"/>
      <c r="AE743" s="268"/>
      <c r="AF743" s="268"/>
      <c r="AG743" s="268"/>
      <c r="AH743" s="268"/>
      <c r="AI743" s="270"/>
      <c r="AJ743" s="268"/>
      <c r="AK743" s="268"/>
      <c r="AL743" s="268"/>
      <c r="AM743" s="268"/>
      <c r="AN743" s="268"/>
      <c r="AO743" s="268"/>
      <c r="AP743" s="268"/>
      <c r="AQ743" s="268"/>
      <c r="AR743" s="268"/>
      <c r="AS743" s="268"/>
      <c r="AT743" s="268"/>
      <c r="AU743" s="268"/>
    </row>
    <row r="744" spans="1:47" s="465" customFormat="1">
      <c r="A744" s="620"/>
      <c r="B744" s="551" t="s">
        <v>228</v>
      </c>
      <c r="C744" s="523"/>
      <c r="D744" s="524"/>
      <c r="E744" s="525"/>
      <c r="F744" s="515">
        <f>'Input &amp; Calc'!EH876</f>
        <v>1</v>
      </c>
      <c r="G744" s="451"/>
      <c r="H744" s="453" t="s">
        <v>16</v>
      </c>
      <c r="I744" s="560"/>
      <c r="J744" s="523"/>
      <c r="K744" s="524"/>
      <c r="L744" s="532"/>
      <c r="M744" s="533"/>
      <c r="N744" s="516">
        <f>'Input &amp; Calc'!EI876</f>
        <v>20</v>
      </c>
      <c r="O744" s="562"/>
      <c r="P744" s="523"/>
      <c r="Q744" s="538"/>
      <c r="R744" s="539"/>
      <c r="S744" s="517">
        <f>'Input &amp; Calc'!EJ876</f>
        <v>20</v>
      </c>
      <c r="T744" s="545"/>
      <c r="U744" s="546"/>
      <c r="V744" s="547"/>
      <c r="W744" s="554" t="s">
        <v>228</v>
      </c>
      <c r="X744" s="271"/>
      <c r="Y744" s="268"/>
      <c r="Z744" s="268"/>
      <c r="AA744" s="268"/>
      <c r="AB744" s="268"/>
      <c r="AC744" s="268"/>
      <c r="AD744" s="268"/>
      <c r="AE744" s="268"/>
      <c r="AF744" s="268"/>
      <c r="AG744" s="268"/>
      <c r="AH744" s="268"/>
      <c r="AI744" s="270"/>
      <c r="AJ744" s="268"/>
      <c r="AK744" s="268"/>
      <c r="AL744" s="268"/>
      <c r="AM744" s="268"/>
      <c r="AN744" s="268"/>
      <c r="AO744" s="268"/>
      <c r="AP744" s="268"/>
      <c r="AQ744" s="268"/>
      <c r="AR744" s="268"/>
      <c r="AS744" s="268"/>
      <c r="AT744" s="268"/>
      <c r="AU744" s="268"/>
    </row>
    <row r="745" spans="1:47" s="465" customFormat="1">
      <c r="A745" s="620"/>
      <c r="B745" s="551" t="s">
        <v>234</v>
      </c>
      <c r="C745" s="526"/>
      <c r="D745" s="527"/>
      <c r="E745" s="528"/>
      <c r="F745" s="495">
        <f>'Input &amp; Calc'!EH891</f>
        <v>1.4771999999999998</v>
      </c>
      <c r="G745" s="451"/>
      <c r="H745" s="453" t="s">
        <v>16</v>
      </c>
      <c r="I745" s="560"/>
      <c r="J745" s="526"/>
      <c r="K745" s="527"/>
      <c r="L745" s="534"/>
      <c r="M745" s="535"/>
      <c r="N745" s="496">
        <f>'Input &amp; Calc'!EI891</f>
        <v>4.1482000000000001</v>
      </c>
      <c r="O745" s="562"/>
      <c r="P745" s="526"/>
      <c r="Q745" s="540"/>
      <c r="R745" s="541"/>
      <c r="S745" s="497">
        <f>'Input &amp; Calc'!EJ891</f>
        <v>4.1482000000000001</v>
      </c>
      <c r="T745" s="548"/>
      <c r="U745" s="549"/>
      <c r="V745" s="550"/>
      <c r="W745" s="554" t="s">
        <v>208</v>
      </c>
      <c r="X745" s="271"/>
      <c r="Y745" s="268"/>
      <c r="Z745" s="268"/>
      <c r="AA745" s="268"/>
      <c r="AB745" s="268"/>
      <c r="AC745" s="268"/>
      <c r="AD745" s="268"/>
      <c r="AE745" s="268"/>
      <c r="AF745" s="268"/>
      <c r="AG745" s="268"/>
      <c r="AH745" s="268"/>
      <c r="AI745" s="270"/>
      <c r="AJ745" s="268"/>
      <c r="AK745" s="268"/>
      <c r="AL745" s="268"/>
      <c r="AM745" s="268"/>
      <c r="AN745" s="268"/>
      <c r="AO745" s="268"/>
      <c r="AP745" s="268"/>
      <c r="AQ745" s="268"/>
      <c r="AR745" s="268"/>
      <c r="AS745" s="268"/>
      <c r="AT745" s="268"/>
      <c r="AU745" s="268"/>
    </row>
    <row r="746" spans="1:47" ht="16.5" thickBot="1">
      <c r="A746" s="86" t="s">
        <v>139</v>
      </c>
      <c r="B746" s="321"/>
      <c r="C746" s="645" t="s">
        <v>164</v>
      </c>
      <c r="D746" s="645"/>
      <c r="E746" s="87" t="s">
        <v>140</v>
      </c>
      <c r="F746" s="518"/>
      <c r="G746" s="518"/>
      <c r="H746" s="645" t="s">
        <v>165</v>
      </c>
      <c r="I746" s="645"/>
      <c r="J746" s="646"/>
      <c r="K746" s="88" t="s">
        <v>141</v>
      </c>
      <c r="L746" s="518"/>
      <c r="M746" s="570"/>
      <c r="N746" s="647" t="s">
        <v>166</v>
      </c>
      <c r="O746" s="647"/>
      <c r="P746" s="648"/>
      <c r="Q746" s="89" t="s">
        <v>142</v>
      </c>
      <c r="R746" s="257"/>
      <c r="S746" s="68"/>
      <c r="T746" s="68"/>
      <c r="U746" s="69"/>
      <c r="V746" s="69"/>
      <c r="W746" s="69"/>
      <c r="X746" s="464"/>
      <c r="Y746" s="464"/>
      <c r="Z746" s="464"/>
      <c r="AA746" s="464"/>
      <c r="AB746" s="464"/>
      <c r="AC746" s="464"/>
      <c r="AD746" s="464"/>
      <c r="AE746" s="464"/>
      <c r="AF746" s="464"/>
      <c r="AG746" s="464"/>
      <c r="AH746" s="464"/>
      <c r="AI746" s="464"/>
      <c r="AJ746" s="464"/>
      <c r="AK746" s="464"/>
      <c r="AL746" s="464"/>
      <c r="AM746" s="464"/>
      <c r="AN746" s="464"/>
      <c r="AO746" s="464"/>
      <c r="AP746" s="464"/>
      <c r="AQ746" s="464"/>
      <c r="AR746" s="464"/>
      <c r="AS746" s="464"/>
      <c r="AT746" s="464"/>
      <c r="AU746" s="464"/>
    </row>
    <row r="747" spans="1:47">
      <c r="A747" s="519" t="s">
        <v>229</v>
      </c>
    </row>
  </sheetData>
  <mergeCells count="590">
    <mergeCell ref="A17:A19"/>
    <mergeCell ref="A14:A15"/>
    <mergeCell ref="V11:V12"/>
    <mergeCell ref="X12:AI12"/>
    <mergeCell ref="F66:Q66"/>
    <mergeCell ref="C20:D20"/>
    <mergeCell ref="H20:J20"/>
    <mergeCell ref="N20:P20"/>
    <mergeCell ref="AJ12:AU12"/>
    <mergeCell ref="L11:L12"/>
    <mergeCell ref="M11:M12"/>
    <mergeCell ref="N11:N12"/>
    <mergeCell ref="P11:P12"/>
    <mergeCell ref="Q11:Q12"/>
    <mergeCell ref="S11:S12"/>
    <mergeCell ref="R11:R12"/>
    <mergeCell ref="T11:T12"/>
    <mergeCell ref="U11:U12"/>
    <mergeCell ref="F5:F6"/>
    <mergeCell ref="H10:N10"/>
    <mergeCell ref="A11:A12"/>
    <mergeCell ref="B11:B12"/>
    <mergeCell ref="C11:C12"/>
    <mergeCell ref="D11:D12"/>
    <mergeCell ref="E11:E12"/>
    <mergeCell ref="F11:F12"/>
    <mergeCell ref="H11:H12"/>
    <mergeCell ref="J11:J12"/>
    <mergeCell ref="K11:K12"/>
    <mergeCell ref="L71:L72"/>
    <mergeCell ref="M71:M72"/>
    <mergeCell ref="N71:N72"/>
    <mergeCell ref="V5:V6"/>
    <mergeCell ref="AA5:AL5"/>
    <mergeCell ref="AM5:AU5"/>
    <mergeCell ref="A8:A9"/>
    <mergeCell ref="P5:P6"/>
    <mergeCell ref="Q5:Q6"/>
    <mergeCell ref="R5:R6"/>
    <mergeCell ref="S5:S6"/>
    <mergeCell ref="T5:T6"/>
    <mergeCell ref="U5:U6"/>
    <mergeCell ref="H5:H6"/>
    <mergeCell ref="J5:J6"/>
    <mergeCell ref="K5:K6"/>
    <mergeCell ref="L5:L6"/>
    <mergeCell ref="M5:M6"/>
    <mergeCell ref="N5:N6"/>
    <mergeCell ref="A5:A6"/>
    <mergeCell ref="B5:B6"/>
    <mergeCell ref="C5:C6"/>
    <mergeCell ref="D5:D6"/>
    <mergeCell ref="E5:E6"/>
    <mergeCell ref="A71:A72"/>
    <mergeCell ref="B71:B72"/>
    <mergeCell ref="C71:C72"/>
    <mergeCell ref="D71:D72"/>
    <mergeCell ref="E71:E72"/>
    <mergeCell ref="F71:F72"/>
    <mergeCell ref="H71:H72"/>
    <mergeCell ref="J71:J72"/>
    <mergeCell ref="K71:K72"/>
    <mergeCell ref="AA71:AL71"/>
    <mergeCell ref="J77:J78"/>
    <mergeCell ref="K77:K78"/>
    <mergeCell ref="L77:L78"/>
    <mergeCell ref="M77:M78"/>
    <mergeCell ref="AM71:AU71"/>
    <mergeCell ref="A74:A75"/>
    <mergeCell ref="H76:N76"/>
    <mergeCell ref="A77:A78"/>
    <mergeCell ref="B77:B78"/>
    <mergeCell ref="C77:C78"/>
    <mergeCell ref="D77:D78"/>
    <mergeCell ref="E77:E78"/>
    <mergeCell ref="P71:P72"/>
    <mergeCell ref="H77:H78"/>
    <mergeCell ref="V71:V72"/>
    <mergeCell ref="Q71:Q72"/>
    <mergeCell ref="R71:R72"/>
    <mergeCell ref="S71:S72"/>
    <mergeCell ref="T71:T72"/>
    <mergeCell ref="U77:U78"/>
    <mergeCell ref="U71:U72"/>
    <mergeCell ref="Q77:Q78"/>
    <mergeCell ref="R77:R78"/>
    <mergeCell ref="A80:A81"/>
    <mergeCell ref="A83:A85"/>
    <mergeCell ref="N77:N78"/>
    <mergeCell ref="P77:P78"/>
    <mergeCell ref="E137:E138"/>
    <mergeCell ref="F137:F138"/>
    <mergeCell ref="H137:H138"/>
    <mergeCell ref="T77:T78"/>
    <mergeCell ref="F77:F78"/>
    <mergeCell ref="S77:S78"/>
    <mergeCell ref="C86:D86"/>
    <mergeCell ref="H86:J86"/>
    <mergeCell ref="N86:P86"/>
    <mergeCell ref="AM137:AU137"/>
    <mergeCell ref="A140:A141"/>
    <mergeCell ref="Q137:Q138"/>
    <mergeCell ref="R137:R138"/>
    <mergeCell ref="S137:S138"/>
    <mergeCell ref="T137:T138"/>
    <mergeCell ref="M137:M138"/>
    <mergeCell ref="N137:N138"/>
    <mergeCell ref="P137:P138"/>
    <mergeCell ref="A137:A138"/>
    <mergeCell ref="B137:B138"/>
    <mergeCell ref="C137:C138"/>
    <mergeCell ref="D137:D138"/>
    <mergeCell ref="J137:J138"/>
    <mergeCell ref="K137:K138"/>
    <mergeCell ref="L137:L138"/>
    <mergeCell ref="U137:U138"/>
    <mergeCell ref="V137:V138"/>
    <mergeCell ref="H142:N142"/>
    <mergeCell ref="A143:A144"/>
    <mergeCell ref="B143:B144"/>
    <mergeCell ref="C143:C144"/>
    <mergeCell ref="D143:D144"/>
    <mergeCell ref="E143:E144"/>
    <mergeCell ref="F143:F144"/>
    <mergeCell ref="X144:AI144"/>
    <mergeCell ref="AA137:AL137"/>
    <mergeCell ref="K203:K204"/>
    <mergeCell ref="AJ144:AU144"/>
    <mergeCell ref="A146:A147"/>
    <mergeCell ref="A149:A151"/>
    <mergeCell ref="C152:D152"/>
    <mergeCell ref="H152:J152"/>
    <mergeCell ref="N152:P152"/>
    <mergeCell ref="R143:R144"/>
    <mergeCell ref="S143:S144"/>
    <mergeCell ref="Q143:Q144"/>
    <mergeCell ref="T143:T144"/>
    <mergeCell ref="U143:U144"/>
    <mergeCell ref="H143:H144"/>
    <mergeCell ref="J143:J144"/>
    <mergeCell ref="K143:K144"/>
    <mergeCell ref="L143:L144"/>
    <mergeCell ref="M143:M144"/>
    <mergeCell ref="P143:P144"/>
    <mergeCell ref="N143:N144"/>
    <mergeCell ref="V143:V144"/>
    <mergeCell ref="C218:D218"/>
    <mergeCell ref="H218:J218"/>
    <mergeCell ref="N218:P218"/>
    <mergeCell ref="V203:V204"/>
    <mergeCell ref="AA203:AL203"/>
    <mergeCell ref="R203:R204"/>
    <mergeCell ref="A206:A207"/>
    <mergeCell ref="H208:N208"/>
    <mergeCell ref="A209:A210"/>
    <mergeCell ref="B209:B210"/>
    <mergeCell ref="C209:C210"/>
    <mergeCell ref="D209:D210"/>
    <mergeCell ref="E209:E210"/>
    <mergeCell ref="F209:F210"/>
    <mergeCell ref="H209:H210"/>
    <mergeCell ref="H203:H204"/>
    <mergeCell ref="U209:U210"/>
    <mergeCell ref="V209:V210"/>
    <mergeCell ref="X210:AI210"/>
    <mergeCell ref="AJ210:AU210"/>
    <mergeCell ref="L203:L204"/>
    <mergeCell ref="M203:M204"/>
    <mergeCell ref="N203:N204"/>
    <mergeCell ref="P203:P204"/>
    <mergeCell ref="A215:A217"/>
    <mergeCell ref="N209:N210"/>
    <mergeCell ref="P209:P210"/>
    <mergeCell ref="Q209:Q210"/>
    <mergeCell ref="R209:R210"/>
    <mergeCell ref="M209:M210"/>
    <mergeCell ref="AM203:AU203"/>
    <mergeCell ref="S209:S210"/>
    <mergeCell ref="T209:T210"/>
    <mergeCell ref="K209:K210"/>
    <mergeCell ref="L209:L210"/>
    <mergeCell ref="A212:A213"/>
    <mergeCell ref="J209:J210"/>
    <mergeCell ref="Q203:Q204"/>
    <mergeCell ref="S203:S204"/>
    <mergeCell ref="T203:T204"/>
    <mergeCell ref="U203:U204"/>
    <mergeCell ref="A203:A204"/>
    <mergeCell ref="B203:B204"/>
    <mergeCell ref="C203:C204"/>
    <mergeCell ref="D203:D204"/>
    <mergeCell ref="E203:E204"/>
    <mergeCell ref="F203:F204"/>
    <mergeCell ref="J203:J204"/>
    <mergeCell ref="A269:A270"/>
    <mergeCell ref="B269:B270"/>
    <mergeCell ref="C269:C270"/>
    <mergeCell ref="D269:D270"/>
    <mergeCell ref="E269:E270"/>
    <mergeCell ref="F269:F270"/>
    <mergeCell ref="H269:H270"/>
    <mergeCell ref="J269:J270"/>
    <mergeCell ref="K269:K270"/>
    <mergeCell ref="L269:L270"/>
    <mergeCell ref="M269:M270"/>
    <mergeCell ref="N269:N270"/>
    <mergeCell ref="P269:P270"/>
    <mergeCell ref="Q269:Q270"/>
    <mergeCell ref="R269:R270"/>
    <mergeCell ref="S269:S270"/>
    <mergeCell ref="T269:T270"/>
    <mergeCell ref="U269:U270"/>
    <mergeCell ref="V269:V270"/>
    <mergeCell ref="AA269:AL269"/>
    <mergeCell ref="S275:S276"/>
    <mergeCell ref="T275:T276"/>
    <mergeCell ref="U275:U276"/>
    <mergeCell ref="V275:V276"/>
    <mergeCell ref="AM269:AU269"/>
    <mergeCell ref="A272:A273"/>
    <mergeCell ref="H274:N274"/>
    <mergeCell ref="A275:A276"/>
    <mergeCell ref="B275:B276"/>
    <mergeCell ref="C275:C276"/>
    <mergeCell ref="D275:D276"/>
    <mergeCell ref="E275:E276"/>
    <mergeCell ref="F275:F276"/>
    <mergeCell ref="R275:R276"/>
    <mergeCell ref="H275:H276"/>
    <mergeCell ref="J275:J276"/>
    <mergeCell ref="K275:K276"/>
    <mergeCell ref="L275:L276"/>
    <mergeCell ref="M275:M276"/>
    <mergeCell ref="N275:N276"/>
    <mergeCell ref="X276:AI276"/>
    <mergeCell ref="AJ276:AU276"/>
    <mergeCell ref="P275:P276"/>
    <mergeCell ref="Q275:Q276"/>
    <mergeCell ref="A335:A336"/>
    <mergeCell ref="B335:B336"/>
    <mergeCell ref="C335:C336"/>
    <mergeCell ref="D335:D336"/>
    <mergeCell ref="E335:E336"/>
    <mergeCell ref="F335:F336"/>
    <mergeCell ref="H335:H336"/>
    <mergeCell ref="J335:J336"/>
    <mergeCell ref="M335:M336"/>
    <mergeCell ref="N335:N336"/>
    <mergeCell ref="P335:P336"/>
    <mergeCell ref="Q335:Q336"/>
    <mergeCell ref="AM335:AU335"/>
    <mergeCell ref="A338:A339"/>
    <mergeCell ref="H340:N340"/>
    <mergeCell ref="A278:A279"/>
    <mergeCell ref="A281:A283"/>
    <mergeCell ref="C284:D284"/>
    <mergeCell ref="H284:J284"/>
    <mergeCell ref="N284:P284"/>
    <mergeCell ref="K335:K336"/>
    <mergeCell ref="L335:L336"/>
    <mergeCell ref="K341:K342"/>
    <mergeCell ref="L341:L342"/>
    <mergeCell ref="M341:M342"/>
    <mergeCell ref="R335:R336"/>
    <mergeCell ref="S335:S336"/>
    <mergeCell ref="T335:T336"/>
    <mergeCell ref="U335:U336"/>
    <mergeCell ref="V335:V336"/>
    <mergeCell ref="AA335:AL335"/>
    <mergeCell ref="U341:U342"/>
    <mergeCell ref="V341:V342"/>
    <mergeCell ref="X342:AI342"/>
    <mergeCell ref="AA401:AL401"/>
    <mergeCell ref="R401:R402"/>
    <mergeCell ref="S401:S402"/>
    <mergeCell ref="T401:T402"/>
    <mergeCell ref="AJ342:AU342"/>
    <mergeCell ref="A344:A345"/>
    <mergeCell ref="A347:A349"/>
    <mergeCell ref="N341:N342"/>
    <mergeCell ref="P341:P342"/>
    <mergeCell ref="Q341:Q342"/>
    <mergeCell ref="R341:R342"/>
    <mergeCell ref="A341:A342"/>
    <mergeCell ref="B341:B342"/>
    <mergeCell ref="C341:C342"/>
    <mergeCell ref="D341:D342"/>
    <mergeCell ref="E341:E342"/>
    <mergeCell ref="S341:S342"/>
    <mergeCell ref="T341:T342"/>
    <mergeCell ref="F341:F342"/>
    <mergeCell ref="H341:H342"/>
    <mergeCell ref="J341:J342"/>
    <mergeCell ref="AM401:AU401"/>
    <mergeCell ref="U401:U402"/>
    <mergeCell ref="V401:V402"/>
    <mergeCell ref="C350:D350"/>
    <mergeCell ref="H350:J350"/>
    <mergeCell ref="N350:P350"/>
    <mergeCell ref="A401:A402"/>
    <mergeCell ref="B401:B402"/>
    <mergeCell ref="C401:C402"/>
    <mergeCell ref="D401:D402"/>
    <mergeCell ref="Q401:Q402"/>
    <mergeCell ref="E401:E402"/>
    <mergeCell ref="F401:F402"/>
    <mergeCell ref="H401:H402"/>
    <mergeCell ref="J401:J402"/>
    <mergeCell ref="K401:K402"/>
    <mergeCell ref="L401:L402"/>
    <mergeCell ref="M401:M402"/>
    <mergeCell ref="N401:N402"/>
    <mergeCell ref="P401:P402"/>
    <mergeCell ref="H406:N406"/>
    <mergeCell ref="A407:A408"/>
    <mergeCell ref="B407:B408"/>
    <mergeCell ref="C407:C408"/>
    <mergeCell ref="D407:D408"/>
    <mergeCell ref="E407:E408"/>
    <mergeCell ref="F407:F408"/>
    <mergeCell ref="X408:AI408"/>
    <mergeCell ref="A404:A405"/>
    <mergeCell ref="K467:K468"/>
    <mergeCell ref="AJ408:AU408"/>
    <mergeCell ref="A410:A411"/>
    <mergeCell ref="A413:A415"/>
    <mergeCell ref="C416:D416"/>
    <mergeCell ref="R407:R408"/>
    <mergeCell ref="S407:S408"/>
    <mergeCell ref="Q407:Q408"/>
    <mergeCell ref="T407:T408"/>
    <mergeCell ref="U407:U408"/>
    <mergeCell ref="H407:H408"/>
    <mergeCell ref="J407:J408"/>
    <mergeCell ref="K407:K408"/>
    <mergeCell ref="L407:L408"/>
    <mergeCell ref="M407:M408"/>
    <mergeCell ref="P407:P408"/>
    <mergeCell ref="N407:N408"/>
    <mergeCell ref="H416:J416"/>
    <mergeCell ref="N416:P416"/>
    <mergeCell ref="V407:V408"/>
    <mergeCell ref="C482:D482"/>
    <mergeCell ref="H482:J482"/>
    <mergeCell ref="N482:P482"/>
    <mergeCell ref="V467:V468"/>
    <mergeCell ref="AA467:AL467"/>
    <mergeCell ref="R467:R468"/>
    <mergeCell ref="A470:A471"/>
    <mergeCell ref="H472:N472"/>
    <mergeCell ref="A473:A474"/>
    <mergeCell ref="B473:B474"/>
    <mergeCell ref="C473:C474"/>
    <mergeCell ref="D473:D474"/>
    <mergeCell ref="E473:E474"/>
    <mergeCell ref="F473:F474"/>
    <mergeCell ref="H473:H474"/>
    <mergeCell ref="H467:H468"/>
    <mergeCell ref="U473:U474"/>
    <mergeCell ref="V473:V474"/>
    <mergeCell ref="X474:AI474"/>
    <mergeCell ref="AJ474:AU474"/>
    <mergeCell ref="L467:L468"/>
    <mergeCell ref="M467:M468"/>
    <mergeCell ref="N467:N468"/>
    <mergeCell ref="P467:P468"/>
    <mergeCell ref="A479:A481"/>
    <mergeCell ref="N473:N474"/>
    <mergeCell ref="P473:P474"/>
    <mergeCell ref="Q473:Q474"/>
    <mergeCell ref="R473:R474"/>
    <mergeCell ref="M473:M474"/>
    <mergeCell ref="AM467:AU467"/>
    <mergeCell ref="S473:S474"/>
    <mergeCell ref="T473:T474"/>
    <mergeCell ref="K473:K474"/>
    <mergeCell ref="L473:L474"/>
    <mergeCell ref="A476:A477"/>
    <mergeCell ref="J473:J474"/>
    <mergeCell ref="Q467:Q468"/>
    <mergeCell ref="S467:S468"/>
    <mergeCell ref="T467:T468"/>
    <mergeCell ref="U467:U468"/>
    <mergeCell ref="A467:A468"/>
    <mergeCell ref="B467:B468"/>
    <mergeCell ref="C467:C468"/>
    <mergeCell ref="D467:D468"/>
    <mergeCell ref="E467:E468"/>
    <mergeCell ref="F467:F468"/>
    <mergeCell ref="J467:J468"/>
    <mergeCell ref="A533:A534"/>
    <mergeCell ref="B533:B534"/>
    <mergeCell ref="C533:C534"/>
    <mergeCell ref="D533:D534"/>
    <mergeCell ref="E533:E534"/>
    <mergeCell ref="F533:F534"/>
    <mergeCell ref="H533:H534"/>
    <mergeCell ref="J533:J534"/>
    <mergeCell ref="K533:K534"/>
    <mergeCell ref="L533:L534"/>
    <mergeCell ref="M533:M534"/>
    <mergeCell ref="N533:N534"/>
    <mergeCell ref="P533:P534"/>
    <mergeCell ref="Q533:Q534"/>
    <mergeCell ref="R533:R534"/>
    <mergeCell ref="S533:S534"/>
    <mergeCell ref="T533:T534"/>
    <mergeCell ref="U533:U534"/>
    <mergeCell ref="V533:V534"/>
    <mergeCell ref="AA533:AL533"/>
    <mergeCell ref="S539:S540"/>
    <mergeCell ref="T539:T540"/>
    <mergeCell ref="U539:U540"/>
    <mergeCell ref="V539:V540"/>
    <mergeCell ref="AM533:AU533"/>
    <mergeCell ref="A536:A537"/>
    <mergeCell ref="H538:N538"/>
    <mergeCell ref="A539:A540"/>
    <mergeCell ref="B539:B540"/>
    <mergeCell ref="C539:C540"/>
    <mergeCell ref="D539:D540"/>
    <mergeCell ref="E539:E540"/>
    <mergeCell ref="F539:F540"/>
    <mergeCell ref="R539:R540"/>
    <mergeCell ref="H539:H540"/>
    <mergeCell ref="J539:J540"/>
    <mergeCell ref="K539:K540"/>
    <mergeCell ref="L539:L540"/>
    <mergeCell ref="M539:M540"/>
    <mergeCell ref="N539:N540"/>
    <mergeCell ref="X540:AI540"/>
    <mergeCell ref="AJ540:AU540"/>
    <mergeCell ref="P539:P540"/>
    <mergeCell ref="Q539:Q540"/>
    <mergeCell ref="A599:A600"/>
    <mergeCell ref="B599:B600"/>
    <mergeCell ref="C599:C600"/>
    <mergeCell ref="D599:D600"/>
    <mergeCell ref="E599:E600"/>
    <mergeCell ref="F599:F600"/>
    <mergeCell ref="H599:H600"/>
    <mergeCell ref="J599:J600"/>
    <mergeCell ref="M599:M600"/>
    <mergeCell ref="N599:N600"/>
    <mergeCell ref="P599:P600"/>
    <mergeCell ref="Q599:Q600"/>
    <mergeCell ref="AM599:AU599"/>
    <mergeCell ref="A602:A603"/>
    <mergeCell ref="H604:N604"/>
    <mergeCell ref="A542:A543"/>
    <mergeCell ref="A545:A547"/>
    <mergeCell ref="C548:D548"/>
    <mergeCell ref="H548:J548"/>
    <mergeCell ref="N548:P548"/>
    <mergeCell ref="K599:K600"/>
    <mergeCell ref="L599:L600"/>
    <mergeCell ref="K605:K606"/>
    <mergeCell ref="L605:L606"/>
    <mergeCell ref="M605:M606"/>
    <mergeCell ref="R599:R600"/>
    <mergeCell ref="S599:S600"/>
    <mergeCell ref="T599:T600"/>
    <mergeCell ref="U599:U600"/>
    <mergeCell ref="V599:V600"/>
    <mergeCell ref="AA599:AL599"/>
    <mergeCell ref="U605:U606"/>
    <mergeCell ref="V605:V606"/>
    <mergeCell ref="X606:AI606"/>
    <mergeCell ref="AA665:AL665"/>
    <mergeCell ref="R665:R666"/>
    <mergeCell ref="S665:S666"/>
    <mergeCell ref="T665:T666"/>
    <mergeCell ref="AJ606:AU606"/>
    <mergeCell ref="A608:A609"/>
    <mergeCell ref="A611:A613"/>
    <mergeCell ref="N605:N606"/>
    <mergeCell ref="P605:P606"/>
    <mergeCell ref="Q605:Q606"/>
    <mergeCell ref="R605:R606"/>
    <mergeCell ref="A605:A606"/>
    <mergeCell ref="B605:B606"/>
    <mergeCell ref="C605:C606"/>
    <mergeCell ref="D605:D606"/>
    <mergeCell ref="E605:E606"/>
    <mergeCell ref="S605:S606"/>
    <mergeCell ref="T605:T606"/>
    <mergeCell ref="F605:F606"/>
    <mergeCell ref="H605:H606"/>
    <mergeCell ref="J605:J606"/>
    <mergeCell ref="AM665:AU665"/>
    <mergeCell ref="U665:U666"/>
    <mergeCell ref="V665:V666"/>
    <mergeCell ref="C614:D614"/>
    <mergeCell ref="H614:J614"/>
    <mergeCell ref="N614:P614"/>
    <mergeCell ref="A665:A666"/>
    <mergeCell ref="B665:B666"/>
    <mergeCell ref="C665:C666"/>
    <mergeCell ref="D665:D666"/>
    <mergeCell ref="Q665:Q666"/>
    <mergeCell ref="E665:E666"/>
    <mergeCell ref="F665:F666"/>
    <mergeCell ref="H665:H666"/>
    <mergeCell ref="J665:J666"/>
    <mergeCell ref="K665:K666"/>
    <mergeCell ref="L665:L666"/>
    <mergeCell ref="M665:M666"/>
    <mergeCell ref="N665:N666"/>
    <mergeCell ref="P665:P666"/>
    <mergeCell ref="H670:N670"/>
    <mergeCell ref="A671:A672"/>
    <mergeCell ref="B671:B672"/>
    <mergeCell ref="C671:C672"/>
    <mergeCell ref="D671:D672"/>
    <mergeCell ref="E671:E672"/>
    <mergeCell ref="F671:F672"/>
    <mergeCell ref="X672:AI672"/>
    <mergeCell ref="A668:A669"/>
    <mergeCell ref="AJ672:AU672"/>
    <mergeCell ref="A674:A675"/>
    <mergeCell ref="A677:A679"/>
    <mergeCell ref="C680:D680"/>
    <mergeCell ref="H680:J680"/>
    <mergeCell ref="N680:P680"/>
    <mergeCell ref="P671:P672"/>
    <mergeCell ref="Q671:Q672"/>
    <mergeCell ref="T671:T672"/>
    <mergeCell ref="R671:R672"/>
    <mergeCell ref="S671:S672"/>
    <mergeCell ref="U671:U672"/>
    <mergeCell ref="H671:H672"/>
    <mergeCell ref="J671:J672"/>
    <mergeCell ref="K671:K672"/>
    <mergeCell ref="L671:L672"/>
    <mergeCell ref="M671:M672"/>
    <mergeCell ref="N671:N672"/>
    <mergeCell ref="V671:V672"/>
    <mergeCell ref="F731:F732"/>
    <mergeCell ref="Q731:Q732"/>
    <mergeCell ref="R731:R732"/>
    <mergeCell ref="H731:H732"/>
    <mergeCell ref="J731:J732"/>
    <mergeCell ref="K731:K732"/>
    <mergeCell ref="L731:L732"/>
    <mergeCell ref="M731:M732"/>
    <mergeCell ref="N731:N732"/>
    <mergeCell ref="C746:D746"/>
    <mergeCell ref="H746:J746"/>
    <mergeCell ref="N746:P746"/>
    <mergeCell ref="U737:U738"/>
    <mergeCell ref="V737:V738"/>
    <mergeCell ref="X738:AI738"/>
    <mergeCell ref="H737:H738"/>
    <mergeCell ref="F737:F738"/>
    <mergeCell ref="E737:E738"/>
    <mergeCell ref="C737:C738"/>
    <mergeCell ref="D737:D738"/>
    <mergeCell ref="P737:P738"/>
    <mergeCell ref="Q737:Q738"/>
    <mergeCell ref="R737:R738"/>
    <mergeCell ref="M737:M738"/>
    <mergeCell ref="S737:S738"/>
    <mergeCell ref="T737:T738"/>
    <mergeCell ref="J737:J738"/>
    <mergeCell ref="K737:K738"/>
    <mergeCell ref="L737:L738"/>
    <mergeCell ref="A740:A741"/>
    <mergeCell ref="A743:A745"/>
    <mergeCell ref="N737:N738"/>
    <mergeCell ref="V77:V78"/>
    <mergeCell ref="X78:AI78"/>
    <mergeCell ref="AJ78:AU78"/>
    <mergeCell ref="F87:Q87"/>
    <mergeCell ref="AM731:AU731"/>
    <mergeCell ref="A734:A735"/>
    <mergeCell ref="H736:N736"/>
    <mergeCell ref="A737:A738"/>
    <mergeCell ref="B737:B738"/>
    <mergeCell ref="AJ738:AU738"/>
    <mergeCell ref="S731:S732"/>
    <mergeCell ref="T731:T732"/>
    <mergeCell ref="AA731:AL731"/>
    <mergeCell ref="V731:V732"/>
    <mergeCell ref="U731:U732"/>
    <mergeCell ref="P731:P732"/>
    <mergeCell ref="A731:A732"/>
    <mergeCell ref="B731:B732"/>
    <mergeCell ref="C731:C732"/>
    <mergeCell ref="D731:D732"/>
    <mergeCell ref="E731:E732"/>
  </mergeCells>
  <conditionalFormatting sqref="C739:C745 J739:J745 C733:C735 J733:J735 P733:P735 C673:C679 J673:J679 C667:C669 J667:J669 P667:P669 C607:C613 J607:J613 C601:C603 J601:J603 P601:P603 C541:C547 J541:J547 C535:C537 J535:J537 P535:P537 C475:C481 J475:J481 C469:C471 J469:J471 P469:P471 C409:C415 J409:J415 C403:C405 J403:J405 P403:P405 C343:C349 J343:J349 C337:C339 J337:J339 P337:P339 C277:C283 J277:J283 C271:C273 J271:J273 P271:P273 C211:C217 J211:J217 C205:C207 J205:J207 P205:P207 C145:C151 J145:J151 C139:C141 J139:J141 P139:P141 C79:C85 J79:J85 X7:AU9 C7:C9 J7:J9 P7:P9 C13:C19 J13:J19 P13:P19 C73:C75 J73:J75 P73:P75 P79:P85 P145:P151 P211:P217 P277:P283 P343:P349 P409:P415 P475:P481 P541:P547 P607:P613 P673:P679 P739:P745 X73:AU75 X79:AU85 X139:AU141 X145:AU151 X205:AU207 X211:AU217 X271:AU273 X277:AU283 X337:AU339 X343:AU349 X403:AU405 X409:AU415 X469:AU471 X475:AU481 X535:AU537 X541:AU547 X601:AU603 X607:AU613 X667:AU669 X673:AU679 X733:AU735 X739:AU745 V13:V19 V733:V745 X13:AU19 V7:V11 V79:V85 V73:V77 V139:V151 V205:V217 V271:V283 V337:V349 V403:V415 V469:V481 V535:V547 V601:V613 V667:V679">
    <cfRule type="cellIs" dxfId="416" priority="2110" stopIfTrue="1" operator="equal">
      <formula>3</formula>
    </cfRule>
    <cfRule type="cellIs" dxfId="415" priority="2111" stopIfTrue="1" operator="equal">
      <formula>2</formula>
    </cfRule>
    <cfRule type="cellIs" dxfId="414" priority="2112" stopIfTrue="1" operator="equal">
      <formula>1</formula>
    </cfRule>
  </conditionalFormatting>
  <conditionalFormatting sqref="C739:C745">
    <cfRule type="cellIs" dxfId="413" priority="1771" stopIfTrue="1" operator="equal">
      <formula>3</formula>
    </cfRule>
    <cfRule type="cellIs" dxfId="412" priority="1772" stopIfTrue="1" operator="equal">
      <formula>2</formula>
    </cfRule>
    <cfRule type="cellIs" dxfId="411" priority="1773" stopIfTrue="1" operator="equal">
      <formula>1</formula>
    </cfRule>
  </conditionalFormatting>
  <conditionalFormatting sqref="J739:J745">
    <cfRule type="cellIs" dxfId="410" priority="1765" stopIfTrue="1" operator="equal">
      <formula>3</formula>
    </cfRule>
    <cfRule type="cellIs" dxfId="409" priority="1766" stopIfTrue="1" operator="equal">
      <formula>2</formula>
    </cfRule>
    <cfRule type="cellIs" dxfId="408" priority="1767" stopIfTrue="1" operator="equal">
      <formula>1</formula>
    </cfRule>
  </conditionalFormatting>
  <conditionalFormatting sqref="J740">
    <cfRule type="cellIs" dxfId="407" priority="1762" stopIfTrue="1" operator="equal">
      <formula>3</formula>
    </cfRule>
    <cfRule type="cellIs" dxfId="406" priority="1763" stopIfTrue="1" operator="equal">
      <formula>2</formula>
    </cfRule>
    <cfRule type="cellIs" dxfId="405" priority="1764" stopIfTrue="1" operator="equal">
      <formula>1</formula>
    </cfRule>
  </conditionalFormatting>
  <conditionalFormatting sqref="J739:J745">
    <cfRule type="cellIs" dxfId="404" priority="1759" stopIfTrue="1" operator="equal">
      <formula>3</formula>
    </cfRule>
    <cfRule type="cellIs" dxfId="403" priority="1760" stopIfTrue="1" operator="equal">
      <formula>2</formula>
    </cfRule>
    <cfRule type="cellIs" dxfId="402" priority="1761" stopIfTrue="1" operator="equal">
      <formula>1</formula>
    </cfRule>
  </conditionalFormatting>
  <conditionalFormatting sqref="J739:J745">
    <cfRule type="cellIs" dxfId="401" priority="1756" stopIfTrue="1" operator="equal">
      <formula>3</formula>
    </cfRule>
    <cfRule type="cellIs" dxfId="400" priority="1757" stopIfTrue="1" operator="equal">
      <formula>2</formula>
    </cfRule>
    <cfRule type="cellIs" dxfId="399" priority="1758" stopIfTrue="1" operator="equal">
      <formula>1</formula>
    </cfRule>
  </conditionalFormatting>
  <conditionalFormatting sqref="P739:P745">
    <cfRule type="cellIs" dxfId="398" priority="1750" stopIfTrue="1" operator="equal">
      <formula>3</formula>
    </cfRule>
    <cfRule type="cellIs" dxfId="397" priority="1751" stopIfTrue="1" operator="equal">
      <formula>2</formula>
    </cfRule>
    <cfRule type="cellIs" dxfId="396" priority="1752" stopIfTrue="1" operator="equal">
      <formula>1</formula>
    </cfRule>
  </conditionalFormatting>
  <conditionalFormatting sqref="C739:C742">
    <cfRule type="cellIs" dxfId="395" priority="1216" stopIfTrue="1" operator="equal">
      <formula>3</formula>
    </cfRule>
    <cfRule type="cellIs" dxfId="394" priority="1217" stopIfTrue="1" operator="equal">
      <formula>2</formula>
    </cfRule>
    <cfRule type="cellIs" dxfId="393" priority="1218" stopIfTrue="1" operator="equal">
      <formula>1</formula>
    </cfRule>
  </conditionalFormatting>
  <conditionalFormatting sqref="J739:J742">
    <cfRule type="cellIs" dxfId="392" priority="1210" stopIfTrue="1" operator="equal">
      <formula>3</formula>
    </cfRule>
    <cfRule type="cellIs" dxfId="391" priority="1211" stopIfTrue="1" operator="equal">
      <formula>2</formula>
    </cfRule>
    <cfRule type="cellIs" dxfId="390" priority="1212" stopIfTrue="1" operator="equal">
      <formula>1</formula>
    </cfRule>
  </conditionalFormatting>
  <conditionalFormatting sqref="J740">
    <cfRule type="cellIs" dxfId="389" priority="1207" stopIfTrue="1" operator="equal">
      <formula>3</formula>
    </cfRule>
    <cfRule type="cellIs" dxfId="388" priority="1208" stopIfTrue="1" operator="equal">
      <formula>2</formula>
    </cfRule>
    <cfRule type="cellIs" dxfId="387" priority="1209" stopIfTrue="1" operator="equal">
      <formula>1</formula>
    </cfRule>
  </conditionalFormatting>
  <conditionalFormatting sqref="J739:J742">
    <cfRule type="cellIs" dxfId="386" priority="1204" stopIfTrue="1" operator="equal">
      <formula>3</formula>
    </cfRule>
    <cfRule type="cellIs" dxfId="385" priority="1205" stopIfTrue="1" operator="equal">
      <formula>2</formula>
    </cfRule>
    <cfRule type="cellIs" dxfId="384" priority="1206" stopIfTrue="1" operator="equal">
      <formula>1</formula>
    </cfRule>
  </conditionalFormatting>
  <conditionalFormatting sqref="J739:J742">
    <cfRule type="cellIs" dxfId="383" priority="1201" stopIfTrue="1" operator="equal">
      <formula>3</formula>
    </cfRule>
    <cfRule type="cellIs" dxfId="382" priority="1202" stopIfTrue="1" operator="equal">
      <formula>2</formula>
    </cfRule>
    <cfRule type="cellIs" dxfId="381" priority="1203" stopIfTrue="1" operator="equal">
      <formula>1</formula>
    </cfRule>
  </conditionalFormatting>
  <conditionalFormatting sqref="P739:P742">
    <cfRule type="cellIs" dxfId="380" priority="1195" stopIfTrue="1" operator="equal">
      <formula>3</formula>
    </cfRule>
    <cfRule type="cellIs" dxfId="379" priority="1196" stopIfTrue="1" operator="equal">
      <formula>2</formula>
    </cfRule>
    <cfRule type="cellIs" dxfId="378" priority="1197" stopIfTrue="1" operator="equal">
      <formula>1</formula>
    </cfRule>
  </conditionalFormatting>
  <conditionalFormatting sqref="C739:C742">
    <cfRule type="cellIs" dxfId="377" priority="1189" stopIfTrue="1" operator="equal">
      <formula>3</formula>
    </cfRule>
    <cfRule type="cellIs" dxfId="376" priority="1190" stopIfTrue="1" operator="equal">
      <formula>2</formula>
    </cfRule>
    <cfRule type="cellIs" dxfId="375" priority="1191" stopIfTrue="1" operator="equal">
      <formula>1</formula>
    </cfRule>
  </conditionalFormatting>
  <conditionalFormatting sqref="J739:J742">
    <cfRule type="cellIs" dxfId="374" priority="1183" stopIfTrue="1" operator="equal">
      <formula>3</formula>
    </cfRule>
    <cfRule type="cellIs" dxfId="373" priority="1184" stopIfTrue="1" operator="equal">
      <formula>2</formula>
    </cfRule>
    <cfRule type="cellIs" dxfId="372" priority="1185" stopIfTrue="1" operator="equal">
      <formula>1</formula>
    </cfRule>
  </conditionalFormatting>
  <conditionalFormatting sqref="J740">
    <cfRule type="cellIs" dxfId="371" priority="1180" stopIfTrue="1" operator="equal">
      <formula>3</formula>
    </cfRule>
    <cfRule type="cellIs" dxfId="370" priority="1181" stopIfTrue="1" operator="equal">
      <formula>2</formula>
    </cfRule>
    <cfRule type="cellIs" dxfId="369" priority="1182" stopIfTrue="1" operator="equal">
      <formula>1</formula>
    </cfRule>
  </conditionalFormatting>
  <conditionalFormatting sqref="J739:J742">
    <cfRule type="cellIs" dxfId="368" priority="1177" stopIfTrue="1" operator="equal">
      <formula>3</formula>
    </cfRule>
    <cfRule type="cellIs" dxfId="367" priority="1178" stopIfTrue="1" operator="equal">
      <formula>2</formula>
    </cfRule>
    <cfRule type="cellIs" dxfId="366" priority="1179" stopIfTrue="1" operator="equal">
      <formula>1</formula>
    </cfRule>
  </conditionalFormatting>
  <conditionalFormatting sqref="J739:J742">
    <cfRule type="cellIs" dxfId="365" priority="1174" stopIfTrue="1" operator="equal">
      <formula>3</formula>
    </cfRule>
    <cfRule type="cellIs" dxfId="364" priority="1175" stopIfTrue="1" operator="equal">
      <formula>2</formula>
    </cfRule>
    <cfRule type="cellIs" dxfId="363" priority="1176" stopIfTrue="1" operator="equal">
      <formula>1</formula>
    </cfRule>
  </conditionalFormatting>
  <conditionalFormatting sqref="P739:P742">
    <cfRule type="cellIs" dxfId="362" priority="1168" stopIfTrue="1" operator="equal">
      <formula>3</formula>
    </cfRule>
    <cfRule type="cellIs" dxfId="361" priority="1169" stopIfTrue="1" operator="equal">
      <formula>2</formula>
    </cfRule>
    <cfRule type="cellIs" dxfId="360" priority="1170" stopIfTrue="1" operator="equal">
      <formula>1</formula>
    </cfRule>
  </conditionalFormatting>
  <conditionalFormatting sqref="C739">
    <cfRule type="cellIs" dxfId="359" priority="745" stopIfTrue="1" operator="equal">
      <formula>3</formula>
    </cfRule>
    <cfRule type="cellIs" dxfId="358" priority="746" stopIfTrue="1" operator="equal">
      <formula>2</formula>
    </cfRule>
    <cfRule type="cellIs" dxfId="357" priority="747" stopIfTrue="1" operator="equal">
      <formula>1</formula>
    </cfRule>
  </conditionalFormatting>
  <conditionalFormatting sqref="J739">
    <cfRule type="cellIs" dxfId="356" priority="742" stopIfTrue="1" operator="equal">
      <formula>3</formula>
    </cfRule>
    <cfRule type="cellIs" dxfId="355" priority="743" stopIfTrue="1" operator="equal">
      <formula>2</formula>
    </cfRule>
    <cfRule type="cellIs" dxfId="354" priority="744" stopIfTrue="1" operator="equal">
      <formula>1</formula>
    </cfRule>
  </conditionalFormatting>
  <conditionalFormatting sqref="J739">
    <cfRule type="cellIs" dxfId="353" priority="739" stopIfTrue="1" operator="equal">
      <formula>3</formula>
    </cfRule>
    <cfRule type="cellIs" dxfId="352" priority="740" stopIfTrue="1" operator="equal">
      <formula>2</formula>
    </cfRule>
    <cfRule type="cellIs" dxfId="351" priority="741" stopIfTrue="1" operator="equal">
      <formula>1</formula>
    </cfRule>
  </conditionalFormatting>
  <conditionalFormatting sqref="J739">
    <cfRule type="cellIs" dxfId="350" priority="736" stopIfTrue="1" operator="equal">
      <formula>3</formula>
    </cfRule>
    <cfRule type="cellIs" dxfId="349" priority="737" stopIfTrue="1" operator="equal">
      <formula>2</formula>
    </cfRule>
    <cfRule type="cellIs" dxfId="348" priority="738" stopIfTrue="1" operator="equal">
      <formula>1</formula>
    </cfRule>
  </conditionalFormatting>
  <conditionalFormatting sqref="P739">
    <cfRule type="cellIs" dxfId="347" priority="733" stopIfTrue="1" operator="equal">
      <formula>3</formula>
    </cfRule>
    <cfRule type="cellIs" dxfId="346" priority="734" stopIfTrue="1" operator="equal">
      <formula>2</formula>
    </cfRule>
    <cfRule type="cellIs" dxfId="345" priority="735" stopIfTrue="1" operator="equal">
      <formula>1</formula>
    </cfRule>
  </conditionalFormatting>
  <conditionalFormatting sqref="C739">
    <cfRule type="cellIs" dxfId="344" priority="730" stopIfTrue="1" operator="equal">
      <formula>3</formula>
    </cfRule>
    <cfRule type="cellIs" dxfId="343" priority="731" stopIfTrue="1" operator="equal">
      <formula>2</formula>
    </cfRule>
    <cfRule type="cellIs" dxfId="342" priority="732" stopIfTrue="1" operator="equal">
      <formula>1</formula>
    </cfRule>
  </conditionalFormatting>
  <conditionalFormatting sqref="J739">
    <cfRule type="cellIs" dxfId="341" priority="727" stopIfTrue="1" operator="equal">
      <formula>3</formula>
    </cfRule>
    <cfRule type="cellIs" dxfId="340" priority="728" stopIfTrue="1" operator="equal">
      <formula>2</formula>
    </cfRule>
    <cfRule type="cellIs" dxfId="339" priority="729" stopIfTrue="1" operator="equal">
      <formula>1</formula>
    </cfRule>
  </conditionalFormatting>
  <conditionalFormatting sqref="J739">
    <cfRule type="cellIs" dxfId="338" priority="724" stopIfTrue="1" operator="equal">
      <formula>3</formula>
    </cfRule>
    <cfRule type="cellIs" dxfId="337" priority="725" stopIfTrue="1" operator="equal">
      <formula>2</formula>
    </cfRule>
    <cfRule type="cellIs" dxfId="336" priority="726" stopIfTrue="1" operator="equal">
      <formula>1</formula>
    </cfRule>
  </conditionalFormatting>
  <conditionalFormatting sqref="J739">
    <cfRule type="cellIs" dxfId="335" priority="721" stopIfTrue="1" operator="equal">
      <formula>3</formula>
    </cfRule>
    <cfRule type="cellIs" dxfId="334" priority="722" stopIfTrue="1" operator="equal">
      <formula>2</formula>
    </cfRule>
    <cfRule type="cellIs" dxfId="333" priority="723" stopIfTrue="1" operator="equal">
      <formula>1</formula>
    </cfRule>
  </conditionalFormatting>
  <conditionalFormatting sqref="P739">
    <cfRule type="cellIs" dxfId="332" priority="718" stopIfTrue="1" operator="equal">
      <formula>3</formula>
    </cfRule>
    <cfRule type="cellIs" dxfId="331" priority="719" stopIfTrue="1" operator="equal">
      <formula>2</formula>
    </cfRule>
    <cfRule type="cellIs" dxfId="330" priority="720" stopIfTrue="1" operator="equal">
      <formula>1</formula>
    </cfRule>
  </conditionalFormatting>
  <conditionalFormatting sqref="C739">
    <cfRule type="cellIs" dxfId="329" priority="715" stopIfTrue="1" operator="equal">
      <formula>3</formula>
    </cfRule>
    <cfRule type="cellIs" dxfId="328" priority="716" stopIfTrue="1" operator="equal">
      <formula>2</formula>
    </cfRule>
    <cfRule type="cellIs" dxfId="327" priority="717" stopIfTrue="1" operator="equal">
      <formula>1</formula>
    </cfRule>
  </conditionalFormatting>
  <conditionalFormatting sqref="J739">
    <cfRule type="cellIs" dxfId="326" priority="712" stopIfTrue="1" operator="equal">
      <formula>3</formula>
    </cfRule>
    <cfRule type="cellIs" dxfId="325" priority="713" stopIfTrue="1" operator="equal">
      <formula>2</formula>
    </cfRule>
    <cfRule type="cellIs" dxfId="324" priority="714" stopIfTrue="1" operator="equal">
      <formula>1</formula>
    </cfRule>
  </conditionalFormatting>
  <conditionalFormatting sqref="J739">
    <cfRule type="cellIs" dxfId="323" priority="709" stopIfTrue="1" operator="equal">
      <formula>3</formula>
    </cfRule>
    <cfRule type="cellIs" dxfId="322" priority="710" stopIfTrue="1" operator="equal">
      <formula>2</formula>
    </cfRule>
    <cfRule type="cellIs" dxfId="321" priority="711" stopIfTrue="1" operator="equal">
      <formula>1</formula>
    </cfRule>
  </conditionalFormatting>
  <conditionalFormatting sqref="J739">
    <cfRule type="cellIs" dxfId="320" priority="706" stopIfTrue="1" operator="equal">
      <formula>3</formula>
    </cfRule>
    <cfRule type="cellIs" dxfId="319" priority="707" stopIfTrue="1" operator="equal">
      <formula>2</formula>
    </cfRule>
    <cfRule type="cellIs" dxfId="318" priority="708" stopIfTrue="1" operator="equal">
      <formula>1</formula>
    </cfRule>
  </conditionalFormatting>
  <conditionalFormatting sqref="P739">
    <cfRule type="cellIs" dxfId="317" priority="703" stopIfTrue="1" operator="equal">
      <formula>3</formula>
    </cfRule>
    <cfRule type="cellIs" dxfId="316" priority="704" stopIfTrue="1" operator="equal">
      <formula>2</formula>
    </cfRule>
    <cfRule type="cellIs" dxfId="315" priority="705" stopIfTrue="1" operator="equal">
      <formula>1</formula>
    </cfRule>
  </conditionalFormatting>
  <conditionalFormatting sqref="C739">
    <cfRule type="cellIs" dxfId="314" priority="700" stopIfTrue="1" operator="equal">
      <formula>3</formula>
    </cfRule>
    <cfRule type="cellIs" dxfId="313" priority="701" stopIfTrue="1" operator="equal">
      <formula>2</formula>
    </cfRule>
    <cfRule type="cellIs" dxfId="312" priority="702" stopIfTrue="1" operator="equal">
      <formula>1</formula>
    </cfRule>
  </conditionalFormatting>
  <conditionalFormatting sqref="J739">
    <cfRule type="cellIs" dxfId="311" priority="697" stopIfTrue="1" operator="equal">
      <formula>3</formula>
    </cfRule>
    <cfRule type="cellIs" dxfId="310" priority="698" stopIfTrue="1" operator="equal">
      <formula>2</formula>
    </cfRule>
    <cfRule type="cellIs" dxfId="309" priority="699" stopIfTrue="1" operator="equal">
      <formula>1</formula>
    </cfRule>
  </conditionalFormatting>
  <conditionalFormatting sqref="J739">
    <cfRule type="cellIs" dxfId="308" priority="694" stopIfTrue="1" operator="equal">
      <formula>3</formula>
    </cfRule>
    <cfRule type="cellIs" dxfId="307" priority="695" stopIfTrue="1" operator="equal">
      <formula>2</formula>
    </cfRule>
    <cfRule type="cellIs" dxfId="306" priority="696" stopIfTrue="1" operator="equal">
      <formula>1</formula>
    </cfRule>
  </conditionalFormatting>
  <conditionalFormatting sqref="J739">
    <cfRule type="cellIs" dxfId="305" priority="691" stopIfTrue="1" operator="equal">
      <formula>3</formula>
    </cfRule>
    <cfRule type="cellIs" dxfId="304" priority="692" stopIfTrue="1" operator="equal">
      <formula>2</formula>
    </cfRule>
    <cfRule type="cellIs" dxfId="303" priority="693" stopIfTrue="1" operator="equal">
      <formula>1</formula>
    </cfRule>
  </conditionalFormatting>
  <conditionalFormatting sqref="P739">
    <cfRule type="cellIs" dxfId="302" priority="688" stopIfTrue="1" operator="equal">
      <formula>3</formula>
    </cfRule>
    <cfRule type="cellIs" dxfId="301" priority="689" stopIfTrue="1" operator="equal">
      <formula>2</formula>
    </cfRule>
    <cfRule type="cellIs" dxfId="300" priority="690" stopIfTrue="1" operator="equal">
      <formula>1</formula>
    </cfRule>
  </conditionalFormatting>
  <conditionalFormatting sqref="C739">
    <cfRule type="cellIs" dxfId="299" priority="685" stopIfTrue="1" operator="equal">
      <formula>3</formula>
    </cfRule>
    <cfRule type="cellIs" dxfId="298" priority="686" stopIfTrue="1" operator="equal">
      <formula>2</formula>
    </cfRule>
    <cfRule type="cellIs" dxfId="297" priority="687" stopIfTrue="1" operator="equal">
      <formula>1</formula>
    </cfRule>
  </conditionalFormatting>
  <conditionalFormatting sqref="J739">
    <cfRule type="cellIs" dxfId="296" priority="682" stopIfTrue="1" operator="equal">
      <formula>3</formula>
    </cfRule>
    <cfRule type="cellIs" dxfId="295" priority="683" stopIfTrue="1" operator="equal">
      <formula>2</formula>
    </cfRule>
    <cfRule type="cellIs" dxfId="294" priority="684" stopIfTrue="1" operator="equal">
      <formula>1</formula>
    </cfRule>
  </conditionalFormatting>
  <conditionalFormatting sqref="J739">
    <cfRule type="cellIs" dxfId="293" priority="679" stopIfTrue="1" operator="equal">
      <formula>3</formula>
    </cfRule>
    <cfRule type="cellIs" dxfId="292" priority="680" stopIfTrue="1" operator="equal">
      <formula>2</formula>
    </cfRule>
    <cfRule type="cellIs" dxfId="291" priority="681" stopIfTrue="1" operator="equal">
      <formula>1</formula>
    </cfRule>
  </conditionalFormatting>
  <conditionalFormatting sqref="J739">
    <cfRule type="cellIs" dxfId="290" priority="676" stopIfTrue="1" operator="equal">
      <formula>3</formula>
    </cfRule>
    <cfRule type="cellIs" dxfId="289" priority="677" stopIfTrue="1" operator="equal">
      <formula>2</formula>
    </cfRule>
    <cfRule type="cellIs" dxfId="288" priority="678" stopIfTrue="1" operator="equal">
      <formula>1</formula>
    </cfRule>
  </conditionalFormatting>
  <conditionalFormatting sqref="P739">
    <cfRule type="cellIs" dxfId="287" priority="673" stopIfTrue="1" operator="equal">
      <formula>3</formula>
    </cfRule>
    <cfRule type="cellIs" dxfId="286" priority="674" stopIfTrue="1" operator="equal">
      <formula>2</formula>
    </cfRule>
    <cfRule type="cellIs" dxfId="285" priority="675" stopIfTrue="1" operator="equal">
      <formula>1</formula>
    </cfRule>
  </conditionalFormatting>
  <conditionalFormatting sqref="C739">
    <cfRule type="cellIs" dxfId="284" priority="670" stopIfTrue="1" operator="equal">
      <formula>3</formula>
    </cfRule>
    <cfRule type="cellIs" dxfId="283" priority="671" stopIfTrue="1" operator="equal">
      <formula>2</formula>
    </cfRule>
    <cfRule type="cellIs" dxfId="282" priority="672" stopIfTrue="1" operator="equal">
      <formula>1</formula>
    </cfRule>
  </conditionalFormatting>
  <conditionalFormatting sqref="J739">
    <cfRule type="cellIs" dxfId="281" priority="667" stopIfTrue="1" operator="equal">
      <formula>3</formula>
    </cfRule>
    <cfRule type="cellIs" dxfId="280" priority="668" stopIfTrue="1" operator="equal">
      <formula>2</formula>
    </cfRule>
    <cfRule type="cellIs" dxfId="279" priority="669" stopIfTrue="1" operator="equal">
      <formula>1</formula>
    </cfRule>
  </conditionalFormatting>
  <conditionalFormatting sqref="J739">
    <cfRule type="cellIs" dxfId="278" priority="664" stopIfTrue="1" operator="equal">
      <formula>3</formula>
    </cfRule>
    <cfRule type="cellIs" dxfId="277" priority="665" stopIfTrue="1" operator="equal">
      <formula>2</formula>
    </cfRule>
    <cfRule type="cellIs" dxfId="276" priority="666" stopIfTrue="1" operator="equal">
      <formula>1</formula>
    </cfRule>
  </conditionalFormatting>
  <conditionalFormatting sqref="J739">
    <cfRule type="cellIs" dxfId="275" priority="661" stopIfTrue="1" operator="equal">
      <formula>3</formula>
    </cfRule>
    <cfRule type="cellIs" dxfId="274" priority="662" stopIfTrue="1" operator="equal">
      <formula>2</formula>
    </cfRule>
    <cfRule type="cellIs" dxfId="273" priority="663" stopIfTrue="1" operator="equal">
      <formula>1</formula>
    </cfRule>
  </conditionalFormatting>
  <conditionalFormatting sqref="P739">
    <cfRule type="cellIs" dxfId="272" priority="658" stopIfTrue="1" operator="equal">
      <formula>3</formula>
    </cfRule>
    <cfRule type="cellIs" dxfId="271" priority="659" stopIfTrue="1" operator="equal">
      <formula>2</formula>
    </cfRule>
    <cfRule type="cellIs" dxfId="270" priority="660" stopIfTrue="1" operator="equal">
      <formula>1</formula>
    </cfRule>
  </conditionalFormatting>
  <conditionalFormatting sqref="C741">
    <cfRule type="cellIs" dxfId="269" priority="505" stopIfTrue="1" operator="equal">
      <formula>3</formula>
    </cfRule>
    <cfRule type="cellIs" dxfId="268" priority="506" stopIfTrue="1" operator="equal">
      <formula>2</formula>
    </cfRule>
    <cfRule type="cellIs" dxfId="267" priority="507" stopIfTrue="1" operator="equal">
      <formula>1</formula>
    </cfRule>
  </conditionalFormatting>
  <conditionalFormatting sqref="J741">
    <cfRule type="cellIs" dxfId="266" priority="502" stopIfTrue="1" operator="equal">
      <formula>3</formula>
    </cfRule>
    <cfRule type="cellIs" dxfId="265" priority="503" stopIfTrue="1" operator="equal">
      <formula>2</formula>
    </cfRule>
    <cfRule type="cellIs" dxfId="264" priority="504" stopIfTrue="1" operator="equal">
      <formula>1</formula>
    </cfRule>
  </conditionalFormatting>
  <conditionalFormatting sqref="J741">
    <cfRule type="cellIs" dxfId="263" priority="499" stopIfTrue="1" operator="equal">
      <formula>3</formula>
    </cfRule>
    <cfRule type="cellIs" dxfId="262" priority="500" stopIfTrue="1" operator="equal">
      <formula>2</formula>
    </cfRule>
    <cfRule type="cellIs" dxfId="261" priority="501" stopIfTrue="1" operator="equal">
      <formula>1</formula>
    </cfRule>
  </conditionalFormatting>
  <conditionalFormatting sqref="J741">
    <cfRule type="cellIs" dxfId="260" priority="496" stopIfTrue="1" operator="equal">
      <formula>3</formula>
    </cfRule>
    <cfRule type="cellIs" dxfId="259" priority="497" stopIfTrue="1" operator="equal">
      <formula>2</formula>
    </cfRule>
    <cfRule type="cellIs" dxfId="258" priority="498" stopIfTrue="1" operator="equal">
      <formula>1</formula>
    </cfRule>
  </conditionalFormatting>
  <conditionalFormatting sqref="P741">
    <cfRule type="cellIs" dxfId="257" priority="493" stopIfTrue="1" operator="equal">
      <formula>3</formula>
    </cfRule>
    <cfRule type="cellIs" dxfId="256" priority="494" stopIfTrue="1" operator="equal">
      <formula>2</formula>
    </cfRule>
    <cfRule type="cellIs" dxfId="255" priority="495" stopIfTrue="1" operator="equal">
      <formula>1</formula>
    </cfRule>
  </conditionalFormatting>
  <conditionalFormatting sqref="AJ739:AU742">
    <cfRule type="cellIs" dxfId="254" priority="175" stopIfTrue="1" operator="equal">
      <formula>3</formula>
    </cfRule>
    <cfRule type="cellIs" dxfId="253" priority="176" stopIfTrue="1" operator="equal">
      <formula>2</formula>
    </cfRule>
    <cfRule type="cellIs" dxfId="252" priority="177" stopIfTrue="1" operator="equal">
      <formula>1</formula>
    </cfRule>
  </conditionalFormatting>
  <conditionalFormatting sqref="AJ740:AU740">
    <cfRule type="cellIs" dxfId="251" priority="172" stopIfTrue="1" operator="equal">
      <formula>3</formula>
    </cfRule>
    <cfRule type="cellIs" dxfId="250" priority="173" stopIfTrue="1" operator="equal">
      <formula>2</formula>
    </cfRule>
    <cfRule type="cellIs" dxfId="249" priority="174" stopIfTrue="1" operator="equal">
      <formula>1</formula>
    </cfRule>
  </conditionalFormatting>
  <conditionalFormatting sqref="AJ741:AU741">
    <cfRule type="cellIs" dxfId="248" priority="169" stopIfTrue="1" operator="equal">
      <formula>3</formula>
    </cfRule>
    <cfRule type="cellIs" dxfId="247" priority="170" stopIfTrue="1" operator="equal">
      <formula>2</formula>
    </cfRule>
    <cfRule type="cellIs" dxfId="246" priority="171" stopIfTrue="1" operator="equal">
      <formula>1</formula>
    </cfRule>
  </conditionalFormatting>
  <conditionalFormatting sqref="AJ742:AU742">
    <cfRule type="cellIs" dxfId="245" priority="166" stopIfTrue="1" operator="equal">
      <formula>3</formula>
    </cfRule>
    <cfRule type="cellIs" dxfId="244" priority="167" stopIfTrue="1" operator="equal">
      <formula>2</formula>
    </cfRule>
    <cfRule type="cellIs" dxfId="243" priority="168" stopIfTrue="1" operator="equal">
      <formula>1</formula>
    </cfRule>
  </conditionalFormatting>
  <conditionalFormatting sqref="C742:C745">
    <cfRule type="cellIs" dxfId="242" priority="13" stopIfTrue="1" operator="equal">
      <formula>3</formula>
    </cfRule>
    <cfRule type="cellIs" dxfId="241" priority="14" stopIfTrue="1" operator="equal">
      <formula>2</formula>
    </cfRule>
    <cfRule type="cellIs" dxfId="240" priority="15" stopIfTrue="1" operator="equal">
      <formula>1</formula>
    </cfRule>
  </conditionalFormatting>
  <conditionalFormatting sqref="J742:J745">
    <cfRule type="cellIs" dxfId="239" priority="10" stopIfTrue="1" operator="equal">
      <formula>3</formula>
    </cfRule>
    <cfRule type="cellIs" dxfId="238" priority="11" stopIfTrue="1" operator="equal">
      <formula>2</formula>
    </cfRule>
    <cfRule type="cellIs" dxfId="237" priority="12" stopIfTrue="1" operator="equal">
      <formula>1</formula>
    </cfRule>
  </conditionalFormatting>
  <conditionalFormatting sqref="J742:J745">
    <cfRule type="cellIs" dxfId="236" priority="7" stopIfTrue="1" operator="equal">
      <formula>3</formula>
    </cfRule>
    <cfRule type="cellIs" dxfId="235" priority="8" stopIfTrue="1" operator="equal">
      <formula>2</formula>
    </cfRule>
    <cfRule type="cellIs" dxfId="234" priority="9" stopIfTrue="1" operator="equal">
      <formula>1</formula>
    </cfRule>
  </conditionalFormatting>
  <conditionalFormatting sqref="J742:J745">
    <cfRule type="cellIs" dxfId="233" priority="4" stopIfTrue="1" operator="equal">
      <formula>3</formula>
    </cfRule>
    <cfRule type="cellIs" dxfId="232" priority="5" stopIfTrue="1" operator="equal">
      <formula>2</formula>
    </cfRule>
    <cfRule type="cellIs" dxfId="231" priority="6" stopIfTrue="1" operator="equal">
      <formula>1</formula>
    </cfRule>
  </conditionalFormatting>
  <conditionalFormatting sqref="P742:P745">
    <cfRule type="cellIs" dxfId="230" priority="1" stopIfTrue="1" operator="equal">
      <formula>3</formula>
    </cfRule>
    <cfRule type="cellIs" dxfId="229" priority="2" stopIfTrue="1" operator="equal">
      <formula>2</formula>
    </cfRule>
    <cfRule type="cellIs" dxfId="228" priority="3" stopIfTrue="1" operator="equal">
      <formula>1</formula>
    </cfRule>
  </conditionalFormatting>
  <hyperlinks>
    <hyperlink ref="A153" r:id="rId1"/>
    <hyperlink ref="A66" r:id="rId2"/>
    <hyperlink ref="A87" r:id="rId3"/>
    <hyperlink ref="A219" r:id="rId4"/>
    <hyperlink ref="A285" r:id="rId5"/>
    <hyperlink ref="A351" r:id="rId6"/>
    <hyperlink ref="A417" r:id="rId7"/>
    <hyperlink ref="A483" r:id="rId8"/>
    <hyperlink ref="A549" r:id="rId9"/>
    <hyperlink ref="A615" r:id="rId10"/>
    <hyperlink ref="A681" r:id="rId11"/>
    <hyperlink ref="A747" r:id="rId12"/>
    <hyperlink ref="B7" r:id="rId13" location="e"/>
    <hyperlink ref="B8" r:id="rId14" location="b"/>
    <hyperlink ref="B9" r:id="rId15" location="ci"/>
    <hyperlink ref="B13" r:id="rId16" location="u"/>
    <hyperlink ref="B14" r:id="rId17" location="ex"/>
    <hyperlink ref="B15" r:id="rId18" location="a"/>
    <hyperlink ref="B16" r:id="rId19" location="cs"/>
    <hyperlink ref="B17" r:id="rId20" location="jc"/>
    <hyperlink ref="B18" r:id="rId21" location="jr"/>
    <hyperlink ref="B19" r:id="rId22" location="s" display="Sales Increased"/>
    <hyperlink ref="B73" r:id="rId23" location="e"/>
    <hyperlink ref="B74" r:id="rId24" location="b"/>
    <hyperlink ref="B75" r:id="rId25" location="ci"/>
    <hyperlink ref="B79" r:id="rId26" location="u"/>
    <hyperlink ref="B80" r:id="rId27" location="ex"/>
    <hyperlink ref="B81" r:id="rId28" location="a"/>
    <hyperlink ref="B82" r:id="rId29" location="cs"/>
    <hyperlink ref="B83" r:id="rId30" location="jc"/>
    <hyperlink ref="B84" r:id="rId31" location="jr"/>
    <hyperlink ref="B139" r:id="rId32" location="e"/>
    <hyperlink ref="B140" r:id="rId33" location="b"/>
    <hyperlink ref="B141" r:id="rId34" location="ci"/>
    <hyperlink ref="B145" r:id="rId35" location="u"/>
    <hyperlink ref="B146" r:id="rId36" location="ex"/>
    <hyperlink ref="B147" r:id="rId37" location="a"/>
    <hyperlink ref="B148" r:id="rId38" location="cs"/>
    <hyperlink ref="B149" r:id="rId39" location="jc"/>
    <hyperlink ref="B150" r:id="rId40" location="jr"/>
    <hyperlink ref="B205" r:id="rId41" location="e"/>
    <hyperlink ref="B206" r:id="rId42" location="b"/>
    <hyperlink ref="B207" r:id="rId43" location="ci"/>
    <hyperlink ref="B211" r:id="rId44" location="u"/>
    <hyperlink ref="B212" r:id="rId45" location="ex"/>
    <hyperlink ref="B213" r:id="rId46" location="a"/>
    <hyperlink ref="B214" r:id="rId47" location="cs"/>
    <hyperlink ref="B215" r:id="rId48" location="jc"/>
    <hyperlink ref="B216" r:id="rId49" location="jr"/>
    <hyperlink ref="B271" r:id="rId50" location="e"/>
    <hyperlink ref="B272" r:id="rId51" location="b"/>
    <hyperlink ref="B273" r:id="rId52" location="ci"/>
    <hyperlink ref="B277" r:id="rId53" location="u"/>
    <hyperlink ref="B278" r:id="rId54" location="ex"/>
    <hyperlink ref="B279" r:id="rId55" location="a"/>
    <hyperlink ref="B280" r:id="rId56" location="cs"/>
    <hyperlink ref="B281" r:id="rId57" location="jc"/>
    <hyperlink ref="B282" r:id="rId58" location="jr"/>
    <hyperlink ref="B337" r:id="rId59" location="e"/>
    <hyperlink ref="B338" r:id="rId60" location="b"/>
    <hyperlink ref="B339" r:id="rId61" location="ci"/>
    <hyperlink ref="B343" r:id="rId62" location="u"/>
    <hyperlink ref="B344" r:id="rId63" location="ex"/>
    <hyperlink ref="B345" r:id="rId64" location="a"/>
    <hyperlink ref="B346" r:id="rId65" location="cs"/>
    <hyperlink ref="B347" r:id="rId66" location="jc"/>
    <hyperlink ref="B348" r:id="rId67" location="jr"/>
    <hyperlink ref="B403" r:id="rId68" location="e"/>
    <hyperlink ref="B404" r:id="rId69" location="b"/>
    <hyperlink ref="B405" r:id="rId70" location="ci"/>
    <hyperlink ref="B409" r:id="rId71" location="u"/>
    <hyperlink ref="B410" r:id="rId72" location="ex"/>
    <hyperlink ref="B411" r:id="rId73" location="a"/>
    <hyperlink ref="B412" r:id="rId74" location="cs"/>
    <hyperlink ref="B413" r:id="rId75" location="jc"/>
    <hyperlink ref="B414" r:id="rId76" location="jr"/>
    <hyperlink ref="B469" r:id="rId77" location="e"/>
    <hyperlink ref="B470" r:id="rId78" location="b"/>
    <hyperlink ref="B471" r:id="rId79" location="ci"/>
    <hyperlink ref="B475" r:id="rId80" location="u"/>
    <hyperlink ref="B476" r:id="rId81" location="ex"/>
    <hyperlink ref="B477" r:id="rId82" location="a"/>
    <hyperlink ref="B478" r:id="rId83" location="cs"/>
    <hyperlink ref="B479" r:id="rId84" location="jc"/>
    <hyperlink ref="B480" r:id="rId85" location="jr"/>
    <hyperlink ref="B535" r:id="rId86" location="e"/>
    <hyperlink ref="B536" r:id="rId87" location="b"/>
    <hyperlink ref="B537" r:id="rId88" location="ci"/>
    <hyperlink ref="B541" r:id="rId89" location="u"/>
    <hyperlink ref="B542" r:id="rId90" location="ex"/>
    <hyperlink ref="B543" r:id="rId91" location="a"/>
    <hyperlink ref="B544" r:id="rId92" location="cs"/>
    <hyperlink ref="B545" r:id="rId93" location="jc"/>
    <hyperlink ref="B546" r:id="rId94" location="jr"/>
    <hyperlink ref="B601" r:id="rId95" location="e"/>
    <hyperlink ref="B602" r:id="rId96" location="b"/>
    <hyperlink ref="B603" r:id="rId97" location="ci"/>
    <hyperlink ref="B607" r:id="rId98" location="u"/>
    <hyperlink ref="B608" r:id="rId99" location="ex"/>
    <hyperlink ref="B609" r:id="rId100" location="a"/>
    <hyperlink ref="B610" r:id="rId101" location="cs"/>
    <hyperlink ref="B611" r:id="rId102" location="jc"/>
    <hyperlink ref="B612" r:id="rId103" location="jr"/>
    <hyperlink ref="B667" r:id="rId104" location="e"/>
    <hyperlink ref="B668" r:id="rId105" location="b"/>
    <hyperlink ref="B669" r:id="rId106" location="ci"/>
    <hyperlink ref="B673" r:id="rId107" location="u"/>
    <hyperlink ref="B674" r:id="rId108" location="ex"/>
    <hyperlink ref="B675" r:id="rId109" location="a"/>
    <hyperlink ref="B676" r:id="rId110" location="cs"/>
    <hyperlink ref="B677" r:id="rId111" location="jc"/>
    <hyperlink ref="B678" r:id="rId112" location="jr"/>
    <hyperlink ref="B733" r:id="rId113" location="e"/>
    <hyperlink ref="B734" r:id="rId114" location="b"/>
    <hyperlink ref="B735" r:id="rId115" location="ci"/>
    <hyperlink ref="B739" r:id="rId116" location="u"/>
    <hyperlink ref="B740" r:id="rId117" location="ex"/>
    <hyperlink ref="B741" r:id="rId118" location="a"/>
    <hyperlink ref="B742" r:id="rId119" location="cs"/>
    <hyperlink ref="B743" r:id="rId120" location="jc"/>
    <hyperlink ref="B744" r:id="rId121" location="jr"/>
    <hyperlink ref="B85" r:id="rId122" location="s" display="Sales Increased"/>
    <hyperlink ref="B151" r:id="rId123" location="s" display="Sales Increased"/>
    <hyperlink ref="B217" r:id="rId124" location="s" display="Sales Increased"/>
    <hyperlink ref="B283" r:id="rId125" location="s" display="Sales Increased"/>
    <hyperlink ref="B349" r:id="rId126" location="s" display="Sales Increased"/>
    <hyperlink ref="B415" r:id="rId127" location="s" display="Sales Increased"/>
    <hyperlink ref="B481" r:id="rId128" location="s" display="Sales Increased"/>
    <hyperlink ref="B547" r:id="rId129" location="s" display="Sales Increased"/>
    <hyperlink ref="B613" r:id="rId130" location="s" display="Sales Increased"/>
    <hyperlink ref="B679" r:id="rId131" location="s" display="Sales Increased"/>
    <hyperlink ref="B745" r:id="rId132" location="s" display="Sales Increased"/>
  </hyperlinks>
  <pageMargins left="0.7" right="0.7" top="0.75" bottom="0.75" header="0.3" footer="0.3"/>
  <pageSetup scale="65" fitToHeight="12" orientation="landscape" r:id="rId133"/>
  <rowBreaks count="11" manualBreakCount="11">
    <brk id="66" max="16383" man="1"/>
    <brk id="132" max="16383" man="1"/>
    <brk id="198" max="16383" man="1"/>
    <brk id="264" max="16383" man="1"/>
    <brk id="330" max="16383" man="1"/>
    <brk id="396" max="16383" man="1"/>
    <brk id="462" max="16383" man="1"/>
    <brk id="528" max="16383" man="1"/>
    <brk id="594" max="16383" man="1"/>
    <brk id="660" max="16383" man="1"/>
    <brk id="726" max="16383" man="1"/>
  </rowBreaks>
  <ignoredErrors>
    <ignoredError sqref="L14:M14 R14 T14 J15 P15 M80 T80 T146 P213 J213 M212 T212 M146 T278 M278 J279 P279 M344 T344 C345 J345 P345 M410 T410 C411 J411 P411 T476 T542 J543 P543 J477 C477 C543 T608 L608:M608 C609 J609 P609 T674 L674:M674 C675 J675 P675 T740 C741 J741 P741 M740 J147 P147 M542 L410" formula="1"/>
  </ignoredErrors>
</worksheet>
</file>

<file path=xl/worksheets/sheet2.xml><?xml version="1.0" encoding="utf-8"?>
<worksheet xmlns="http://schemas.openxmlformats.org/spreadsheetml/2006/main" xmlns:r="http://schemas.openxmlformats.org/officeDocument/2006/relationships">
  <dimension ref="A1:FF919"/>
  <sheetViews>
    <sheetView workbookViewId="0">
      <pane xSplit="8" ySplit="2" topLeftCell="CM201" activePane="bottomRight" state="frozen"/>
      <selection pane="topRight" activeCell="I1" sqref="I1"/>
      <selection pane="bottomLeft" activeCell="A3" sqref="A3"/>
      <selection pane="bottomRight" activeCell="CM229" sqref="CM229"/>
    </sheetView>
  </sheetViews>
  <sheetFormatPr defaultRowHeight="12.75"/>
  <cols>
    <col min="1" max="1" width="4.5546875" style="6" customWidth="1"/>
    <col min="2" max="2" width="31.5546875" style="2" bestFit="1" customWidth="1"/>
    <col min="3" max="3" width="8.6640625" style="3" customWidth="1"/>
    <col min="4" max="4" width="2.33203125" style="3" customWidth="1"/>
    <col min="5" max="5" width="8.5546875" style="3" customWidth="1"/>
    <col min="6" max="6" width="2.33203125" style="3" customWidth="1"/>
    <col min="7" max="7" width="8.5546875" style="3" customWidth="1"/>
    <col min="8" max="8" width="2.33203125" style="3" customWidth="1"/>
    <col min="9" max="9" width="9.6640625" style="3" customWidth="1"/>
    <col min="10" max="10" width="8.44140625" style="2" hidden="1" customWidth="1"/>
    <col min="11" max="11" width="8.5546875" style="2" hidden="1" customWidth="1"/>
    <col min="12" max="12" width="6.44140625" style="2" hidden="1" customWidth="1"/>
    <col min="13" max="13" width="8.77734375" style="2" hidden="1" customWidth="1"/>
    <col min="14" max="14" width="9.109375" style="2" hidden="1" customWidth="1"/>
    <col min="15" max="15" width="8.88671875" style="2" hidden="1" customWidth="1"/>
    <col min="16" max="16" width="7.109375" style="2" hidden="1" customWidth="1"/>
    <col min="17" max="17" width="7.21875" style="2" hidden="1" customWidth="1"/>
    <col min="18" max="18" width="6.77734375" style="2" hidden="1" customWidth="1"/>
    <col min="19" max="19" width="7.77734375" style="2" hidden="1" customWidth="1"/>
    <col min="20" max="20" width="6.77734375" style="2" hidden="1" customWidth="1"/>
    <col min="21" max="22" width="7.21875" style="2" hidden="1" customWidth="1"/>
    <col min="23" max="23" width="8.88671875" style="2" hidden="1" customWidth="1"/>
    <col min="24" max="24" width="6.88671875" style="2" hidden="1" customWidth="1"/>
    <col min="25" max="26" width="7.21875" style="2" hidden="1" customWidth="1"/>
    <col min="27" max="27" width="7.109375" style="2" hidden="1" customWidth="1"/>
    <col min="28" max="28" width="7.44140625" style="2" hidden="1" customWidth="1"/>
    <col min="29" max="29" width="8.5546875" style="2" hidden="1" customWidth="1"/>
    <col min="30" max="30" width="7.21875" style="2" hidden="1" customWidth="1"/>
    <col min="31" max="31" width="6.33203125" style="2" hidden="1" customWidth="1"/>
    <col min="32" max="32" width="7.44140625" style="2" hidden="1" customWidth="1"/>
    <col min="33" max="33" width="8.44140625" style="2" customWidth="1"/>
    <col min="34" max="34" width="8.6640625" style="2" bestFit="1" customWidth="1"/>
    <col min="35" max="35" width="8.77734375" style="2" bestFit="1" customWidth="1"/>
    <col min="36" max="36" width="7" style="2" bestFit="1" customWidth="1"/>
    <col min="37" max="37" width="1.44140625" style="405" customWidth="1"/>
    <col min="38" max="38" width="5.44140625" style="2" hidden="1" customWidth="1"/>
    <col min="39" max="39" width="5.21875" style="2" hidden="1" customWidth="1"/>
    <col min="40" max="40" width="6.109375" style="2" hidden="1" customWidth="1"/>
    <col min="41" max="41" width="5.33203125" style="2" hidden="1" customWidth="1"/>
    <col min="42" max="43" width="6" style="2" hidden="1" customWidth="1"/>
    <col min="44" max="44" width="5.5546875" style="2" hidden="1" customWidth="1"/>
    <col min="45" max="45" width="6" style="2" hidden="1" customWidth="1"/>
    <col min="46" max="47" width="5.77734375" style="2" hidden="1" customWidth="1"/>
    <col min="48" max="48" width="6.5546875" style="2" hidden="1" customWidth="1"/>
    <col min="49" max="49" width="5.5546875" style="2" hidden="1" customWidth="1"/>
    <col min="50" max="50" width="10" style="2" hidden="1" customWidth="1"/>
    <col min="51" max="51" width="5.77734375" style="2" hidden="1" customWidth="1"/>
    <col min="52" max="53" width="5.5546875" style="2" hidden="1" customWidth="1"/>
    <col min="54" max="54" width="6.33203125" style="2" hidden="1" customWidth="1"/>
    <col min="55" max="55" width="7.109375" style="2" hidden="1" customWidth="1"/>
    <col min="56" max="56" width="6" style="2" hidden="1" customWidth="1"/>
    <col min="57" max="57" width="6.5546875" style="2" hidden="1" customWidth="1"/>
    <col min="58" max="59" width="5.5546875" style="2" hidden="1" customWidth="1"/>
    <col min="60" max="60" width="8.44140625" style="2" hidden="1" customWidth="1"/>
    <col min="61" max="61" width="9.5546875" style="2" bestFit="1" customWidth="1"/>
    <col min="62" max="63" width="8.6640625" style="2" bestFit="1" customWidth="1"/>
    <col min="64" max="64" width="5.5546875" style="2" customWidth="1"/>
    <col min="65" max="65" width="0.88671875" style="405" customWidth="1"/>
    <col min="66" max="66" width="6.44140625" style="2" hidden="1" customWidth="1"/>
    <col min="67" max="68" width="6.109375" style="2" hidden="1" customWidth="1"/>
    <col min="69" max="69" width="6.5546875" style="2" hidden="1" customWidth="1"/>
    <col min="70" max="71" width="6.21875" style="2" hidden="1" customWidth="1"/>
    <col min="72" max="72" width="6.5546875" style="2" hidden="1" customWidth="1"/>
    <col min="73" max="74" width="6.21875" style="2" hidden="1" customWidth="1"/>
    <col min="75" max="75" width="6.6640625" style="2" hidden="1" customWidth="1"/>
    <col min="76" max="77" width="6.33203125" style="2" hidden="1" customWidth="1"/>
    <col min="78" max="78" width="6.21875" style="2" hidden="1" customWidth="1"/>
    <col min="79" max="79" width="5.88671875" style="2" hidden="1" customWidth="1"/>
    <col min="80" max="80" width="6.21875" style="2" hidden="1" customWidth="1"/>
    <col min="81" max="81" width="5.88671875" style="2" hidden="1" customWidth="1"/>
    <col min="82" max="82" width="6.5546875" style="2" hidden="1" customWidth="1"/>
    <col min="83" max="83" width="6.6640625" style="2" hidden="1" customWidth="1"/>
    <col min="84" max="84" width="6.33203125" style="2" hidden="1" customWidth="1"/>
    <col min="85" max="85" width="6" style="2" hidden="1" customWidth="1"/>
    <col min="86" max="87" width="6.33203125" style="2" hidden="1" customWidth="1"/>
    <col min="88" max="88" width="6" style="2" hidden="1" customWidth="1"/>
    <col min="89" max="89" width="6" style="2" customWidth="1"/>
    <col min="90" max="91" width="6.33203125" style="2" bestFit="1" customWidth="1"/>
    <col min="92" max="92" width="6.44140625" style="2" bestFit="1" customWidth="1"/>
    <col min="93" max="93" width="1.44140625" style="405" customWidth="1"/>
    <col min="94" max="94" width="7.21875" style="2" hidden="1" customWidth="1"/>
    <col min="95" max="98" width="6.6640625" style="2" hidden="1" customWidth="1"/>
    <col min="99" max="99" width="6.77734375" style="2" hidden="1" customWidth="1"/>
    <col min="100" max="100" width="5.6640625" style="2" hidden="1" customWidth="1"/>
    <col min="101" max="104" width="5.88671875" style="2" hidden="1" customWidth="1"/>
    <col min="105" max="105" width="6.6640625" style="2" hidden="1" customWidth="1"/>
    <col min="106" max="106" width="6.77734375" style="2" hidden="1" customWidth="1"/>
    <col min="107" max="107" width="7.109375" style="2" hidden="1" customWidth="1"/>
    <col min="108" max="108" width="7.21875" style="2" hidden="1" customWidth="1"/>
    <col min="109" max="109" width="7.44140625" style="2" hidden="1" customWidth="1"/>
    <col min="110" max="110" width="7.109375" style="2" hidden="1" customWidth="1"/>
    <col min="111" max="111" width="7.44140625" style="2" hidden="1" customWidth="1"/>
    <col min="112" max="112" width="7" style="2" hidden="1" customWidth="1"/>
    <col min="113" max="113" width="7.44140625" style="2" hidden="1" customWidth="1"/>
    <col min="114" max="114" width="7.21875" style="2" hidden="1" customWidth="1"/>
    <col min="115" max="115" width="7.88671875" style="2" hidden="1" customWidth="1"/>
    <col min="116" max="116" width="7.44140625" style="2" hidden="1" customWidth="1"/>
    <col min="117" max="117" width="7.88671875" style="2" bestFit="1" customWidth="1"/>
    <col min="118" max="118" width="8.33203125" style="2" bestFit="1" customWidth="1"/>
    <col min="119" max="120" width="6.6640625" style="2" bestFit="1" customWidth="1"/>
    <col min="121" max="129" width="6.6640625" style="381" customWidth="1"/>
    <col min="130" max="130" width="5.77734375" style="2" customWidth="1"/>
    <col min="131" max="131" width="6.44140625" style="2" customWidth="1"/>
    <col min="132" max="132" width="6.6640625" style="2" bestFit="1" customWidth="1"/>
    <col min="133" max="133" width="6.6640625" style="381" customWidth="1"/>
    <col min="134" max="134" width="1.33203125" style="405" customWidth="1"/>
    <col min="135" max="135" width="9.109375" style="2" bestFit="1" customWidth="1"/>
    <col min="136" max="136" width="6" style="2" customWidth="1"/>
    <col min="137" max="137" width="6.21875" style="2" customWidth="1"/>
    <col min="138" max="138" width="7.77734375" style="2" customWidth="1"/>
    <col min="139" max="139" width="6.88671875" style="2" customWidth="1"/>
    <col min="140" max="140" width="6.44140625" style="2" bestFit="1" customWidth="1"/>
    <col min="141" max="141" width="4.88671875" style="2" customWidth="1"/>
    <col min="142" max="142" width="6" style="2" customWidth="1"/>
    <col min="143" max="143" width="7" style="2" bestFit="1" customWidth="1"/>
    <col min="144" max="144" width="6.21875" style="2" customWidth="1"/>
    <col min="145" max="146" width="7.33203125" style="2" customWidth="1"/>
    <col min="147" max="147" width="8.6640625" style="2" bestFit="1" customWidth="1"/>
    <col min="148" max="148" width="6.6640625" style="2" bestFit="1" customWidth="1"/>
    <col min="149" max="149" width="7" style="2" bestFit="1" customWidth="1"/>
    <col min="150" max="16384" width="8.88671875" style="2"/>
  </cols>
  <sheetData>
    <row r="1" spans="1:162" ht="13.5" customHeight="1" thickBot="1">
      <c r="A1" s="6" t="s">
        <v>145</v>
      </c>
      <c r="C1" s="3" t="s">
        <v>147</v>
      </c>
      <c r="E1" s="107">
        <f>I1</f>
        <v>40391</v>
      </c>
      <c r="G1" s="132" t="s">
        <v>161</v>
      </c>
      <c r="I1" s="107">
        <v>40391</v>
      </c>
      <c r="J1" s="669" t="s">
        <v>95</v>
      </c>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L1" s="669" t="s">
        <v>115</v>
      </c>
      <c r="AM1" s="669"/>
      <c r="AN1" s="669"/>
      <c r="AO1" s="669"/>
      <c r="AP1" s="669"/>
      <c r="AQ1" s="669"/>
      <c r="AR1" s="669"/>
      <c r="AS1" s="669"/>
      <c r="AT1" s="669"/>
      <c r="AU1" s="669"/>
      <c r="AV1" s="669"/>
      <c r="AW1" s="669"/>
      <c r="AX1" s="669"/>
      <c r="AY1" s="669"/>
      <c r="AZ1" s="669"/>
      <c r="BA1" s="669"/>
      <c r="BB1" s="669"/>
      <c r="BC1" s="669"/>
      <c r="BD1" s="669"/>
      <c r="BE1" s="669"/>
      <c r="BF1" s="669"/>
      <c r="BG1" s="669"/>
      <c r="BH1" s="669"/>
      <c r="BI1" s="669"/>
      <c r="BJ1" s="669"/>
      <c r="BK1" s="669"/>
      <c r="BL1" s="669"/>
      <c r="BN1" s="669" t="s">
        <v>116</v>
      </c>
      <c r="BO1" s="669"/>
      <c r="BP1" s="669"/>
      <c r="BQ1" s="669"/>
      <c r="BR1" s="669"/>
      <c r="BS1" s="669"/>
      <c r="BT1" s="669"/>
      <c r="BU1" s="669"/>
      <c r="BV1" s="669"/>
      <c r="BW1" s="669"/>
      <c r="BX1" s="669"/>
      <c r="BY1" s="669"/>
      <c r="BZ1" s="669"/>
      <c r="CA1" s="669"/>
      <c r="CB1" s="669"/>
      <c r="CC1" s="669"/>
      <c r="CD1" s="669"/>
      <c r="CE1" s="669"/>
      <c r="CF1" s="669"/>
      <c r="CG1" s="669"/>
      <c r="CH1" s="669"/>
      <c r="CI1" s="669"/>
      <c r="CJ1" s="669"/>
      <c r="CK1" s="669"/>
      <c r="CL1" s="669"/>
      <c r="CM1" s="669"/>
      <c r="CN1" s="669"/>
      <c r="CP1" s="669" t="s">
        <v>117</v>
      </c>
      <c r="CQ1" s="669"/>
      <c r="CR1" s="669"/>
      <c r="CS1" s="669"/>
      <c r="CT1" s="669"/>
      <c r="CU1" s="669"/>
      <c r="CV1" s="669"/>
      <c r="CW1" s="669"/>
      <c r="CX1" s="669"/>
      <c r="CY1" s="669"/>
      <c r="CZ1" s="669"/>
      <c r="DA1" s="669"/>
      <c r="DB1" s="669"/>
      <c r="DC1" s="669"/>
      <c r="DD1" s="669"/>
      <c r="DE1" s="669"/>
      <c r="DF1" s="669"/>
      <c r="DG1" s="669"/>
      <c r="DH1" s="669"/>
      <c r="DI1" s="669"/>
      <c r="DJ1" s="669"/>
      <c r="DK1" s="669"/>
      <c r="DL1" s="669"/>
      <c r="DM1" s="669"/>
      <c r="DN1" s="669"/>
      <c r="DO1" s="669"/>
      <c r="DP1" s="669"/>
      <c r="DQ1" s="578"/>
      <c r="DR1" s="578"/>
      <c r="DS1" s="578"/>
      <c r="DT1" s="578"/>
      <c r="DU1" s="578"/>
      <c r="DV1" s="578"/>
      <c r="DW1" s="578"/>
      <c r="DX1" s="578"/>
      <c r="DY1" s="578"/>
      <c r="DZ1" s="670" t="s">
        <v>118</v>
      </c>
      <c r="EA1" s="671"/>
      <c r="EB1" s="672"/>
      <c r="EC1" s="579"/>
      <c r="ED1" s="427"/>
      <c r="EE1" s="669" t="s">
        <v>112</v>
      </c>
      <c r="EF1" s="669"/>
      <c r="EG1" s="669"/>
      <c r="EH1" s="669" t="s">
        <v>111</v>
      </c>
      <c r="EI1" s="669"/>
      <c r="EJ1" s="669"/>
      <c r="EK1" s="45">
        <f>IF(MONTH(I1)&gt;9,MONTH(I1)-9,MONTH(I1)+3)</f>
        <v>11</v>
      </c>
      <c r="EL1" s="673" t="s">
        <v>119</v>
      </c>
      <c r="EM1" s="674"/>
      <c r="EN1" s="674"/>
      <c r="EO1" s="674"/>
      <c r="EP1" s="674"/>
      <c r="EQ1" s="674"/>
      <c r="ER1" s="674"/>
      <c r="ES1" s="674"/>
    </row>
    <row r="2" spans="1:162" s="1" customFormat="1" ht="27" customHeight="1" thickBot="1">
      <c r="A2" s="665" t="s">
        <v>19</v>
      </c>
      <c r="B2" s="665"/>
      <c r="C2" s="8" t="s">
        <v>34</v>
      </c>
      <c r="D2" s="9"/>
      <c r="E2" s="10" t="s">
        <v>93</v>
      </c>
      <c r="G2" s="17" t="s">
        <v>90</v>
      </c>
      <c r="I2" s="1" t="s">
        <v>96</v>
      </c>
      <c r="J2" s="13">
        <v>39630</v>
      </c>
      <c r="K2" s="13">
        <v>39661</v>
      </c>
      <c r="L2" s="13">
        <v>39692</v>
      </c>
      <c r="M2" s="13">
        <v>39722</v>
      </c>
      <c r="N2" s="13">
        <v>39753</v>
      </c>
      <c r="O2" s="13">
        <v>39783</v>
      </c>
      <c r="P2" s="13">
        <v>39814</v>
      </c>
      <c r="Q2" s="13">
        <v>39845</v>
      </c>
      <c r="R2" s="13">
        <v>39873</v>
      </c>
      <c r="S2" s="13">
        <v>39904</v>
      </c>
      <c r="T2" s="13">
        <v>39934</v>
      </c>
      <c r="U2" s="13">
        <v>39965</v>
      </c>
      <c r="V2" s="13">
        <v>39995</v>
      </c>
      <c r="W2" s="13">
        <v>40026</v>
      </c>
      <c r="X2" s="13">
        <v>40057</v>
      </c>
      <c r="Y2" s="13">
        <v>40087</v>
      </c>
      <c r="Z2" s="13">
        <v>40118</v>
      </c>
      <c r="AA2" s="13">
        <v>40148</v>
      </c>
      <c r="AB2" s="13">
        <v>40179</v>
      </c>
      <c r="AC2" s="13">
        <v>40210</v>
      </c>
      <c r="AD2" s="13">
        <v>40238</v>
      </c>
      <c r="AE2" s="13">
        <v>40269</v>
      </c>
      <c r="AF2" s="13">
        <v>40299</v>
      </c>
      <c r="AG2" s="13">
        <v>40330</v>
      </c>
      <c r="AH2" s="13">
        <v>40360</v>
      </c>
      <c r="AI2" s="13">
        <v>40391</v>
      </c>
      <c r="AJ2" s="13">
        <v>40422</v>
      </c>
      <c r="AK2" s="406"/>
      <c r="AL2" s="13">
        <v>39630</v>
      </c>
      <c r="AM2" s="13">
        <v>39661</v>
      </c>
      <c r="AN2" s="13">
        <v>39692</v>
      </c>
      <c r="AO2" s="13">
        <v>39722</v>
      </c>
      <c r="AP2" s="13">
        <v>39753</v>
      </c>
      <c r="AQ2" s="13">
        <v>39783</v>
      </c>
      <c r="AR2" s="13">
        <v>39814</v>
      </c>
      <c r="AS2" s="13">
        <v>39845</v>
      </c>
      <c r="AT2" s="13">
        <v>39873</v>
      </c>
      <c r="AU2" s="13">
        <v>39904</v>
      </c>
      <c r="AV2" s="13">
        <v>39934</v>
      </c>
      <c r="AW2" s="13">
        <v>39965</v>
      </c>
      <c r="AX2" s="13">
        <v>39995</v>
      </c>
      <c r="AY2" s="13">
        <v>40026</v>
      </c>
      <c r="AZ2" s="13">
        <v>40057</v>
      </c>
      <c r="BA2" s="13">
        <v>40087</v>
      </c>
      <c r="BB2" s="13">
        <v>40118</v>
      </c>
      <c r="BC2" s="13">
        <v>40148</v>
      </c>
      <c r="BD2" s="13">
        <v>40179</v>
      </c>
      <c r="BE2" s="13">
        <v>40210</v>
      </c>
      <c r="BF2" s="13">
        <v>40238</v>
      </c>
      <c r="BG2" s="13">
        <v>40269</v>
      </c>
      <c r="BH2" s="13">
        <v>40299</v>
      </c>
      <c r="BI2" s="13">
        <v>40330</v>
      </c>
      <c r="BJ2" s="13">
        <v>40360</v>
      </c>
      <c r="BK2" s="13">
        <v>40391</v>
      </c>
      <c r="BL2" s="13">
        <v>40422</v>
      </c>
      <c r="BM2" s="406"/>
      <c r="BN2" s="13">
        <v>39630</v>
      </c>
      <c r="BO2" s="13">
        <v>39661</v>
      </c>
      <c r="BP2" s="13">
        <v>39692</v>
      </c>
      <c r="BQ2" s="13">
        <v>39722</v>
      </c>
      <c r="BR2" s="13">
        <v>39753</v>
      </c>
      <c r="BS2" s="13">
        <v>39783</v>
      </c>
      <c r="BT2" s="13">
        <v>39814</v>
      </c>
      <c r="BU2" s="13">
        <v>39845</v>
      </c>
      <c r="BV2" s="13">
        <v>39873</v>
      </c>
      <c r="BW2" s="13">
        <v>39904</v>
      </c>
      <c r="BX2" s="13">
        <v>39934</v>
      </c>
      <c r="BY2" s="13">
        <v>39965</v>
      </c>
      <c r="BZ2" s="13">
        <v>39995</v>
      </c>
      <c r="CA2" s="13">
        <v>40026</v>
      </c>
      <c r="CB2" s="13">
        <v>40057</v>
      </c>
      <c r="CC2" s="13">
        <v>40087</v>
      </c>
      <c r="CD2" s="13">
        <v>40118</v>
      </c>
      <c r="CE2" s="13">
        <v>40148</v>
      </c>
      <c r="CF2" s="13">
        <v>40179</v>
      </c>
      <c r="CG2" s="13">
        <v>40210</v>
      </c>
      <c r="CH2" s="13">
        <v>40238</v>
      </c>
      <c r="CI2" s="13">
        <v>40269</v>
      </c>
      <c r="CJ2" s="13">
        <v>40299</v>
      </c>
      <c r="CK2" s="13">
        <v>40330</v>
      </c>
      <c r="CL2" s="13">
        <v>40360</v>
      </c>
      <c r="CM2" s="13">
        <v>40391</v>
      </c>
      <c r="CN2" s="13">
        <v>40422</v>
      </c>
      <c r="CO2" s="420"/>
      <c r="CP2" s="13">
        <v>39630</v>
      </c>
      <c r="CQ2" s="13">
        <v>39661</v>
      </c>
      <c r="CR2" s="13">
        <v>39692</v>
      </c>
      <c r="CS2" s="13">
        <v>39722</v>
      </c>
      <c r="CT2" s="13">
        <v>39753</v>
      </c>
      <c r="CU2" s="13">
        <v>39783</v>
      </c>
      <c r="CV2" s="13">
        <v>39814</v>
      </c>
      <c r="CW2" s="13">
        <v>39845</v>
      </c>
      <c r="CX2" s="13">
        <v>39873</v>
      </c>
      <c r="CY2" s="13">
        <v>39904</v>
      </c>
      <c r="CZ2" s="13">
        <v>39934</v>
      </c>
      <c r="DA2" s="13">
        <v>39965</v>
      </c>
      <c r="DB2" s="13">
        <v>39995</v>
      </c>
      <c r="DC2" s="13">
        <v>40026</v>
      </c>
      <c r="DD2" s="13">
        <v>40057</v>
      </c>
      <c r="DE2" s="13">
        <v>40087</v>
      </c>
      <c r="DF2" s="13">
        <v>40118</v>
      </c>
      <c r="DG2" s="13">
        <v>40148</v>
      </c>
      <c r="DH2" s="13">
        <v>40179</v>
      </c>
      <c r="DI2" s="13">
        <v>40210</v>
      </c>
      <c r="DJ2" s="13">
        <v>40238</v>
      </c>
      <c r="DK2" s="13">
        <v>40269</v>
      </c>
      <c r="DL2" s="13">
        <v>40299</v>
      </c>
      <c r="DM2" s="13">
        <v>40330</v>
      </c>
      <c r="DN2" s="13">
        <v>40360</v>
      </c>
      <c r="DO2" s="13">
        <v>40391</v>
      </c>
      <c r="DP2" s="13">
        <v>40422</v>
      </c>
      <c r="DQ2" s="13">
        <v>40452</v>
      </c>
      <c r="DR2" s="13">
        <v>40483</v>
      </c>
      <c r="DS2" s="13">
        <v>40513</v>
      </c>
      <c r="DT2" s="13">
        <v>40544</v>
      </c>
      <c r="DU2" s="13">
        <v>40575</v>
      </c>
      <c r="DV2" s="13">
        <v>40603</v>
      </c>
      <c r="DW2" s="13">
        <v>40634</v>
      </c>
      <c r="DX2" s="13">
        <v>40664</v>
      </c>
      <c r="DY2" s="13">
        <v>40695</v>
      </c>
      <c r="DZ2" s="1">
        <v>2008</v>
      </c>
      <c r="EA2" s="12">
        <v>2009</v>
      </c>
      <c r="EB2" s="12">
        <v>2010</v>
      </c>
      <c r="EC2" s="577">
        <v>2011</v>
      </c>
      <c r="ED2" s="428"/>
      <c r="EE2" s="35" t="s">
        <v>89</v>
      </c>
      <c r="EF2" s="35" t="s">
        <v>110</v>
      </c>
      <c r="EG2" s="115" t="s">
        <v>128</v>
      </c>
      <c r="EH2" s="35" t="s">
        <v>89</v>
      </c>
      <c r="EI2" s="35" t="s">
        <v>110</v>
      </c>
      <c r="EJ2" s="35" t="s">
        <v>91</v>
      </c>
      <c r="EK2" s="45">
        <f>IF(MONTH(I1)&gt;6,MONTH(I1)-6,MONTH(I1)+6)</f>
        <v>2</v>
      </c>
      <c r="EL2" s="35" t="s">
        <v>124</v>
      </c>
      <c r="EM2" s="35" t="s">
        <v>125</v>
      </c>
      <c r="EN2" s="35" t="s">
        <v>126</v>
      </c>
      <c r="EO2" s="35" t="s">
        <v>122</v>
      </c>
      <c r="EP2" s="35" t="s">
        <v>123</v>
      </c>
      <c r="EQ2" s="115" t="s">
        <v>120</v>
      </c>
      <c r="ER2" s="35" t="s">
        <v>127</v>
      </c>
      <c r="ES2" s="35" t="s">
        <v>121</v>
      </c>
      <c r="FC2" s="245" t="s">
        <v>233</v>
      </c>
      <c r="FD2" s="245" t="s">
        <v>230</v>
      </c>
      <c r="FE2" s="245" t="s">
        <v>231</v>
      </c>
      <c r="FF2" s="245" t="s">
        <v>232</v>
      </c>
    </row>
    <row r="3" spans="1:162" s="37" customFormat="1">
      <c r="A3" s="36" t="s">
        <v>20</v>
      </c>
      <c r="B3" s="36"/>
      <c r="J3" s="38"/>
      <c r="K3" s="38"/>
      <c r="L3" s="108"/>
      <c r="M3" s="38"/>
      <c r="N3" s="38"/>
      <c r="O3" s="38"/>
      <c r="P3" s="38"/>
      <c r="Q3" s="38"/>
      <c r="R3" s="38"/>
      <c r="S3" s="38"/>
      <c r="T3" s="38"/>
      <c r="U3" s="38"/>
      <c r="V3" s="38"/>
      <c r="W3" s="38"/>
      <c r="X3" s="38"/>
      <c r="Y3" s="38"/>
      <c r="Z3" s="38"/>
      <c r="AA3" s="38"/>
      <c r="AB3" s="38"/>
      <c r="AC3" s="38"/>
      <c r="AD3" s="38"/>
      <c r="AE3" s="38"/>
      <c r="AF3" s="38"/>
      <c r="AG3" s="38"/>
      <c r="AH3" s="38"/>
      <c r="AI3" s="38"/>
      <c r="AJ3" s="38"/>
      <c r="AK3" s="407"/>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407"/>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407"/>
      <c r="CP3" s="38"/>
      <c r="CQ3" s="38"/>
      <c r="CR3" s="38"/>
      <c r="CS3" s="38"/>
      <c r="CT3" s="38"/>
      <c r="CU3" s="38"/>
      <c r="CV3" s="38"/>
      <c r="CW3" s="38"/>
      <c r="CX3" s="38"/>
      <c r="CY3" s="38"/>
      <c r="CZ3" s="38"/>
      <c r="DA3" s="38"/>
      <c r="DB3" s="38"/>
      <c r="DC3" s="38"/>
      <c r="DD3" s="38"/>
      <c r="DE3" s="245"/>
      <c r="DF3" s="245"/>
      <c r="DG3" s="245"/>
      <c r="DH3" s="381"/>
      <c r="DI3" s="245"/>
      <c r="DJ3" s="245"/>
      <c r="DK3" s="245"/>
      <c r="DL3" s="245"/>
      <c r="DM3" s="245"/>
      <c r="DN3" s="245"/>
      <c r="DO3" s="245"/>
      <c r="DP3" s="245"/>
      <c r="DQ3" s="245"/>
      <c r="DR3" s="245"/>
      <c r="DS3" s="245"/>
      <c r="DT3" s="245"/>
      <c r="DU3" s="245"/>
      <c r="DV3" s="245"/>
      <c r="DW3" s="245"/>
      <c r="DX3" s="245"/>
      <c r="DY3" s="245"/>
      <c r="ED3" s="408"/>
      <c r="EE3" s="40"/>
      <c r="EI3" s="110" t="s">
        <v>155</v>
      </c>
      <c r="EJ3" s="110">
        <f>IF(I1&lt;M2,2008,IF(AND(I1&gt;=M2,I1&lt;=X2),2009,2010))</f>
        <v>2010</v>
      </c>
      <c r="EK3" s="40"/>
    </row>
    <row r="4" spans="1:162" s="1" customFormat="1">
      <c r="A4" s="5" t="s">
        <v>22</v>
      </c>
      <c r="B4" s="2" t="s">
        <v>0</v>
      </c>
      <c r="C4" s="3" t="s">
        <v>35</v>
      </c>
      <c r="D4" s="3"/>
      <c r="E4" s="3" t="s">
        <v>16</v>
      </c>
      <c r="G4" s="1" t="s">
        <v>91</v>
      </c>
      <c r="I4" s="18">
        <v>60</v>
      </c>
      <c r="J4" s="19">
        <v>66.666700000000006</v>
      </c>
      <c r="K4" s="19">
        <f>+J4+6.6667</f>
        <v>73.333400000000012</v>
      </c>
      <c r="L4" s="19">
        <f>+K4+6.6667</f>
        <v>80.000100000000018</v>
      </c>
      <c r="M4" s="20">
        <v>12.5</v>
      </c>
      <c r="N4" s="19">
        <f>+M4+12.5</f>
        <v>25</v>
      </c>
      <c r="O4" s="19">
        <f t="shared" ref="O4:U4" si="0">+N4+12.5</f>
        <v>37.5</v>
      </c>
      <c r="P4" s="19">
        <f t="shared" si="0"/>
        <v>50</v>
      </c>
      <c r="Q4" s="19">
        <f t="shared" si="0"/>
        <v>62.5</v>
      </c>
      <c r="R4" s="19">
        <f t="shared" si="0"/>
        <v>75</v>
      </c>
      <c r="S4" s="19">
        <f t="shared" si="0"/>
        <v>87.5</v>
      </c>
      <c r="T4" s="19">
        <f t="shared" si="0"/>
        <v>100</v>
      </c>
      <c r="U4" s="19">
        <f t="shared" si="0"/>
        <v>112.5</v>
      </c>
      <c r="V4" s="19">
        <f>+U4+12.5</f>
        <v>125</v>
      </c>
      <c r="W4" s="19">
        <f>+V4+12.5</f>
        <v>137.5</v>
      </c>
      <c r="X4" s="19">
        <f>+W4+12.5</f>
        <v>150</v>
      </c>
      <c r="Y4" s="219">
        <f>ROUND(Z4/2,0)</f>
        <v>10</v>
      </c>
      <c r="Z4" s="246">
        <f t="shared" ref="Z4:AG4" si="1">AA4-(AB4-AA4)</f>
        <v>19</v>
      </c>
      <c r="AA4" s="246">
        <f t="shared" si="1"/>
        <v>30</v>
      </c>
      <c r="AB4" s="246">
        <f t="shared" si="1"/>
        <v>41</v>
      </c>
      <c r="AC4" s="246">
        <f t="shared" si="1"/>
        <v>52</v>
      </c>
      <c r="AD4" s="246">
        <f t="shared" si="1"/>
        <v>63</v>
      </c>
      <c r="AE4" s="246">
        <f t="shared" si="1"/>
        <v>74</v>
      </c>
      <c r="AF4" s="246">
        <f t="shared" si="1"/>
        <v>85</v>
      </c>
      <c r="AG4" s="246">
        <f t="shared" si="1"/>
        <v>96</v>
      </c>
      <c r="AH4" s="246">
        <f>AI4-(AJ4-AI4)</f>
        <v>107</v>
      </c>
      <c r="AI4" s="246">
        <f>-ROUND(AJ4/12,0)+AJ4</f>
        <v>118</v>
      </c>
      <c r="AJ4" s="263">
        <v>129</v>
      </c>
      <c r="AK4" s="408"/>
      <c r="AL4" s="48">
        <f>J4-I4</f>
        <v>6.6667000000000058</v>
      </c>
      <c r="AM4" s="48">
        <f t="shared" ref="AM4:BL4" si="2">K4-J4</f>
        <v>6.6667000000000058</v>
      </c>
      <c r="AN4" s="48">
        <f t="shared" si="2"/>
        <v>6.6667000000000058</v>
      </c>
      <c r="AO4" s="48">
        <f>M4</f>
        <v>12.5</v>
      </c>
      <c r="AP4" s="48">
        <f t="shared" si="2"/>
        <v>12.5</v>
      </c>
      <c r="AQ4" s="48">
        <f t="shared" si="2"/>
        <v>12.5</v>
      </c>
      <c r="AR4" s="48">
        <f t="shared" si="2"/>
        <v>12.5</v>
      </c>
      <c r="AS4" s="48">
        <f t="shared" si="2"/>
        <v>12.5</v>
      </c>
      <c r="AT4" s="48">
        <f t="shared" si="2"/>
        <v>12.5</v>
      </c>
      <c r="AU4" s="48">
        <f t="shared" si="2"/>
        <v>12.5</v>
      </c>
      <c r="AV4" s="48">
        <f t="shared" si="2"/>
        <v>12.5</v>
      </c>
      <c r="AW4" s="48">
        <f t="shared" si="2"/>
        <v>12.5</v>
      </c>
      <c r="AX4" s="48">
        <f t="shared" si="2"/>
        <v>12.5</v>
      </c>
      <c r="AY4" s="48">
        <f t="shared" si="2"/>
        <v>12.5</v>
      </c>
      <c r="AZ4" s="48">
        <f t="shared" si="2"/>
        <v>12.5</v>
      </c>
      <c r="BA4" s="48">
        <f>Y4</f>
        <v>10</v>
      </c>
      <c r="BB4" s="48">
        <f t="shared" si="2"/>
        <v>9</v>
      </c>
      <c r="BC4" s="48">
        <f t="shared" si="2"/>
        <v>11</v>
      </c>
      <c r="BD4" s="48">
        <f t="shared" si="2"/>
        <v>11</v>
      </c>
      <c r="BE4" s="48">
        <f t="shared" si="2"/>
        <v>11</v>
      </c>
      <c r="BF4" s="48">
        <f t="shared" si="2"/>
        <v>11</v>
      </c>
      <c r="BG4" s="48">
        <f t="shared" si="2"/>
        <v>11</v>
      </c>
      <c r="BH4" s="48">
        <f t="shared" si="2"/>
        <v>11</v>
      </c>
      <c r="BI4" s="48">
        <f t="shared" si="2"/>
        <v>11</v>
      </c>
      <c r="BJ4" s="48">
        <f t="shared" si="2"/>
        <v>11</v>
      </c>
      <c r="BK4" s="48">
        <f t="shared" si="2"/>
        <v>11</v>
      </c>
      <c r="BL4" s="48">
        <f t="shared" si="2"/>
        <v>11</v>
      </c>
      <c r="BM4" s="408"/>
      <c r="BN4" s="48">
        <f>BP4</f>
        <v>20.000100000000018</v>
      </c>
      <c r="BO4" s="48">
        <f>BP4</f>
        <v>20.000100000000018</v>
      </c>
      <c r="BP4" s="48">
        <f>SUM(AL4:AN4)</f>
        <v>20.000100000000018</v>
      </c>
      <c r="BQ4" s="48">
        <f>BS4</f>
        <v>37.5</v>
      </c>
      <c r="BR4" s="48">
        <f>BS4</f>
        <v>37.5</v>
      </c>
      <c r="BS4" s="48">
        <f>SUM(AO4:AQ4)</f>
        <v>37.5</v>
      </c>
      <c r="BT4" s="48">
        <f>BV4</f>
        <v>37.5</v>
      </c>
      <c r="BU4" s="48">
        <f>BV4</f>
        <v>37.5</v>
      </c>
      <c r="BV4" s="48">
        <f>SUM(AR4:AT4)</f>
        <v>37.5</v>
      </c>
      <c r="BW4" s="48">
        <f>BY4</f>
        <v>37.5</v>
      </c>
      <c r="BX4" s="48">
        <f>BY4</f>
        <v>37.5</v>
      </c>
      <c r="BY4" s="48">
        <f>SUM(AU4:AW4)</f>
        <v>37.5</v>
      </c>
      <c r="BZ4" s="48">
        <f>CB4</f>
        <v>37.5</v>
      </c>
      <c r="CA4" s="48">
        <f>CB4</f>
        <v>37.5</v>
      </c>
      <c r="CB4" s="48">
        <f>SUM(AX4:AZ4)</f>
        <v>37.5</v>
      </c>
      <c r="CC4" s="48">
        <f>CE4</f>
        <v>30</v>
      </c>
      <c r="CD4" s="48">
        <f>CE4</f>
        <v>30</v>
      </c>
      <c r="CE4" s="48">
        <f>SUM(BA4:BC4)</f>
        <v>30</v>
      </c>
      <c r="CF4" s="48">
        <f>CH4</f>
        <v>33</v>
      </c>
      <c r="CG4" s="48">
        <f>CH4</f>
        <v>33</v>
      </c>
      <c r="CH4" s="48">
        <f>SUM(BD4:BF4)</f>
        <v>33</v>
      </c>
      <c r="CI4" s="48">
        <f>CK4</f>
        <v>33</v>
      </c>
      <c r="CJ4" s="48">
        <f>CK4</f>
        <v>33</v>
      </c>
      <c r="CK4" s="48">
        <f>SUM(BG4:BI4)</f>
        <v>33</v>
      </c>
      <c r="CL4" s="48">
        <f>CN4</f>
        <v>33</v>
      </c>
      <c r="CM4" s="48">
        <f>CN4</f>
        <v>33</v>
      </c>
      <c r="CN4" s="48">
        <f>SUM(BJ4:BL4)</f>
        <v>33</v>
      </c>
      <c r="CO4" s="406"/>
      <c r="CP4" s="48">
        <f t="shared" ref="CP4:DD4" si="3">I4+AL4</f>
        <v>66.666700000000006</v>
      </c>
      <c r="CQ4" s="48">
        <f t="shared" si="3"/>
        <v>73.333400000000012</v>
      </c>
      <c r="CR4" s="48">
        <f t="shared" si="3"/>
        <v>80.000100000000018</v>
      </c>
      <c r="CS4" s="48">
        <f>AO4</f>
        <v>12.5</v>
      </c>
      <c r="CT4" s="48">
        <f t="shared" si="3"/>
        <v>25</v>
      </c>
      <c r="CU4" s="48">
        <f t="shared" si="3"/>
        <v>37.5</v>
      </c>
      <c r="CV4" s="48">
        <f t="shared" si="3"/>
        <v>50</v>
      </c>
      <c r="CW4" s="48">
        <f t="shared" si="3"/>
        <v>62.5</v>
      </c>
      <c r="CX4" s="48">
        <f t="shared" si="3"/>
        <v>75</v>
      </c>
      <c r="CY4" s="48">
        <f t="shared" si="3"/>
        <v>87.5</v>
      </c>
      <c r="CZ4" s="48">
        <f t="shared" si="3"/>
        <v>100</v>
      </c>
      <c r="DA4" s="48">
        <f t="shared" si="3"/>
        <v>112.5</v>
      </c>
      <c r="DB4" s="48">
        <f t="shared" si="3"/>
        <v>125</v>
      </c>
      <c r="DC4" s="48">
        <f t="shared" si="3"/>
        <v>137.5</v>
      </c>
      <c r="DD4" s="48">
        <f t="shared" si="3"/>
        <v>150</v>
      </c>
      <c r="DE4" s="48">
        <f>+BA4</f>
        <v>10</v>
      </c>
      <c r="DF4" s="48">
        <f t="shared" ref="DF4:DP8" si="4">Y4+BB4</f>
        <v>19</v>
      </c>
      <c r="DG4" s="48">
        <f t="shared" si="4"/>
        <v>30</v>
      </c>
      <c r="DH4" s="48">
        <f t="shared" si="4"/>
        <v>41</v>
      </c>
      <c r="DI4" s="48">
        <f t="shared" si="4"/>
        <v>52</v>
      </c>
      <c r="DJ4" s="48">
        <f t="shared" si="4"/>
        <v>63</v>
      </c>
      <c r="DK4" s="48">
        <f t="shared" si="4"/>
        <v>74</v>
      </c>
      <c r="DL4" s="48">
        <f t="shared" si="4"/>
        <v>85</v>
      </c>
      <c r="DM4" s="48">
        <f t="shared" si="4"/>
        <v>96</v>
      </c>
      <c r="DN4" s="48">
        <f t="shared" si="4"/>
        <v>107</v>
      </c>
      <c r="DO4" s="48">
        <f t="shared" si="4"/>
        <v>118</v>
      </c>
      <c r="DP4" s="48">
        <f t="shared" si="4"/>
        <v>129</v>
      </c>
      <c r="DQ4" s="48"/>
      <c r="DR4" s="48"/>
      <c r="DS4" s="48"/>
      <c r="DT4" s="48"/>
      <c r="DU4" s="48"/>
      <c r="DV4" s="48"/>
      <c r="DW4" s="48"/>
      <c r="DX4" s="48"/>
      <c r="DY4" s="48"/>
      <c r="DZ4" s="1">
        <f>'Input &amp; Calc'!L4</f>
        <v>80.000100000000018</v>
      </c>
      <c r="EA4" s="49">
        <f>DD4</f>
        <v>150</v>
      </c>
      <c r="EB4" s="50">
        <f>DP4</f>
        <v>129</v>
      </c>
      <c r="EC4" s="50"/>
      <c r="ED4" s="408"/>
      <c r="EE4" s="51">
        <f t="shared" ref="EE4:EE19" si="5">HLOOKUP($I$1,Month,ROW()-1)</f>
        <v>11</v>
      </c>
      <c r="EF4" s="51">
        <f t="shared" ref="EF4:EF19" si="6">HLOOKUP($I$1,Qtr,ROW()-1)</f>
        <v>33</v>
      </c>
      <c r="EG4" s="51">
        <f>HLOOKUP($EJ$3,Budget,ROW()-1)</f>
        <v>129</v>
      </c>
      <c r="EH4" s="40"/>
      <c r="EI4" s="110" t="s">
        <v>154</v>
      </c>
      <c r="EJ4" s="110">
        <f>IF(AND(I1&gt;=J2,I1&lt;=U2),2009,2010)</f>
        <v>2010</v>
      </c>
      <c r="EK4" s="675" t="s">
        <v>129</v>
      </c>
      <c r="EL4" s="37"/>
      <c r="EM4" s="37"/>
      <c r="EN4" s="37"/>
      <c r="EO4" s="49"/>
      <c r="EP4" s="49"/>
      <c r="EQ4" s="49"/>
      <c r="FC4" s="568">
        <f>DD4</f>
        <v>150</v>
      </c>
      <c r="FD4" s="568">
        <f>DP4</f>
        <v>129</v>
      </c>
      <c r="FE4" s="568">
        <f t="shared" ref="FE4:FE9" si="7">DK27</f>
        <v>117</v>
      </c>
      <c r="FF4" s="568">
        <f>ROUND(FE4/7*12,0)</f>
        <v>201</v>
      </c>
    </row>
    <row r="5" spans="1:162" s="1" customFormat="1">
      <c r="A5" s="5" t="s">
        <v>22</v>
      </c>
      <c r="B5" s="2" t="s">
        <v>1</v>
      </c>
      <c r="C5" s="3" t="s">
        <v>36</v>
      </c>
      <c r="D5" s="3"/>
      <c r="E5" s="3" t="s">
        <v>16</v>
      </c>
      <c r="G5" s="1" t="s">
        <v>91</v>
      </c>
      <c r="I5" s="18">
        <v>15</v>
      </c>
      <c r="J5" s="21">
        <f t="shared" ref="J5:L6" si="8">+I5+1.66667</f>
        <v>16.66667</v>
      </c>
      <c r="K5" s="21">
        <f t="shared" si="8"/>
        <v>18.33334</v>
      </c>
      <c r="L5" s="21">
        <f t="shared" si="8"/>
        <v>20.00001</v>
      </c>
      <c r="M5" s="20">
        <f>5.83+0.04</f>
        <v>5.87</v>
      </c>
      <c r="N5" s="19">
        <f>+M5+5.83</f>
        <v>11.7</v>
      </c>
      <c r="O5" s="19">
        <f t="shared" ref="O5:U5" si="9">+N5+5.83</f>
        <v>17.53</v>
      </c>
      <c r="P5" s="19">
        <f t="shared" si="9"/>
        <v>23.36</v>
      </c>
      <c r="Q5" s="19">
        <f t="shared" si="9"/>
        <v>29.189999999999998</v>
      </c>
      <c r="R5" s="19">
        <f t="shared" si="9"/>
        <v>35.019999999999996</v>
      </c>
      <c r="S5" s="19">
        <f t="shared" si="9"/>
        <v>40.849999999999994</v>
      </c>
      <c r="T5" s="19">
        <f t="shared" si="9"/>
        <v>46.679999999999993</v>
      </c>
      <c r="U5" s="19">
        <f t="shared" si="9"/>
        <v>52.509999999999991</v>
      </c>
      <c r="V5" s="19">
        <f>+U5+5.83</f>
        <v>58.339999999999989</v>
      </c>
      <c r="W5" s="19">
        <f>+V5+5.83</f>
        <v>64.169999999999987</v>
      </c>
      <c r="X5" s="19">
        <f>+W5+5.83</f>
        <v>69.999999999999986</v>
      </c>
      <c r="Y5" s="219">
        <v>9.3330000000000002</v>
      </c>
      <c r="Z5" s="246">
        <f>Y5+9.333</f>
        <v>18.666</v>
      </c>
      <c r="AA5" s="376">
        <f t="shared" ref="AA5:AJ5" si="10">Z5+9.333</f>
        <v>27.999000000000002</v>
      </c>
      <c r="AB5" s="376">
        <f t="shared" si="10"/>
        <v>37.332000000000001</v>
      </c>
      <c r="AC5" s="376">
        <f t="shared" si="10"/>
        <v>46.664999999999999</v>
      </c>
      <c r="AD5" s="376">
        <f t="shared" si="10"/>
        <v>55.997999999999998</v>
      </c>
      <c r="AE5" s="376">
        <f t="shared" si="10"/>
        <v>65.331000000000003</v>
      </c>
      <c r="AF5" s="376">
        <f t="shared" si="10"/>
        <v>74.664000000000001</v>
      </c>
      <c r="AG5" s="263">
        <f t="shared" si="10"/>
        <v>83.997</v>
      </c>
      <c r="AH5" s="376">
        <f t="shared" si="10"/>
        <v>93.33</v>
      </c>
      <c r="AI5" s="376">
        <f t="shared" si="10"/>
        <v>102.663</v>
      </c>
      <c r="AJ5" s="263">
        <f t="shared" si="10"/>
        <v>111.996</v>
      </c>
      <c r="AK5" s="408"/>
      <c r="AL5" s="48">
        <f>J5-I5</f>
        <v>1.6666699999999999</v>
      </c>
      <c r="AM5" s="48">
        <f t="shared" ref="AM5:AN10" si="11">K5-J5</f>
        <v>1.6666699999999999</v>
      </c>
      <c r="AN5" s="48">
        <f t="shared" si="11"/>
        <v>1.6666699999999999</v>
      </c>
      <c r="AO5" s="48">
        <f>M5</f>
        <v>5.87</v>
      </c>
      <c r="AP5" s="48">
        <f t="shared" ref="AP5:AZ8" si="12">N5-M5</f>
        <v>5.8299999999999992</v>
      </c>
      <c r="AQ5" s="48">
        <f t="shared" si="12"/>
        <v>5.8300000000000018</v>
      </c>
      <c r="AR5" s="48">
        <f t="shared" si="12"/>
        <v>5.8299999999999983</v>
      </c>
      <c r="AS5" s="48">
        <f t="shared" si="12"/>
        <v>5.8299999999999983</v>
      </c>
      <c r="AT5" s="48">
        <f t="shared" si="12"/>
        <v>5.8299999999999983</v>
      </c>
      <c r="AU5" s="48">
        <f t="shared" si="12"/>
        <v>5.8299999999999983</v>
      </c>
      <c r="AV5" s="48">
        <f t="shared" si="12"/>
        <v>5.8299999999999983</v>
      </c>
      <c r="AW5" s="48">
        <f t="shared" si="12"/>
        <v>5.8299999999999983</v>
      </c>
      <c r="AX5" s="48">
        <f t="shared" si="12"/>
        <v>5.8299999999999983</v>
      </c>
      <c r="AY5" s="48">
        <f t="shared" si="12"/>
        <v>5.8299999999999983</v>
      </c>
      <c r="AZ5" s="48">
        <f t="shared" si="12"/>
        <v>5.8299999999999983</v>
      </c>
      <c r="BA5" s="48">
        <f>Y5</f>
        <v>9.3330000000000002</v>
      </c>
      <c r="BB5" s="48">
        <f t="shared" ref="BB5:BL8" si="13">Z5-Y5</f>
        <v>9.3330000000000002</v>
      </c>
      <c r="BC5" s="48">
        <f t="shared" si="13"/>
        <v>9.333000000000002</v>
      </c>
      <c r="BD5" s="48">
        <f t="shared" si="13"/>
        <v>9.3329999999999984</v>
      </c>
      <c r="BE5" s="48">
        <f t="shared" si="13"/>
        <v>9.3329999999999984</v>
      </c>
      <c r="BF5" s="48">
        <f t="shared" si="13"/>
        <v>9.3329999999999984</v>
      </c>
      <c r="BG5" s="48">
        <f t="shared" si="13"/>
        <v>9.3330000000000055</v>
      </c>
      <c r="BH5" s="48">
        <f t="shared" si="13"/>
        <v>9.3329999999999984</v>
      </c>
      <c r="BI5" s="48">
        <f t="shared" si="13"/>
        <v>9.3329999999999984</v>
      </c>
      <c r="BJ5" s="48">
        <f t="shared" si="13"/>
        <v>9.3329999999999984</v>
      </c>
      <c r="BK5" s="48">
        <f t="shared" si="13"/>
        <v>9.3329999999999984</v>
      </c>
      <c r="BL5" s="48">
        <f t="shared" si="13"/>
        <v>9.3329999999999984</v>
      </c>
      <c r="BM5" s="408"/>
      <c r="BN5" s="48">
        <f t="shared" ref="BN5:BN19" si="14">BP5</f>
        <v>5.0000099999999996</v>
      </c>
      <c r="BO5" s="48">
        <f t="shared" ref="BO5:BO19" si="15">BP5</f>
        <v>5.0000099999999996</v>
      </c>
      <c r="BP5" s="48">
        <f t="shared" ref="BP5:BP19" si="16">SUM(AL5:AN5)</f>
        <v>5.0000099999999996</v>
      </c>
      <c r="BQ5" s="48">
        <f t="shared" ref="BQ5:BQ19" si="17">BS5</f>
        <v>17.53</v>
      </c>
      <c r="BR5" s="48">
        <f t="shared" ref="BR5:BR19" si="18">BS5</f>
        <v>17.53</v>
      </c>
      <c r="BS5" s="48">
        <f t="shared" ref="BS5:BS19" si="19">SUM(AO5:AQ5)</f>
        <v>17.53</v>
      </c>
      <c r="BT5" s="48">
        <f t="shared" ref="BT5:BT19" si="20">BV5</f>
        <v>17.489999999999995</v>
      </c>
      <c r="BU5" s="48">
        <f t="shared" ref="BU5:BU19" si="21">BV5</f>
        <v>17.489999999999995</v>
      </c>
      <c r="BV5" s="48">
        <f t="shared" ref="BV5:BV19" si="22">SUM(AR5:AT5)</f>
        <v>17.489999999999995</v>
      </c>
      <c r="BW5" s="48">
        <f t="shared" ref="BW5:BW19" si="23">BY5</f>
        <v>17.489999999999995</v>
      </c>
      <c r="BX5" s="48">
        <f t="shared" ref="BX5:BX19" si="24">BY5</f>
        <v>17.489999999999995</v>
      </c>
      <c r="BY5" s="48">
        <f t="shared" ref="BY5:BY19" si="25">SUM(AU5:AW5)</f>
        <v>17.489999999999995</v>
      </c>
      <c r="BZ5" s="48">
        <f t="shared" ref="BZ5:BZ19" si="26">CB5</f>
        <v>17.489999999999995</v>
      </c>
      <c r="CA5" s="48">
        <f t="shared" ref="CA5:CA19" si="27">CB5</f>
        <v>17.489999999999995</v>
      </c>
      <c r="CB5" s="48">
        <f t="shared" ref="CB5:CB19" si="28">SUM(AX5:AZ5)</f>
        <v>17.489999999999995</v>
      </c>
      <c r="CC5" s="48">
        <f t="shared" ref="CC5:CC19" si="29">CE5</f>
        <v>27.999000000000002</v>
      </c>
      <c r="CD5" s="48">
        <f t="shared" ref="CD5:CD19" si="30">CE5</f>
        <v>27.999000000000002</v>
      </c>
      <c r="CE5" s="48">
        <f t="shared" ref="CE5:CE19" si="31">SUM(BA5:BC5)</f>
        <v>27.999000000000002</v>
      </c>
      <c r="CF5" s="48">
        <f t="shared" ref="CF5:CF19" si="32">CH5</f>
        <v>27.998999999999995</v>
      </c>
      <c r="CG5" s="48">
        <f t="shared" ref="CG5:CG19" si="33">CH5</f>
        <v>27.998999999999995</v>
      </c>
      <c r="CH5" s="48">
        <f t="shared" ref="CH5:CH19" si="34">SUM(BD5:BF5)</f>
        <v>27.998999999999995</v>
      </c>
      <c r="CI5" s="48">
        <f t="shared" ref="CI5:CI19" si="35">CK5</f>
        <v>27.999000000000002</v>
      </c>
      <c r="CJ5" s="48">
        <f t="shared" ref="CJ5:CJ19" si="36">CK5</f>
        <v>27.999000000000002</v>
      </c>
      <c r="CK5" s="48">
        <f t="shared" ref="CK5:CK19" si="37">SUM(BG5:BI5)</f>
        <v>27.999000000000002</v>
      </c>
      <c r="CL5" s="48">
        <f t="shared" ref="CL5:CL19" si="38">CN5</f>
        <v>27.998999999999995</v>
      </c>
      <c r="CM5" s="48">
        <f t="shared" ref="CM5:CM19" si="39">CN5</f>
        <v>27.998999999999995</v>
      </c>
      <c r="CN5" s="48">
        <f t="shared" ref="CN5:CN19" si="40">SUM(BJ5:BL5)</f>
        <v>27.998999999999995</v>
      </c>
      <c r="CO5" s="406"/>
      <c r="CP5" s="48">
        <f t="shared" ref="CP5:CR8" si="41">I5+AL5</f>
        <v>16.66667</v>
      </c>
      <c r="CQ5" s="48">
        <f t="shared" si="41"/>
        <v>18.33334</v>
      </c>
      <c r="CR5" s="48">
        <f t="shared" si="41"/>
        <v>20.00001</v>
      </c>
      <c r="CS5" s="48">
        <f>AO5</f>
        <v>5.87</v>
      </c>
      <c r="CT5" s="48">
        <f t="shared" ref="CT5:DD8" si="42">M5+AP5</f>
        <v>11.7</v>
      </c>
      <c r="CU5" s="48">
        <f t="shared" si="42"/>
        <v>17.53</v>
      </c>
      <c r="CV5" s="48">
        <f t="shared" si="42"/>
        <v>23.36</v>
      </c>
      <c r="CW5" s="48">
        <f t="shared" si="42"/>
        <v>29.189999999999998</v>
      </c>
      <c r="CX5" s="48">
        <f t="shared" si="42"/>
        <v>35.019999999999996</v>
      </c>
      <c r="CY5" s="48">
        <f t="shared" si="42"/>
        <v>40.849999999999994</v>
      </c>
      <c r="CZ5" s="48">
        <f t="shared" si="42"/>
        <v>46.679999999999993</v>
      </c>
      <c r="DA5" s="48">
        <f t="shared" si="42"/>
        <v>52.509999999999991</v>
      </c>
      <c r="DB5" s="48">
        <f t="shared" si="42"/>
        <v>58.339999999999989</v>
      </c>
      <c r="DC5" s="48">
        <f t="shared" si="42"/>
        <v>64.169999999999987</v>
      </c>
      <c r="DD5" s="48">
        <f t="shared" si="42"/>
        <v>69.999999999999986</v>
      </c>
      <c r="DE5" s="48">
        <f>+BA5</f>
        <v>9.3330000000000002</v>
      </c>
      <c r="DF5" s="48">
        <f t="shared" si="4"/>
        <v>18.666</v>
      </c>
      <c r="DG5" s="48">
        <f t="shared" si="4"/>
        <v>27.999000000000002</v>
      </c>
      <c r="DH5" s="48">
        <f t="shared" si="4"/>
        <v>37.332000000000001</v>
      </c>
      <c r="DI5" s="48">
        <f t="shared" si="4"/>
        <v>46.664999999999999</v>
      </c>
      <c r="DJ5" s="48">
        <f t="shared" si="4"/>
        <v>55.997999999999998</v>
      </c>
      <c r="DK5" s="48">
        <f t="shared" si="4"/>
        <v>65.331000000000003</v>
      </c>
      <c r="DL5" s="48">
        <f t="shared" si="4"/>
        <v>74.664000000000001</v>
      </c>
      <c r="DM5" s="48">
        <f t="shared" si="4"/>
        <v>83.997</v>
      </c>
      <c r="DN5" s="48">
        <f t="shared" si="4"/>
        <v>93.33</v>
      </c>
      <c r="DO5" s="48">
        <f t="shared" si="4"/>
        <v>102.663</v>
      </c>
      <c r="DP5" s="48">
        <f t="shared" si="4"/>
        <v>111.996</v>
      </c>
      <c r="DQ5" s="48"/>
      <c r="DR5" s="48"/>
      <c r="DS5" s="48"/>
      <c r="DT5" s="48"/>
      <c r="DU5" s="48"/>
      <c r="DV5" s="48"/>
      <c r="DW5" s="48"/>
      <c r="DX5" s="48"/>
      <c r="DY5" s="48"/>
      <c r="DZ5" s="1">
        <f>'Input &amp; Calc'!L5</f>
        <v>20.00001</v>
      </c>
      <c r="EA5" s="49">
        <f>DD5</f>
        <v>69.999999999999986</v>
      </c>
      <c r="EB5" s="50">
        <f>DP5</f>
        <v>111.996</v>
      </c>
      <c r="EC5" s="50"/>
      <c r="ED5" s="408"/>
      <c r="EE5" s="51">
        <f t="shared" si="5"/>
        <v>9.3329999999999984</v>
      </c>
      <c r="EF5" s="51">
        <f t="shared" si="6"/>
        <v>27.998999999999995</v>
      </c>
      <c r="EG5" s="51">
        <f>HLOOKUP($EJ$3,Budget,ROW()-1)</f>
        <v>111.996</v>
      </c>
      <c r="EH5" s="40"/>
      <c r="EI5" s="111" t="s">
        <v>157</v>
      </c>
      <c r="EJ5" s="113">
        <f>HLOOKUP($I$1,YTD,49)</f>
        <v>11</v>
      </c>
      <c r="EK5" s="675"/>
      <c r="EL5" s="37"/>
      <c r="EM5" s="37"/>
      <c r="EN5" s="37"/>
      <c r="EO5" s="49"/>
      <c r="EP5" s="49"/>
      <c r="EQ5" s="49"/>
      <c r="FC5" s="568">
        <f>DD5</f>
        <v>69.999999999999986</v>
      </c>
      <c r="FD5" s="568">
        <f>DP5</f>
        <v>111.996</v>
      </c>
      <c r="FE5" s="568">
        <f t="shared" si="7"/>
        <v>101</v>
      </c>
      <c r="FF5" s="568">
        <f>ROUND(FE5/7*12,0)</f>
        <v>173</v>
      </c>
    </row>
    <row r="6" spans="1:162" s="1" customFormat="1">
      <c r="A6" s="5" t="s">
        <v>22</v>
      </c>
      <c r="B6" s="2" t="s">
        <v>2</v>
      </c>
      <c r="C6" s="3" t="s">
        <v>37</v>
      </c>
      <c r="D6" s="3"/>
      <c r="E6" s="3" t="s">
        <v>16</v>
      </c>
      <c r="G6" s="1" t="s">
        <v>91</v>
      </c>
      <c r="I6" s="18">
        <v>15</v>
      </c>
      <c r="J6" s="21">
        <f t="shared" si="8"/>
        <v>16.66667</v>
      </c>
      <c r="K6" s="21">
        <f t="shared" si="8"/>
        <v>18.33334</v>
      </c>
      <c r="L6" s="21">
        <f t="shared" si="8"/>
        <v>20.00001</v>
      </c>
      <c r="M6" s="20">
        <v>8.0833329999999997</v>
      </c>
      <c r="N6" s="19">
        <f>M6+8.083333</f>
        <v>16.166665999999999</v>
      </c>
      <c r="O6" s="19">
        <f t="shared" ref="O6:U6" si="43">N6+8.083333</f>
        <v>24.249998999999999</v>
      </c>
      <c r="P6" s="19">
        <f t="shared" si="43"/>
        <v>32.333331999999999</v>
      </c>
      <c r="Q6" s="19">
        <f t="shared" si="43"/>
        <v>40.416664999999995</v>
      </c>
      <c r="R6" s="19">
        <f t="shared" si="43"/>
        <v>48.499997999999991</v>
      </c>
      <c r="S6" s="19">
        <f t="shared" si="43"/>
        <v>56.583330999999987</v>
      </c>
      <c r="T6" s="19">
        <f t="shared" si="43"/>
        <v>64.666663999999983</v>
      </c>
      <c r="U6" s="19">
        <f t="shared" si="43"/>
        <v>72.749996999999979</v>
      </c>
      <c r="V6" s="19">
        <f>U6+8.083333</f>
        <v>80.833329999999975</v>
      </c>
      <c r="W6" s="19">
        <f>V6+8.083333</f>
        <v>88.916662999999971</v>
      </c>
      <c r="X6" s="19">
        <f>W6+8.083333</f>
        <v>96.999995999999967</v>
      </c>
      <c r="Y6" s="219">
        <f>ROUND(Z6/2,0)</f>
        <v>10</v>
      </c>
      <c r="Z6" s="246">
        <f t="shared" ref="Z6:AG6" si="44">AA6-(AB6-AA6)</f>
        <v>19</v>
      </c>
      <c r="AA6" s="246">
        <f t="shared" si="44"/>
        <v>28</v>
      </c>
      <c r="AB6" s="246">
        <f t="shared" si="44"/>
        <v>37</v>
      </c>
      <c r="AC6" s="246">
        <f t="shared" si="44"/>
        <v>46</v>
      </c>
      <c r="AD6" s="246">
        <f t="shared" si="44"/>
        <v>55</v>
      </c>
      <c r="AE6" s="246">
        <f t="shared" si="44"/>
        <v>64</v>
      </c>
      <c r="AF6" s="246">
        <f t="shared" si="44"/>
        <v>73</v>
      </c>
      <c r="AG6" s="263">
        <f t="shared" si="44"/>
        <v>82</v>
      </c>
      <c r="AH6" s="246">
        <f>AI6-(AJ6-AI6)</f>
        <v>91</v>
      </c>
      <c r="AI6" s="246">
        <f>-ROUND(AJ6/12,0)+AJ6</f>
        <v>100</v>
      </c>
      <c r="AJ6" s="263">
        <v>109</v>
      </c>
      <c r="AK6" s="408"/>
      <c r="AL6" s="48">
        <f>J6-I6</f>
        <v>1.6666699999999999</v>
      </c>
      <c r="AM6" s="48">
        <f t="shared" si="11"/>
        <v>1.6666699999999999</v>
      </c>
      <c r="AN6" s="48">
        <f t="shared" si="11"/>
        <v>1.6666699999999999</v>
      </c>
      <c r="AO6" s="48">
        <f>M6</f>
        <v>8.0833329999999997</v>
      </c>
      <c r="AP6" s="48">
        <f t="shared" si="12"/>
        <v>8.0833329999999997</v>
      </c>
      <c r="AQ6" s="48">
        <f t="shared" si="12"/>
        <v>8.0833329999999997</v>
      </c>
      <c r="AR6" s="48">
        <f t="shared" si="12"/>
        <v>8.0833329999999997</v>
      </c>
      <c r="AS6" s="48">
        <f t="shared" si="12"/>
        <v>8.0833329999999961</v>
      </c>
      <c r="AT6" s="48">
        <f t="shared" si="12"/>
        <v>8.0833329999999961</v>
      </c>
      <c r="AU6" s="48">
        <f t="shared" si="12"/>
        <v>8.0833329999999961</v>
      </c>
      <c r="AV6" s="48">
        <f t="shared" si="12"/>
        <v>8.0833329999999961</v>
      </c>
      <c r="AW6" s="48">
        <f t="shared" si="12"/>
        <v>8.0833329999999961</v>
      </c>
      <c r="AX6" s="48">
        <f t="shared" si="12"/>
        <v>8.0833329999999961</v>
      </c>
      <c r="AY6" s="48">
        <f t="shared" si="12"/>
        <v>8.0833329999999961</v>
      </c>
      <c r="AZ6" s="48">
        <f t="shared" si="12"/>
        <v>8.0833329999999961</v>
      </c>
      <c r="BA6" s="48">
        <f>Y6</f>
        <v>10</v>
      </c>
      <c r="BB6" s="48">
        <f t="shared" si="13"/>
        <v>9</v>
      </c>
      <c r="BC6" s="48">
        <f t="shared" si="13"/>
        <v>9</v>
      </c>
      <c r="BD6" s="48">
        <f t="shared" si="13"/>
        <v>9</v>
      </c>
      <c r="BE6" s="48">
        <f t="shared" si="13"/>
        <v>9</v>
      </c>
      <c r="BF6" s="48">
        <f t="shared" si="13"/>
        <v>9</v>
      </c>
      <c r="BG6" s="48">
        <f t="shared" si="13"/>
        <v>9</v>
      </c>
      <c r="BH6" s="48">
        <f t="shared" si="13"/>
        <v>9</v>
      </c>
      <c r="BI6" s="48">
        <f t="shared" si="13"/>
        <v>9</v>
      </c>
      <c r="BJ6" s="48">
        <f t="shared" si="13"/>
        <v>9</v>
      </c>
      <c r="BK6" s="48">
        <f t="shared" si="13"/>
        <v>9</v>
      </c>
      <c r="BL6" s="48">
        <f t="shared" si="13"/>
        <v>9</v>
      </c>
      <c r="BM6" s="408"/>
      <c r="BN6" s="48">
        <f t="shared" si="14"/>
        <v>5.0000099999999996</v>
      </c>
      <c r="BO6" s="48">
        <f t="shared" si="15"/>
        <v>5.0000099999999996</v>
      </c>
      <c r="BP6" s="48">
        <f t="shared" si="16"/>
        <v>5.0000099999999996</v>
      </c>
      <c r="BQ6" s="48">
        <f t="shared" si="17"/>
        <v>24.249998999999999</v>
      </c>
      <c r="BR6" s="48">
        <f t="shared" si="18"/>
        <v>24.249998999999999</v>
      </c>
      <c r="BS6" s="48">
        <f t="shared" si="19"/>
        <v>24.249998999999999</v>
      </c>
      <c r="BT6" s="48">
        <f t="shared" si="20"/>
        <v>24.249998999999992</v>
      </c>
      <c r="BU6" s="48">
        <f t="shared" si="21"/>
        <v>24.249998999999992</v>
      </c>
      <c r="BV6" s="48">
        <f t="shared" si="22"/>
        <v>24.249998999999992</v>
      </c>
      <c r="BW6" s="48">
        <f t="shared" si="23"/>
        <v>24.249998999999988</v>
      </c>
      <c r="BX6" s="48">
        <f t="shared" si="24"/>
        <v>24.249998999999988</v>
      </c>
      <c r="BY6" s="48">
        <f t="shared" si="25"/>
        <v>24.249998999999988</v>
      </c>
      <c r="BZ6" s="48">
        <f t="shared" si="26"/>
        <v>24.249998999999988</v>
      </c>
      <c r="CA6" s="48">
        <f t="shared" si="27"/>
        <v>24.249998999999988</v>
      </c>
      <c r="CB6" s="48">
        <f t="shared" si="28"/>
        <v>24.249998999999988</v>
      </c>
      <c r="CC6" s="48">
        <f t="shared" si="29"/>
        <v>28</v>
      </c>
      <c r="CD6" s="48">
        <f t="shared" si="30"/>
        <v>28</v>
      </c>
      <c r="CE6" s="48">
        <f t="shared" si="31"/>
        <v>28</v>
      </c>
      <c r="CF6" s="48">
        <f t="shared" si="32"/>
        <v>27</v>
      </c>
      <c r="CG6" s="48">
        <f t="shared" si="33"/>
        <v>27</v>
      </c>
      <c r="CH6" s="48">
        <f t="shared" si="34"/>
        <v>27</v>
      </c>
      <c r="CI6" s="48">
        <f t="shared" si="35"/>
        <v>27</v>
      </c>
      <c r="CJ6" s="48">
        <f t="shared" si="36"/>
        <v>27</v>
      </c>
      <c r="CK6" s="48">
        <f t="shared" si="37"/>
        <v>27</v>
      </c>
      <c r="CL6" s="48">
        <f t="shared" si="38"/>
        <v>27</v>
      </c>
      <c r="CM6" s="48">
        <f t="shared" si="39"/>
        <v>27</v>
      </c>
      <c r="CN6" s="48">
        <f t="shared" si="40"/>
        <v>27</v>
      </c>
      <c r="CO6" s="406"/>
      <c r="CP6" s="48">
        <f t="shared" si="41"/>
        <v>16.66667</v>
      </c>
      <c r="CQ6" s="48">
        <f t="shared" si="41"/>
        <v>18.33334</v>
      </c>
      <c r="CR6" s="48">
        <f t="shared" si="41"/>
        <v>20.00001</v>
      </c>
      <c r="CS6" s="48">
        <f>AO6</f>
        <v>8.0833329999999997</v>
      </c>
      <c r="CT6" s="48">
        <f t="shared" si="42"/>
        <v>16.166665999999999</v>
      </c>
      <c r="CU6" s="48">
        <f t="shared" si="42"/>
        <v>24.249998999999999</v>
      </c>
      <c r="CV6" s="48">
        <f t="shared" si="42"/>
        <v>32.333331999999999</v>
      </c>
      <c r="CW6" s="48">
        <f t="shared" si="42"/>
        <v>40.416664999999995</v>
      </c>
      <c r="CX6" s="48">
        <f t="shared" si="42"/>
        <v>48.499997999999991</v>
      </c>
      <c r="CY6" s="48">
        <f t="shared" si="42"/>
        <v>56.583330999999987</v>
      </c>
      <c r="CZ6" s="48">
        <f t="shared" si="42"/>
        <v>64.666663999999983</v>
      </c>
      <c r="DA6" s="48">
        <f t="shared" si="42"/>
        <v>72.749996999999979</v>
      </c>
      <c r="DB6" s="48">
        <f t="shared" si="42"/>
        <v>80.833329999999975</v>
      </c>
      <c r="DC6" s="48">
        <f t="shared" si="42"/>
        <v>88.916662999999971</v>
      </c>
      <c r="DD6" s="48">
        <f t="shared" si="42"/>
        <v>96.999995999999967</v>
      </c>
      <c r="DE6" s="48">
        <f>+BA6</f>
        <v>10</v>
      </c>
      <c r="DF6" s="48">
        <f t="shared" si="4"/>
        <v>19</v>
      </c>
      <c r="DG6" s="48">
        <f t="shared" si="4"/>
        <v>28</v>
      </c>
      <c r="DH6" s="48">
        <f t="shared" si="4"/>
        <v>37</v>
      </c>
      <c r="DI6" s="48">
        <f t="shared" si="4"/>
        <v>46</v>
      </c>
      <c r="DJ6" s="48">
        <f t="shared" si="4"/>
        <v>55</v>
      </c>
      <c r="DK6" s="48">
        <f t="shared" si="4"/>
        <v>64</v>
      </c>
      <c r="DL6" s="48">
        <f t="shared" si="4"/>
        <v>73</v>
      </c>
      <c r="DM6" s="48">
        <f t="shared" si="4"/>
        <v>82</v>
      </c>
      <c r="DN6" s="48">
        <f t="shared" si="4"/>
        <v>91</v>
      </c>
      <c r="DO6" s="48">
        <f t="shared" si="4"/>
        <v>100</v>
      </c>
      <c r="DP6" s="48">
        <f t="shared" si="4"/>
        <v>109</v>
      </c>
      <c r="DQ6" s="48"/>
      <c r="DR6" s="48"/>
      <c r="DS6" s="48"/>
      <c r="DT6" s="48"/>
      <c r="DU6" s="48"/>
      <c r="DV6" s="48"/>
      <c r="DW6" s="48"/>
      <c r="DX6" s="48"/>
      <c r="DY6" s="48"/>
      <c r="DZ6" s="1">
        <f>'Input &amp; Calc'!L6</f>
        <v>20.00001</v>
      </c>
      <c r="EA6" s="49">
        <f>DD6</f>
        <v>96.999995999999967</v>
      </c>
      <c r="EB6" s="50">
        <f>DP6</f>
        <v>109</v>
      </c>
      <c r="EC6" s="50"/>
      <c r="ED6" s="408"/>
      <c r="EE6" s="51">
        <f t="shared" si="5"/>
        <v>9</v>
      </c>
      <c r="EF6" s="51">
        <f t="shared" si="6"/>
        <v>27</v>
      </c>
      <c r="EG6" s="51">
        <f>HLOOKUP($EJ$3,Budget,ROW()-1)</f>
        <v>109</v>
      </c>
      <c r="EH6" s="40"/>
      <c r="EI6" s="112" t="s">
        <v>156</v>
      </c>
      <c r="EJ6" s="113">
        <f>HLOOKUP($I$1,YTD,50)</f>
        <v>0</v>
      </c>
      <c r="EK6" s="675"/>
      <c r="EL6" s="37"/>
      <c r="EM6" s="37"/>
      <c r="EN6" s="37"/>
      <c r="EO6" s="49"/>
      <c r="EP6" s="49"/>
      <c r="EQ6" s="49"/>
      <c r="FC6" s="568">
        <f>DD6</f>
        <v>96.999995999999967</v>
      </c>
      <c r="FD6" s="568">
        <f>DP6</f>
        <v>109</v>
      </c>
      <c r="FE6" s="568">
        <f t="shared" si="7"/>
        <v>87</v>
      </c>
      <c r="FF6" s="568">
        <f>ROUND(FE6/7*12,0)</f>
        <v>149</v>
      </c>
    </row>
    <row r="7" spans="1:162" s="1" customFormat="1">
      <c r="A7" s="5" t="s">
        <v>22</v>
      </c>
      <c r="B7" s="2" t="s">
        <v>3</v>
      </c>
      <c r="C7" s="3" t="s">
        <v>38</v>
      </c>
      <c r="D7" s="3"/>
      <c r="E7" s="3" t="s">
        <v>16</v>
      </c>
      <c r="G7" s="1" t="s">
        <v>91</v>
      </c>
      <c r="I7" s="18">
        <v>7.5</v>
      </c>
      <c r="J7" s="19">
        <f>I7+10</f>
        <v>17.5</v>
      </c>
      <c r="K7" s="19">
        <f>J7+10+1</f>
        <v>28.5</v>
      </c>
      <c r="L7" s="19">
        <f>K7+10+1</f>
        <v>39.5</v>
      </c>
      <c r="M7" s="20">
        <v>2.0833330000000001</v>
      </c>
      <c r="N7" s="19">
        <f>+M7+2.083333</f>
        <v>4.1666660000000002</v>
      </c>
      <c r="O7" s="19">
        <f t="shared" ref="O7:X7" si="45">+N7+2.083333</f>
        <v>6.2499990000000007</v>
      </c>
      <c r="P7" s="19">
        <f t="shared" si="45"/>
        <v>8.3333320000000004</v>
      </c>
      <c r="Q7" s="19">
        <f t="shared" si="45"/>
        <v>10.416665</v>
      </c>
      <c r="R7" s="19">
        <f t="shared" si="45"/>
        <v>12.499998</v>
      </c>
      <c r="S7" s="19">
        <f t="shared" si="45"/>
        <v>14.583330999999999</v>
      </c>
      <c r="T7" s="19">
        <f t="shared" si="45"/>
        <v>16.666664000000001</v>
      </c>
      <c r="U7" s="19">
        <f t="shared" si="45"/>
        <v>18.749997</v>
      </c>
      <c r="V7" s="19">
        <f t="shared" si="45"/>
        <v>20.83333</v>
      </c>
      <c r="W7" s="19">
        <f t="shared" si="45"/>
        <v>22.916663</v>
      </c>
      <c r="X7" s="19">
        <f t="shared" si="45"/>
        <v>24.999995999999999</v>
      </c>
      <c r="Y7" s="219">
        <v>1.25</v>
      </c>
      <c r="Z7" s="246">
        <f>Y7+1.25</f>
        <v>2.5</v>
      </c>
      <c r="AA7" s="376">
        <f t="shared" ref="AA7:AJ7" si="46">Z7+1.25</f>
        <v>3.75</v>
      </c>
      <c r="AB7" s="376">
        <f t="shared" si="46"/>
        <v>5</v>
      </c>
      <c r="AC7" s="376">
        <f t="shared" si="46"/>
        <v>6.25</v>
      </c>
      <c r="AD7" s="376">
        <f t="shared" si="46"/>
        <v>7.5</v>
      </c>
      <c r="AE7" s="376">
        <f t="shared" si="46"/>
        <v>8.75</v>
      </c>
      <c r="AF7" s="376">
        <f t="shared" si="46"/>
        <v>10</v>
      </c>
      <c r="AG7" s="263">
        <f t="shared" si="46"/>
        <v>11.25</v>
      </c>
      <c r="AH7" s="376">
        <f t="shared" si="46"/>
        <v>12.5</v>
      </c>
      <c r="AI7" s="376">
        <f t="shared" si="46"/>
        <v>13.75</v>
      </c>
      <c r="AJ7" s="263">
        <f t="shared" si="46"/>
        <v>15</v>
      </c>
      <c r="AK7" s="408"/>
      <c r="AL7" s="48">
        <f>J7-I7</f>
        <v>10</v>
      </c>
      <c r="AM7" s="48">
        <f t="shared" si="11"/>
        <v>11</v>
      </c>
      <c r="AN7" s="48">
        <f t="shared" si="11"/>
        <v>11</v>
      </c>
      <c r="AO7" s="48">
        <f>M7</f>
        <v>2.0833330000000001</v>
      </c>
      <c r="AP7" s="48">
        <f t="shared" si="12"/>
        <v>2.0833330000000001</v>
      </c>
      <c r="AQ7" s="48">
        <f t="shared" si="12"/>
        <v>2.0833330000000005</v>
      </c>
      <c r="AR7" s="48">
        <f t="shared" si="12"/>
        <v>2.0833329999999997</v>
      </c>
      <c r="AS7" s="48">
        <f t="shared" si="12"/>
        <v>2.0833329999999997</v>
      </c>
      <c r="AT7" s="48">
        <f t="shared" si="12"/>
        <v>2.0833329999999997</v>
      </c>
      <c r="AU7" s="48">
        <f t="shared" si="12"/>
        <v>2.0833329999999997</v>
      </c>
      <c r="AV7" s="48">
        <f t="shared" si="12"/>
        <v>2.0833330000000014</v>
      </c>
      <c r="AW7" s="48">
        <f t="shared" si="12"/>
        <v>2.0833329999999997</v>
      </c>
      <c r="AX7" s="48">
        <f t="shared" si="12"/>
        <v>2.0833329999999997</v>
      </c>
      <c r="AY7" s="48">
        <f t="shared" si="12"/>
        <v>2.0833329999999997</v>
      </c>
      <c r="AZ7" s="48">
        <f t="shared" si="12"/>
        <v>2.0833329999999997</v>
      </c>
      <c r="BA7" s="48">
        <f>Y7</f>
        <v>1.25</v>
      </c>
      <c r="BB7" s="48">
        <f t="shared" si="13"/>
        <v>1.25</v>
      </c>
      <c r="BC7" s="48">
        <f t="shared" si="13"/>
        <v>1.25</v>
      </c>
      <c r="BD7" s="48">
        <f t="shared" si="13"/>
        <v>1.25</v>
      </c>
      <c r="BE7" s="48">
        <f t="shared" si="13"/>
        <v>1.25</v>
      </c>
      <c r="BF7" s="48">
        <f t="shared" si="13"/>
        <v>1.25</v>
      </c>
      <c r="BG7" s="48">
        <f t="shared" si="13"/>
        <v>1.25</v>
      </c>
      <c r="BH7" s="48">
        <f t="shared" si="13"/>
        <v>1.25</v>
      </c>
      <c r="BI7" s="48">
        <f t="shared" si="13"/>
        <v>1.25</v>
      </c>
      <c r="BJ7" s="48">
        <f t="shared" si="13"/>
        <v>1.25</v>
      </c>
      <c r="BK7" s="48">
        <f t="shared" si="13"/>
        <v>1.25</v>
      </c>
      <c r="BL7" s="48">
        <f t="shared" si="13"/>
        <v>1.25</v>
      </c>
      <c r="BM7" s="408"/>
      <c r="BN7" s="48">
        <f t="shared" si="14"/>
        <v>32</v>
      </c>
      <c r="BO7" s="48">
        <f t="shared" si="15"/>
        <v>32</v>
      </c>
      <c r="BP7" s="48">
        <f t="shared" si="16"/>
        <v>32</v>
      </c>
      <c r="BQ7" s="48">
        <f t="shared" si="17"/>
        <v>6.2499990000000007</v>
      </c>
      <c r="BR7" s="48">
        <f t="shared" si="18"/>
        <v>6.2499990000000007</v>
      </c>
      <c r="BS7" s="48">
        <f t="shared" si="19"/>
        <v>6.2499990000000007</v>
      </c>
      <c r="BT7" s="48">
        <f t="shared" si="20"/>
        <v>6.249998999999999</v>
      </c>
      <c r="BU7" s="48">
        <f t="shared" si="21"/>
        <v>6.249998999999999</v>
      </c>
      <c r="BV7" s="48">
        <f t="shared" si="22"/>
        <v>6.249998999999999</v>
      </c>
      <c r="BW7" s="48">
        <f t="shared" si="23"/>
        <v>6.2499990000000007</v>
      </c>
      <c r="BX7" s="48">
        <f t="shared" si="24"/>
        <v>6.2499990000000007</v>
      </c>
      <c r="BY7" s="48">
        <f t="shared" si="25"/>
        <v>6.2499990000000007</v>
      </c>
      <c r="BZ7" s="48">
        <f t="shared" si="26"/>
        <v>6.249998999999999</v>
      </c>
      <c r="CA7" s="48">
        <f t="shared" si="27"/>
        <v>6.249998999999999</v>
      </c>
      <c r="CB7" s="48">
        <f t="shared" si="28"/>
        <v>6.249998999999999</v>
      </c>
      <c r="CC7" s="48">
        <f t="shared" si="29"/>
        <v>3.75</v>
      </c>
      <c r="CD7" s="48">
        <f t="shared" si="30"/>
        <v>3.75</v>
      </c>
      <c r="CE7" s="48">
        <f t="shared" si="31"/>
        <v>3.75</v>
      </c>
      <c r="CF7" s="48">
        <f t="shared" si="32"/>
        <v>3.75</v>
      </c>
      <c r="CG7" s="48">
        <f t="shared" si="33"/>
        <v>3.75</v>
      </c>
      <c r="CH7" s="48">
        <f t="shared" si="34"/>
        <v>3.75</v>
      </c>
      <c r="CI7" s="48">
        <f t="shared" si="35"/>
        <v>3.75</v>
      </c>
      <c r="CJ7" s="48">
        <f t="shared" si="36"/>
        <v>3.75</v>
      </c>
      <c r="CK7" s="48">
        <f t="shared" si="37"/>
        <v>3.75</v>
      </c>
      <c r="CL7" s="48">
        <f t="shared" si="38"/>
        <v>3.75</v>
      </c>
      <c r="CM7" s="48">
        <f t="shared" si="39"/>
        <v>3.75</v>
      </c>
      <c r="CN7" s="48">
        <f t="shared" si="40"/>
        <v>3.75</v>
      </c>
      <c r="CO7" s="406"/>
      <c r="CP7" s="48">
        <f t="shared" si="41"/>
        <v>17.5</v>
      </c>
      <c r="CQ7" s="48">
        <f t="shared" si="41"/>
        <v>28.5</v>
      </c>
      <c r="CR7" s="48">
        <f t="shared" si="41"/>
        <v>39.5</v>
      </c>
      <c r="CS7" s="48">
        <f>AO7</f>
        <v>2.0833330000000001</v>
      </c>
      <c r="CT7" s="48">
        <f t="shared" si="42"/>
        <v>4.1666660000000002</v>
      </c>
      <c r="CU7" s="48">
        <f t="shared" si="42"/>
        <v>6.2499990000000007</v>
      </c>
      <c r="CV7" s="48">
        <f t="shared" si="42"/>
        <v>8.3333320000000004</v>
      </c>
      <c r="CW7" s="48">
        <f t="shared" si="42"/>
        <v>10.416665</v>
      </c>
      <c r="CX7" s="48">
        <f t="shared" si="42"/>
        <v>12.499998</v>
      </c>
      <c r="CY7" s="48">
        <f t="shared" si="42"/>
        <v>14.583330999999999</v>
      </c>
      <c r="CZ7" s="48">
        <f t="shared" si="42"/>
        <v>16.666664000000001</v>
      </c>
      <c r="DA7" s="48">
        <f t="shared" si="42"/>
        <v>18.749997</v>
      </c>
      <c r="DB7" s="48">
        <f t="shared" si="42"/>
        <v>20.83333</v>
      </c>
      <c r="DC7" s="48">
        <f t="shared" si="42"/>
        <v>22.916663</v>
      </c>
      <c r="DD7" s="48">
        <f t="shared" si="42"/>
        <v>24.999995999999999</v>
      </c>
      <c r="DE7" s="48">
        <f>+BA7</f>
        <v>1.25</v>
      </c>
      <c r="DF7" s="48">
        <f t="shared" si="4"/>
        <v>2.5</v>
      </c>
      <c r="DG7" s="48">
        <f t="shared" si="4"/>
        <v>3.75</v>
      </c>
      <c r="DH7" s="48">
        <f t="shared" si="4"/>
        <v>5</v>
      </c>
      <c r="DI7" s="48">
        <f t="shared" si="4"/>
        <v>6.25</v>
      </c>
      <c r="DJ7" s="48">
        <f t="shared" si="4"/>
        <v>7.5</v>
      </c>
      <c r="DK7" s="48">
        <f t="shared" si="4"/>
        <v>8.75</v>
      </c>
      <c r="DL7" s="48">
        <f t="shared" si="4"/>
        <v>10</v>
      </c>
      <c r="DM7" s="48">
        <f t="shared" si="4"/>
        <v>11.25</v>
      </c>
      <c r="DN7" s="48">
        <f t="shared" si="4"/>
        <v>12.5</v>
      </c>
      <c r="DO7" s="48">
        <f t="shared" si="4"/>
        <v>13.75</v>
      </c>
      <c r="DP7" s="48">
        <f t="shared" si="4"/>
        <v>15</v>
      </c>
      <c r="DQ7" s="48"/>
      <c r="DR7" s="48"/>
      <c r="DS7" s="48"/>
      <c r="DT7" s="48"/>
      <c r="DU7" s="48"/>
      <c r="DV7" s="48"/>
      <c r="DW7" s="48"/>
      <c r="DX7" s="48"/>
      <c r="DY7" s="48"/>
      <c r="DZ7" s="1">
        <f>'Input &amp; Calc'!L7</f>
        <v>39.5</v>
      </c>
      <c r="EA7" s="49">
        <f>DD7</f>
        <v>24.999995999999999</v>
      </c>
      <c r="EB7" s="50">
        <f>DP7</f>
        <v>15</v>
      </c>
      <c r="EC7" s="50"/>
      <c r="ED7" s="408"/>
      <c r="EE7" s="51">
        <f t="shared" si="5"/>
        <v>1.25</v>
      </c>
      <c r="EF7" s="51">
        <f t="shared" si="6"/>
        <v>3.75</v>
      </c>
      <c r="EG7" s="51">
        <f>HLOOKUP($EJ$3,Budget,ROW()-1)</f>
        <v>15</v>
      </c>
      <c r="EH7" s="40"/>
      <c r="EI7" s="114" t="s">
        <v>158</v>
      </c>
      <c r="EJ7" s="133">
        <f>I1</f>
        <v>40391</v>
      </c>
      <c r="EK7" s="675"/>
      <c r="EL7" s="37"/>
      <c r="EM7" s="37"/>
      <c r="EN7" s="37"/>
      <c r="EO7" s="49"/>
      <c r="EP7" s="49"/>
      <c r="EQ7" s="49"/>
      <c r="FC7" s="568">
        <f>DD7</f>
        <v>24.999995999999999</v>
      </c>
      <c r="FD7" s="568">
        <f>DP7</f>
        <v>15</v>
      </c>
      <c r="FE7" s="568">
        <f t="shared" si="7"/>
        <v>9</v>
      </c>
      <c r="FF7" s="568">
        <f>ROUND(FE7/7*12,0)</f>
        <v>15</v>
      </c>
    </row>
    <row r="8" spans="1:162" s="1" customFormat="1" ht="13.5" thickBot="1">
      <c r="A8" s="7" t="s">
        <v>22</v>
      </c>
      <c r="B8" s="2" t="s">
        <v>94</v>
      </c>
      <c r="C8" s="3" t="s">
        <v>39</v>
      </c>
      <c r="D8" s="3"/>
      <c r="E8" s="3" t="s">
        <v>16</v>
      </c>
      <c r="G8" s="1" t="s">
        <v>91</v>
      </c>
      <c r="I8" s="116">
        <v>0.375</v>
      </c>
      <c r="J8" s="116">
        <f>+I8+0.8333333</f>
        <v>1.2083333000000001</v>
      </c>
      <c r="K8" s="116">
        <f>+J8+0.8333333</f>
        <v>2.0416666000000001</v>
      </c>
      <c r="L8" s="116">
        <f>+K8+0.8333333</f>
        <v>2.8749999000000002</v>
      </c>
      <c r="M8" s="117">
        <v>4.1666666999999998E-2</v>
      </c>
      <c r="N8" s="116">
        <f>+M8+0.04166667</f>
        <v>8.3333337000000007E-2</v>
      </c>
      <c r="O8" s="116">
        <f t="shared" ref="O8:U8" si="47">+N8+0.04166667</f>
        <v>0.12500000700000002</v>
      </c>
      <c r="P8" s="116">
        <f t="shared" si="47"/>
        <v>0.16666667700000004</v>
      </c>
      <c r="Q8" s="116">
        <f t="shared" si="47"/>
        <v>0.20833334700000006</v>
      </c>
      <c r="R8" s="116">
        <f t="shared" si="47"/>
        <v>0.25000001700000007</v>
      </c>
      <c r="S8" s="116">
        <f t="shared" si="47"/>
        <v>0.29166668700000009</v>
      </c>
      <c r="T8" s="116">
        <f t="shared" si="47"/>
        <v>0.33333335700000011</v>
      </c>
      <c r="U8" s="116">
        <f t="shared" si="47"/>
        <v>0.37500002700000012</v>
      </c>
      <c r="V8" s="116">
        <f>+U8+0.04166667</f>
        <v>0.41666669700000014</v>
      </c>
      <c r="W8" s="116">
        <f>+V8+0.04166667</f>
        <v>0.45833336700000016</v>
      </c>
      <c r="X8" s="116">
        <f>+W8+0.04166667</f>
        <v>0.50000003700000017</v>
      </c>
      <c r="Y8" s="221">
        <v>0.625</v>
      </c>
      <c r="Z8" s="246">
        <f>Y8+0.625</f>
        <v>1.25</v>
      </c>
      <c r="AA8" s="376">
        <f t="shared" ref="AA8:AJ8" si="48">Z8+0.625</f>
        <v>1.875</v>
      </c>
      <c r="AB8" s="376">
        <f t="shared" si="48"/>
        <v>2.5</v>
      </c>
      <c r="AC8" s="376">
        <f t="shared" si="48"/>
        <v>3.125</v>
      </c>
      <c r="AD8" s="376">
        <f t="shared" si="48"/>
        <v>3.75</v>
      </c>
      <c r="AE8" s="376">
        <f t="shared" si="48"/>
        <v>4.375</v>
      </c>
      <c r="AF8" s="376">
        <f t="shared" si="48"/>
        <v>5</v>
      </c>
      <c r="AG8" s="263">
        <f t="shared" si="48"/>
        <v>5.625</v>
      </c>
      <c r="AH8" s="376">
        <f t="shared" si="48"/>
        <v>6.25</v>
      </c>
      <c r="AI8" s="376">
        <f t="shared" si="48"/>
        <v>6.875</v>
      </c>
      <c r="AJ8" s="189">
        <f t="shared" si="48"/>
        <v>7.5</v>
      </c>
      <c r="AK8" s="416"/>
      <c r="AL8" s="118">
        <f>J8-I8</f>
        <v>0.83333330000000005</v>
      </c>
      <c r="AM8" s="118">
        <f t="shared" si="11"/>
        <v>0.83333330000000005</v>
      </c>
      <c r="AN8" s="118">
        <f t="shared" si="11"/>
        <v>0.83333330000000005</v>
      </c>
      <c r="AO8" s="119">
        <f>M8</f>
        <v>4.1666666999999998E-2</v>
      </c>
      <c r="AP8" s="118">
        <f t="shared" si="12"/>
        <v>4.166667000000001E-2</v>
      </c>
      <c r="AQ8" s="118">
        <f t="shared" si="12"/>
        <v>4.1666670000000017E-2</v>
      </c>
      <c r="AR8" s="118">
        <f t="shared" si="12"/>
        <v>4.1666670000000017E-2</v>
      </c>
      <c r="AS8" s="118">
        <f t="shared" si="12"/>
        <v>4.1666670000000017E-2</v>
      </c>
      <c r="AT8" s="118">
        <f t="shared" si="12"/>
        <v>4.1666670000000017E-2</v>
      </c>
      <c r="AU8" s="118">
        <f t="shared" si="12"/>
        <v>4.1666670000000017E-2</v>
      </c>
      <c r="AV8" s="118">
        <f t="shared" si="12"/>
        <v>4.1666670000000017E-2</v>
      </c>
      <c r="AW8" s="118">
        <f t="shared" si="12"/>
        <v>4.1666670000000017E-2</v>
      </c>
      <c r="AX8" s="118">
        <f t="shared" si="12"/>
        <v>4.1666670000000017E-2</v>
      </c>
      <c r="AY8" s="118">
        <f t="shared" si="12"/>
        <v>4.1666670000000017E-2</v>
      </c>
      <c r="AZ8" s="118">
        <f t="shared" si="12"/>
        <v>4.1666670000000017E-2</v>
      </c>
      <c r="BA8" s="118">
        <f>Y8</f>
        <v>0.625</v>
      </c>
      <c r="BB8" s="118">
        <f t="shared" si="13"/>
        <v>0.625</v>
      </c>
      <c r="BC8" s="118">
        <f t="shared" si="13"/>
        <v>0.625</v>
      </c>
      <c r="BD8" s="118">
        <f t="shared" si="13"/>
        <v>0.625</v>
      </c>
      <c r="BE8" s="118">
        <f t="shared" si="13"/>
        <v>0.625</v>
      </c>
      <c r="BF8" s="118">
        <f t="shared" si="13"/>
        <v>0.625</v>
      </c>
      <c r="BG8" s="118">
        <f t="shared" si="13"/>
        <v>0.625</v>
      </c>
      <c r="BH8" s="118">
        <f t="shared" si="13"/>
        <v>0.625</v>
      </c>
      <c r="BI8" s="118">
        <f t="shared" si="13"/>
        <v>0.625</v>
      </c>
      <c r="BJ8" s="118">
        <f t="shared" si="13"/>
        <v>0.625</v>
      </c>
      <c r="BK8" s="118">
        <f t="shared" si="13"/>
        <v>0.625</v>
      </c>
      <c r="BL8" s="118">
        <f t="shared" si="13"/>
        <v>0.625</v>
      </c>
      <c r="BM8" s="409"/>
      <c r="BN8" s="119">
        <f t="shared" si="14"/>
        <v>2.4999999000000002</v>
      </c>
      <c r="BO8" s="119">
        <f t="shared" si="15"/>
        <v>2.4999999000000002</v>
      </c>
      <c r="BP8" s="119">
        <f t="shared" si="16"/>
        <v>2.4999999000000002</v>
      </c>
      <c r="BQ8" s="119">
        <f t="shared" si="17"/>
        <v>0.12500000700000002</v>
      </c>
      <c r="BR8" s="119">
        <f t="shared" si="18"/>
        <v>0.12500000700000002</v>
      </c>
      <c r="BS8" s="119">
        <f t="shared" si="19"/>
        <v>0.12500000700000002</v>
      </c>
      <c r="BT8" s="119">
        <f t="shared" si="20"/>
        <v>0.12500001000000005</v>
      </c>
      <c r="BU8" s="119">
        <f t="shared" si="21"/>
        <v>0.12500001000000005</v>
      </c>
      <c r="BV8" s="119">
        <f t="shared" si="22"/>
        <v>0.12500001000000005</v>
      </c>
      <c r="BW8" s="119">
        <f t="shared" si="23"/>
        <v>0.12500001000000005</v>
      </c>
      <c r="BX8" s="119">
        <f t="shared" si="24"/>
        <v>0.12500001000000005</v>
      </c>
      <c r="BY8" s="119">
        <f t="shared" si="25"/>
        <v>0.12500001000000005</v>
      </c>
      <c r="BZ8" s="119">
        <f t="shared" si="26"/>
        <v>0.12500001000000005</v>
      </c>
      <c r="CA8" s="119">
        <f t="shared" si="27"/>
        <v>0.12500001000000005</v>
      </c>
      <c r="CB8" s="119">
        <f t="shared" si="28"/>
        <v>0.12500001000000005</v>
      </c>
      <c r="CC8" s="119">
        <f t="shared" si="29"/>
        <v>1.875</v>
      </c>
      <c r="CD8" s="119">
        <f t="shared" si="30"/>
        <v>1.875</v>
      </c>
      <c r="CE8" s="119">
        <f t="shared" si="31"/>
        <v>1.875</v>
      </c>
      <c r="CF8" s="119">
        <f t="shared" si="32"/>
        <v>1.875</v>
      </c>
      <c r="CG8" s="119">
        <f t="shared" si="33"/>
        <v>1.875</v>
      </c>
      <c r="CH8" s="119">
        <f t="shared" si="34"/>
        <v>1.875</v>
      </c>
      <c r="CI8" s="119">
        <f t="shared" si="35"/>
        <v>1.875</v>
      </c>
      <c r="CJ8" s="119">
        <f t="shared" si="36"/>
        <v>1.875</v>
      </c>
      <c r="CK8" s="119">
        <f t="shared" si="37"/>
        <v>1.875</v>
      </c>
      <c r="CL8" s="119">
        <f t="shared" si="38"/>
        <v>1.875</v>
      </c>
      <c r="CM8" s="119">
        <f t="shared" si="39"/>
        <v>1.875</v>
      </c>
      <c r="CN8" s="119">
        <f t="shared" si="40"/>
        <v>1.875</v>
      </c>
      <c r="CO8" s="421"/>
      <c r="CP8" s="118">
        <f t="shared" si="41"/>
        <v>1.2083333000000001</v>
      </c>
      <c r="CQ8" s="118">
        <f t="shared" si="41"/>
        <v>2.0416666000000001</v>
      </c>
      <c r="CR8" s="118">
        <f t="shared" si="41"/>
        <v>2.8749999000000002</v>
      </c>
      <c r="CS8" s="118">
        <f>AO8</f>
        <v>4.1666666999999998E-2</v>
      </c>
      <c r="CT8" s="118">
        <f t="shared" si="42"/>
        <v>8.3333337000000007E-2</v>
      </c>
      <c r="CU8" s="118">
        <f t="shared" si="42"/>
        <v>0.12500000700000002</v>
      </c>
      <c r="CV8" s="118">
        <f t="shared" si="42"/>
        <v>0.16666667700000004</v>
      </c>
      <c r="CW8" s="118">
        <f t="shared" si="42"/>
        <v>0.20833334700000006</v>
      </c>
      <c r="CX8" s="118">
        <f t="shared" si="42"/>
        <v>0.25000001700000007</v>
      </c>
      <c r="CY8" s="118">
        <f t="shared" si="42"/>
        <v>0.29166668700000009</v>
      </c>
      <c r="CZ8" s="118">
        <f t="shared" si="42"/>
        <v>0.33333335700000011</v>
      </c>
      <c r="DA8" s="118">
        <f t="shared" si="42"/>
        <v>0.37500002700000012</v>
      </c>
      <c r="DB8" s="118">
        <f t="shared" si="42"/>
        <v>0.41666669700000014</v>
      </c>
      <c r="DC8" s="118">
        <f t="shared" si="42"/>
        <v>0.45833336700000016</v>
      </c>
      <c r="DD8" s="118">
        <f t="shared" si="42"/>
        <v>0.50000003700000017</v>
      </c>
      <c r="DE8" s="118">
        <f>+BA8</f>
        <v>0.625</v>
      </c>
      <c r="DF8" s="118">
        <f t="shared" si="4"/>
        <v>1.25</v>
      </c>
      <c r="DG8" s="118">
        <f t="shared" si="4"/>
        <v>1.875</v>
      </c>
      <c r="DH8" s="118">
        <f t="shared" si="4"/>
        <v>2.5</v>
      </c>
      <c r="DI8" s="118">
        <f t="shared" si="4"/>
        <v>3.125</v>
      </c>
      <c r="DJ8" s="118">
        <f t="shared" si="4"/>
        <v>3.75</v>
      </c>
      <c r="DK8" s="118">
        <f t="shared" si="4"/>
        <v>4.375</v>
      </c>
      <c r="DL8" s="118">
        <f t="shared" si="4"/>
        <v>5</v>
      </c>
      <c r="DM8" s="118">
        <f t="shared" si="4"/>
        <v>5.625</v>
      </c>
      <c r="DN8" s="118">
        <f t="shared" si="4"/>
        <v>6.25</v>
      </c>
      <c r="DO8" s="118">
        <f t="shared" si="4"/>
        <v>6.875</v>
      </c>
      <c r="DP8" s="118">
        <f t="shared" si="4"/>
        <v>7.5</v>
      </c>
      <c r="DQ8" s="118"/>
      <c r="DR8" s="118"/>
      <c r="DS8" s="118"/>
      <c r="DT8" s="118"/>
      <c r="DU8" s="118"/>
      <c r="DV8" s="118"/>
      <c r="DW8" s="118"/>
      <c r="DX8" s="118"/>
      <c r="DY8" s="118"/>
      <c r="DZ8" s="121">
        <f>'Input &amp; Calc'!L8</f>
        <v>2.8749999000000002</v>
      </c>
      <c r="EA8" s="122">
        <f>DD8</f>
        <v>0.50000003700000017</v>
      </c>
      <c r="EB8" s="120">
        <f>DP8</f>
        <v>7.5</v>
      </c>
      <c r="EC8" s="120"/>
      <c r="ED8" s="409"/>
      <c r="EE8" s="118">
        <f t="shared" si="5"/>
        <v>0.625</v>
      </c>
      <c r="EF8" s="118">
        <f t="shared" si="6"/>
        <v>1.875</v>
      </c>
      <c r="EG8" s="118">
        <f>HLOOKUP($EJ$3,Budget,ROW()-1)</f>
        <v>7.5</v>
      </c>
      <c r="EH8" s="40"/>
      <c r="EK8" s="675"/>
      <c r="EL8" s="37"/>
      <c r="EM8" s="37"/>
      <c r="EN8" s="37"/>
      <c r="EO8" s="49"/>
      <c r="EP8" s="49"/>
      <c r="EQ8" s="49"/>
      <c r="FC8" s="568">
        <f>DD8</f>
        <v>0.50000003700000017</v>
      </c>
      <c r="FD8" s="568">
        <f>DP8</f>
        <v>7.5</v>
      </c>
      <c r="FE8" s="568">
        <f t="shared" si="7"/>
        <v>7.7590000000000003</v>
      </c>
      <c r="FF8" s="568">
        <f>ROUND(FE8/7*12,0)</f>
        <v>13</v>
      </c>
    </row>
    <row r="9" spans="1:162">
      <c r="A9" s="6" t="s">
        <v>23</v>
      </c>
      <c r="B9" s="2" t="s">
        <v>5</v>
      </c>
      <c r="C9" s="3" t="s">
        <v>42</v>
      </c>
      <c r="E9" s="3" t="s">
        <v>16</v>
      </c>
      <c r="G9" s="3" t="s">
        <v>91</v>
      </c>
      <c r="I9" s="23"/>
      <c r="J9" s="19">
        <v>6.3333329999999997</v>
      </c>
      <c r="K9" s="19">
        <f>+J9+6.333333</f>
        <v>12.666665999999999</v>
      </c>
      <c r="L9" s="19">
        <f t="shared" ref="L9:U9" si="49">+K9+6.333333</f>
        <v>18.999998999999999</v>
      </c>
      <c r="M9" s="19">
        <f t="shared" si="49"/>
        <v>25.333331999999999</v>
      </c>
      <c r="N9" s="19">
        <f t="shared" si="49"/>
        <v>31.666664999999998</v>
      </c>
      <c r="O9" s="19">
        <f t="shared" si="49"/>
        <v>37.999997999999998</v>
      </c>
      <c r="P9" s="19">
        <f t="shared" si="49"/>
        <v>44.333331000000001</v>
      </c>
      <c r="Q9" s="19">
        <f t="shared" si="49"/>
        <v>50.666663999999997</v>
      </c>
      <c r="R9" s="19">
        <f t="shared" si="49"/>
        <v>56.999996999999993</v>
      </c>
      <c r="S9" s="19">
        <f t="shared" si="49"/>
        <v>63.333329999999989</v>
      </c>
      <c r="T9" s="19">
        <f t="shared" si="49"/>
        <v>69.666662999999986</v>
      </c>
      <c r="U9" s="19">
        <f t="shared" si="49"/>
        <v>75.999995999999982</v>
      </c>
      <c r="V9" s="219">
        <f>ROUND(W9/2,0)</f>
        <v>8</v>
      </c>
      <c r="W9" s="246">
        <f t="shared" ref="W9:AE9" si="50">X9-(Y9-X9)</f>
        <v>16</v>
      </c>
      <c r="X9" s="246">
        <f t="shared" si="50"/>
        <v>22</v>
      </c>
      <c r="Y9" s="246">
        <f t="shared" si="50"/>
        <v>28</v>
      </c>
      <c r="Z9" s="246">
        <f t="shared" si="50"/>
        <v>34</v>
      </c>
      <c r="AA9" s="246">
        <f t="shared" si="50"/>
        <v>40</v>
      </c>
      <c r="AB9" s="246">
        <f t="shared" si="50"/>
        <v>46</v>
      </c>
      <c r="AC9" s="246">
        <f t="shared" si="50"/>
        <v>52</v>
      </c>
      <c r="AD9" s="246">
        <f t="shared" si="50"/>
        <v>58</v>
      </c>
      <c r="AE9" s="246">
        <f t="shared" si="50"/>
        <v>64</v>
      </c>
      <c r="AF9" s="246">
        <f>-ROUND(AG9/12,0)+AG9</f>
        <v>70</v>
      </c>
      <c r="AG9" s="263">
        <v>76</v>
      </c>
      <c r="AH9" s="31">
        <f>60/12</f>
        <v>5</v>
      </c>
      <c r="AI9" s="19"/>
      <c r="AJ9" s="19"/>
      <c r="AK9" s="408"/>
      <c r="AL9" s="40">
        <f>J9</f>
        <v>6.3333329999999997</v>
      </c>
      <c r="AM9" s="40">
        <f t="shared" si="11"/>
        <v>6.3333329999999997</v>
      </c>
      <c r="AN9" s="40">
        <f t="shared" si="11"/>
        <v>6.3333329999999997</v>
      </c>
      <c r="AO9" s="40">
        <f t="shared" ref="AO9:AW10" si="51">M9-L9</f>
        <v>6.3333329999999997</v>
      </c>
      <c r="AP9" s="40">
        <f t="shared" si="51"/>
        <v>6.3333329999999997</v>
      </c>
      <c r="AQ9" s="40">
        <f t="shared" si="51"/>
        <v>6.3333329999999997</v>
      </c>
      <c r="AR9" s="40">
        <f t="shared" si="51"/>
        <v>6.3333330000000032</v>
      </c>
      <c r="AS9" s="40">
        <f t="shared" si="51"/>
        <v>6.3333329999999961</v>
      </c>
      <c r="AT9" s="40">
        <f t="shared" si="51"/>
        <v>6.3333329999999961</v>
      </c>
      <c r="AU9" s="40">
        <f t="shared" si="51"/>
        <v>6.3333329999999961</v>
      </c>
      <c r="AV9" s="40">
        <f t="shared" si="51"/>
        <v>6.3333329999999961</v>
      </c>
      <c r="AW9" s="40">
        <f t="shared" si="51"/>
        <v>6.3333329999999961</v>
      </c>
      <c r="AX9" s="40">
        <f>V9</f>
        <v>8</v>
      </c>
      <c r="AY9" s="40">
        <f t="shared" ref="AY9:BI10" si="52">W9-V9</f>
        <v>8</v>
      </c>
      <c r="AZ9" s="40">
        <f t="shared" si="52"/>
        <v>6</v>
      </c>
      <c r="BA9" s="40">
        <f t="shared" si="52"/>
        <v>6</v>
      </c>
      <c r="BB9" s="40">
        <f t="shared" si="52"/>
        <v>6</v>
      </c>
      <c r="BC9" s="40">
        <f t="shared" si="52"/>
        <v>6</v>
      </c>
      <c r="BD9" s="40">
        <f t="shared" si="52"/>
        <v>6</v>
      </c>
      <c r="BE9" s="40">
        <f t="shared" si="52"/>
        <v>6</v>
      </c>
      <c r="BF9" s="40">
        <f t="shared" si="52"/>
        <v>6</v>
      </c>
      <c r="BG9" s="40">
        <f t="shared" si="52"/>
        <v>6</v>
      </c>
      <c r="BH9" s="40">
        <f t="shared" si="52"/>
        <v>6</v>
      </c>
      <c r="BI9" s="40">
        <f t="shared" si="52"/>
        <v>6</v>
      </c>
      <c r="BJ9" s="40">
        <f>AH9</f>
        <v>5</v>
      </c>
      <c r="BK9" s="40">
        <f t="shared" ref="BK9:BL10" si="53">AI9</f>
        <v>0</v>
      </c>
      <c r="BL9" s="40">
        <f t="shared" si="53"/>
        <v>0</v>
      </c>
      <c r="BM9" s="408"/>
      <c r="BN9" s="48">
        <f t="shared" si="14"/>
        <v>18.999998999999999</v>
      </c>
      <c r="BO9" s="48">
        <f t="shared" si="15"/>
        <v>18.999998999999999</v>
      </c>
      <c r="BP9" s="48">
        <f t="shared" si="16"/>
        <v>18.999998999999999</v>
      </c>
      <c r="BQ9" s="48">
        <f t="shared" si="17"/>
        <v>18.999998999999999</v>
      </c>
      <c r="BR9" s="48">
        <f t="shared" si="18"/>
        <v>18.999998999999999</v>
      </c>
      <c r="BS9" s="48">
        <f t="shared" si="19"/>
        <v>18.999998999999999</v>
      </c>
      <c r="BT9" s="48">
        <f t="shared" si="20"/>
        <v>18.999998999999995</v>
      </c>
      <c r="BU9" s="48">
        <f t="shared" si="21"/>
        <v>18.999998999999995</v>
      </c>
      <c r="BV9" s="48">
        <f t="shared" si="22"/>
        <v>18.999998999999995</v>
      </c>
      <c r="BW9" s="48">
        <f t="shared" si="23"/>
        <v>18.999998999999988</v>
      </c>
      <c r="BX9" s="48">
        <f t="shared" si="24"/>
        <v>18.999998999999988</v>
      </c>
      <c r="BY9" s="48">
        <f t="shared" si="25"/>
        <v>18.999998999999988</v>
      </c>
      <c r="BZ9" s="48">
        <f t="shared" si="26"/>
        <v>22</v>
      </c>
      <c r="CA9" s="48">
        <f t="shared" si="27"/>
        <v>22</v>
      </c>
      <c r="CB9" s="48">
        <f t="shared" si="28"/>
        <v>22</v>
      </c>
      <c r="CC9" s="48">
        <f t="shared" si="29"/>
        <v>18</v>
      </c>
      <c r="CD9" s="48">
        <f t="shared" si="30"/>
        <v>18</v>
      </c>
      <c r="CE9" s="48">
        <f t="shared" si="31"/>
        <v>18</v>
      </c>
      <c r="CF9" s="48">
        <f t="shared" si="32"/>
        <v>18</v>
      </c>
      <c r="CG9" s="48">
        <f t="shared" si="33"/>
        <v>18</v>
      </c>
      <c r="CH9" s="48">
        <f t="shared" si="34"/>
        <v>18</v>
      </c>
      <c r="CI9" s="48">
        <f t="shared" si="35"/>
        <v>18</v>
      </c>
      <c r="CJ9" s="48">
        <f t="shared" si="36"/>
        <v>18</v>
      </c>
      <c r="CK9" s="48">
        <f t="shared" si="37"/>
        <v>18</v>
      </c>
      <c r="CL9" s="48">
        <f t="shared" si="38"/>
        <v>15</v>
      </c>
      <c r="CM9" s="48">
        <f t="shared" si="39"/>
        <v>15</v>
      </c>
      <c r="CN9" s="48">
        <f>60/4</f>
        <v>15</v>
      </c>
      <c r="CO9" s="406"/>
      <c r="CP9" s="48">
        <f>+AL9</f>
        <v>6.3333329999999997</v>
      </c>
      <c r="CQ9" s="48">
        <f t="shared" ref="CQ9:DA9" si="54">+CP9+AM9</f>
        <v>12.666665999999999</v>
      </c>
      <c r="CR9" s="48">
        <f t="shared" si="54"/>
        <v>18.999998999999999</v>
      </c>
      <c r="CS9" s="48">
        <f t="shared" si="54"/>
        <v>25.333331999999999</v>
      </c>
      <c r="CT9" s="48">
        <f t="shared" si="54"/>
        <v>31.666664999999998</v>
      </c>
      <c r="CU9" s="48">
        <f t="shared" si="54"/>
        <v>37.999997999999998</v>
      </c>
      <c r="CV9" s="48">
        <f t="shared" si="54"/>
        <v>44.333331000000001</v>
      </c>
      <c r="CW9" s="48">
        <f t="shared" si="54"/>
        <v>50.666663999999997</v>
      </c>
      <c r="CX9" s="48">
        <f t="shared" si="54"/>
        <v>56.999996999999993</v>
      </c>
      <c r="CY9" s="48">
        <f t="shared" si="54"/>
        <v>63.333329999999989</v>
      </c>
      <c r="CZ9" s="48">
        <f t="shared" si="54"/>
        <v>69.666662999999986</v>
      </c>
      <c r="DA9" s="48">
        <f t="shared" si="54"/>
        <v>75.999995999999982</v>
      </c>
      <c r="DB9" s="306">
        <f>AX9</f>
        <v>8</v>
      </c>
      <c r="DC9" s="48">
        <f t="shared" ref="DC9:DM9" si="55">+DB9+AY9</f>
        <v>16</v>
      </c>
      <c r="DD9" s="48">
        <f t="shared" si="55"/>
        <v>22</v>
      </c>
      <c r="DE9" s="48">
        <f t="shared" si="55"/>
        <v>28</v>
      </c>
      <c r="DF9" s="48">
        <f t="shared" si="55"/>
        <v>34</v>
      </c>
      <c r="DG9" s="48">
        <f t="shared" si="55"/>
        <v>40</v>
      </c>
      <c r="DH9" s="48">
        <f t="shared" si="55"/>
        <v>46</v>
      </c>
      <c r="DI9" s="48">
        <f t="shared" si="55"/>
        <v>52</v>
      </c>
      <c r="DJ9" s="48">
        <f t="shared" si="55"/>
        <v>58</v>
      </c>
      <c r="DK9" s="48">
        <f t="shared" si="55"/>
        <v>64</v>
      </c>
      <c r="DL9" s="48">
        <f t="shared" si="55"/>
        <v>70</v>
      </c>
      <c r="DM9" s="48">
        <f t="shared" si="55"/>
        <v>76</v>
      </c>
      <c r="DN9" s="48">
        <f>+BJ9</f>
        <v>5</v>
      </c>
      <c r="DO9" s="48">
        <f t="shared" ref="DO9:DP9" si="56">+BK9</f>
        <v>0</v>
      </c>
      <c r="DP9" s="48">
        <f t="shared" si="56"/>
        <v>0</v>
      </c>
      <c r="DQ9" s="48"/>
      <c r="DR9" s="48"/>
      <c r="DS9" s="48"/>
      <c r="DT9" s="48"/>
      <c r="DU9" s="48"/>
      <c r="DV9" s="48"/>
      <c r="DW9" s="48"/>
      <c r="DX9" s="48"/>
      <c r="DY9" s="48">
        <v>60</v>
      </c>
      <c r="EA9" s="52">
        <f t="shared" ref="EA9:EA23" si="57">DA9</f>
        <v>75.999995999999982</v>
      </c>
      <c r="EB9" s="52">
        <f t="shared" ref="EB9:EB22" si="58">DM9</f>
        <v>76</v>
      </c>
      <c r="EC9" s="52">
        <v>60</v>
      </c>
      <c r="ED9" s="429"/>
      <c r="EE9" s="51">
        <f t="shared" si="5"/>
        <v>0</v>
      </c>
      <c r="EF9" s="51">
        <f t="shared" si="6"/>
        <v>15</v>
      </c>
      <c r="EG9" s="51">
        <v>60</v>
      </c>
      <c r="EH9" s="54"/>
      <c r="EI9" s="54"/>
      <c r="EJ9" s="54"/>
      <c r="EK9" s="675"/>
      <c r="EL9" s="53"/>
      <c r="EM9" s="53"/>
      <c r="EN9" s="53"/>
      <c r="EO9" s="49"/>
      <c r="EP9" s="49"/>
      <c r="EQ9" s="49"/>
      <c r="FC9" s="568">
        <f>DA9</f>
        <v>75.999995999999982</v>
      </c>
      <c r="FD9" s="568">
        <f>DM9</f>
        <v>76</v>
      </c>
      <c r="FE9" s="568">
        <f t="shared" si="7"/>
        <v>26</v>
      </c>
      <c r="FF9" s="568">
        <f>ROUND(FE9/10*12,0)</f>
        <v>31</v>
      </c>
    </row>
    <row r="10" spans="1:162">
      <c r="A10" s="6" t="s">
        <v>23</v>
      </c>
      <c r="B10" s="2" t="s">
        <v>4</v>
      </c>
      <c r="C10" s="3" t="s">
        <v>43</v>
      </c>
      <c r="E10" s="3" t="s">
        <v>16</v>
      </c>
      <c r="F10" s="44"/>
      <c r="G10" s="3" t="s">
        <v>91</v>
      </c>
      <c r="I10" s="23"/>
      <c r="J10" s="19">
        <v>1.25</v>
      </c>
      <c r="K10" s="19">
        <f>+J10+1.25</f>
        <v>2.5</v>
      </c>
      <c r="L10" s="19">
        <f t="shared" ref="L10:U10" si="59">+K10+1.25</f>
        <v>3.75</v>
      </c>
      <c r="M10" s="19">
        <f t="shared" si="59"/>
        <v>5</v>
      </c>
      <c r="N10" s="19">
        <f t="shared" si="59"/>
        <v>6.25</v>
      </c>
      <c r="O10" s="19">
        <f t="shared" si="59"/>
        <v>7.5</v>
      </c>
      <c r="P10" s="19">
        <f t="shared" si="59"/>
        <v>8.75</v>
      </c>
      <c r="Q10" s="19">
        <f t="shared" si="59"/>
        <v>10</v>
      </c>
      <c r="R10" s="19">
        <f t="shared" si="59"/>
        <v>11.25</v>
      </c>
      <c r="S10" s="19">
        <f t="shared" si="59"/>
        <v>12.5</v>
      </c>
      <c r="T10" s="19">
        <f t="shared" si="59"/>
        <v>13.75</v>
      </c>
      <c r="U10" s="19">
        <f t="shared" si="59"/>
        <v>15</v>
      </c>
      <c r="V10" s="219">
        <v>2</v>
      </c>
      <c r="W10" s="246">
        <v>4</v>
      </c>
      <c r="X10" s="246">
        <f>X9*0.25</f>
        <v>5.5</v>
      </c>
      <c r="Y10" s="246">
        <f t="shared" ref="Y10:AG10" si="60">Y9*0.25</f>
        <v>7</v>
      </c>
      <c r="Z10" s="246">
        <f t="shared" si="60"/>
        <v>8.5</v>
      </c>
      <c r="AA10" s="246">
        <f t="shared" si="60"/>
        <v>10</v>
      </c>
      <c r="AB10" s="246">
        <f t="shared" si="60"/>
        <v>11.5</v>
      </c>
      <c r="AC10" s="246">
        <f t="shared" si="60"/>
        <v>13</v>
      </c>
      <c r="AD10" s="246">
        <f t="shared" si="60"/>
        <v>14.5</v>
      </c>
      <c r="AE10" s="246">
        <f t="shared" si="60"/>
        <v>16</v>
      </c>
      <c r="AF10" s="246">
        <f t="shared" si="60"/>
        <v>17.5</v>
      </c>
      <c r="AG10" s="263">
        <f t="shared" si="60"/>
        <v>19</v>
      </c>
      <c r="AH10" s="31">
        <f>6/12</f>
        <v>0.5</v>
      </c>
      <c r="AI10" s="19"/>
      <c r="AJ10" s="19"/>
      <c r="AK10" s="408"/>
      <c r="AL10" s="40">
        <f>J10</f>
        <v>1.25</v>
      </c>
      <c r="AM10" s="40">
        <f t="shared" si="11"/>
        <v>1.25</v>
      </c>
      <c r="AN10" s="40">
        <f t="shared" si="11"/>
        <v>1.25</v>
      </c>
      <c r="AO10" s="40">
        <f t="shared" si="51"/>
        <v>1.25</v>
      </c>
      <c r="AP10" s="40">
        <f t="shared" si="51"/>
        <v>1.25</v>
      </c>
      <c r="AQ10" s="40">
        <f t="shared" si="51"/>
        <v>1.25</v>
      </c>
      <c r="AR10" s="40">
        <f t="shared" si="51"/>
        <v>1.25</v>
      </c>
      <c r="AS10" s="40">
        <f t="shared" si="51"/>
        <v>1.25</v>
      </c>
      <c r="AT10" s="40">
        <f t="shared" si="51"/>
        <v>1.25</v>
      </c>
      <c r="AU10" s="40">
        <f t="shared" si="51"/>
        <v>1.25</v>
      </c>
      <c r="AV10" s="40">
        <f t="shared" si="51"/>
        <v>1.25</v>
      </c>
      <c r="AW10" s="40">
        <f t="shared" si="51"/>
        <v>1.25</v>
      </c>
      <c r="AX10" s="40">
        <f>V10</f>
        <v>2</v>
      </c>
      <c r="AY10" s="40">
        <f t="shared" si="52"/>
        <v>2</v>
      </c>
      <c r="AZ10" s="40">
        <f t="shared" si="52"/>
        <v>1.5</v>
      </c>
      <c r="BA10" s="40">
        <f t="shared" si="52"/>
        <v>1.5</v>
      </c>
      <c r="BB10" s="40">
        <f t="shared" si="52"/>
        <v>1.5</v>
      </c>
      <c r="BC10" s="40">
        <f t="shared" si="52"/>
        <v>1.5</v>
      </c>
      <c r="BD10" s="40">
        <f t="shared" si="52"/>
        <v>1.5</v>
      </c>
      <c r="BE10" s="40">
        <f t="shared" si="52"/>
        <v>1.5</v>
      </c>
      <c r="BF10" s="40">
        <f t="shared" si="52"/>
        <v>1.5</v>
      </c>
      <c r="BG10" s="40">
        <f t="shared" si="52"/>
        <v>1.5</v>
      </c>
      <c r="BH10" s="40">
        <f t="shared" si="52"/>
        <v>1.5</v>
      </c>
      <c r="BI10" s="40">
        <f t="shared" si="52"/>
        <v>1.5</v>
      </c>
      <c r="BJ10" s="40">
        <f>AH10</f>
        <v>0.5</v>
      </c>
      <c r="BK10" s="40">
        <f t="shared" si="53"/>
        <v>0</v>
      </c>
      <c r="BL10" s="40">
        <f t="shared" si="53"/>
        <v>0</v>
      </c>
      <c r="BM10" s="408"/>
      <c r="BN10" s="48">
        <f t="shared" si="14"/>
        <v>3.75</v>
      </c>
      <c r="BO10" s="48">
        <f t="shared" si="15"/>
        <v>3.75</v>
      </c>
      <c r="BP10" s="48">
        <f t="shared" si="16"/>
        <v>3.75</v>
      </c>
      <c r="BQ10" s="48">
        <f t="shared" si="17"/>
        <v>3.75</v>
      </c>
      <c r="BR10" s="48">
        <f t="shared" si="18"/>
        <v>3.75</v>
      </c>
      <c r="BS10" s="48">
        <f t="shared" si="19"/>
        <v>3.75</v>
      </c>
      <c r="BT10" s="48">
        <f t="shared" si="20"/>
        <v>3.75</v>
      </c>
      <c r="BU10" s="48">
        <f t="shared" si="21"/>
        <v>3.75</v>
      </c>
      <c r="BV10" s="48">
        <f t="shared" si="22"/>
        <v>3.75</v>
      </c>
      <c r="BW10" s="48">
        <f t="shared" si="23"/>
        <v>3.75</v>
      </c>
      <c r="BX10" s="48">
        <f t="shared" si="24"/>
        <v>3.75</v>
      </c>
      <c r="BY10" s="48">
        <f t="shared" si="25"/>
        <v>3.75</v>
      </c>
      <c r="BZ10" s="48">
        <f t="shared" si="26"/>
        <v>5.5</v>
      </c>
      <c r="CA10" s="48">
        <f t="shared" si="27"/>
        <v>5.5</v>
      </c>
      <c r="CB10" s="48">
        <f t="shared" si="28"/>
        <v>5.5</v>
      </c>
      <c r="CC10" s="48">
        <f t="shared" si="29"/>
        <v>4.5</v>
      </c>
      <c r="CD10" s="48">
        <f t="shared" si="30"/>
        <v>4.5</v>
      </c>
      <c r="CE10" s="48">
        <f t="shared" si="31"/>
        <v>4.5</v>
      </c>
      <c r="CF10" s="48">
        <f t="shared" si="32"/>
        <v>4.5</v>
      </c>
      <c r="CG10" s="48">
        <f t="shared" si="33"/>
        <v>4.5</v>
      </c>
      <c r="CH10" s="48">
        <f t="shared" si="34"/>
        <v>4.5</v>
      </c>
      <c r="CI10" s="48">
        <f t="shared" si="35"/>
        <v>4.5</v>
      </c>
      <c r="CJ10" s="48">
        <f t="shared" si="36"/>
        <v>4.5</v>
      </c>
      <c r="CK10" s="48">
        <f t="shared" si="37"/>
        <v>4.5</v>
      </c>
      <c r="CL10" s="48">
        <f t="shared" si="38"/>
        <v>1.5</v>
      </c>
      <c r="CM10" s="48">
        <f t="shared" si="39"/>
        <v>1.5</v>
      </c>
      <c r="CN10" s="48">
        <f>6/4</f>
        <v>1.5</v>
      </c>
      <c r="CO10" s="406"/>
      <c r="CP10" s="48">
        <f t="shared" ref="CP10:DA10" si="61">I10+AL10</f>
        <v>1.25</v>
      </c>
      <c r="CQ10" s="48">
        <f t="shared" si="61"/>
        <v>2.5</v>
      </c>
      <c r="CR10" s="48">
        <f t="shared" si="61"/>
        <v>3.75</v>
      </c>
      <c r="CS10" s="48">
        <f t="shared" si="61"/>
        <v>5</v>
      </c>
      <c r="CT10" s="48">
        <f t="shared" si="61"/>
        <v>6.25</v>
      </c>
      <c r="CU10" s="48">
        <f t="shared" si="61"/>
        <v>7.5</v>
      </c>
      <c r="CV10" s="48">
        <f t="shared" si="61"/>
        <v>8.75</v>
      </c>
      <c r="CW10" s="48">
        <f t="shared" si="61"/>
        <v>10</v>
      </c>
      <c r="CX10" s="48">
        <f t="shared" si="61"/>
        <v>11.25</v>
      </c>
      <c r="CY10" s="48">
        <f t="shared" si="61"/>
        <v>12.5</v>
      </c>
      <c r="CZ10" s="48">
        <f t="shared" si="61"/>
        <v>13.75</v>
      </c>
      <c r="DA10" s="48">
        <f t="shared" si="61"/>
        <v>15</v>
      </c>
      <c r="DB10" s="48">
        <f>AX10</f>
        <v>2</v>
      </c>
      <c r="DC10" s="48">
        <f t="shared" ref="DC10:DM10" si="62">V10+AY10</f>
        <v>4</v>
      </c>
      <c r="DD10" s="48">
        <f t="shared" si="62"/>
        <v>5.5</v>
      </c>
      <c r="DE10" s="48">
        <f t="shared" si="62"/>
        <v>7</v>
      </c>
      <c r="DF10" s="48">
        <f t="shared" si="62"/>
        <v>8.5</v>
      </c>
      <c r="DG10" s="48">
        <f t="shared" si="62"/>
        <v>10</v>
      </c>
      <c r="DH10" s="48">
        <f t="shared" si="62"/>
        <v>11.5</v>
      </c>
      <c r="DI10" s="48">
        <f t="shared" si="62"/>
        <v>13</v>
      </c>
      <c r="DJ10" s="48">
        <f t="shared" si="62"/>
        <v>14.5</v>
      </c>
      <c r="DK10" s="48">
        <f t="shared" si="62"/>
        <v>16</v>
      </c>
      <c r="DL10" s="48">
        <f t="shared" si="62"/>
        <v>17.5</v>
      </c>
      <c r="DM10" s="48">
        <f t="shared" si="62"/>
        <v>19</v>
      </c>
      <c r="DN10" s="48">
        <f>BJ10</f>
        <v>0.5</v>
      </c>
      <c r="DO10" s="48">
        <f t="shared" ref="DO10:DP10" si="63">BK10</f>
        <v>0</v>
      </c>
      <c r="DP10" s="48">
        <f t="shared" si="63"/>
        <v>0</v>
      </c>
      <c r="DQ10" s="48"/>
      <c r="DR10" s="48"/>
      <c r="DS10" s="48"/>
      <c r="DT10" s="48"/>
      <c r="DU10" s="48"/>
      <c r="DV10" s="48"/>
      <c r="DW10" s="48"/>
      <c r="DX10" s="48"/>
      <c r="DY10" s="48">
        <v>6</v>
      </c>
      <c r="EA10" s="52">
        <f t="shared" si="57"/>
        <v>15</v>
      </c>
      <c r="EB10" s="52">
        <f t="shared" si="58"/>
        <v>19</v>
      </c>
      <c r="EC10" s="52">
        <v>6</v>
      </c>
      <c r="ED10" s="429"/>
      <c r="EE10" s="51">
        <f t="shared" si="5"/>
        <v>0</v>
      </c>
      <c r="EF10" s="51">
        <f t="shared" si="6"/>
        <v>1.5</v>
      </c>
      <c r="EG10" s="51">
        <v>6</v>
      </c>
      <c r="EH10" s="54"/>
      <c r="EI10" s="54"/>
      <c r="EJ10" s="126"/>
      <c r="EK10" s="675"/>
      <c r="EL10" s="53"/>
      <c r="EM10" s="53"/>
      <c r="EN10" s="53"/>
      <c r="EO10" s="49"/>
      <c r="EP10" s="49"/>
      <c r="EQ10" s="49"/>
      <c r="FC10" s="568">
        <f t="shared" ref="FC10:FC21" si="64">DA10</f>
        <v>15</v>
      </c>
      <c r="FD10" s="568">
        <f t="shared" ref="FD10:FD21" si="65">DM10</f>
        <v>19</v>
      </c>
      <c r="FE10" s="568">
        <f t="shared" ref="FE10:FE21" si="66">DK33</f>
        <v>9</v>
      </c>
      <c r="FF10" s="568">
        <f t="shared" ref="FF10:FF21" si="67">ROUND(FE10/10*12,0)</f>
        <v>11</v>
      </c>
    </row>
    <row r="11" spans="1:162">
      <c r="A11" s="6" t="s">
        <v>23</v>
      </c>
      <c r="B11" s="2" t="s">
        <v>6</v>
      </c>
      <c r="C11" s="3" t="s">
        <v>44</v>
      </c>
      <c r="E11" s="3" t="s">
        <v>16</v>
      </c>
      <c r="G11" s="3" t="s">
        <v>89</v>
      </c>
      <c r="I11" s="23"/>
      <c r="J11" s="19">
        <v>1.6</v>
      </c>
      <c r="K11" s="19">
        <v>1.6</v>
      </c>
      <c r="L11" s="19">
        <v>1.6</v>
      </c>
      <c r="M11" s="19">
        <v>1.6</v>
      </c>
      <c r="N11" s="19">
        <v>1.6</v>
      </c>
      <c r="O11" s="19">
        <v>1.6</v>
      </c>
      <c r="P11" s="19">
        <v>1.6</v>
      </c>
      <c r="Q11" s="19">
        <v>1.6</v>
      </c>
      <c r="R11" s="19">
        <v>1.6</v>
      </c>
      <c r="S11" s="19">
        <v>1.6</v>
      </c>
      <c r="T11" s="19">
        <v>1.6</v>
      </c>
      <c r="U11" s="19">
        <f>1.6-0.2</f>
        <v>1.4000000000000001</v>
      </c>
      <c r="V11" s="219">
        <f>V9*0.18</f>
        <v>1.44</v>
      </c>
      <c r="W11" s="246">
        <f t="shared" ref="W11:AG11" si="68">W9*0.18</f>
        <v>2.88</v>
      </c>
      <c r="X11" s="246">
        <f t="shared" si="68"/>
        <v>3.96</v>
      </c>
      <c r="Y11" s="246">
        <f t="shared" si="68"/>
        <v>5.04</v>
      </c>
      <c r="Z11" s="246">
        <f t="shared" si="68"/>
        <v>6.12</v>
      </c>
      <c r="AA11" s="246">
        <f t="shared" si="68"/>
        <v>7.1999999999999993</v>
      </c>
      <c r="AB11" s="246">
        <f t="shared" si="68"/>
        <v>8.2799999999999994</v>
      </c>
      <c r="AC11" s="246">
        <f t="shared" si="68"/>
        <v>9.36</v>
      </c>
      <c r="AD11" s="246">
        <f t="shared" si="68"/>
        <v>10.44</v>
      </c>
      <c r="AE11" s="246">
        <f t="shared" si="68"/>
        <v>11.52</v>
      </c>
      <c r="AF11" s="246">
        <f t="shared" si="68"/>
        <v>12.6</v>
      </c>
      <c r="AG11" s="263">
        <f t="shared" si="68"/>
        <v>13.68</v>
      </c>
      <c r="AH11" s="31"/>
      <c r="AI11" s="19"/>
      <c r="AJ11" s="19"/>
      <c r="AK11" s="408"/>
      <c r="AL11" s="40">
        <f>J11</f>
        <v>1.6</v>
      </c>
      <c r="AM11" s="40">
        <f t="shared" ref="AM11:BL12" si="69">K11</f>
        <v>1.6</v>
      </c>
      <c r="AN11" s="40">
        <f t="shared" si="69"/>
        <v>1.6</v>
      </c>
      <c r="AO11" s="40">
        <f t="shared" si="69"/>
        <v>1.6</v>
      </c>
      <c r="AP11" s="40">
        <f t="shared" si="69"/>
        <v>1.6</v>
      </c>
      <c r="AQ11" s="40">
        <f t="shared" si="69"/>
        <v>1.6</v>
      </c>
      <c r="AR11" s="40">
        <f t="shared" si="69"/>
        <v>1.6</v>
      </c>
      <c r="AS11" s="40">
        <f t="shared" si="69"/>
        <v>1.6</v>
      </c>
      <c r="AT11" s="40">
        <f t="shared" si="69"/>
        <v>1.6</v>
      </c>
      <c r="AU11" s="40">
        <f t="shared" si="69"/>
        <v>1.6</v>
      </c>
      <c r="AV11" s="40">
        <f t="shared" si="69"/>
        <v>1.6</v>
      </c>
      <c r="AW11" s="40">
        <f t="shared" si="69"/>
        <v>1.4000000000000001</v>
      </c>
      <c r="AX11" s="40">
        <f t="shared" si="69"/>
        <v>1.44</v>
      </c>
      <c r="AY11" s="40">
        <f>W11-SUM($AX11:AX11)</f>
        <v>1.44</v>
      </c>
      <c r="AZ11" s="40">
        <f>X11-SUM($AX11:AY11)</f>
        <v>1.08</v>
      </c>
      <c r="BA11" s="40">
        <f>Y11-SUM($AX11:AZ11)</f>
        <v>1.08</v>
      </c>
      <c r="BB11" s="40">
        <f>Z11-SUM($AX11:BA11)</f>
        <v>1.08</v>
      </c>
      <c r="BC11" s="40">
        <f>AA11-SUM($AX11:BB11)</f>
        <v>1.0799999999999992</v>
      </c>
      <c r="BD11" s="40">
        <f>AB11-SUM($AX11:BC11)</f>
        <v>1.08</v>
      </c>
      <c r="BE11" s="40">
        <f>AC11-SUM($AX11:BD11)</f>
        <v>1.08</v>
      </c>
      <c r="BF11" s="40">
        <f>AD11-SUM($AX11:BE11)</f>
        <v>1.08</v>
      </c>
      <c r="BG11" s="40">
        <f>AE11-SUM($AX11:BF11)</f>
        <v>1.08</v>
      </c>
      <c r="BH11" s="40">
        <f>AF11-SUM($AX11:BG11)</f>
        <v>1.08</v>
      </c>
      <c r="BI11" s="40">
        <f>AG11-SUM($AX11:BH11)</f>
        <v>1.08</v>
      </c>
      <c r="BJ11" s="40">
        <v>0</v>
      </c>
      <c r="BK11" s="40">
        <v>0</v>
      </c>
      <c r="BL11" s="40">
        <v>0</v>
      </c>
      <c r="BM11" s="408"/>
      <c r="BN11" s="48">
        <f t="shared" si="14"/>
        <v>4.8000000000000007</v>
      </c>
      <c r="BO11" s="48">
        <f t="shared" si="15"/>
        <v>4.8000000000000007</v>
      </c>
      <c r="BP11" s="48">
        <f t="shared" si="16"/>
        <v>4.8000000000000007</v>
      </c>
      <c r="BQ11" s="48">
        <f t="shared" si="17"/>
        <v>4.8000000000000007</v>
      </c>
      <c r="BR11" s="48">
        <f t="shared" si="18"/>
        <v>4.8000000000000007</v>
      </c>
      <c r="BS11" s="48">
        <f t="shared" si="19"/>
        <v>4.8000000000000007</v>
      </c>
      <c r="BT11" s="48">
        <f t="shared" si="20"/>
        <v>4.8000000000000007</v>
      </c>
      <c r="BU11" s="48">
        <f t="shared" si="21"/>
        <v>4.8000000000000007</v>
      </c>
      <c r="BV11" s="48">
        <f t="shared" si="22"/>
        <v>4.8000000000000007</v>
      </c>
      <c r="BW11" s="48">
        <f t="shared" si="23"/>
        <v>4.6000000000000005</v>
      </c>
      <c r="BX11" s="48">
        <f t="shared" si="24"/>
        <v>4.6000000000000005</v>
      </c>
      <c r="BY11" s="48">
        <f t="shared" si="25"/>
        <v>4.6000000000000005</v>
      </c>
      <c r="BZ11" s="48">
        <f t="shared" si="26"/>
        <v>3.96</v>
      </c>
      <c r="CA11" s="48">
        <f t="shared" si="27"/>
        <v>3.96</v>
      </c>
      <c r="CB11" s="48">
        <f t="shared" si="28"/>
        <v>3.96</v>
      </c>
      <c r="CC11" s="48">
        <f t="shared" si="29"/>
        <v>3.2399999999999993</v>
      </c>
      <c r="CD11" s="48">
        <f t="shared" si="30"/>
        <v>3.2399999999999993</v>
      </c>
      <c r="CE11" s="48">
        <f t="shared" si="31"/>
        <v>3.2399999999999993</v>
      </c>
      <c r="CF11" s="48">
        <f t="shared" si="32"/>
        <v>3.24</v>
      </c>
      <c r="CG11" s="48">
        <f t="shared" si="33"/>
        <v>3.24</v>
      </c>
      <c r="CH11" s="48">
        <f t="shared" si="34"/>
        <v>3.24</v>
      </c>
      <c r="CI11" s="48">
        <f t="shared" si="35"/>
        <v>3.24</v>
      </c>
      <c r="CJ11" s="48">
        <f t="shared" si="36"/>
        <v>3.24</v>
      </c>
      <c r="CK11" s="48">
        <f t="shared" si="37"/>
        <v>3.24</v>
      </c>
      <c r="CL11" s="48">
        <f t="shared" si="38"/>
        <v>0</v>
      </c>
      <c r="CM11" s="48">
        <f t="shared" si="39"/>
        <v>0</v>
      </c>
      <c r="CN11" s="48">
        <f t="shared" si="40"/>
        <v>0</v>
      </c>
      <c r="CO11" s="406"/>
      <c r="CP11" s="48">
        <f>AL11</f>
        <v>1.6</v>
      </c>
      <c r="CQ11" s="48">
        <f t="shared" ref="CQ11:DA11" si="70">CP11+AM11</f>
        <v>3.2</v>
      </c>
      <c r="CR11" s="48">
        <f t="shared" si="70"/>
        <v>4.8000000000000007</v>
      </c>
      <c r="CS11" s="48">
        <f t="shared" si="70"/>
        <v>6.4</v>
      </c>
      <c r="CT11" s="48">
        <f t="shared" si="70"/>
        <v>8</v>
      </c>
      <c r="CU11" s="48">
        <f t="shared" si="70"/>
        <v>9.6</v>
      </c>
      <c r="CV11" s="48">
        <f t="shared" si="70"/>
        <v>11.2</v>
      </c>
      <c r="CW11" s="48">
        <f t="shared" si="70"/>
        <v>12.799999999999999</v>
      </c>
      <c r="CX11" s="48">
        <f t="shared" si="70"/>
        <v>14.399999999999999</v>
      </c>
      <c r="CY11" s="48">
        <f t="shared" si="70"/>
        <v>15.999999999999998</v>
      </c>
      <c r="CZ11" s="48">
        <f t="shared" si="70"/>
        <v>17.599999999999998</v>
      </c>
      <c r="DA11" s="48">
        <f t="shared" si="70"/>
        <v>18.999999999999996</v>
      </c>
      <c r="DB11" s="306">
        <f>AX11</f>
        <v>1.44</v>
      </c>
      <c r="DC11" s="48">
        <f t="shared" ref="DC11:DM11" si="71">DB11+AY11</f>
        <v>2.88</v>
      </c>
      <c r="DD11" s="48">
        <f t="shared" si="71"/>
        <v>3.96</v>
      </c>
      <c r="DE11" s="48">
        <f t="shared" si="71"/>
        <v>5.04</v>
      </c>
      <c r="DF11" s="48">
        <f t="shared" si="71"/>
        <v>6.12</v>
      </c>
      <c r="DG11" s="48">
        <f t="shared" si="71"/>
        <v>7.1999999999999993</v>
      </c>
      <c r="DH11" s="48">
        <f t="shared" si="71"/>
        <v>8.2799999999999994</v>
      </c>
      <c r="DI11" s="48">
        <f t="shared" si="71"/>
        <v>9.36</v>
      </c>
      <c r="DJ11" s="48">
        <f t="shared" si="71"/>
        <v>10.44</v>
      </c>
      <c r="DK11" s="48">
        <f t="shared" si="71"/>
        <v>11.52</v>
      </c>
      <c r="DL11" s="48">
        <f t="shared" si="71"/>
        <v>12.6</v>
      </c>
      <c r="DM11" s="48">
        <f t="shared" si="71"/>
        <v>13.68</v>
      </c>
      <c r="DN11" s="48">
        <f>BJ11</f>
        <v>0</v>
      </c>
      <c r="DO11" s="48">
        <f>DN11+BK11</f>
        <v>0</v>
      </c>
      <c r="DP11" s="48">
        <f>DO11+BL11</f>
        <v>0</v>
      </c>
      <c r="DQ11" s="48"/>
      <c r="DR11" s="48"/>
      <c r="DS11" s="48"/>
      <c r="DT11" s="48"/>
      <c r="DU11" s="48"/>
      <c r="DV11" s="48"/>
      <c r="DW11" s="48"/>
      <c r="DX11" s="48"/>
      <c r="DY11" s="48"/>
      <c r="EA11" s="52">
        <f t="shared" si="57"/>
        <v>18.999999999999996</v>
      </c>
      <c r="EB11" s="52">
        <f t="shared" si="58"/>
        <v>13.68</v>
      </c>
      <c r="EC11" s="52"/>
      <c r="ED11" s="429"/>
      <c r="EE11" s="51">
        <f t="shared" si="5"/>
        <v>0</v>
      </c>
      <c r="EF11" s="51">
        <f t="shared" si="6"/>
        <v>0</v>
      </c>
      <c r="EG11" s="51">
        <f t="shared" ref="EG11:EG19" si="72">HLOOKUP($EJ$4,Budget,ROW()-1)</f>
        <v>13.68</v>
      </c>
      <c r="EH11" s="54"/>
      <c r="EI11" s="54"/>
      <c r="EJ11" s="54"/>
      <c r="EK11" s="675"/>
      <c r="EL11" s="53"/>
      <c r="EM11" s="53"/>
      <c r="EN11" s="53"/>
      <c r="EO11" s="49"/>
      <c r="EP11" s="49"/>
      <c r="EQ11" s="49"/>
      <c r="FC11" s="568">
        <f t="shared" si="64"/>
        <v>18.999999999999996</v>
      </c>
      <c r="FD11" s="568">
        <f t="shared" si="65"/>
        <v>13.68</v>
      </c>
      <c r="FE11" s="568">
        <f t="shared" si="66"/>
        <v>134</v>
      </c>
      <c r="FF11" s="568">
        <f t="shared" si="67"/>
        <v>161</v>
      </c>
    </row>
    <row r="12" spans="1:162" s="14" customFormat="1">
      <c r="A12" s="15" t="s">
        <v>23</v>
      </c>
      <c r="B12" s="14" t="s">
        <v>7</v>
      </c>
      <c r="C12" s="16" t="s">
        <v>45</v>
      </c>
      <c r="D12" s="16"/>
      <c r="E12" s="16" t="s">
        <v>16</v>
      </c>
      <c r="F12" s="16"/>
      <c r="G12" s="16" t="s">
        <v>89</v>
      </c>
      <c r="H12" s="16"/>
      <c r="I12" s="24"/>
      <c r="J12" s="25">
        <v>0.95</v>
      </c>
      <c r="K12" s="25">
        <f>J12</f>
        <v>0.95</v>
      </c>
      <c r="L12" s="25">
        <f t="shared" ref="L12:U12" si="73">K12</f>
        <v>0.95</v>
      </c>
      <c r="M12" s="25">
        <f t="shared" si="73"/>
        <v>0.95</v>
      </c>
      <c r="N12" s="25">
        <f t="shared" si="73"/>
        <v>0.95</v>
      </c>
      <c r="O12" s="25">
        <f t="shared" si="73"/>
        <v>0.95</v>
      </c>
      <c r="P12" s="25">
        <f t="shared" si="73"/>
        <v>0.95</v>
      </c>
      <c r="Q12" s="25">
        <f t="shared" si="73"/>
        <v>0.95</v>
      </c>
      <c r="R12" s="25">
        <f t="shared" si="73"/>
        <v>0.95</v>
      </c>
      <c r="S12" s="25">
        <f t="shared" si="73"/>
        <v>0.95</v>
      </c>
      <c r="T12" s="25">
        <f t="shared" si="73"/>
        <v>0.95</v>
      </c>
      <c r="U12" s="25">
        <f t="shared" si="73"/>
        <v>0.95</v>
      </c>
      <c r="V12" s="220">
        <f>$AG12</f>
        <v>0.95</v>
      </c>
      <c r="W12" s="250">
        <f t="shared" ref="W12:AF12" si="74">$AG12</f>
        <v>0.95</v>
      </c>
      <c r="X12" s="250">
        <f t="shared" si="74"/>
        <v>0.95</v>
      </c>
      <c r="Y12" s="250">
        <f t="shared" si="74"/>
        <v>0.95</v>
      </c>
      <c r="Z12" s="250">
        <f t="shared" si="74"/>
        <v>0.95</v>
      </c>
      <c r="AA12" s="250">
        <f t="shared" si="74"/>
        <v>0.95</v>
      </c>
      <c r="AB12" s="250">
        <f t="shared" si="74"/>
        <v>0.95</v>
      </c>
      <c r="AC12" s="250">
        <f t="shared" si="74"/>
        <v>0.95</v>
      </c>
      <c r="AD12" s="250">
        <f t="shared" si="74"/>
        <v>0.95</v>
      </c>
      <c r="AE12" s="250">
        <f t="shared" si="74"/>
        <v>0.95</v>
      </c>
      <c r="AF12" s="250">
        <f t="shared" si="74"/>
        <v>0.95</v>
      </c>
      <c r="AG12" s="355">
        <v>0.95</v>
      </c>
      <c r="AH12" s="33">
        <v>0.95</v>
      </c>
      <c r="AI12" s="220">
        <v>0.95</v>
      </c>
      <c r="AJ12" s="220">
        <v>0.95</v>
      </c>
      <c r="AK12" s="412"/>
      <c r="AL12" s="55">
        <f>J12</f>
        <v>0.95</v>
      </c>
      <c r="AM12" s="55">
        <f t="shared" si="69"/>
        <v>0.95</v>
      </c>
      <c r="AN12" s="55">
        <f t="shared" si="69"/>
        <v>0.95</v>
      </c>
      <c r="AO12" s="55">
        <f t="shared" si="69"/>
        <v>0.95</v>
      </c>
      <c r="AP12" s="55">
        <f t="shared" si="69"/>
        <v>0.95</v>
      </c>
      <c r="AQ12" s="55">
        <f t="shared" si="69"/>
        <v>0.95</v>
      </c>
      <c r="AR12" s="55">
        <f t="shared" si="69"/>
        <v>0.95</v>
      </c>
      <c r="AS12" s="55">
        <f t="shared" si="69"/>
        <v>0.95</v>
      </c>
      <c r="AT12" s="55">
        <f t="shared" si="69"/>
        <v>0.95</v>
      </c>
      <c r="AU12" s="55">
        <f t="shared" si="69"/>
        <v>0.95</v>
      </c>
      <c r="AV12" s="55">
        <f t="shared" si="69"/>
        <v>0.95</v>
      </c>
      <c r="AW12" s="55">
        <f t="shared" si="69"/>
        <v>0.95</v>
      </c>
      <c r="AX12" s="55">
        <f t="shared" si="69"/>
        <v>0.95</v>
      </c>
      <c r="AY12" s="55">
        <f t="shared" si="69"/>
        <v>0.95</v>
      </c>
      <c r="AZ12" s="55">
        <f t="shared" si="69"/>
        <v>0.95</v>
      </c>
      <c r="BA12" s="55">
        <f t="shared" si="69"/>
        <v>0.95</v>
      </c>
      <c r="BB12" s="55">
        <f t="shared" si="69"/>
        <v>0.95</v>
      </c>
      <c r="BC12" s="55">
        <f t="shared" si="69"/>
        <v>0.95</v>
      </c>
      <c r="BD12" s="55">
        <f t="shared" si="69"/>
        <v>0.95</v>
      </c>
      <c r="BE12" s="55">
        <f t="shared" si="69"/>
        <v>0.95</v>
      </c>
      <c r="BF12" s="55">
        <f t="shared" si="69"/>
        <v>0.95</v>
      </c>
      <c r="BG12" s="55">
        <f t="shared" si="69"/>
        <v>0.95</v>
      </c>
      <c r="BH12" s="55">
        <f t="shared" si="69"/>
        <v>0.95</v>
      </c>
      <c r="BI12" s="55">
        <f t="shared" si="69"/>
        <v>0.95</v>
      </c>
      <c r="BJ12" s="55">
        <f t="shared" si="69"/>
        <v>0.95</v>
      </c>
      <c r="BK12" s="55">
        <f t="shared" si="69"/>
        <v>0.95</v>
      </c>
      <c r="BL12" s="55">
        <f t="shared" si="69"/>
        <v>0.95</v>
      </c>
      <c r="BM12" s="410"/>
      <c r="BN12" s="56">
        <f t="shared" si="14"/>
        <v>0.95</v>
      </c>
      <c r="BO12" s="56">
        <f t="shared" si="15"/>
        <v>0.95</v>
      </c>
      <c r="BP12" s="56">
        <f>(AL12*AL11+AM12*AM11+AN12*AN11)/BP11</f>
        <v>0.95</v>
      </c>
      <c r="BQ12" s="56">
        <f t="shared" si="17"/>
        <v>0.95</v>
      </c>
      <c r="BR12" s="56">
        <f t="shared" si="18"/>
        <v>0.95</v>
      </c>
      <c r="BS12" s="56">
        <f>(AO12*AO11+AP12*AP11+AQ12*AQ11)/BS11</f>
        <v>0.95</v>
      </c>
      <c r="BT12" s="56">
        <f t="shared" si="20"/>
        <v>0.95</v>
      </c>
      <c r="BU12" s="56">
        <f t="shared" si="21"/>
        <v>0.95</v>
      </c>
      <c r="BV12" s="56">
        <f>(AR12*AR11+AS12*AS11+AT12*AT11)/BV11</f>
        <v>0.95</v>
      </c>
      <c r="BW12" s="56">
        <f t="shared" si="23"/>
        <v>0.95</v>
      </c>
      <c r="BX12" s="56">
        <f t="shared" si="24"/>
        <v>0.95</v>
      </c>
      <c r="BY12" s="56">
        <f>(AU12*AU11+AV12*AV11+AW12*AW11)/BY11</f>
        <v>0.95</v>
      </c>
      <c r="BZ12" s="56">
        <f t="shared" si="26"/>
        <v>0.94999999999999984</v>
      </c>
      <c r="CA12" s="56">
        <f t="shared" si="27"/>
        <v>0.94999999999999984</v>
      </c>
      <c r="CB12" s="56">
        <f>(AX12*AX11+AY12*AY11+AZ12*AZ11)/CB11</f>
        <v>0.94999999999999984</v>
      </c>
      <c r="CC12" s="56">
        <f t="shared" si="29"/>
        <v>0.95000000000000007</v>
      </c>
      <c r="CD12" s="56">
        <f t="shared" si="30"/>
        <v>0.95000000000000007</v>
      </c>
      <c r="CE12" s="56">
        <f>(BA12*BA11+BB12*BB11+BC12*BC11)/CE11</f>
        <v>0.95000000000000007</v>
      </c>
      <c r="CF12" s="56">
        <f t="shared" si="32"/>
        <v>0.95000000000000007</v>
      </c>
      <c r="CG12" s="56">
        <f t="shared" si="33"/>
        <v>0.95000000000000007</v>
      </c>
      <c r="CH12" s="56">
        <f>(BD12*BD11+BE12*BE11+BF12*BF11)/CH11</f>
        <v>0.95000000000000007</v>
      </c>
      <c r="CI12" s="56">
        <f t="shared" si="35"/>
        <v>0.95000000000000007</v>
      </c>
      <c r="CJ12" s="56">
        <f t="shared" si="36"/>
        <v>0.95000000000000007</v>
      </c>
      <c r="CK12" s="56">
        <f>(BG12*BG11+BH12*BH11+BI12*BI11)/CK11</f>
        <v>0.95000000000000007</v>
      </c>
      <c r="CL12" s="56">
        <v>0.95</v>
      </c>
      <c r="CM12" s="56">
        <v>0.95</v>
      </c>
      <c r="CN12" s="56">
        <v>0.95</v>
      </c>
      <c r="CO12" s="422"/>
      <c r="CP12" s="56">
        <f t="shared" ref="CP12:DA12" si="75">CP25/CP11</f>
        <v>0.95</v>
      </c>
      <c r="CQ12" s="56">
        <f t="shared" si="75"/>
        <v>0.95</v>
      </c>
      <c r="CR12" s="56">
        <f t="shared" si="75"/>
        <v>0.95</v>
      </c>
      <c r="CS12" s="56">
        <f t="shared" si="75"/>
        <v>0.95</v>
      </c>
      <c r="CT12" s="56">
        <f t="shared" si="75"/>
        <v>0.95</v>
      </c>
      <c r="CU12" s="56">
        <f t="shared" si="75"/>
        <v>0.95</v>
      </c>
      <c r="CV12" s="56">
        <f t="shared" si="75"/>
        <v>0.95</v>
      </c>
      <c r="CW12" s="56">
        <f t="shared" si="75"/>
        <v>0.95</v>
      </c>
      <c r="CX12" s="56">
        <f t="shared" si="75"/>
        <v>0.95</v>
      </c>
      <c r="CY12" s="56">
        <f t="shared" si="75"/>
        <v>0.95</v>
      </c>
      <c r="CZ12" s="56">
        <f t="shared" si="75"/>
        <v>0.95000000000000007</v>
      </c>
      <c r="DA12" s="56">
        <f t="shared" si="75"/>
        <v>0.95000000000000007</v>
      </c>
      <c r="DB12" s="56">
        <f>DA12</f>
        <v>0.95000000000000007</v>
      </c>
      <c r="DC12" s="56">
        <f t="shared" ref="DC12:DN12" si="76">DB12</f>
        <v>0.95000000000000007</v>
      </c>
      <c r="DD12" s="56">
        <f t="shared" si="76"/>
        <v>0.95000000000000007</v>
      </c>
      <c r="DE12" s="56">
        <f t="shared" si="76"/>
        <v>0.95000000000000007</v>
      </c>
      <c r="DF12" s="56">
        <f t="shared" si="76"/>
        <v>0.95000000000000007</v>
      </c>
      <c r="DG12" s="56">
        <f t="shared" si="76"/>
        <v>0.95000000000000007</v>
      </c>
      <c r="DH12" s="56">
        <f t="shared" si="76"/>
        <v>0.95000000000000007</v>
      </c>
      <c r="DI12" s="56">
        <f t="shared" si="76"/>
        <v>0.95000000000000007</v>
      </c>
      <c r="DJ12" s="56">
        <f t="shared" si="76"/>
        <v>0.95000000000000007</v>
      </c>
      <c r="DK12" s="56">
        <f t="shared" si="76"/>
        <v>0.95000000000000007</v>
      </c>
      <c r="DL12" s="56">
        <f t="shared" si="76"/>
        <v>0.95000000000000007</v>
      </c>
      <c r="DM12" s="56">
        <f t="shared" si="76"/>
        <v>0.95000000000000007</v>
      </c>
      <c r="DN12" s="56">
        <f t="shared" si="76"/>
        <v>0.95000000000000007</v>
      </c>
      <c r="DO12" s="56">
        <f t="shared" ref="DO12" si="77">DN12</f>
        <v>0.95000000000000007</v>
      </c>
      <c r="DP12" s="56">
        <f t="shared" ref="DP12" si="78">DO12</f>
        <v>0.95000000000000007</v>
      </c>
      <c r="DQ12" s="56"/>
      <c r="DR12" s="56"/>
      <c r="DS12" s="56"/>
      <c r="DT12" s="56"/>
      <c r="DU12" s="56"/>
      <c r="DV12" s="56"/>
      <c r="DW12" s="56"/>
      <c r="DX12" s="56"/>
      <c r="DY12" s="56">
        <v>0.95</v>
      </c>
      <c r="EA12" s="55">
        <f t="shared" si="57"/>
        <v>0.95000000000000007</v>
      </c>
      <c r="EB12" s="55">
        <f t="shared" si="58"/>
        <v>0.95000000000000007</v>
      </c>
      <c r="EC12" s="55">
        <v>0.95</v>
      </c>
      <c r="ED12" s="430"/>
      <c r="EE12" s="56">
        <f t="shared" si="5"/>
        <v>0.95</v>
      </c>
      <c r="EF12" s="56">
        <f t="shared" si="6"/>
        <v>0.95</v>
      </c>
      <c r="EG12" s="56">
        <f t="shared" si="72"/>
        <v>0.95000000000000007</v>
      </c>
      <c r="EH12" s="57"/>
      <c r="EI12" s="57"/>
      <c r="EJ12" s="57"/>
      <c r="EK12" s="675"/>
      <c r="EL12" s="55"/>
      <c r="EM12" s="55"/>
      <c r="EN12" s="55"/>
      <c r="EO12" s="49"/>
      <c r="EP12" s="49"/>
      <c r="EQ12" s="49"/>
      <c r="FC12" s="568">
        <f t="shared" si="64"/>
        <v>0.95000000000000007</v>
      </c>
      <c r="FD12" s="568">
        <f t="shared" si="65"/>
        <v>0.95000000000000007</v>
      </c>
      <c r="FE12" s="568">
        <f t="shared" si="66"/>
        <v>107</v>
      </c>
      <c r="FF12" s="568">
        <f t="shared" si="67"/>
        <v>128</v>
      </c>
    </row>
    <row r="13" spans="1:162">
      <c r="A13" s="6" t="s">
        <v>23</v>
      </c>
      <c r="B13" s="2" t="s">
        <v>8</v>
      </c>
      <c r="C13" s="3" t="s">
        <v>86</v>
      </c>
      <c r="E13" s="3" t="s">
        <v>16</v>
      </c>
      <c r="G13" s="3" t="s">
        <v>91</v>
      </c>
      <c r="I13" s="23"/>
      <c r="J13" s="19">
        <f>0.83+0.04</f>
        <v>0.87</v>
      </c>
      <c r="K13" s="19">
        <f>+J13+0.83</f>
        <v>1.7</v>
      </c>
      <c r="L13" s="19">
        <f t="shared" ref="L13:U13" si="79">+K13+0.83</f>
        <v>2.5299999999999998</v>
      </c>
      <c r="M13" s="19">
        <f t="shared" si="79"/>
        <v>3.36</v>
      </c>
      <c r="N13" s="19">
        <f t="shared" si="79"/>
        <v>4.1899999999999995</v>
      </c>
      <c r="O13" s="19">
        <f t="shared" si="79"/>
        <v>5.0199999999999996</v>
      </c>
      <c r="P13" s="19">
        <f t="shared" si="79"/>
        <v>5.85</v>
      </c>
      <c r="Q13" s="19">
        <f t="shared" si="79"/>
        <v>6.68</v>
      </c>
      <c r="R13" s="19">
        <f t="shared" si="79"/>
        <v>7.51</v>
      </c>
      <c r="S13" s="19">
        <f t="shared" si="79"/>
        <v>8.34</v>
      </c>
      <c r="T13" s="19">
        <f t="shared" si="79"/>
        <v>9.17</v>
      </c>
      <c r="U13" s="19">
        <f t="shared" si="79"/>
        <v>10</v>
      </c>
      <c r="V13" s="404">
        <v>1.1666000000000001</v>
      </c>
      <c r="W13" s="254">
        <f>V13+1.1666</f>
        <v>2.3332000000000002</v>
      </c>
      <c r="X13" s="254">
        <f t="shared" ref="X13:AG13" si="80">W13+1.1666</f>
        <v>3.4998000000000005</v>
      </c>
      <c r="Y13" s="254">
        <f t="shared" si="80"/>
        <v>4.6664000000000003</v>
      </c>
      <c r="Z13" s="254">
        <f t="shared" si="80"/>
        <v>5.8330000000000002</v>
      </c>
      <c r="AA13" s="254">
        <f t="shared" si="80"/>
        <v>6.9996</v>
      </c>
      <c r="AB13" s="254">
        <f t="shared" si="80"/>
        <v>8.1661999999999999</v>
      </c>
      <c r="AC13" s="254">
        <f t="shared" si="80"/>
        <v>9.3328000000000007</v>
      </c>
      <c r="AD13" s="254">
        <f t="shared" si="80"/>
        <v>10.499400000000001</v>
      </c>
      <c r="AE13" s="254">
        <f t="shared" si="80"/>
        <v>11.666000000000002</v>
      </c>
      <c r="AF13" s="254">
        <f t="shared" si="80"/>
        <v>12.832600000000003</v>
      </c>
      <c r="AG13" s="263">
        <f t="shared" si="80"/>
        <v>13.999200000000004</v>
      </c>
      <c r="AH13" s="31"/>
      <c r="AI13" s="19"/>
      <c r="AJ13" s="19"/>
      <c r="AK13" s="408"/>
      <c r="AL13" s="40">
        <f>J13</f>
        <v>0.87</v>
      </c>
      <c r="AM13" s="40">
        <f>K13-J13</f>
        <v>0.83</v>
      </c>
      <c r="AN13" s="40">
        <f t="shared" ref="AN13:BL13" si="81">L13-K13</f>
        <v>0.82999999999999985</v>
      </c>
      <c r="AO13" s="40">
        <f t="shared" si="81"/>
        <v>0.83000000000000007</v>
      </c>
      <c r="AP13" s="40">
        <f t="shared" si="81"/>
        <v>0.82999999999999963</v>
      </c>
      <c r="AQ13" s="40">
        <f t="shared" si="81"/>
        <v>0.83000000000000007</v>
      </c>
      <c r="AR13" s="40">
        <f t="shared" si="81"/>
        <v>0.83000000000000007</v>
      </c>
      <c r="AS13" s="40">
        <f t="shared" si="81"/>
        <v>0.83000000000000007</v>
      </c>
      <c r="AT13" s="40">
        <f t="shared" si="81"/>
        <v>0.83000000000000007</v>
      </c>
      <c r="AU13" s="40">
        <f t="shared" si="81"/>
        <v>0.83000000000000007</v>
      </c>
      <c r="AV13" s="40">
        <f t="shared" si="81"/>
        <v>0.83000000000000007</v>
      </c>
      <c r="AW13" s="40">
        <f t="shared" si="81"/>
        <v>0.83000000000000007</v>
      </c>
      <c r="AX13" s="40">
        <f>V13</f>
        <v>1.1666000000000001</v>
      </c>
      <c r="AY13" s="40">
        <f t="shared" si="81"/>
        <v>1.1666000000000001</v>
      </c>
      <c r="AZ13" s="40">
        <f t="shared" si="81"/>
        <v>1.1666000000000003</v>
      </c>
      <c r="BA13" s="40">
        <f t="shared" si="81"/>
        <v>1.1665999999999999</v>
      </c>
      <c r="BB13" s="40">
        <f t="shared" si="81"/>
        <v>1.1665999999999999</v>
      </c>
      <c r="BC13" s="40">
        <f t="shared" si="81"/>
        <v>1.1665999999999999</v>
      </c>
      <c r="BD13" s="40">
        <f t="shared" si="81"/>
        <v>1.1665999999999999</v>
      </c>
      <c r="BE13" s="40">
        <f t="shared" si="81"/>
        <v>1.1666000000000007</v>
      </c>
      <c r="BF13" s="40">
        <f t="shared" si="81"/>
        <v>1.1666000000000007</v>
      </c>
      <c r="BG13" s="40">
        <f t="shared" si="81"/>
        <v>1.1666000000000007</v>
      </c>
      <c r="BH13" s="40">
        <f t="shared" si="81"/>
        <v>1.1666000000000007</v>
      </c>
      <c r="BI13" s="40">
        <f t="shared" si="81"/>
        <v>1.1666000000000007</v>
      </c>
      <c r="BJ13" s="40">
        <f t="shared" ref="BJ13:BJ18" si="82">AH13</f>
        <v>0</v>
      </c>
      <c r="BK13" s="40">
        <f t="shared" si="81"/>
        <v>0</v>
      </c>
      <c r="BL13" s="40">
        <f t="shared" si="81"/>
        <v>0</v>
      </c>
      <c r="BM13" s="408"/>
      <c r="BN13" s="48">
        <f t="shared" si="14"/>
        <v>2.5299999999999998</v>
      </c>
      <c r="BO13" s="48">
        <f t="shared" si="15"/>
        <v>2.5299999999999998</v>
      </c>
      <c r="BP13" s="48">
        <f t="shared" si="16"/>
        <v>2.5299999999999998</v>
      </c>
      <c r="BQ13" s="48">
        <f t="shared" si="17"/>
        <v>2.4899999999999998</v>
      </c>
      <c r="BR13" s="48">
        <f t="shared" si="18"/>
        <v>2.4899999999999998</v>
      </c>
      <c r="BS13" s="48">
        <f t="shared" si="19"/>
        <v>2.4899999999999998</v>
      </c>
      <c r="BT13" s="48">
        <f t="shared" si="20"/>
        <v>2.4900000000000002</v>
      </c>
      <c r="BU13" s="48">
        <f t="shared" si="21"/>
        <v>2.4900000000000002</v>
      </c>
      <c r="BV13" s="48">
        <f t="shared" si="22"/>
        <v>2.4900000000000002</v>
      </c>
      <c r="BW13" s="48">
        <f t="shared" si="23"/>
        <v>2.4900000000000002</v>
      </c>
      <c r="BX13" s="48">
        <f t="shared" si="24"/>
        <v>2.4900000000000002</v>
      </c>
      <c r="BY13" s="48">
        <f t="shared" si="25"/>
        <v>2.4900000000000002</v>
      </c>
      <c r="BZ13" s="48">
        <f t="shared" si="26"/>
        <v>3.4998</v>
      </c>
      <c r="CA13" s="48">
        <v>3.4998</v>
      </c>
      <c r="CB13" s="48">
        <v>3.4998</v>
      </c>
      <c r="CC13" s="48">
        <v>6.9996</v>
      </c>
      <c r="CD13" s="48">
        <v>6.9996</v>
      </c>
      <c r="CE13" s="48">
        <v>6.9996</v>
      </c>
      <c r="CF13" s="48">
        <v>10.4994</v>
      </c>
      <c r="CG13" s="48">
        <v>10.4994</v>
      </c>
      <c r="CH13" s="48">
        <v>10.4994</v>
      </c>
      <c r="CI13" s="48">
        <v>13.999000000000001</v>
      </c>
      <c r="CJ13" s="48">
        <v>13.999000000000001</v>
      </c>
      <c r="CK13" s="48">
        <v>13.999000000000001</v>
      </c>
      <c r="CL13" s="48">
        <f t="shared" si="38"/>
        <v>0</v>
      </c>
      <c r="CM13" s="48">
        <f t="shared" si="39"/>
        <v>0</v>
      </c>
      <c r="CN13" s="48">
        <f t="shared" si="40"/>
        <v>0</v>
      </c>
      <c r="CO13" s="406"/>
      <c r="CP13" s="48">
        <f>AL13</f>
        <v>0.87</v>
      </c>
      <c r="CQ13" s="48">
        <f t="shared" ref="CQ13:DA13" si="83">CP13+AM13</f>
        <v>1.7</v>
      </c>
      <c r="CR13" s="48">
        <f t="shared" si="83"/>
        <v>2.5299999999999998</v>
      </c>
      <c r="CS13" s="48">
        <f t="shared" si="83"/>
        <v>3.36</v>
      </c>
      <c r="CT13" s="48">
        <f t="shared" si="83"/>
        <v>4.1899999999999995</v>
      </c>
      <c r="CU13" s="48">
        <f t="shared" si="83"/>
        <v>5.0199999999999996</v>
      </c>
      <c r="CV13" s="48">
        <f t="shared" si="83"/>
        <v>5.85</v>
      </c>
      <c r="CW13" s="48">
        <f t="shared" si="83"/>
        <v>6.68</v>
      </c>
      <c r="CX13" s="48">
        <f t="shared" si="83"/>
        <v>7.51</v>
      </c>
      <c r="CY13" s="48">
        <f t="shared" si="83"/>
        <v>8.34</v>
      </c>
      <c r="CZ13" s="48">
        <f t="shared" si="83"/>
        <v>9.17</v>
      </c>
      <c r="DA13" s="48">
        <f t="shared" si="83"/>
        <v>10</v>
      </c>
      <c r="DB13" s="48">
        <f>AX13</f>
        <v>1.1666000000000001</v>
      </c>
      <c r="DC13" s="48">
        <f t="shared" ref="DC13:DM13" si="84">DB13+AY13</f>
        <v>2.3332000000000002</v>
      </c>
      <c r="DD13" s="48">
        <f t="shared" si="84"/>
        <v>3.4998000000000005</v>
      </c>
      <c r="DE13" s="48">
        <f t="shared" si="84"/>
        <v>4.6664000000000003</v>
      </c>
      <c r="DF13" s="48">
        <f t="shared" si="84"/>
        <v>5.8330000000000002</v>
      </c>
      <c r="DG13" s="48">
        <f t="shared" si="84"/>
        <v>6.9996</v>
      </c>
      <c r="DH13" s="48">
        <f t="shared" si="84"/>
        <v>8.1661999999999999</v>
      </c>
      <c r="DI13" s="48">
        <f t="shared" si="84"/>
        <v>9.3328000000000007</v>
      </c>
      <c r="DJ13" s="48">
        <f t="shared" si="84"/>
        <v>10.499400000000001</v>
      </c>
      <c r="DK13" s="48">
        <f t="shared" si="84"/>
        <v>11.666000000000002</v>
      </c>
      <c r="DL13" s="48">
        <f t="shared" si="84"/>
        <v>12.832600000000003</v>
      </c>
      <c r="DM13" s="48">
        <f t="shared" si="84"/>
        <v>13.999200000000004</v>
      </c>
      <c r="DN13" s="48">
        <f t="shared" ref="DN13:DN18" si="85">BJ13</f>
        <v>0</v>
      </c>
      <c r="DO13" s="48">
        <f>DN13+BK13</f>
        <v>0</v>
      </c>
      <c r="DP13" s="48">
        <f>DO13+BL13</f>
        <v>0</v>
      </c>
      <c r="DQ13" s="48"/>
      <c r="DR13" s="48"/>
      <c r="DS13" s="48"/>
      <c r="DT13" s="48"/>
      <c r="DU13" s="48"/>
      <c r="DV13" s="48"/>
      <c r="DW13" s="48"/>
      <c r="DX13" s="48"/>
      <c r="DY13" s="48"/>
      <c r="EA13" s="52">
        <f t="shared" si="57"/>
        <v>10</v>
      </c>
      <c r="EB13" s="52">
        <f t="shared" si="58"/>
        <v>13.999200000000004</v>
      </c>
      <c r="EC13" s="52"/>
      <c r="ED13" s="429"/>
      <c r="EE13" s="40">
        <f t="shared" si="5"/>
        <v>0</v>
      </c>
      <c r="EF13" s="40">
        <f t="shared" si="6"/>
        <v>0</v>
      </c>
      <c r="EG13" s="51">
        <f t="shared" si="72"/>
        <v>13.999200000000004</v>
      </c>
      <c r="EH13" s="54"/>
      <c r="EI13" s="54"/>
      <c r="EJ13" s="54"/>
      <c r="EK13" s="675"/>
      <c r="EL13" s="53"/>
      <c r="EM13" s="53"/>
      <c r="EN13" s="53"/>
      <c r="EO13" s="49"/>
      <c r="EP13" s="49"/>
      <c r="EQ13" s="49"/>
      <c r="FC13" s="568">
        <f t="shared" si="64"/>
        <v>10</v>
      </c>
      <c r="FD13" s="568">
        <f t="shared" si="65"/>
        <v>13.999200000000004</v>
      </c>
      <c r="FE13" s="568">
        <f t="shared" si="66"/>
        <v>3.0002000000000004</v>
      </c>
      <c r="FF13" s="568">
        <f t="shared" si="67"/>
        <v>4</v>
      </c>
    </row>
    <row r="14" spans="1:162">
      <c r="A14" s="6" t="s">
        <v>23</v>
      </c>
      <c r="B14" s="2" t="s">
        <v>9</v>
      </c>
      <c r="C14" s="3" t="s">
        <v>46</v>
      </c>
      <c r="E14" s="3" t="s">
        <v>16</v>
      </c>
      <c r="G14" s="3" t="s">
        <v>91</v>
      </c>
      <c r="I14" s="23"/>
      <c r="J14" s="19">
        <v>112.5</v>
      </c>
      <c r="K14" s="19">
        <f>+J14+112.5</f>
        <v>225</v>
      </c>
      <c r="L14" s="19">
        <f t="shared" ref="L14:U14" si="86">+K14+112.5</f>
        <v>337.5</v>
      </c>
      <c r="M14" s="19">
        <f t="shared" si="86"/>
        <v>450</v>
      </c>
      <c r="N14" s="19">
        <f t="shared" si="86"/>
        <v>562.5</v>
      </c>
      <c r="O14" s="19">
        <f t="shared" si="86"/>
        <v>675</v>
      </c>
      <c r="P14" s="19">
        <f t="shared" si="86"/>
        <v>787.5</v>
      </c>
      <c r="Q14" s="19">
        <f t="shared" si="86"/>
        <v>900</v>
      </c>
      <c r="R14" s="19">
        <f t="shared" si="86"/>
        <v>1012.5</v>
      </c>
      <c r="S14" s="19">
        <f t="shared" si="86"/>
        <v>1125</v>
      </c>
      <c r="T14" s="19">
        <f t="shared" si="86"/>
        <v>1237.5</v>
      </c>
      <c r="U14" s="19">
        <f t="shared" si="86"/>
        <v>1350</v>
      </c>
      <c r="V14" s="219">
        <v>107.25</v>
      </c>
      <c r="W14" s="246">
        <f>V14+107.25</f>
        <v>214.5</v>
      </c>
      <c r="X14" s="376">
        <f t="shared" ref="X14:AG14" si="87">W14+107.25</f>
        <v>321.75</v>
      </c>
      <c r="Y14" s="376">
        <f t="shared" si="87"/>
        <v>429</v>
      </c>
      <c r="Z14" s="376">
        <f t="shared" si="87"/>
        <v>536.25</v>
      </c>
      <c r="AA14" s="376">
        <f t="shared" si="87"/>
        <v>643.5</v>
      </c>
      <c r="AB14" s="376">
        <f t="shared" si="87"/>
        <v>750.75</v>
      </c>
      <c r="AC14" s="376">
        <f t="shared" si="87"/>
        <v>858</v>
      </c>
      <c r="AD14" s="376">
        <f t="shared" si="87"/>
        <v>965.25</v>
      </c>
      <c r="AE14" s="376">
        <f t="shared" si="87"/>
        <v>1072.5</v>
      </c>
      <c r="AF14" s="376">
        <f t="shared" si="87"/>
        <v>1179.75</v>
      </c>
      <c r="AG14" s="263">
        <f t="shared" si="87"/>
        <v>1287</v>
      </c>
      <c r="AH14" s="31">
        <f>1200/12</f>
        <v>100</v>
      </c>
      <c r="AI14" s="378">
        <f t="shared" ref="AI14:AJ14" si="88">1200/12</f>
        <v>100</v>
      </c>
      <c r="AJ14" s="378">
        <f t="shared" si="88"/>
        <v>100</v>
      </c>
      <c r="AK14" s="408"/>
      <c r="AL14" s="40">
        <f t="shared" ref="AL14:AL19" si="89">J14</f>
        <v>112.5</v>
      </c>
      <c r="AM14" s="40">
        <f t="shared" ref="AM14:AM19" si="90">K14-J14</f>
        <v>112.5</v>
      </c>
      <c r="AN14" s="40">
        <f t="shared" ref="AN14:AN19" si="91">L14-K14</f>
        <v>112.5</v>
      </c>
      <c r="AO14" s="40">
        <f t="shared" ref="AO14:AP19" si="92">M14-L14</f>
        <v>112.5</v>
      </c>
      <c r="AP14" s="40">
        <f t="shared" si="92"/>
        <v>112.5</v>
      </c>
      <c r="AQ14" s="40">
        <f t="shared" ref="AQ14:AQ19" si="93">O14-N14</f>
        <v>112.5</v>
      </c>
      <c r="AR14" s="40">
        <f t="shared" ref="AR14:AR19" si="94">P14-O14</f>
        <v>112.5</v>
      </c>
      <c r="AS14" s="40">
        <f t="shared" ref="AS14:AS19" si="95">Q14-P14</f>
        <v>112.5</v>
      </c>
      <c r="AT14" s="40">
        <f t="shared" ref="AT14:AT19" si="96">R14-Q14</f>
        <v>112.5</v>
      </c>
      <c r="AU14" s="40">
        <f t="shared" ref="AU14:AU19" si="97">S14-R14</f>
        <v>112.5</v>
      </c>
      <c r="AV14" s="40">
        <f t="shared" ref="AV14:AV19" si="98">T14-S14</f>
        <v>112.5</v>
      </c>
      <c r="AW14" s="40">
        <f t="shared" ref="AW14:AW19" si="99">U14-T14</f>
        <v>112.5</v>
      </c>
      <c r="AX14" s="40">
        <f t="shared" ref="AX14:AX19" si="100">V14</f>
        <v>107.25</v>
      </c>
      <c r="AY14" s="399">
        <f t="shared" ref="AY14:AY19" si="101">W14-V14</f>
        <v>107.25</v>
      </c>
      <c r="AZ14" s="399">
        <f t="shared" ref="AZ14:AZ19" si="102">X14-W14</f>
        <v>107.25</v>
      </c>
      <c r="BA14" s="399">
        <f t="shared" ref="BA14:BA19" si="103">Y14-X14</f>
        <v>107.25</v>
      </c>
      <c r="BB14" s="399">
        <f t="shared" ref="BB14:BB19" si="104">Z14-Y14</f>
        <v>107.25</v>
      </c>
      <c r="BC14" s="399">
        <f t="shared" ref="BC14:BC19" si="105">AA14-Z14</f>
        <v>107.25</v>
      </c>
      <c r="BD14" s="399">
        <f t="shared" ref="BD14:BD19" si="106">AB14-AA14</f>
        <v>107.25</v>
      </c>
      <c r="BE14" s="399">
        <f t="shared" ref="BE14:BE19" si="107">AC14-AB14</f>
        <v>107.25</v>
      </c>
      <c r="BF14" s="399">
        <f t="shared" ref="BF14:BF19" si="108">AD14-AC14</f>
        <v>107.25</v>
      </c>
      <c r="BG14" s="399">
        <f t="shared" ref="BG14:BG19" si="109">AE14-AD14</f>
        <v>107.25</v>
      </c>
      <c r="BH14" s="399">
        <f t="shared" ref="BH14:BH19" si="110">AF14-AE14</f>
        <v>107.25</v>
      </c>
      <c r="BI14" s="399">
        <f t="shared" ref="BI14:BJ19" si="111">AG14-AF14</f>
        <v>107.25</v>
      </c>
      <c r="BJ14" s="40">
        <f t="shared" si="82"/>
        <v>100</v>
      </c>
      <c r="BK14" s="40">
        <f t="shared" ref="BK14" si="112">AI14</f>
        <v>100</v>
      </c>
      <c r="BL14" s="40">
        <f t="shared" ref="BL14" si="113">AJ14</f>
        <v>100</v>
      </c>
      <c r="BM14" s="408"/>
      <c r="BN14" s="48">
        <f t="shared" si="14"/>
        <v>337.5</v>
      </c>
      <c r="BO14" s="48">
        <f t="shared" si="15"/>
        <v>337.5</v>
      </c>
      <c r="BP14" s="48">
        <f t="shared" si="16"/>
        <v>337.5</v>
      </c>
      <c r="BQ14" s="48">
        <f t="shared" si="17"/>
        <v>337.5</v>
      </c>
      <c r="BR14" s="48">
        <f t="shared" si="18"/>
        <v>337.5</v>
      </c>
      <c r="BS14" s="48">
        <f t="shared" si="19"/>
        <v>337.5</v>
      </c>
      <c r="BT14" s="48">
        <f t="shared" si="20"/>
        <v>337.5</v>
      </c>
      <c r="BU14" s="48">
        <f t="shared" si="21"/>
        <v>337.5</v>
      </c>
      <c r="BV14" s="48">
        <f t="shared" si="22"/>
        <v>337.5</v>
      </c>
      <c r="BW14" s="48">
        <f t="shared" si="23"/>
        <v>337.5</v>
      </c>
      <c r="BX14" s="48">
        <f t="shared" si="24"/>
        <v>337.5</v>
      </c>
      <c r="BY14" s="48">
        <f t="shared" si="25"/>
        <v>337.5</v>
      </c>
      <c r="BZ14" s="48">
        <v>321.75</v>
      </c>
      <c r="CA14" s="48">
        <v>321.75</v>
      </c>
      <c r="CB14" s="48">
        <v>321.75</v>
      </c>
      <c r="CC14" s="48">
        <v>643.5</v>
      </c>
      <c r="CD14" s="48">
        <v>643.5</v>
      </c>
      <c r="CE14" s="48">
        <v>643.5</v>
      </c>
      <c r="CF14" s="48">
        <v>965.25</v>
      </c>
      <c r="CG14" s="48">
        <v>965.25</v>
      </c>
      <c r="CH14" s="48">
        <v>965.25</v>
      </c>
      <c r="CI14" s="48">
        <v>1287</v>
      </c>
      <c r="CJ14" s="48">
        <v>1287</v>
      </c>
      <c r="CK14" s="48">
        <v>1287</v>
      </c>
      <c r="CL14" s="48">
        <f>CN14</f>
        <v>300</v>
      </c>
      <c r="CM14" s="48">
        <f>CN14</f>
        <v>300</v>
      </c>
      <c r="CN14" s="48">
        <f>1200/4</f>
        <v>300</v>
      </c>
      <c r="CO14" s="406"/>
      <c r="CP14" s="48">
        <f t="shared" ref="CP14:CP19" si="114">AL14</f>
        <v>112.5</v>
      </c>
      <c r="CQ14" s="48">
        <f t="shared" ref="CQ14:CQ19" si="115">CP14+AM14</f>
        <v>225</v>
      </c>
      <c r="CR14" s="48">
        <f t="shared" ref="CR14:CR19" si="116">CQ14+AN14</f>
        <v>337.5</v>
      </c>
      <c r="CS14" s="48">
        <f t="shared" ref="CS14:CS19" si="117">CR14+AO14</f>
        <v>450</v>
      </c>
      <c r="CT14" s="48">
        <f t="shared" ref="CT14:CT19" si="118">CS14+AP14</f>
        <v>562.5</v>
      </c>
      <c r="CU14" s="48">
        <f t="shared" ref="CU14:CU19" si="119">CT14+AQ14</f>
        <v>675</v>
      </c>
      <c r="CV14" s="48">
        <f t="shared" ref="CV14:CV19" si="120">CU14+AR14</f>
        <v>787.5</v>
      </c>
      <c r="CW14" s="48">
        <f t="shared" ref="CW14:CW19" si="121">CV14+AS14</f>
        <v>900</v>
      </c>
      <c r="CX14" s="48">
        <f t="shared" ref="CX14:CX19" si="122">CW14+AT14</f>
        <v>1012.5</v>
      </c>
      <c r="CY14" s="48">
        <f t="shared" ref="CY14:CY19" si="123">CX14+AU14</f>
        <v>1125</v>
      </c>
      <c r="CZ14" s="48">
        <f t="shared" ref="CZ14:CZ19" si="124">CY14+AV14</f>
        <v>1237.5</v>
      </c>
      <c r="DA14" s="48">
        <f t="shared" ref="DA14:DA19" si="125">CZ14+AW14</f>
        <v>1350</v>
      </c>
      <c r="DB14" s="276">
        <f t="shared" ref="DB14:DB19" si="126">AX14</f>
        <v>107.25</v>
      </c>
      <c r="DC14" s="48">
        <f t="shared" ref="DC14:DC19" si="127">DB14+AY14</f>
        <v>214.5</v>
      </c>
      <c r="DD14" s="48">
        <f t="shared" ref="DD14:DD19" si="128">DC14+AZ14</f>
        <v>321.75</v>
      </c>
      <c r="DE14" s="48">
        <f t="shared" ref="DE14:DE19" si="129">DD14+BA14</f>
        <v>429</v>
      </c>
      <c r="DF14" s="48">
        <f t="shared" ref="DF14:DF19" si="130">DE14+BB14</f>
        <v>536.25</v>
      </c>
      <c r="DG14" s="48">
        <f t="shared" ref="DG14:DG19" si="131">DF14+BC14</f>
        <v>643.5</v>
      </c>
      <c r="DH14" s="48">
        <f t="shared" ref="DH14:DH19" si="132">DG14+BD14</f>
        <v>750.75</v>
      </c>
      <c r="DI14" s="48">
        <f t="shared" ref="DI14:DI19" si="133">DH14+BE14</f>
        <v>858</v>
      </c>
      <c r="DJ14" s="48">
        <f t="shared" ref="DJ14:DJ19" si="134">DI14+BF14</f>
        <v>965.25</v>
      </c>
      <c r="DK14" s="48">
        <f t="shared" ref="DK14:DK19" si="135">DJ14+BG14</f>
        <v>1072.5</v>
      </c>
      <c r="DL14" s="48">
        <f t="shared" ref="DL14:DL19" si="136">DK14+BH14</f>
        <v>1179.75</v>
      </c>
      <c r="DM14" s="48">
        <f t="shared" ref="DM14:DM19" si="137">DL14+BI14</f>
        <v>1287</v>
      </c>
      <c r="DN14" s="48">
        <f t="shared" si="85"/>
        <v>100</v>
      </c>
      <c r="DO14" s="48">
        <f t="shared" ref="DO14" si="138">BK14</f>
        <v>100</v>
      </c>
      <c r="DP14" s="48">
        <f t="shared" ref="DP14" si="139">BL14</f>
        <v>100</v>
      </c>
      <c r="DQ14" s="48"/>
      <c r="DR14" s="48"/>
      <c r="DS14" s="48"/>
      <c r="DT14" s="48"/>
      <c r="DU14" s="48"/>
      <c r="DV14" s="48"/>
      <c r="DW14" s="48"/>
      <c r="DX14" s="48"/>
      <c r="DY14" s="48">
        <v>1300</v>
      </c>
      <c r="EA14" s="52">
        <f t="shared" si="57"/>
        <v>1350</v>
      </c>
      <c r="EB14" s="52">
        <f t="shared" si="58"/>
        <v>1287</v>
      </c>
      <c r="EC14" s="52">
        <v>1300</v>
      </c>
      <c r="ED14" s="429"/>
      <c r="EE14" s="40">
        <f t="shared" si="5"/>
        <v>100</v>
      </c>
      <c r="EF14" s="40">
        <f t="shared" si="6"/>
        <v>300</v>
      </c>
      <c r="EG14" s="51">
        <v>1300</v>
      </c>
      <c r="EH14" s="54"/>
      <c r="EI14" s="54"/>
      <c r="EJ14" s="54"/>
      <c r="EK14" s="675"/>
      <c r="EL14" s="53"/>
      <c r="EM14" s="53"/>
      <c r="EN14" s="53"/>
      <c r="EO14" s="49"/>
      <c r="EP14" s="49"/>
      <c r="EQ14" s="49"/>
      <c r="FC14" s="568">
        <f t="shared" si="64"/>
        <v>1350</v>
      </c>
      <c r="FD14" s="568">
        <f t="shared" si="65"/>
        <v>1287</v>
      </c>
      <c r="FE14" s="568">
        <f t="shared" si="66"/>
        <v>0.99993333777748139</v>
      </c>
      <c r="FF14" s="568">
        <f t="shared" si="67"/>
        <v>1</v>
      </c>
    </row>
    <row r="15" spans="1:162">
      <c r="A15" s="6" t="s">
        <v>23</v>
      </c>
      <c r="B15" s="2" t="s">
        <v>10</v>
      </c>
      <c r="C15" s="3" t="s">
        <v>47</v>
      </c>
      <c r="E15" s="3" t="s">
        <v>16</v>
      </c>
      <c r="G15" s="3" t="s">
        <v>91</v>
      </c>
      <c r="I15" s="23"/>
      <c r="J15" s="19">
        <f>J14*0.05</f>
        <v>5.625</v>
      </c>
      <c r="K15" s="19">
        <f t="shared" ref="K15:U15" si="140">K14*0.05</f>
        <v>11.25</v>
      </c>
      <c r="L15" s="19">
        <f t="shared" si="140"/>
        <v>16.875</v>
      </c>
      <c r="M15" s="19">
        <f t="shared" si="140"/>
        <v>22.5</v>
      </c>
      <c r="N15" s="19">
        <f t="shared" si="140"/>
        <v>28.125</v>
      </c>
      <c r="O15" s="19">
        <f t="shared" si="140"/>
        <v>33.75</v>
      </c>
      <c r="P15" s="19">
        <f t="shared" si="140"/>
        <v>39.375</v>
      </c>
      <c r="Q15" s="19">
        <f t="shared" si="140"/>
        <v>45</v>
      </c>
      <c r="R15" s="19">
        <f t="shared" si="140"/>
        <v>50.625</v>
      </c>
      <c r="S15" s="19">
        <f t="shared" si="140"/>
        <v>56.25</v>
      </c>
      <c r="T15" s="19">
        <f t="shared" si="140"/>
        <v>61.875</v>
      </c>
      <c r="U15" s="19">
        <f t="shared" si="140"/>
        <v>67.5</v>
      </c>
      <c r="V15" s="219">
        <v>37.5</v>
      </c>
      <c r="W15" s="246">
        <f>V15+37.5</f>
        <v>75</v>
      </c>
      <c r="X15" s="376">
        <f t="shared" ref="X15:AG15" si="141">W15+37.5</f>
        <v>112.5</v>
      </c>
      <c r="Y15" s="376">
        <f t="shared" si="141"/>
        <v>150</v>
      </c>
      <c r="Z15" s="376">
        <f t="shared" si="141"/>
        <v>187.5</v>
      </c>
      <c r="AA15" s="376">
        <f t="shared" si="141"/>
        <v>225</v>
      </c>
      <c r="AB15" s="376">
        <f t="shared" si="141"/>
        <v>262.5</v>
      </c>
      <c r="AC15" s="376">
        <f t="shared" si="141"/>
        <v>300</v>
      </c>
      <c r="AD15" s="376">
        <f t="shared" si="141"/>
        <v>337.5</v>
      </c>
      <c r="AE15" s="376">
        <f t="shared" si="141"/>
        <v>375</v>
      </c>
      <c r="AF15" s="376">
        <f t="shared" si="141"/>
        <v>412.5</v>
      </c>
      <c r="AG15" s="263">
        <f t="shared" si="141"/>
        <v>450</v>
      </c>
      <c r="AH15" s="31"/>
      <c r="AI15" s="19"/>
      <c r="AJ15" s="19"/>
      <c r="AK15" s="408"/>
      <c r="AL15" s="40">
        <f t="shared" si="89"/>
        <v>5.625</v>
      </c>
      <c r="AM15" s="40">
        <f t="shared" si="90"/>
        <v>5.625</v>
      </c>
      <c r="AN15" s="40">
        <f t="shared" si="91"/>
        <v>5.625</v>
      </c>
      <c r="AO15" s="40">
        <f t="shared" si="92"/>
        <v>5.625</v>
      </c>
      <c r="AP15" s="40">
        <f t="shared" si="92"/>
        <v>5.625</v>
      </c>
      <c r="AQ15" s="40">
        <f t="shared" si="93"/>
        <v>5.625</v>
      </c>
      <c r="AR15" s="40">
        <f t="shared" si="94"/>
        <v>5.625</v>
      </c>
      <c r="AS15" s="40">
        <f t="shared" si="95"/>
        <v>5.625</v>
      </c>
      <c r="AT15" s="40">
        <f t="shared" si="96"/>
        <v>5.625</v>
      </c>
      <c r="AU15" s="40">
        <f t="shared" si="97"/>
        <v>5.625</v>
      </c>
      <c r="AV15" s="40">
        <f t="shared" si="98"/>
        <v>5.625</v>
      </c>
      <c r="AW15" s="40">
        <f t="shared" si="99"/>
        <v>5.625</v>
      </c>
      <c r="AX15" s="40">
        <f t="shared" si="100"/>
        <v>37.5</v>
      </c>
      <c r="AY15" s="40">
        <f t="shared" si="101"/>
        <v>37.5</v>
      </c>
      <c r="AZ15" s="40">
        <f t="shared" si="102"/>
        <v>37.5</v>
      </c>
      <c r="BA15" s="40">
        <f t="shared" si="103"/>
        <v>37.5</v>
      </c>
      <c r="BB15" s="40">
        <f t="shared" si="104"/>
        <v>37.5</v>
      </c>
      <c r="BC15" s="40">
        <f t="shared" si="105"/>
        <v>37.5</v>
      </c>
      <c r="BD15" s="40">
        <f t="shared" si="106"/>
        <v>37.5</v>
      </c>
      <c r="BE15" s="40">
        <f t="shared" si="107"/>
        <v>37.5</v>
      </c>
      <c r="BF15" s="40">
        <f t="shared" si="108"/>
        <v>37.5</v>
      </c>
      <c r="BG15" s="40">
        <f t="shared" si="109"/>
        <v>37.5</v>
      </c>
      <c r="BH15" s="40">
        <f t="shared" si="110"/>
        <v>37.5</v>
      </c>
      <c r="BI15" s="40">
        <f t="shared" si="111"/>
        <v>37.5</v>
      </c>
      <c r="BJ15" s="40">
        <f t="shared" si="82"/>
        <v>0</v>
      </c>
      <c r="BK15" s="40">
        <f t="shared" ref="BK15:BK19" si="142">AI15-AH15</f>
        <v>0</v>
      </c>
      <c r="BL15" s="40">
        <f t="shared" ref="BL15:BL19" si="143">AJ15-AI15</f>
        <v>0</v>
      </c>
      <c r="BM15" s="408"/>
      <c r="BN15" s="48">
        <f t="shared" si="14"/>
        <v>16.875</v>
      </c>
      <c r="BO15" s="48">
        <f t="shared" si="15"/>
        <v>16.875</v>
      </c>
      <c r="BP15" s="48">
        <f t="shared" si="16"/>
        <v>16.875</v>
      </c>
      <c r="BQ15" s="48">
        <f t="shared" si="17"/>
        <v>16.875</v>
      </c>
      <c r="BR15" s="48">
        <f t="shared" si="18"/>
        <v>16.875</v>
      </c>
      <c r="BS15" s="48">
        <f t="shared" si="19"/>
        <v>16.875</v>
      </c>
      <c r="BT15" s="48">
        <f t="shared" si="20"/>
        <v>16.875</v>
      </c>
      <c r="BU15" s="48">
        <f t="shared" si="21"/>
        <v>16.875</v>
      </c>
      <c r="BV15" s="48">
        <f t="shared" si="22"/>
        <v>16.875</v>
      </c>
      <c r="BW15" s="48">
        <f t="shared" si="23"/>
        <v>16.875</v>
      </c>
      <c r="BX15" s="48">
        <f t="shared" si="24"/>
        <v>16.875</v>
      </c>
      <c r="BY15" s="48">
        <f t="shared" si="25"/>
        <v>16.875</v>
      </c>
      <c r="BZ15" s="48">
        <v>112.5</v>
      </c>
      <c r="CA15" s="48">
        <v>112.5</v>
      </c>
      <c r="CB15" s="48">
        <v>112.5</v>
      </c>
      <c r="CC15" s="48">
        <v>225</v>
      </c>
      <c r="CD15" s="48">
        <v>225</v>
      </c>
      <c r="CE15" s="48">
        <v>225</v>
      </c>
      <c r="CF15" s="48">
        <v>337.5</v>
      </c>
      <c r="CG15" s="48">
        <v>337.5</v>
      </c>
      <c r="CH15" s="48">
        <v>337.5</v>
      </c>
      <c r="CI15" s="48">
        <v>450</v>
      </c>
      <c r="CJ15" s="48">
        <v>450</v>
      </c>
      <c r="CK15" s="48">
        <v>450</v>
      </c>
      <c r="CL15" s="48">
        <f t="shared" si="38"/>
        <v>0</v>
      </c>
      <c r="CM15" s="48">
        <f t="shared" si="39"/>
        <v>0</v>
      </c>
      <c r="CN15" s="48">
        <f t="shared" si="40"/>
        <v>0</v>
      </c>
      <c r="CO15" s="406"/>
      <c r="CP15" s="48">
        <f t="shared" si="114"/>
        <v>5.625</v>
      </c>
      <c r="CQ15" s="48">
        <f t="shared" si="115"/>
        <v>11.25</v>
      </c>
      <c r="CR15" s="48">
        <f t="shared" si="116"/>
        <v>16.875</v>
      </c>
      <c r="CS15" s="48">
        <f t="shared" si="117"/>
        <v>22.5</v>
      </c>
      <c r="CT15" s="48">
        <f t="shared" si="118"/>
        <v>28.125</v>
      </c>
      <c r="CU15" s="48">
        <f t="shared" si="119"/>
        <v>33.75</v>
      </c>
      <c r="CV15" s="48">
        <f t="shared" si="120"/>
        <v>39.375</v>
      </c>
      <c r="CW15" s="48">
        <f t="shared" si="121"/>
        <v>45</v>
      </c>
      <c r="CX15" s="48">
        <f t="shared" si="122"/>
        <v>50.625</v>
      </c>
      <c r="CY15" s="48">
        <f t="shared" si="123"/>
        <v>56.25</v>
      </c>
      <c r="CZ15" s="48">
        <f t="shared" si="124"/>
        <v>61.875</v>
      </c>
      <c r="DA15" s="48">
        <f t="shared" si="125"/>
        <v>67.5</v>
      </c>
      <c r="DB15" s="48">
        <f t="shared" si="126"/>
        <v>37.5</v>
      </c>
      <c r="DC15" s="48">
        <f t="shared" si="127"/>
        <v>75</v>
      </c>
      <c r="DD15" s="48">
        <f t="shared" si="128"/>
        <v>112.5</v>
      </c>
      <c r="DE15" s="48">
        <f t="shared" si="129"/>
        <v>150</v>
      </c>
      <c r="DF15" s="48">
        <f t="shared" si="130"/>
        <v>187.5</v>
      </c>
      <c r="DG15" s="48">
        <f t="shared" si="131"/>
        <v>225</v>
      </c>
      <c r="DH15" s="48">
        <f t="shared" si="132"/>
        <v>262.5</v>
      </c>
      <c r="DI15" s="48">
        <f t="shared" si="133"/>
        <v>300</v>
      </c>
      <c r="DJ15" s="48">
        <f t="shared" si="134"/>
        <v>337.5</v>
      </c>
      <c r="DK15" s="48">
        <f t="shared" si="135"/>
        <v>375</v>
      </c>
      <c r="DL15" s="48">
        <f t="shared" si="136"/>
        <v>412.5</v>
      </c>
      <c r="DM15" s="48">
        <f t="shared" si="137"/>
        <v>450</v>
      </c>
      <c r="DN15" s="48">
        <f t="shared" si="85"/>
        <v>0</v>
      </c>
      <c r="DO15" s="48">
        <f t="shared" ref="DO15:DO19" si="144">DN15+BK15</f>
        <v>0</v>
      </c>
      <c r="DP15" s="48">
        <f t="shared" ref="DP15:DP19" si="145">DO15+BL15</f>
        <v>0</v>
      </c>
      <c r="DQ15" s="48"/>
      <c r="DR15" s="48"/>
      <c r="DS15" s="48"/>
      <c r="DT15" s="48"/>
      <c r="DU15" s="48"/>
      <c r="DV15" s="48"/>
      <c r="DW15" s="48"/>
      <c r="DX15" s="48"/>
      <c r="DY15" s="48"/>
      <c r="EA15" s="52">
        <f t="shared" si="57"/>
        <v>67.5</v>
      </c>
      <c r="EB15" s="52">
        <f t="shared" si="58"/>
        <v>450</v>
      </c>
      <c r="EC15" s="52"/>
      <c r="ED15" s="429"/>
      <c r="EE15" s="40">
        <f t="shared" si="5"/>
        <v>0</v>
      </c>
      <c r="EF15" s="40">
        <f t="shared" si="6"/>
        <v>0</v>
      </c>
      <c r="EG15" s="51">
        <f t="shared" si="72"/>
        <v>450</v>
      </c>
      <c r="EH15" s="54"/>
      <c r="EI15" s="54"/>
      <c r="EJ15" s="54"/>
      <c r="EK15" s="675"/>
      <c r="EL15" s="53"/>
      <c r="EM15" s="53"/>
      <c r="EN15" s="53"/>
      <c r="EO15" s="49"/>
      <c r="EP15" s="49"/>
      <c r="EQ15" s="49"/>
      <c r="FC15" s="568">
        <f t="shared" si="64"/>
        <v>67.5</v>
      </c>
      <c r="FD15" s="568">
        <f t="shared" si="65"/>
        <v>450</v>
      </c>
      <c r="FE15" s="568">
        <f t="shared" si="66"/>
        <v>21</v>
      </c>
      <c r="FF15" s="568">
        <f t="shared" si="67"/>
        <v>25</v>
      </c>
    </row>
    <row r="16" spans="1:162">
      <c r="A16" s="6" t="s">
        <v>23</v>
      </c>
      <c r="B16" s="2" t="s">
        <v>11</v>
      </c>
      <c r="C16" s="3" t="s">
        <v>48</v>
      </c>
      <c r="E16" s="3" t="s">
        <v>16</v>
      </c>
      <c r="G16" s="3" t="s">
        <v>91</v>
      </c>
      <c r="I16" s="23"/>
      <c r="J16" s="19">
        <v>4.3333329999999997</v>
      </c>
      <c r="K16" s="19">
        <f>+J16+4.333333</f>
        <v>8.6666659999999993</v>
      </c>
      <c r="L16" s="19">
        <f t="shared" ref="L16:U16" si="146">+K16+4.333333</f>
        <v>12.999998999999999</v>
      </c>
      <c r="M16" s="19">
        <f t="shared" si="146"/>
        <v>17.333331999999999</v>
      </c>
      <c r="N16" s="19">
        <f t="shared" si="146"/>
        <v>21.666664999999998</v>
      </c>
      <c r="O16" s="19">
        <f t="shared" si="146"/>
        <v>25.999997999999998</v>
      </c>
      <c r="P16" s="19">
        <f t="shared" si="146"/>
        <v>30.333330999999998</v>
      </c>
      <c r="Q16" s="19">
        <f t="shared" si="146"/>
        <v>34.666663999999997</v>
      </c>
      <c r="R16" s="19">
        <f t="shared" si="146"/>
        <v>38.999996999999993</v>
      </c>
      <c r="S16" s="19">
        <f t="shared" si="146"/>
        <v>43.333329999999989</v>
      </c>
      <c r="T16" s="19">
        <f t="shared" si="146"/>
        <v>47.666662999999986</v>
      </c>
      <c r="U16" s="19">
        <f t="shared" si="146"/>
        <v>51.999995999999982</v>
      </c>
      <c r="V16" s="219">
        <f>ROUND(W16/2,0)</f>
        <v>5</v>
      </c>
      <c r="W16" s="246">
        <f t="shared" ref="W16:AE17" si="147">X16-(Y16-X16)</f>
        <v>10.999999999999972</v>
      </c>
      <c r="X16" s="246">
        <f t="shared" si="147"/>
        <v>16.699999999999974</v>
      </c>
      <c r="Y16" s="246">
        <f t="shared" si="147"/>
        <v>22.399999999999977</v>
      </c>
      <c r="Z16" s="246">
        <f t="shared" si="147"/>
        <v>28.09999999999998</v>
      </c>
      <c r="AA16" s="246">
        <f t="shared" si="147"/>
        <v>33.799999999999983</v>
      </c>
      <c r="AB16" s="246">
        <f t="shared" si="147"/>
        <v>39.499999999999986</v>
      </c>
      <c r="AC16" s="246">
        <f t="shared" si="147"/>
        <v>45.199999999999989</v>
      </c>
      <c r="AD16" s="246">
        <f t="shared" si="147"/>
        <v>50.899999999999991</v>
      </c>
      <c r="AE16" s="246">
        <f t="shared" si="147"/>
        <v>56.599999999999994</v>
      </c>
      <c r="AF16" s="246">
        <f>-ROUND(AG16/12,1)+AG16</f>
        <v>62.3</v>
      </c>
      <c r="AG16" s="263">
        <v>68</v>
      </c>
      <c r="AH16" s="31"/>
      <c r="AI16" s="19"/>
      <c r="AJ16" s="19"/>
      <c r="AK16" s="408"/>
      <c r="AL16" s="40">
        <f t="shared" si="89"/>
        <v>4.3333329999999997</v>
      </c>
      <c r="AM16" s="40">
        <f t="shared" si="90"/>
        <v>4.3333329999999997</v>
      </c>
      <c r="AN16" s="40">
        <f t="shared" si="91"/>
        <v>4.3333329999999997</v>
      </c>
      <c r="AO16" s="40">
        <f t="shared" si="92"/>
        <v>4.3333329999999997</v>
      </c>
      <c r="AP16" s="40">
        <f t="shared" si="92"/>
        <v>4.3333329999999997</v>
      </c>
      <c r="AQ16" s="40">
        <f t="shared" si="93"/>
        <v>4.3333329999999997</v>
      </c>
      <c r="AR16" s="40">
        <f t="shared" si="94"/>
        <v>4.3333329999999997</v>
      </c>
      <c r="AS16" s="40">
        <f t="shared" si="95"/>
        <v>4.3333329999999997</v>
      </c>
      <c r="AT16" s="40">
        <f t="shared" si="96"/>
        <v>4.3333329999999961</v>
      </c>
      <c r="AU16" s="40">
        <f t="shared" si="97"/>
        <v>4.3333329999999961</v>
      </c>
      <c r="AV16" s="40">
        <f t="shared" si="98"/>
        <v>4.3333329999999961</v>
      </c>
      <c r="AW16" s="40">
        <f t="shared" si="99"/>
        <v>4.3333329999999961</v>
      </c>
      <c r="AX16" s="40">
        <f t="shared" si="100"/>
        <v>5</v>
      </c>
      <c r="AY16" s="40">
        <f t="shared" si="101"/>
        <v>5.9999999999999716</v>
      </c>
      <c r="AZ16" s="40">
        <f t="shared" si="102"/>
        <v>5.7000000000000028</v>
      </c>
      <c r="BA16" s="40">
        <f t="shared" si="103"/>
        <v>5.7000000000000028</v>
      </c>
      <c r="BB16" s="40">
        <f t="shared" si="104"/>
        <v>5.7000000000000028</v>
      </c>
      <c r="BC16" s="40">
        <f t="shared" si="105"/>
        <v>5.7000000000000028</v>
      </c>
      <c r="BD16" s="40">
        <f t="shared" si="106"/>
        <v>5.7000000000000028</v>
      </c>
      <c r="BE16" s="40">
        <f t="shared" si="107"/>
        <v>5.7000000000000028</v>
      </c>
      <c r="BF16" s="40">
        <f t="shared" si="108"/>
        <v>5.7000000000000028</v>
      </c>
      <c r="BG16" s="40">
        <f t="shared" si="109"/>
        <v>5.7000000000000028</v>
      </c>
      <c r="BH16" s="40">
        <f t="shared" si="110"/>
        <v>5.7000000000000028</v>
      </c>
      <c r="BI16" s="40">
        <f t="shared" si="111"/>
        <v>5.7000000000000028</v>
      </c>
      <c r="BJ16" s="40">
        <f t="shared" si="82"/>
        <v>0</v>
      </c>
      <c r="BK16" s="40">
        <f t="shared" si="142"/>
        <v>0</v>
      </c>
      <c r="BL16" s="40">
        <f t="shared" si="143"/>
        <v>0</v>
      </c>
      <c r="BM16" s="408"/>
      <c r="BN16" s="48">
        <f t="shared" si="14"/>
        <v>12.999998999999999</v>
      </c>
      <c r="BO16" s="48">
        <f t="shared" si="15"/>
        <v>12.999998999999999</v>
      </c>
      <c r="BP16" s="48">
        <f t="shared" si="16"/>
        <v>12.999998999999999</v>
      </c>
      <c r="BQ16" s="48">
        <f t="shared" si="17"/>
        <v>12.999998999999999</v>
      </c>
      <c r="BR16" s="48">
        <f t="shared" si="18"/>
        <v>12.999998999999999</v>
      </c>
      <c r="BS16" s="48">
        <f t="shared" si="19"/>
        <v>12.999998999999999</v>
      </c>
      <c r="BT16" s="48">
        <f t="shared" si="20"/>
        <v>12.999998999999995</v>
      </c>
      <c r="BU16" s="48">
        <f t="shared" si="21"/>
        <v>12.999998999999995</v>
      </c>
      <c r="BV16" s="48">
        <f t="shared" si="22"/>
        <v>12.999998999999995</v>
      </c>
      <c r="BW16" s="48">
        <f t="shared" si="23"/>
        <v>12.999998999999988</v>
      </c>
      <c r="BX16" s="48">
        <f t="shared" si="24"/>
        <v>12.999998999999988</v>
      </c>
      <c r="BY16" s="48">
        <f t="shared" si="25"/>
        <v>12.999998999999988</v>
      </c>
      <c r="BZ16" s="48">
        <f t="shared" si="26"/>
        <v>16.699999999999974</v>
      </c>
      <c r="CA16" s="48">
        <f t="shared" si="27"/>
        <v>16.699999999999974</v>
      </c>
      <c r="CB16" s="48">
        <f t="shared" si="28"/>
        <v>16.699999999999974</v>
      </c>
      <c r="CC16" s="48">
        <f t="shared" si="29"/>
        <v>17.100000000000009</v>
      </c>
      <c r="CD16" s="48">
        <f t="shared" si="30"/>
        <v>17.100000000000009</v>
      </c>
      <c r="CE16" s="48">
        <f t="shared" si="31"/>
        <v>17.100000000000009</v>
      </c>
      <c r="CF16" s="48">
        <f t="shared" si="32"/>
        <v>17.100000000000009</v>
      </c>
      <c r="CG16" s="48">
        <f t="shared" si="33"/>
        <v>17.100000000000009</v>
      </c>
      <c r="CH16" s="48">
        <f t="shared" si="34"/>
        <v>17.100000000000009</v>
      </c>
      <c r="CI16" s="48">
        <f t="shared" si="35"/>
        <v>17.100000000000009</v>
      </c>
      <c r="CJ16" s="48">
        <f t="shared" si="36"/>
        <v>17.100000000000009</v>
      </c>
      <c r="CK16" s="48">
        <f t="shared" si="37"/>
        <v>17.100000000000009</v>
      </c>
      <c r="CL16" s="48">
        <f t="shared" si="38"/>
        <v>0</v>
      </c>
      <c r="CM16" s="48">
        <f t="shared" si="39"/>
        <v>0</v>
      </c>
      <c r="CN16" s="48">
        <f t="shared" si="40"/>
        <v>0</v>
      </c>
      <c r="CO16" s="406"/>
      <c r="CP16" s="48">
        <f t="shared" si="114"/>
        <v>4.3333329999999997</v>
      </c>
      <c r="CQ16" s="48">
        <f t="shared" si="115"/>
        <v>8.6666659999999993</v>
      </c>
      <c r="CR16" s="48">
        <f t="shared" si="116"/>
        <v>12.999998999999999</v>
      </c>
      <c r="CS16" s="48">
        <f t="shared" si="117"/>
        <v>17.333331999999999</v>
      </c>
      <c r="CT16" s="48">
        <f t="shared" si="118"/>
        <v>21.666664999999998</v>
      </c>
      <c r="CU16" s="48">
        <f t="shared" si="119"/>
        <v>25.999997999999998</v>
      </c>
      <c r="CV16" s="48">
        <f t="shared" si="120"/>
        <v>30.333330999999998</v>
      </c>
      <c r="CW16" s="48">
        <f t="shared" si="121"/>
        <v>34.666663999999997</v>
      </c>
      <c r="CX16" s="48">
        <f t="shared" si="122"/>
        <v>38.999996999999993</v>
      </c>
      <c r="CY16" s="48">
        <f t="shared" si="123"/>
        <v>43.333329999999989</v>
      </c>
      <c r="CZ16" s="48">
        <f t="shared" si="124"/>
        <v>47.666662999999986</v>
      </c>
      <c r="DA16" s="48">
        <f t="shared" si="125"/>
        <v>51.999995999999982</v>
      </c>
      <c r="DB16" s="319">
        <f t="shared" si="126"/>
        <v>5</v>
      </c>
      <c r="DC16" s="319">
        <f t="shared" si="127"/>
        <v>10.999999999999972</v>
      </c>
      <c r="DD16" s="319">
        <f t="shared" si="128"/>
        <v>16.699999999999974</v>
      </c>
      <c r="DE16" s="319">
        <f t="shared" si="129"/>
        <v>22.399999999999977</v>
      </c>
      <c r="DF16" s="319">
        <f t="shared" si="130"/>
        <v>28.09999999999998</v>
      </c>
      <c r="DG16" s="319">
        <f t="shared" si="131"/>
        <v>33.799999999999983</v>
      </c>
      <c r="DH16" s="319">
        <f t="shared" si="132"/>
        <v>39.499999999999986</v>
      </c>
      <c r="DI16" s="319">
        <f t="shared" si="133"/>
        <v>45.199999999999989</v>
      </c>
      <c r="DJ16" s="319">
        <f t="shared" si="134"/>
        <v>50.899999999999991</v>
      </c>
      <c r="DK16" s="319">
        <f t="shared" si="135"/>
        <v>56.599999999999994</v>
      </c>
      <c r="DL16" s="319">
        <f t="shared" si="136"/>
        <v>62.3</v>
      </c>
      <c r="DM16" s="319">
        <f t="shared" si="137"/>
        <v>68</v>
      </c>
      <c r="DN16" s="48">
        <f t="shared" si="85"/>
        <v>0</v>
      </c>
      <c r="DO16" s="48">
        <f t="shared" si="144"/>
        <v>0</v>
      </c>
      <c r="DP16" s="48">
        <f t="shared" si="145"/>
        <v>0</v>
      </c>
      <c r="DQ16" s="48"/>
      <c r="DR16" s="48"/>
      <c r="DS16" s="48"/>
      <c r="DT16" s="48"/>
      <c r="DU16" s="48"/>
      <c r="DV16" s="48"/>
      <c r="DW16" s="48"/>
      <c r="DX16" s="48"/>
      <c r="DY16" s="48"/>
      <c r="EA16" s="52">
        <f t="shared" si="57"/>
        <v>51.999995999999982</v>
      </c>
      <c r="EB16" s="52">
        <f t="shared" si="58"/>
        <v>68</v>
      </c>
      <c r="EC16" s="52"/>
      <c r="ED16" s="429"/>
      <c r="EE16" s="40">
        <f t="shared" si="5"/>
        <v>0</v>
      </c>
      <c r="EF16" s="40">
        <f t="shared" si="6"/>
        <v>0</v>
      </c>
      <c r="EG16" s="51">
        <f t="shared" si="72"/>
        <v>68</v>
      </c>
      <c r="EH16" s="54"/>
      <c r="EI16" s="54"/>
      <c r="EJ16" s="54"/>
      <c r="EK16" s="675"/>
      <c r="EL16" s="53"/>
      <c r="EM16" s="53"/>
      <c r="EN16" s="53"/>
      <c r="EO16" s="49"/>
      <c r="EP16" s="49"/>
      <c r="EQ16" s="49"/>
      <c r="FC16" s="568">
        <f t="shared" si="64"/>
        <v>51.999995999999982</v>
      </c>
      <c r="FD16" s="568">
        <f t="shared" si="65"/>
        <v>68</v>
      </c>
      <c r="FE16" s="568">
        <f t="shared" si="66"/>
        <v>1573.07</v>
      </c>
      <c r="FF16" s="568">
        <f t="shared" si="67"/>
        <v>1888</v>
      </c>
    </row>
    <row r="17" spans="1:162">
      <c r="A17" s="6" t="s">
        <v>23</v>
      </c>
      <c r="B17" s="2" t="s">
        <v>12</v>
      </c>
      <c r="C17" s="3" t="s">
        <v>49</v>
      </c>
      <c r="E17" s="3" t="s">
        <v>16</v>
      </c>
      <c r="G17" s="3" t="s">
        <v>91</v>
      </c>
      <c r="I17" s="23"/>
      <c r="J17" s="19">
        <v>9.9166670000000003</v>
      </c>
      <c r="K17" s="19">
        <f>J17+9.916667</f>
        <v>19.833334000000001</v>
      </c>
      <c r="L17" s="19">
        <f t="shared" ref="L17:U17" si="148">K17+9.916667</f>
        <v>29.750001000000001</v>
      </c>
      <c r="M17" s="19">
        <f t="shared" si="148"/>
        <v>39.666668000000001</v>
      </c>
      <c r="N17" s="19">
        <f t="shared" si="148"/>
        <v>49.583335000000005</v>
      </c>
      <c r="O17" s="19">
        <f t="shared" si="148"/>
        <v>59.500002000000009</v>
      </c>
      <c r="P17" s="19">
        <f t="shared" si="148"/>
        <v>69.416669000000013</v>
      </c>
      <c r="Q17" s="19">
        <f t="shared" si="148"/>
        <v>79.333336000000017</v>
      </c>
      <c r="R17" s="19">
        <f t="shared" si="148"/>
        <v>89.250003000000021</v>
      </c>
      <c r="S17" s="19">
        <f t="shared" si="148"/>
        <v>99.166670000000025</v>
      </c>
      <c r="T17" s="19">
        <f t="shared" si="148"/>
        <v>109.08333700000003</v>
      </c>
      <c r="U17" s="19">
        <f t="shared" si="148"/>
        <v>119.00000400000003</v>
      </c>
      <c r="V17" s="219">
        <f>ROUND(W17/2,0)</f>
        <v>6</v>
      </c>
      <c r="W17" s="246">
        <f t="shared" si="147"/>
        <v>12.999999999999943</v>
      </c>
      <c r="X17" s="246">
        <f t="shared" si="147"/>
        <v>19.399999999999949</v>
      </c>
      <c r="Y17" s="246">
        <f t="shared" si="147"/>
        <v>25.799999999999955</v>
      </c>
      <c r="Z17" s="246">
        <f t="shared" si="147"/>
        <v>32.19999999999996</v>
      </c>
      <c r="AA17" s="246">
        <f t="shared" si="147"/>
        <v>38.599999999999966</v>
      </c>
      <c r="AB17" s="246">
        <f t="shared" si="147"/>
        <v>44.999999999999972</v>
      </c>
      <c r="AC17" s="246">
        <f t="shared" si="147"/>
        <v>51.399999999999977</v>
      </c>
      <c r="AD17" s="246">
        <f t="shared" si="147"/>
        <v>57.799999999999983</v>
      </c>
      <c r="AE17" s="246">
        <f t="shared" si="147"/>
        <v>64.199999999999989</v>
      </c>
      <c r="AF17" s="246">
        <f>-ROUND(AG17/12,1)+AG17</f>
        <v>70.599999999999994</v>
      </c>
      <c r="AG17" s="263">
        <v>77</v>
      </c>
      <c r="AH17" s="31"/>
      <c r="AI17" s="19"/>
      <c r="AJ17" s="19"/>
      <c r="AK17" s="408"/>
      <c r="AL17" s="40">
        <f t="shared" si="89"/>
        <v>9.9166670000000003</v>
      </c>
      <c r="AM17" s="40">
        <f t="shared" si="90"/>
        <v>9.9166670000000003</v>
      </c>
      <c r="AN17" s="40">
        <f t="shared" si="91"/>
        <v>9.9166670000000003</v>
      </c>
      <c r="AO17" s="40">
        <f t="shared" si="92"/>
        <v>9.9166670000000003</v>
      </c>
      <c r="AP17" s="40">
        <f t="shared" si="92"/>
        <v>9.9166670000000039</v>
      </c>
      <c r="AQ17" s="40">
        <f t="shared" si="93"/>
        <v>9.9166670000000039</v>
      </c>
      <c r="AR17" s="40">
        <f t="shared" si="94"/>
        <v>9.9166670000000039</v>
      </c>
      <c r="AS17" s="40">
        <f t="shared" si="95"/>
        <v>9.9166670000000039</v>
      </c>
      <c r="AT17" s="40">
        <f t="shared" si="96"/>
        <v>9.9166670000000039</v>
      </c>
      <c r="AU17" s="40">
        <f t="shared" si="97"/>
        <v>9.9166670000000039</v>
      </c>
      <c r="AV17" s="40">
        <f t="shared" si="98"/>
        <v>9.9166670000000039</v>
      </c>
      <c r="AW17" s="40">
        <f t="shared" si="99"/>
        <v>9.9166670000000039</v>
      </c>
      <c r="AX17" s="40">
        <f t="shared" si="100"/>
        <v>6</v>
      </c>
      <c r="AY17" s="40">
        <f t="shared" si="101"/>
        <v>6.9999999999999432</v>
      </c>
      <c r="AZ17" s="40">
        <f t="shared" si="102"/>
        <v>6.4000000000000057</v>
      </c>
      <c r="BA17" s="40">
        <f t="shared" si="103"/>
        <v>6.4000000000000057</v>
      </c>
      <c r="BB17" s="40">
        <f t="shared" si="104"/>
        <v>6.4000000000000057</v>
      </c>
      <c r="BC17" s="40">
        <f t="shared" si="105"/>
        <v>6.4000000000000057</v>
      </c>
      <c r="BD17" s="40">
        <f t="shared" si="106"/>
        <v>6.4000000000000057</v>
      </c>
      <c r="BE17" s="40">
        <f t="shared" si="107"/>
        <v>6.4000000000000057</v>
      </c>
      <c r="BF17" s="40">
        <f t="shared" si="108"/>
        <v>6.4000000000000057</v>
      </c>
      <c r="BG17" s="40">
        <f t="shared" si="109"/>
        <v>6.4000000000000057</v>
      </c>
      <c r="BH17" s="40">
        <f t="shared" si="110"/>
        <v>6.4000000000000057</v>
      </c>
      <c r="BI17" s="40">
        <f t="shared" si="111"/>
        <v>6.4000000000000057</v>
      </c>
      <c r="BJ17" s="40">
        <f t="shared" si="82"/>
        <v>0</v>
      </c>
      <c r="BK17" s="40">
        <f t="shared" si="142"/>
        <v>0</v>
      </c>
      <c r="BL17" s="40">
        <f t="shared" si="143"/>
        <v>0</v>
      </c>
      <c r="BM17" s="408"/>
      <c r="BN17" s="48">
        <f t="shared" si="14"/>
        <v>29.750001000000001</v>
      </c>
      <c r="BO17" s="48">
        <f t="shared" si="15"/>
        <v>29.750001000000001</v>
      </c>
      <c r="BP17" s="48">
        <f t="shared" si="16"/>
        <v>29.750001000000001</v>
      </c>
      <c r="BQ17" s="48">
        <f t="shared" si="17"/>
        <v>29.750001000000008</v>
      </c>
      <c r="BR17" s="48">
        <f t="shared" si="18"/>
        <v>29.750001000000008</v>
      </c>
      <c r="BS17" s="48">
        <f t="shared" si="19"/>
        <v>29.750001000000008</v>
      </c>
      <c r="BT17" s="48">
        <f t="shared" si="20"/>
        <v>29.750001000000012</v>
      </c>
      <c r="BU17" s="48">
        <f t="shared" si="21"/>
        <v>29.750001000000012</v>
      </c>
      <c r="BV17" s="48">
        <f t="shared" si="22"/>
        <v>29.750001000000012</v>
      </c>
      <c r="BW17" s="48">
        <f t="shared" si="23"/>
        <v>29.750001000000012</v>
      </c>
      <c r="BX17" s="48">
        <f t="shared" si="24"/>
        <v>29.750001000000012</v>
      </c>
      <c r="BY17" s="48">
        <f t="shared" si="25"/>
        <v>29.750001000000012</v>
      </c>
      <c r="BZ17" s="48">
        <f t="shared" si="26"/>
        <v>19.399999999999949</v>
      </c>
      <c r="CA17" s="48">
        <f t="shared" si="27"/>
        <v>19.399999999999949</v>
      </c>
      <c r="CB17" s="48">
        <f t="shared" si="28"/>
        <v>19.399999999999949</v>
      </c>
      <c r="CC17" s="48">
        <f t="shared" si="29"/>
        <v>19.200000000000017</v>
      </c>
      <c r="CD17" s="48">
        <f t="shared" si="30"/>
        <v>19.200000000000017</v>
      </c>
      <c r="CE17" s="48">
        <f t="shared" si="31"/>
        <v>19.200000000000017</v>
      </c>
      <c r="CF17" s="48">
        <f t="shared" si="32"/>
        <v>19.200000000000017</v>
      </c>
      <c r="CG17" s="48">
        <f t="shared" si="33"/>
        <v>19.200000000000017</v>
      </c>
      <c r="CH17" s="48">
        <f t="shared" si="34"/>
        <v>19.200000000000017</v>
      </c>
      <c r="CI17" s="48">
        <f t="shared" si="35"/>
        <v>19.200000000000017</v>
      </c>
      <c r="CJ17" s="48">
        <f t="shared" si="36"/>
        <v>19.200000000000017</v>
      </c>
      <c r="CK17" s="48">
        <f t="shared" si="37"/>
        <v>19.200000000000017</v>
      </c>
      <c r="CL17" s="48">
        <f t="shared" si="38"/>
        <v>0</v>
      </c>
      <c r="CM17" s="48">
        <f t="shared" si="39"/>
        <v>0</v>
      </c>
      <c r="CN17" s="48">
        <f t="shared" si="40"/>
        <v>0</v>
      </c>
      <c r="CO17" s="406"/>
      <c r="CP17" s="48">
        <f t="shared" si="114"/>
        <v>9.9166670000000003</v>
      </c>
      <c r="CQ17" s="48">
        <f t="shared" si="115"/>
        <v>19.833334000000001</v>
      </c>
      <c r="CR17" s="48">
        <f t="shared" si="116"/>
        <v>29.750001000000001</v>
      </c>
      <c r="CS17" s="48">
        <f t="shared" si="117"/>
        <v>39.666668000000001</v>
      </c>
      <c r="CT17" s="48">
        <f t="shared" si="118"/>
        <v>49.583335000000005</v>
      </c>
      <c r="CU17" s="48">
        <f t="shared" si="119"/>
        <v>59.500002000000009</v>
      </c>
      <c r="CV17" s="48">
        <f t="shared" si="120"/>
        <v>69.416669000000013</v>
      </c>
      <c r="CW17" s="48">
        <f t="shared" si="121"/>
        <v>79.333336000000017</v>
      </c>
      <c r="CX17" s="48">
        <f t="shared" si="122"/>
        <v>89.250003000000021</v>
      </c>
      <c r="CY17" s="48">
        <f t="shared" si="123"/>
        <v>99.166670000000025</v>
      </c>
      <c r="CZ17" s="48">
        <f t="shared" si="124"/>
        <v>109.08333700000003</v>
      </c>
      <c r="DA17" s="48">
        <f t="shared" si="125"/>
        <v>119.00000400000003</v>
      </c>
      <c r="DB17" s="319">
        <f t="shared" si="126"/>
        <v>6</v>
      </c>
      <c r="DC17" s="319">
        <f t="shared" si="127"/>
        <v>12.999999999999943</v>
      </c>
      <c r="DD17" s="319">
        <f t="shared" si="128"/>
        <v>19.399999999999949</v>
      </c>
      <c r="DE17" s="319">
        <f t="shared" si="129"/>
        <v>25.799999999999955</v>
      </c>
      <c r="DF17" s="319">
        <f t="shared" si="130"/>
        <v>32.19999999999996</v>
      </c>
      <c r="DG17" s="319">
        <f t="shared" si="131"/>
        <v>38.599999999999966</v>
      </c>
      <c r="DH17" s="319">
        <f t="shared" si="132"/>
        <v>44.999999999999972</v>
      </c>
      <c r="DI17" s="319">
        <f t="shared" si="133"/>
        <v>51.399999999999977</v>
      </c>
      <c r="DJ17" s="319">
        <f t="shared" si="134"/>
        <v>57.799999999999983</v>
      </c>
      <c r="DK17" s="319">
        <f t="shared" si="135"/>
        <v>64.199999999999989</v>
      </c>
      <c r="DL17" s="319">
        <f t="shared" si="136"/>
        <v>70.599999999999994</v>
      </c>
      <c r="DM17" s="319">
        <f t="shared" si="137"/>
        <v>77</v>
      </c>
      <c r="DN17" s="48">
        <f t="shared" si="85"/>
        <v>0</v>
      </c>
      <c r="DO17" s="48">
        <f t="shared" si="144"/>
        <v>0</v>
      </c>
      <c r="DP17" s="48">
        <f t="shared" si="145"/>
        <v>0</v>
      </c>
      <c r="DQ17" s="48"/>
      <c r="DR17" s="48"/>
      <c r="DS17" s="48"/>
      <c r="DT17" s="48"/>
      <c r="DU17" s="48"/>
      <c r="DV17" s="48"/>
      <c r="DW17" s="48"/>
      <c r="DX17" s="48"/>
      <c r="DY17" s="48"/>
      <c r="EA17" s="52">
        <f t="shared" si="57"/>
        <v>119.00000400000003</v>
      </c>
      <c r="EB17" s="52">
        <f t="shared" si="58"/>
        <v>77</v>
      </c>
      <c r="EC17" s="52"/>
      <c r="ED17" s="429"/>
      <c r="EE17" s="40">
        <f t="shared" si="5"/>
        <v>0</v>
      </c>
      <c r="EF17" s="40">
        <f t="shared" si="6"/>
        <v>0</v>
      </c>
      <c r="EG17" s="51">
        <f t="shared" si="72"/>
        <v>77</v>
      </c>
      <c r="EH17" s="54"/>
      <c r="EI17" s="54"/>
      <c r="EJ17" s="54"/>
      <c r="EK17" s="675"/>
      <c r="EL17" s="53"/>
      <c r="EM17" s="53"/>
      <c r="EN17" s="53"/>
      <c r="EO17" s="49"/>
      <c r="EP17" s="49"/>
      <c r="EQ17" s="49"/>
      <c r="FC17" s="568">
        <f t="shared" si="64"/>
        <v>119.00000400000003</v>
      </c>
      <c r="FD17" s="568">
        <f t="shared" si="65"/>
        <v>77</v>
      </c>
      <c r="FE17" s="568">
        <f t="shared" si="66"/>
        <v>985.22</v>
      </c>
      <c r="FF17" s="568">
        <f t="shared" si="67"/>
        <v>1182</v>
      </c>
    </row>
    <row r="18" spans="1:162">
      <c r="A18" s="6" t="s">
        <v>23</v>
      </c>
      <c r="B18" s="2" t="s">
        <v>143</v>
      </c>
      <c r="C18" s="3" t="s">
        <v>50</v>
      </c>
      <c r="E18" s="3" t="s">
        <v>16</v>
      </c>
      <c r="G18" s="3" t="s">
        <v>91</v>
      </c>
      <c r="I18" s="23"/>
      <c r="J18" s="19"/>
      <c r="K18" s="19"/>
      <c r="L18" s="19">
        <v>4</v>
      </c>
      <c r="M18" s="19">
        <f>L18</f>
        <v>4</v>
      </c>
      <c r="N18" s="19">
        <f>M18</f>
        <v>4</v>
      </c>
      <c r="O18" s="19">
        <f>N18</f>
        <v>4</v>
      </c>
      <c r="P18" s="19">
        <v>8</v>
      </c>
      <c r="Q18" s="19">
        <f t="shared" ref="Q18:S19" si="149">P18</f>
        <v>8</v>
      </c>
      <c r="R18" s="19">
        <f t="shared" si="149"/>
        <v>8</v>
      </c>
      <c r="S18" s="19">
        <f t="shared" si="149"/>
        <v>8</v>
      </c>
      <c r="T18" s="19">
        <v>12</v>
      </c>
      <c r="U18" s="19">
        <f>+T18</f>
        <v>12</v>
      </c>
      <c r="V18" s="219">
        <v>0</v>
      </c>
      <c r="W18" s="246">
        <v>4</v>
      </c>
      <c r="X18" s="246">
        <v>4</v>
      </c>
      <c r="Y18" s="246">
        <f>X18</f>
        <v>4</v>
      </c>
      <c r="Z18" s="246">
        <f>Y18</f>
        <v>4</v>
      </c>
      <c r="AA18" s="246">
        <f>Z18</f>
        <v>4</v>
      </c>
      <c r="AB18" s="246">
        <v>8</v>
      </c>
      <c r="AC18" s="246">
        <f t="shared" ref="AC18:AE19" si="150">AB18</f>
        <v>8</v>
      </c>
      <c r="AD18" s="246">
        <f t="shared" si="150"/>
        <v>8</v>
      </c>
      <c r="AE18" s="246">
        <f t="shared" si="150"/>
        <v>8</v>
      </c>
      <c r="AF18" s="246">
        <v>12</v>
      </c>
      <c r="AG18" s="263">
        <v>12</v>
      </c>
      <c r="AH18" s="31"/>
      <c r="AI18" s="19"/>
      <c r="AJ18" s="19"/>
      <c r="AK18" s="408"/>
      <c r="AL18" s="40">
        <f t="shared" si="89"/>
        <v>0</v>
      </c>
      <c r="AM18" s="40">
        <f t="shared" si="90"/>
        <v>0</v>
      </c>
      <c r="AN18" s="40">
        <f t="shared" si="91"/>
        <v>4</v>
      </c>
      <c r="AO18" s="40">
        <f t="shared" si="92"/>
        <v>0</v>
      </c>
      <c r="AP18" s="40">
        <f t="shared" si="92"/>
        <v>0</v>
      </c>
      <c r="AQ18" s="40">
        <f t="shared" si="93"/>
        <v>0</v>
      </c>
      <c r="AR18" s="40">
        <f t="shared" si="94"/>
        <v>4</v>
      </c>
      <c r="AS18" s="40">
        <f t="shared" si="95"/>
        <v>0</v>
      </c>
      <c r="AT18" s="40">
        <f t="shared" si="96"/>
        <v>0</v>
      </c>
      <c r="AU18" s="40">
        <f t="shared" si="97"/>
        <v>0</v>
      </c>
      <c r="AV18" s="40">
        <f t="shared" si="98"/>
        <v>4</v>
      </c>
      <c r="AW18" s="40">
        <f t="shared" si="99"/>
        <v>0</v>
      </c>
      <c r="AX18" s="40">
        <f t="shared" si="100"/>
        <v>0</v>
      </c>
      <c r="AY18" s="40">
        <f t="shared" si="101"/>
        <v>4</v>
      </c>
      <c r="AZ18" s="40">
        <f t="shared" si="102"/>
        <v>0</v>
      </c>
      <c r="BA18" s="40">
        <f t="shared" si="103"/>
        <v>0</v>
      </c>
      <c r="BB18" s="40">
        <f t="shared" si="104"/>
        <v>0</v>
      </c>
      <c r="BC18" s="40">
        <f t="shared" si="105"/>
        <v>0</v>
      </c>
      <c r="BD18" s="40">
        <f t="shared" si="106"/>
        <v>4</v>
      </c>
      <c r="BE18" s="40">
        <f t="shared" si="107"/>
        <v>0</v>
      </c>
      <c r="BF18" s="40">
        <f t="shared" si="108"/>
        <v>0</v>
      </c>
      <c r="BG18" s="40">
        <f t="shared" si="109"/>
        <v>0</v>
      </c>
      <c r="BH18" s="40">
        <f t="shared" si="110"/>
        <v>4</v>
      </c>
      <c r="BI18" s="40">
        <f t="shared" si="111"/>
        <v>0</v>
      </c>
      <c r="BJ18" s="40">
        <f t="shared" si="82"/>
        <v>0</v>
      </c>
      <c r="BK18" s="40">
        <f t="shared" si="142"/>
        <v>0</v>
      </c>
      <c r="BL18" s="40">
        <f t="shared" si="143"/>
        <v>0</v>
      </c>
      <c r="BM18" s="408"/>
      <c r="BN18" s="48">
        <f t="shared" si="14"/>
        <v>4</v>
      </c>
      <c r="BO18" s="48">
        <f t="shared" si="15"/>
        <v>4</v>
      </c>
      <c r="BP18" s="48">
        <f t="shared" si="16"/>
        <v>4</v>
      </c>
      <c r="BQ18" s="48">
        <f t="shared" si="17"/>
        <v>0</v>
      </c>
      <c r="BR18" s="48">
        <f t="shared" si="18"/>
        <v>0</v>
      </c>
      <c r="BS18" s="48">
        <f t="shared" si="19"/>
        <v>0</v>
      </c>
      <c r="BT18" s="48">
        <f t="shared" si="20"/>
        <v>4</v>
      </c>
      <c r="BU18" s="48">
        <f t="shared" si="21"/>
        <v>4</v>
      </c>
      <c r="BV18" s="48">
        <f t="shared" si="22"/>
        <v>4</v>
      </c>
      <c r="BW18" s="48">
        <f t="shared" si="23"/>
        <v>4</v>
      </c>
      <c r="BX18" s="48">
        <f t="shared" si="24"/>
        <v>4</v>
      </c>
      <c r="BY18" s="48">
        <f t="shared" si="25"/>
        <v>4</v>
      </c>
      <c r="BZ18" s="48">
        <f t="shared" si="26"/>
        <v>4</v>
      </c>
      <c r="CA18" s="48">
        <f t="shared" si="27"/>
        <v>4</v>
      </c>
      <c r="CB18" s="48">
        <f t="shared" si="28"/>
        <v>4</v>
      </c>
      <c r="CC18" s="48">
        <f t="shared" si="29"/>
        <v>0</v>
      </c>
      <c r="CD18" s="48">
        <f t="shared" si="30"/>
        <v>0</v>
      </c>
      <c r="CE18" s="48">
        <f t="shared" si="31"/>
        <v>0</v>
      </c>
      <c r="CF18" s="48">
        <v>8</v>
      </c>
      <c r="CG18" s="48">
        <v>8</v>
      </c>
      <c r="CH18" s="48">
        <v>8</v>
      </c>
      <c r="CI18" s="48">
        <v>12</v>
      </c>
      <c r="CJ18" s="48">
        <v>12</v>
      </c>
      <c r="CK18" s="48">
        <v>12</v>
      </c>
      <c r="CL18" s="48">
        <f t="shared" si="38"/>
        <v>0</v>
      </c>
      <c r="CM18" s="48">
        <f t="shared" si="39"/>
        <v>0</v>
      </c>
      <c r="CN18" s="48">
        <f t="shared" si="40"/>
        <v>0</v>
      </c>
      <c r="CO18" s="406"/>
      <c r="CP18" s="48">
        <f t="shared" si="114"/>
        <v>0</v>
      </c>
      <c r="CQ18" s="48">
        <f t="shared" si="115"/>
        <v>0</v>
      </c>
      <c r="CR18" s="48">
        <f t="shared" si="116"/>
        <v>4</v>
      </c>
      <c r="CS18" s="48">
        <f t="shared" si="117"/>
        <v>4</v>
      </c>
      <c r="CT18" s="48">
        <f t="shared" si="118"/>
        <v>4</v>
      </c>
      <c r="CU18" s="48">
        <f t="shared" si="119"/>
        <v>4</v>
      </c>
      <c r="CV18" s="48">
        <f t="shared" si="120"/>
        <v>8</v>
      </c>
      <c r="CW18" s="48">
        <f t="shared" si="121"/>
        <v>8</v>
      </c>
      <c r="CX18" s="48">
        <f t="shared" si="122"/>
        <v>8</v>
      </c>
      <c r="CY18" s="48">
        <f t="shared" si="123"/>
        <v>8</v>
      </c>
      <c r="CZ18" s="48">
        <f t="shared" si="124"/>
        <v>12</v>
      </c>
      <c r="DA18" s="48">
        <f t="shared" si="125"/>
        <v>12</v>
      </c>
      <c r="DB18" s="48">
        <f t="shared" si="126"/>
        <v>0</v>
      </c>
      <c r="DC18" s="48">
        <f t="shared" si="127"/>
        <v>4</v>
      </c>
      <c r="DD18" s="48">
        <f t="shared" si="128"/>
        <v>4</v>
      </c>
      <c r="DE18" s="48">
        <f t="shared" si="129"/>
        <v>4</v>
      </c>
      <c r="DF18" s="48">
        <f t="shared" si="130"/>
        <v>4</v>
      </c>
      <c r="DG18" s="48">
        <f t="shared" si="131"/>
        <v>4</v>
      </c>
      <c r="DH18" s="48">
        <f t="shared" si="132"/>
        <v>8</v>
      </c>
      <c r="DI18" s="48">
        <f t="shared" si="133"/>
        <v>8</v>
      </c>
      <c r="DJ18" s="48">
        <f t="shared" si="134"/>
        <v>8</v>
      </c>
      <c r="DK18" s="48">
        <f t="shared" si="135"/>
        <v>8</v>
      </c>
      <c r="DL18" s="48">
        <f t="shared" si="136"/>
        <v>12</v>
      </c>
      <c r="DM18" s="48">
        <f t="shared" si="137"/>
        <v>12</v>
      </c>
      <c r="DN18" s="48">
        <f t="shared" si="85"/>
        <v>0</v>
      </c>
      <c r="DO18" s="48">
        <f t="shared" si="144"/>
        <v>0</v>
      </c>
      <c r="DP18" s="48">
        <f t="shared" si="145"/>
        <v>0</v>
      </c>
      <c r="DQ18" s="48"/>
      <c r="DR18" s="48"/>
      <c r="DS18" s="48"/>
      <c r="DT18" s="48"/>
      <c r="DU18" s="48"/>
      <c r="DV18" s="48"/>
      <c r="DW18" s="48"/>
      <c r="DX18" s="48"/>
      <c r="DY18" s="48"/>
      <c r="EA18" s="52">
        <f t="shared" si="57"/>
        <v>12</v>
      </c>
      <c r="EB18" s="52">
        <f t="shared" si="58"/>
        <v>12</v>
      </c>
      <c r="EC18" s="52"/>
      <c r="ED18" s="429"/>
      <c r="EE18" s="40">
        <f t="shared" si="5"/>
        <v>0</v>
      </c>
      <c r="EF18" s="40">
        <f t="shared" si="6"/>
        <v>0</v>
      </c>
      <c r="EG18" s="51">
        <f t="shared" si="72"/>
        <v>12</v>
      </c>
      <c r="EH18" s="54"/>
      <c r="EI18" s="54"/>
      <c r="EJ18" s="54"/>
      <c r="EK18" s="675"/>
      <c r="EL18" s="53"/>
      <c r="EM18" s="53"/>
      <c r="EN18" s="53"/>
      <c r="EO18" s="49"/>
      <c r="EP18" s="49"/>
      <c r="EQ18" s="49"/>
      <c r="FC18" s="568">
        <f t="shared" si="64"/>
        <v>12</v>
      </c>
      <c r="FD18" s="568">
        <f t="shared" si="65"/>
        <v>12</v>
      </c>
      <c r="FE18" s="568">
        <f t="shared" si="66"/>
        <v>34</v>
      </c>
      <c r="FF18" s="568">
        <f t="shared" si="67"/>
        <v>41</v>
      </c>
    </row>
    <row r="19" spans="1:162">
      <c r="A19" s="6" t="s">
        <v>23</v>
      </c>
      <c r="B19" s="324" t="s">
        <v>202</v>
      </c>
      <c r="C19" s="3" t="s">
        <v>51</v>
      </c>
      <c r="E19" s="3" t="s">
        <v>15</v>
      </c>
      <c r="G19" s="3" t="s">
        <v>91</v>
      </c>
      <c r="I19" s="23"/>
      <c r="J19" s="19"/>
      <c r="K19" s="19"/>
      <c r="L19" s="19"/>
      <c r="M19" s="19"/>
      <c r="N19" s="19"/>
      <c r="O19" s="19">
        <v>0</v>
      </c>
      <c r="P19" s="19">
        <v>2</v>
      </c>
      <c r="Q19" s="19">
        <f t="shared" si="149"/>
        <v>2</v>
      </c>
      <c r="R19" s="19">
        <f t="shared" si="149"/>
        <v>2</v>
      </c>
      <c r="S19" s="19">
        <f t="shared" si="149"/>
        <v>2</v>
      </c>
      <c r="T19" s="19">
        <f>S19</f>
        <v>2</v>
      </c>
      <c r="U19" s="19">
        <v>4</v>
      </c>
      <c r="V19" s="219">
        <v>0</v>
      </c>
      <c r="W19" s="246">
        <v>0</v>
      </c>
      <c r="X19" s="246">
        <v>0</v>
      </c>
      <c r="Y19" s="246">
        <f>X19</f>
        <v>0</v>
      </c>
      <c r="Z19" s="246">
        <v>0</v>
      </c>
      <c r="AA19" s="246">
        <v>0</v>
      </c>
      <c r="AB19" s="246">
        <v>2</v>
      </c>
      <c r="AC19" s="246">
        <f t="shared" si="150"/>
        <v>2</v>
      </c>
      <c r="AD19" s="246">
        <f t="shared" si="150"/>
        <v>2</v>
      </c>
      <c r="AE19" s="246">
        <f t="shared" si="150"/>
        <v>2</v>
      </c>
      <c r="AF19" s="246">
        <f>AE19</f>
        <v>2</v>
      </c>
      <c r="AG19" s="263">
        <v>4</v>
      </c>
      <c r="AH19" s="31"/>
      <c r="AI19" s="19"/>
      <c r="AJ19" s="19"/>
      <c r="AK19" s="408"/>
      <c r="AL19" s="40">
        <f t="shared" si="89"/>
        <v>0</v>
      </c>
      <c r="AM19" s="40">
        <f t="shared" si="90"/>
        <v>0</v>
      </c>
      <c r="AN19" s="40">
        <f t="shared" si="91"/>
        <v>0</v>
      </c>
      <c r="AO19" s="40">
        <f t="shared" si="92"/>
        <v>0</v>
      </c>
      <c r="AP19" s="40">
        <f t="shared" si="92"/>
        <v>0</v>
      </c>
      <c r="AQ19" s="40">
        <f t="shared" si="93"/>
        <v>0</v>
      </c>
      <c r="AR19" s="40">
        <f t="shared" si="94"/>
        <v>2</v>
      </c>
      <c r="AS19" s="40">
        <f t="shared" si="95"/>
        <v>0</v>
      </c>
      <c r="AT19" s="40">
        <f t="shared" si="96"/>
        <v>0</v>
      </c>
      <c r="AU19" s="40">
        <f t="shared" si="97"/>
        <v>0</v>
      </c>
      <c r="AV19" s="40">
        <f t="shared" si="98"/>
        <v>0</v>
      </c>
      <c r="AW19" s="40">
        <f t="shared" si="99"/>
        <v>2</v>
      </c>
      <c r="AX19" s="40">
        <f t="shared" si="100"/>
        <v>0</v>
      </c>
      <c r="AY19" s="40">
        <f t="shared" si="101"/>
        <v>0</v>
      </c>
      <c r="AZ19" s="40">
        <f t="shared" si="102"/>
        <v>0</v>
      </c>
      <c r="BA19" s="40">
        <f t="shared" si="103"/>
        <v>0</v>
      </c>
      <c r="BB19" s="40">
        <f t="shared" si="104"/>
        <v>0</v>
      </c>
      <c r="BC19" s="40">
        <f t="shared" si="105"/>
        <v>0</v>
      </c>
      <c r="BD19" s="40">
        <f t="shared" si="106"/>
        <v>2</v>
      </c>
      <c r="BE19" s="40">
        <f t="shared" si="107"/>
        <v>0</v>
      </c>
      <c r="BF19" s="40">
        <f t="shared" si="108"/>
        <v>0</v>
      </c>
      <c r="BG19" s="40">
        <f t="shared" si="109"/>
        <v>0</v>
      </c>
      <c r="BH19" s="40">
        <f t="shared" si="110"/>
        <v>0</v>
      </c>
      <c r="BI19" s="40">
        <f t="shared" si="111"/>
        <v>2</v>
      </c>
      <c r="BJ19" s="40">
        <f t="shared" si="111"/>
        <v>-4</v>
      </c>
      <c r="BK19" s="40">
        <f t="shared" si="142"/>
        <v>0</v>
      </c>
      <c r="BL19" s="40">
        <f t="shared" si="143"/>
        <v>0</v>
      </c>
      <c r="BM19" s="408"/>
      <c r="BN19" s="48">
        <f t="shared" si="14"/>
        <v>0</v>
      </c>
      <c r="BO19" s="48">
        <f t="shared" si="15"/>
        <v>0</v>
      </c>
      <c r="BP19" s="48">
        <f t="shared" si="16"/>
        <v>0</v>
      </c>
      <c r="BQ19" s="48">
        <f t="shared" si="17"/>
        <v>0</v>
      </c>
      <c r="BR19" s="48">
        <f t="shared" si="18"/>
        <v>0</v>
      </c>
      <c r="BS19" s="48">
        <f t="shared" si="19"/>
        <v>0</v>
      </c>
      <c r="BT19" s="48">
        <f t="shared" si="20"/>
        <v>2</v>
      </c>
      <c r="BU19" s="48">
        <f t="shared" si="21"/>
        <v>2</v>
      </c>
      <c r="BV19" s="48">
        <f t="shared" si="22"/>
        <v>2</v>
      </c>
      <c r="BW19" s="48">
        <f t="shared" si="23"/>
        <v>2</v>
      </c>
      <c r="BX19" s="48">
        <f t="shared" si="24"/>
        <v>2</v>
      </c>
      <c r="BY19" s="48">
        <f t="shared" si="25"/>
        <v>2</v>
      </c>
      <c r="BZ19" s="48">
        <f t="shared" si="26"/>
        <v>0</v>
      </c>
      <c r="CA19" s="48">
        <f t="shared" si="27"/>
        <v>0</v>
      </c>
      <c r="CB19" s="48">
        <f t="shared" si="28"/>
        <v>0</v>
      </c>
      <c r="CC19" s="48">
        <f t="shared" si="29"/>
        <v>0</v>
      </c>
      <c r="CD19" s="48">
        <f t="shared" si="30"/>
        <v>0</v>
      </c>
      <c r="CE19" s="48">
        <f t="shared" si="31"/>
        <v>0</v>
      </c>
      <c r="CF19" s="48">
        <f t="shared" si="32"/>
        <v>2</v>
      </c>
      <c r="CG19" s="48">
        <f t="shared" si="33"/>
        <v>2</v>
      </c>
      <c r="CH19" s="48">
        <f t="shared" si="34"/>
        <v>2</v>
      </c>
      <c r="CI19" s="48">
        <f t="shared" si="35"/>
        <v>2</v>
      </c>
      <c r="CJ19" s="48">
        <f t="shared" si="36"/>
        <v>2</v>
      </c>
      <c r="CK19" s="48">
        <f t="shared" si="37"/>
        <v>2</v>
      </c>
      <c r="CL19" s="48">
        <f t="shared" si="38"/>
        <v>-4</v>
      </c>
      <c r="CM19" s="48">
        <f t="shared" si="39"/>
        <v>-4</v>
      </c>
      <c r="CN19" s="48">
        <f t="shared" si="40"/>
        <v>-4</v>
      </c>
      <c r="CO19" s="406"/>
      <c r="CP19" s="48">
        <f t="shared" si="114"/>
        <v>0</v>
      </c>
      <c r="CQ19" s="48">
        <f t="shared" si="115"/>
        <v>0</v>
      </c>
      <c r="CR19" s="48">
        <f t="shared" si="116"/>
        <v>0</v>
      </c>
      <c r="CS19" s="48">
        <f t="shared" si="117"/>
        <v>0</v>
      </c>
      <c r="CT19" s="48">
        <f t="shared" si="118"/>
        <v>0</v>
      </c>
      <c r="CU19" s="48">
        <f t="shared" si="119"/>
        <v>0</v>
      </c>
      <c r="CV19" s="48">
        <f t="shared" si="120"/>
        <v>2</v>
      </c>
      <c r="CW19" s="48">
        <f t="shared" si="121"/>
        <v>2</v>
      </c>
      <c r="CX19" s="48">
        <f t="shared" si="122"/>
        <v>2</v>
      </c>
      <c r="CY19" s="48">
        <f t="shared" si="123"/>
        <v>2</v>
      </c>
      <c r="CZ19" s="48">
        <f t="shared" si="124"/>
        <v>2</v>
      </c>
      <c r="DA19" s="48">
        <f t="shared" si="125"/>
        <v>4</v>
      </c>
      <c r="DB19" s="48">
        <f t="shared" si="126"/>
        <v>0</v>
      </c>
      <c r="DC19" s="48">
        <f t="shared" si="127"/>
        <v>0</v>
      </c>
      <c r="DD19" s="48">
        <f t="shared" si="128"/>
        <v>0</v>
      </c>
      <c r="DE19" s="48">
        <f t="shared" si="129"/>
        <v>0</v>
      </c>
      <c r="DF19" s="48">
        <f t="shared" si="130"/>
        <v>0</v>
      </c>
      <c r="DG19" s="48">
        <f t="shared" si="131"/>
        <v>0</v>
      </c>
      <c r="DH19" s="48">
        <f t="shared" si="132"/>
        <v>2</v>
      </c>
      <c r="DI19" s="48">
        <f t="shared" si="133"/>
        <v>2</v>
      </c>
      <c r="DJ19" s="48">
        <f t="shared" si="134"/>
        <v>2</v>
      </c>
      <c r="DK19" s="48">
        <f t="shared" si="135"/>
        <v>2</v>
      </c>
      <c r="DL19" s="48">
        <f t="shared" si="136"/>
        <v>2</v>
      </c>
      <c r="DM19" s="48">
        <f t="shared" si="137"/>
        <v>4</v>
      </c>
      <c r="DN19" s="48">
        <f>DM19+BJ19</f>
        <v>0</v>
      </c>
      <c r="DO19" s="48">
        <f t="shared" si="144"/>
        <v>0</v>
      </c>
      <c r="DP19" s="48">
        <f t="shared" si="145"/>
        <v>0</v>
      </c>
      <c r="DQ19" s="48"/>
      <c r="DR19" s="48"/>
      <c r="DS19" s="48"/>
      <c r="DT19" s="48"/>
      <c r="DU19" s="48"/>
      <c r="DV19" s="48"/>
      <c r="DW19" s="48"/>
      <c r="DX19" s="48"/>
      <c r="DY19" s="48"/>
      <c r="EA19" s="52">
        <f t="shared" si="57"/>
        <v>4</v>
      </c>
      <c r="EB19" s="52">
        <f t="shared" si="58"/>
        <v>4</v>
      </c>
      <c r="EC19" s="52"/>
      <c r="ED19" s="429"/>
      <c r="EE19" s="40">
        <f t="shared" si="5"/>
        <v>0</v>
      </c>
      <c r="EF19" s="40">
        <f t="shared" si="6"/>
        <v>-4</v>
      </c>
      <c r="EG19" s="51">
        <f t="shared" si="72"/>
        <v>4</v>
      </c>
      <c r="EH19" s="54"/>
      <c r="EI19" s="54"/>
      <c r="EJ19" s="54"/>
      <c r="EK19" s="675"/>
      <c r="EL19" s="53"/>
      <c r="EM19" s="53"/>
      <c r="EN19" s="53"/>
      <c r="EO19" s="49"/>
      <c r="EP19" s="49"/>
      <c r="EQ19" s="49"/>
      <c r="FC19" s="568">
        <f t="shared" si="64"/>
        <v>4</v>
      </c>
      <c r="FD19" s="568">
        <f t="shared" si="65"/>
        <v>4</v>
      </c>
      <c r="FE19" s="568">
        <f t="shared" si="66"/>
        <v>258</v>
      </c>
      <c r="FF19" s="568">
        <f t="shared" si="67"/>
        <v>310</v>
      </c>
    </row>
    <row r="20" spans="1:162">
      <c r="A20" s="6" t="s">
        <v>23</v>
      </c>
      <c r="B20" s="2" t="s">
        <v>13</v>
      </c>
      <c r="C20" s="3" t="s">
        <v>52</v>
      </c>
      <c r="E20" s="3" t="s">
        <v>15</v>
      </c>
      <c r="G20" s="3" t="s">
        <v>91</v>
      </c>
      <c r="I20" s="23"/>
      <c r="J20" s="19"/>
      <c r="K20" s="19"/>
      <c r="L20" s="19">
        <v>9429</v>
      </c>
      <c r="M20" s="19">
        <f>L20</f>
        <v>9429</v>
      </c>
      <c r="N20" s="19">
        <f>M20</f>
        <v>9429</v>
      </c>
      <c r="O20" s="19">
        <v>18858</v>
      </c>
      <c r="P20" s="19">
        <f>+O20</f>
        <v>18858</v>
      </c>
      <c r="Q20" s="19">
        <f>+P20</f>
        <v>18858</v>
      </c>
      <c r="R20" s="19">
        <f>28287-18858+Q20</f>
        <v>28287</v>
      </c>
      <c r="S20" s="19">
        <f>+R20</f>
        <v>28287</v>
      </c>
      <c r="T20" s="19">
        <f>+S20</f>
        <v>28287</v>
      </c>
      <c r="U20" s="19">
        <f>37718-28287+T20</f>
        <v>37718</v>
      </c>
      <c r="V20" s="219">
        <v>0</v>
      </c>
      <c r="W20" s="246">
        <v>0</v>
      </c>
      <c r="X20" s="246">
        <v>0</v>
      </c>
      <c r="Y20" s="246">
        <f>X20</f>
        <v>0</v>
      </c>
      <c r="Z20" s="246">
        <v>0</v>
      </c>
      <c r="AA20" s="246">
        <f>ROUND(AG20/2,)</f>
        <v>20577</v>
      </c>
      <c r="AB20" s="246">
        <f t="shared" ref="AB20:AF21" si="151">+AA20</f>
        <v>20577</v>
      </c>
      <c r="AC20" s="246">
        <f t="shared" si="151"/>
        <v>20577</v>
      </c>
      <c r="AD20" s="246">
        <f t="shared" si="151"/>
        <v>20577</v>
      </c>
      <c r="AE20" s="246">
        <f t="shared" si="151"/>
        <v>20577</v>
      </c>
      <c r="AF20" s="246">
        <f t="shared" si="151"/>
        <v>20577</v>
      </c>
      <c r="AG20" s="263">
        <v>41153</v>
      </c>
      <c r="AH20" s="31"/>
      <c r="AI20" s="19"/>
      <c r="AJ20" s="19"/>
      <c r="AK20" s="408"/>
      <c r="AL20" s="40" t="s">
        <v>97</v>
      </c>
      <c r="AM20" s="40" t="s">
        <v>97</v>
      </c>
      <c r="AN20" s="40" t="s">
        <v>97</v>
      </c>
      <c r="AO20" s="40" t="s">
        <v>97</v>
      </c>
      <c r="AP20" s="40" t="s">
        <v>97</v>
      </c>
      <c r="AQ20" s="40" t="s">
        <v>97</v>
      </c>
      <c r="AR20" s="40" t="s">
        <v>97</v>
      </c>
      <c r="AS20" s="40" t="s">
        <v>97</v>
      </c>
      <c r="AT20" s="40" t="s">
        <v>97</v>
      </c>
      <c r="AU20" s="40" t="s">
        <v>97</v>
      </c>
      <c r="AV20" s="40" t="s">
        <v>97</v>
      </c>
      <c r="AW20" s="40" t="s">
        <v>97</v>
      </c>
      <c r="AX20" s="40" t="s">
        <v>97</v>
      </c>
      <c r="AY20" s="40" t="s">
        <v>97</v>
      </c>
      <c r="AZ20" s="40" t="s">
        <v>97</v>
      </c>
      <c r="BA20" s="40" t="s">
        <v>97</v>
      </c>
      <c r="BB20" s="40" t="s">
        <v>97</v>
      </c>
      <c r="BC20" s="40" t="s">
        <v>97</v>
      </c>
      <c r="BD20" s="40" t="s">
        <v>97</v>
      </c>
      <c r="BE20" s="40" t="s">
        <v>97</v>
      </c>
      <c r="BF20" s="40" t="s">
        <v>97</v>
      </c>
      <c r="BG20" s="40" t="s">
        <v>97</v>
      </c>
      <c r="BH20" s="40" t="s">
        <v>97</v>
      </c>
      <c r="BI20" s="40" t="s">
        <v>97</v>
      </c>
      <c r="BJ20" s="40" t="s">
        <v>97</v>
      </c>
      <c r="BK20" s="40" t="s">
        <v>97</v>
      </c>
      <c r="BL20" s="40" t="s">
        <v>97</v>
      </c>
      <c r="BM20" s="408"/>
      <c r="BN20" s="40" t="s">
        <v>97</v>
      </c>
      <c r="BO20" s="40" t="s">
        <v>97</v>
      </c>
      <c r="BP20" s="40" t="s">
        <v>97</v>
      </c>
      <c r="BQ20" s="40" t="s">
        <v>97</v>
      </c>
      <c r="BR20" s="40" t="s">
        <v>97</v>
      </c>
      <c r="BS20" s="40" t="s">
        <v>97</v>
      </c>
      <c r="BT20" s="40" t="s">
        <v>97</v>
      </c>
      <c r="BU20" s="40" t="s">
        <v>97</v>
      </c>
      <c r="BV20" s="40" t="s">
        <v>97</v>
      </c>
      <c r="BW20" s="40" t="s">
        <v>97</v>
      </c>
      <c r="BX20" s="40" t="s">
        <v>97</v>
      </c>
      <c r="BY20" s="40" t="s">
        <v>97</v>
      </c>
      <c r="BZ20" s="40" t="s">
        <v>97</v>
      </c>
      <c r="CA20" s="40" t="s">
        <v>97</v>
      </c>
      <c r="CB20" s="40" t="s">
        <v>97</v>
      </c>
      <c r="CC20" s="40" t="s">
        <v>97</v>
      </c>
      <c r="CD20" s="40" t="s">
        <v>97</v>
      </c>
      <c r="CE20" s="40" t="s">
        <v>97</v>
      </c>
      <c r="CF20" s="40" t="s">
        <v>97</v>
      </c>
      <c r="CG20" s="40" t="s">
        <v>97</v>
      </c>
      <c r="CH20" s="40" t="s">
        <v>97</v>
      </c>
      <c r="CI20" s="40" t="s">
        <v>97</v>
      </c>
      <c r="CJ20" s="40" t="s">
        <v>97</v>
      </c>
      <c r="CK20" s="40" t="s">
        <v>97</v>
      </c>
      <c r="CL20" s="40" t="s">
        <v>97</v>
      </c>
      <c r="CM20" s="40" t="s">
        <v>97</v>
      </c>
      <c r="CN20" s="40" t="s">
        <v>97</v>
      </c>
      <c r="CO20" s="406"/>
      <c r="CP20" s="48">
        <f t="shared" ref="CP20:CY21" si="152">J20</f>
        <v>0</v>
      </c>
      <c r="CQ20" s="48">
        <f t="shared" si="152"/>
        <v>0</v>
      </c>
      <c r="CR20" s="48">
        <f t="shared" si="152"/>
        <v>9429</v>
      </c>
      <c r="CS20" s="48">
        <f t="shared" si="152"/>
        <v>9429</v>
      </c>
      <c r="CT20" s="48">
        <f t="shared" si="152"/>
        <v>9429</v>
      </c>
      <c r="CU20" s="48">
        <f t="shared" si="152"/>
        <v>18858</v>
      </c>
      <c r="CV20" s="48">
        <f t="shared" si="152"/>
        <v>18858</v>
      </c>
      <c r="CW20" s="48">
        <f t="shared" si="152"/>
        <v>18858</v>
      </c>
      <c r="CX20" s="48">
        <f t="shared" si="152"/>
        <v>28287</v>
      </c>
      <c r="CY20" s="48">
        <f t="shared" si="152"/>
        <v>28287</v>
      </c>
      <c r="CZ20" s="48">
        <f t="shared" ref="CZ20:DI21" si="153">T20</f>
        <v>28287</v>
      </c>
      <c r="DA20" s="48">
        <f t="shared" si="153"/>
        <v>37718</v>
      </c>
      <c r="DB20" s="48">
        <f t="shared" si="153"/>
        <v>0</v>
      </c>
      <c r="DC20" s="48">
        <f t="shared" si="153"/>
        <v>0</v>
      </c>
      <c r="DD20" s="48">
        <f t="shared" si="153"/>
        <v>0</v>
      </c>
      <c r="DE20" s="48">
        <f t="shared" si="153"/>
        <v>0</v>
      </c>
      <c r="DF20" s="48">
        <f t="shared" si="153"/>
        <v>0</v>
      </c>
      <c r="DG20" s="48">
        <f t="shared" si="153"/>
        <v>20577</v>
      </c>
      <c r="DH20" s="48">
        <f t="shared" si="153"/>
        <v>20577</v>
      </c>
      <c r="DI20" s="48">
        <f t="shared" si="153"/>
        <v>20577</v>
      </c>
      <c r="DJ20" s="48">
        <f t="shared" ref="DJ20:DP21" si="154">AD20</f>
        <v>20577</v>
      </c>
      <c r="DK20" s="48">
        <f t="shared" si="154"/>
        <v>20577</v>
      </c>
      <c r="DL20" s="48">
        <f t="shared" si="154"/>
        <v>20577</v>
      </c>
      <c r="DM20" s="48">
        <f t="shared" si="154"/>
        <v>41153</v>
      </c>
      <c r="DN20" s="48">
        <f t="shared" si="154"/>
        <v>0</v>
      </c>
      <c r="DO20" s="48">
        <f t="shared" si="154"/>
        <v>0</v>
      </c>
      <c r="DP20" s="48">
        <f t="shared" si="154"/>
        <v>0</v>
      </c>
      <c r="DQ20" s="48"/>
      <c r="DR20" s="48"/>
      <c r="DS20" s="48"/>
      <c r="DT20" s="48"/>
      <c r="DU20" s="48"/>
      <c r="DV20" s="48"/>
      <c r="DW20" s="48"/>
      <c r="DX20" s="48"/>
      <c r="DY20" s="48"/>
      <c r="EA20" s="52">
        <f t="shared" si="57"/>
        <v>37718</v>
      </c>
      <c r="EB20" s="52">
        <f t="shared" si="58"/>
        <v>41153</v>
      </c>
      <c r="EC20" s="52"/>
      <c r="ED20" s="429"/>
      <c r="EE20" s="40" t="str">
        <f>HLOOKUP($I$1,Month,19)</f>
        <v>N/A</v>
      </c>
      <c r="EF20" s="40" t="str">
        <f>HLOOKUP($I$1,Qtr,19)</f>
        <v>N/A</v>
      </c>
      <c r="EG20" s="51">
        <f>HLOOKUP($EJ$4,Budget,19)</f>
        <v>41153</v>
      </c>
      <c r="EH20" s="54"/>
      <c r="EI20" s="54"/>
      <c r="EJ20" s="54"/>
      <c r="EK20" s="675"/>
      <c r="EL20" s="53"/>
      <c r="EM20" s="53"/>
      <c r="EN20" s="53"/>
      <c r="EO20" s="49"/>
      <c r="EP20" s="49"/>
      <c r="EQ20" s="49"/>
      <c r="FC20" s="568">
        <f t="shared" si="64"/>
        <v>37718</v>
      </c>
      <c r="FD20" s="568">
        <f t="shared" si="65"/>
        <v>41153</v>
      </c>
      <c r="FE20" s="568">
        <f t="shared" si="66"/>
        <v>8</v>
      </c>
      <c r="FF20" s="568">
        <f t="shared" si="67"/>
        <v>10</v>
      </c>
    </row>
    <row r="21" spans="1:162" ht="13.5" thickBot="1">
      <c r="A21" s="6" t="s">
        <v>23</v>
      </c>
      <c r="B21" s="2" t="s">
        <v>14</v>
      </c>
      <c r="C21" s="3" t="s">
        <v>53</v>
      </c>
      <c r="E21" s="3" t="s">
        <v>15</v>
      </c>
      <c r="G21" s="3" t="s">
        <v>91</v>
      </c>
      <c r="I21" s="23"/>
      <c r="J21" s="19"/>
      <c r="K21" s="19"/>
      <c r="L21" s="19">
        <v>16818</v>
      </c>
      <c r="M21" s="19">
        <f>L21</f>
        <v>16818</v>
      </c>
      <c r="N21" s="19">
        <f>M21</f>
        <v>16818</v>
      </c>
      <c r="O21" s="19">
        <v>33636</v>
      </c>
      <c r="P21" s="19">
        <f>+O21</f>
        <v>33636</v>
      </c>
      <c r="Q21" s="19">
        <f>+P21</f>
        <v>33636</v>
      </c>
      <c r="R21" s="19">
        <f>50454-33636+Q21</f>
        <v>50454</v>
      </c>
      <c r="S21" s="19">
        <f>+R21</f>
        <v>50454</v>
      </c>
      <c r="T21" s="19">
        <f>+S21</f>
        <v>50454</v>
      </c>
      <c r="U21" s="19">
        <f>67270-50454+T21</f>
        <v>67270</v>
      </c>
      <c r="V21" s="221">
        <v>0</v>
      </c>
      <c r="W21" s="246">
        <v>0</v>
      </c>
      <c r="X21" s="246">
        <v>0</v>
      </c>
      <c r="Y21" s="246">
        <f>X21</f>
        <v>0</v>
      </c>
      <c r="Z21" s="246">
        <v>0</v>
      </c>
      <c r="AA21" s="246">
        <f>ROUND(AG21/2,0)</f>
        <v>40760</v>
      </c>
      <c r="AB21" s="246">
        <f t="shared" si="151"/>
        <v>40760</v>
      </c>
      <c r="AC21" s="246">
        <f t="shared" si="151"/>
        <v>40760</v>
      </c>
      <c r="AD21" s="246">
        <f t="shared" si="151"/>
        <v>40760</v>
      </c>
      <c r="AE21" s="246">
        <f t="shared" si="151"/>
        <v>40760</v>
      </c>
      <c r="AF21" s="246">
        <f t="shared" si="151"/>
        <v>40760</v>
      </c>
      <c r="AG21" s="263">
        <v>81520</v>
      </c>
      <c r="AH21" s="34"/>
      <c r="AI21" s="19"/>
      <c r="AJ21" s="19"/>
      <c r="AK21" s="408"/>
      <c r="AL21" s="40" t="s">
        <v>97</v>
      </c>
      <c r="AM21" s="40" t="s">
        <v>97</v>
      </c>
      <c r="AN21" s="40" t="s">
        <v>97</v>
      </c>
      <c r="AO21" s="40" t="s">
        <v>97</v>
      </c>
      <c r="AP21" s="40" t="s">
        <v>97</v>
      </c>
      <c r="AQ21" s="40" t="s">
        <v>97</v>
      </c>
      <c r="AR21" s="40" t="s">
        <v>97</v>
      </c>
      <c r="AS21" s="40" t="s">
        <v>97</v>
      </c>
      <c r="AT21" s="40" t="s">
        <v>97</v>
      </c>
      <c r="AU21" s="40" t="s">
        <v>97</v>
      </c>
      <c r="AV21" s="40" t="s">
        <v>97</v>
      </c>
      <c r="AW21" s="40" t="s">
        <v>97</v>
      </c>
      <c r="AX21" s="40" t="s">
        <v>97</v>
      </c>
      <c r="AY21" s="40" t="s">
        <v>97</v>
      </c>
      <c r="AZ21" s="40" t="s">
        <v>97</v>
      </c>
      <c r="BA21" s="40" t="s">
        <v>97</v>
      </c>
      <c r="BB21" s="40" t="s">
        <v>97</v>
      </c>
      <c r="BC21" s="40" t="s">
        <v>97</v>
      </c>
      <c r="BD21" s="40" t="s">
        <v>97</v>
      </c>
      <c r="BE21" s="40" t="s">
        <v>97</v>
      </c>
      <c r="BF21" s="40" t="s">
        <v>97</v>
      </c>
      <c r="BG21" s="40" t="s">
        <v>97</v>
      </c>
      <c r="BH21" s="40" t="s">
        <v>97</v>
      </c>
      <c r="BI21" s="40" t="s">
        <v>97</v>
      </c>
      <c r="BJ21" s="40" t="s">
        <v>97</v>
      </c>
      <c r="BK21" s="40" t="s">
        <v>97</v>
      </c>
      <c r="BL21" s="40" t="s">
        <v>97</v>
      </c>
      <c r="BM21" s="408"/>
      <c r="BN21" s="40" t="s">
        <v>97</v>
      </c>
      <c r="BO21" s="40" t="s">
        <v>97</v>
      </c>
      <c r="BP21" s="40" t="s">
        <v>97</v>
      </c>
      <c r="BQ21" s="40" t="s">
        <v>97</v>
      </c>
      <c r="BR21" s="40" t="s">
        <v>97</v>
      </c>
      <c r="BS21" s="40" t="s">
        <v>97</v>
      </c>
      <c r="BT21" s="40" t="s">
        <v>97</v>
      </c>
      <c r="BU21" s="40" t="s">
        <v>97</v>
      </c>
      <c r="BV21" s="40" t="s">
        <v>97</v>
      </c>
      <c r="BW21" s="40" t="s">
        <v>97</v>
      </c>
      <c r="BX21" s="40" t="s">
        <v>97</v>
      </c>
      <c r="BY21" s="40" t="s">
        <v>97</v>
      </c>
      <c r="BZ21" s="40" t="s">
        <v>97</v>
      </c>
      <c r="CA21" s="40" t="s">
        <v>97</v>
      </c>
      <c r="CB21" s="40" t="s">
        <v>97</v>
      </c>
      <c r="CC21" s="40" t="s">
        <v>97</v>
      </c>
      <c r="CD21" s="40" t="s">
        <v>97</v>
      </c>
      <c r="CE21" s="40" t="s">
        <v>97</v>
      </c>
      <c r="CF21" s="40" t="s">
        <v>97</v>
      </c>
      <c r="CG21" s="40" t="s">
        <v>97</v>
      </c>
      <c r="CH21" s="40" t="s">
        <v>97</v>
      </c>
      <c r="CI21" s="40" t="s">
        <v>97</v>
      </c>
      <c r="CJ21" s="40" t="s">
        <v>97</v>
      </c>
      <c r="CK21" s="40" t="s">
        <v>97</v>
      </c>
      <c r="CL21" s="40" t="s">
        <v>97</v>
      </c>
      <c r="CM21" s="40" t="s">
        <v>97</v>
      </c>
      <c r="CN21" s="40" t="s">
        <v>97</v>
      </c>
      <c r="CO21" s="406"/>
      <c r="CP21" s="48">
        <f t="shared" si="152"/>
        <v>0</v>
      </c>
      <c r="CQ21" s="48">
        <f t="shared" si="152"/>
        <v>0</v>
      </c>
      <c r="CR21" s="48">
        <f t="shared" si="152"/>
        <v>16818</v>
      </c>
      <c r="CS21" s="48">
        <f t="shared" si="152"/>
        <v>16818</v>
      </c>
      <c r="CT21" s="48">
        <f t="shared" si="152"/>
        <v>16818</v>
      </c>
      <c r="CU21" s="48">
        <f t="shared" si="152"/>
        <v>33636</v>
      </c>
      <c r="CV21" s="48">
        <f t="shared" si="152"/>
        <v>33636</v>
      </c>
      <c r="CW21" s="48">
        <f t="shared" si="152"/>
        <v>33636</v>
      </c>
      <c r="CX21" s="48">
        <f t="shared" si="152"/>
        <v>50454</v>
      </c>
      <c r="CY21" s="48">
        <f t="shared" si="152"/>
        <v>50454</v>
      </c>
      <c r="CZ21" s="48">
        <f t="shared" si="153"/>
        <v>50454</v>
      </c>
      <c r="DA21" s="48">
        <f t="shared" si="153"/>
        <v>67270</v>
      </c>
      <c r="DB21" s="48">
        <f t="shared" si="153"/>
        <v>0</v>
      </c>
      <c r="DC21" s="48">
        <f t="shared" si="153"/>
        <v>0</v>
      </c>
      <c r="DD21" s="48">
        <f t="shared" si="153"/>
        <v>0</v>
      </c>
      <c r="DE21" s="48">
        <f t="shared" si="153"/>
        <v>0</v>
      </c>
      <c r="DF21" s="48">
        <f t="shared" si="153"/>
        <v>0</v>
      </c>
      <c r="DG21" s="48">
        <f t="shared" si="153"/>
        <v>40760</v>
      </c>
      <c r="DH21" s="48">
        <f t="shared" si="153"/>
        <v>40760</v>
      </c>
      <c r="DI21" s="48">
        <f t="shared" si="153"/>
        <v>40760</v>
      </c>
      <c r="DJ21" s="48">
        <f t="shared" si="154"/>
        <v>40760</v>
      </c>
      <c r="DK21" s="48">
        <f t="shared" si="154"/>
        <v>40760</v>
      </c>
      <c r="DL21" s="48">
        <f t="shared" si="154"/>
        <v>40760</v>
      </c>
      <c r="DM21" s="48">
        <f t="shared" si="154"/>
        <v>81520</v>
      </c>
      <c r="DN21" s="48">
        <f t="shared" si="154"/>
        <v>0</v>
      </c>
      <c r="DO21" s="48">
        <f t="shared" si="154"/>
        <v>0</v>
      </c>
      <c r="DP21" s="48">
        <f t="shared" si="154"/>
        <v>0</v>
      </c>
      <c r="DQ21" s="48"/>
      <c r="DR21" s="48"/>
      <c r="DS21" s="48"/>
      <c r="DT21" s="48"/>
      <c r="DU21" s="48"/>
      <c r="DV21" s="48"/>
      <c r="DW21" s="48"/>
      <c r="DX21" s="48"/>
      <c r="DY21" s="48"/>
      <c r="EA21" s="52">
        <f t="shared" si="57"/>
        <v>67270</v>
      </c>
      <c r="EB21" s="52">
        <f t="shared" si="58"/>
        <v>81520</v>
      </c>
      <c r="EC21" s="52"/>
      <c r="ED21" s="429"/>
      <c r="EE21" s="40" t="str">
        <f>HLOOKUP($I$1,Month,20)</f>
        <v>N/A</v>
      </c>
      <c r="EF21" s="40" t="str">
        <f>HLOOKUP($I$1,Qtr,20)</f>
        <v>N/A</v>
      </c>
      <c r="EG21" s="51">
        <f>HLOOKUP($EJ$4,Budget,20)</f>
        <v>81520</v>
      </c>
      <c r="EH21" s="54"/>
      <c r="EI21" s="54"/>
      <c r="EJ21" s="54"/>
      <c r="EK21" s="675"/>
      <c r="EL21" s="53"/>
      <c r="EM21" s="53"/>
      <c r="EN21" s="53"/>
      <c r="EO21" s="49"/>
      <c r="EP21" s="49"/>
      <c r="EQ21" s="49"/>
      <c r="FC21" s="568">
        <f t="shared" si="64"/>
        <v>67270</v>
      </c>
      <c r="FD21" s="568">
        <f t="shared" si="65"/>
        <v>81520</v>
      </c>
      <c r="FE21" s="568">
        <f t="shared" si="66"/>
        <v>2</v>
      </c>
      <c r="FF21" s="568">
        <f t="shared" si="67"/>
        <v>2</v>
      </c>
    </row>
    <row r="22" spans="1:162">
      <c r="A22" s="6" t="s">
        <v>23</v>
      </c>
      <c r="B22" s="2" t="s">
        <v>0</v>
      </c>
      <c r="C22" s="3" t="s">
        <v>40</v>
      </c>
      <c r="G22" s="43" t="s">
        <v>113</v>
      </c>
      <c r="H22" s="28"/>
      <c r="I22" s="29"/>
      <c r="J22" s="30">
        <f t="shared" ref="J22:L23" si="155">+J4-I4</f>
        <v>6.6667000000000058</v>
      </c>
      <c r="K22" s="30">
        <f t="shared" si="155"/>
        <v>6.6667000000000058</v>
      </c>
      <c r="L22" s="30">
        <f t="shared" si="155"/>
        <v>6.6667000000000058</v>
      </c>
      <c r="M22" s="30">
        <f>+M4</f>
        <v>12.5</v>
      </c>
      <c r="N22" s="30">
        <f t="shared" ref="N22:U22" si="156">+N4-M4</f>
        <v>12.5</v>
      </c>
      <c r="O22" s="30">
        <f t="shared" si="156"/>
        <v>12.5</v>
      </c>
      <c r="P22" s="30">
        <f t="shared" si="156"/>
        <v>12.5</v>
      </c>
      <c r="Q22" s="30">
        <f t="shared" si="156"/>
        <v>12.5</v>
      </c>
      <c r="R22" s="30">
        <f t="shared" si="156"/>
        <v>12.5</v>
      </c>
      <c r="S22" s="30">
        <f t="shared" si="156"/>
        <v>12.5</v>
      </c>
      <c r="T22" s="30">
        <f t="shared" si="156"/>
        <v>12.5</v>
      </c>
      <c r="U22" s="30">
        <f t="shared" si="156"/>
        <v>12.5</v>
      </c>
      <c r="V22" s="394">
        <v>10.75</v>
      </c>
      <c r="W22" s="394">
        <f>V22+10.75</f>
        <v>21.5</v>
      </c>
      <c r="X22" s="394">
        <f t="shared" ref="X22:AG22" si="157">W22+10.75</f>
        <v>32.25</v>
      </c>
      <c r="Y22" s="394">
        <f t="shared" si="157"/>
        <v>43</v>
      </c>
      <c r="Z22" s="394">
        <f t="shared" si="157"/>
        <v>53.75</v>
      </c>
      <c r="AA22" s="394">
        <f t="shared" si="157"/>
        <v>64.5</v>
      </c>
      <c r="AB22" s="394">
        <f t="shared" si="157"/>
        <v>75.25</v>
      </c>
      <c r="AC22" s="394">
        <f t="shared" si="157"/>
        <v>86</v>
      </c>
      <c r="AD22" s="394">
        <f t="shared" si="157"/>
        <v>96.75</v>
      </c>
      <c r="AE22" s="394">
        <f t="shared" si="157"/>
        <v>107.5</v>
      </c>
      <c r="AF22" s="394">
        <f t="shared" si="157"/>
        <v>118.25</v>
      </c>
      <c r="AG22" s="394">
        <f t="shared" si="157"/>
        <v>129</v>
      </c>
      <c r="AH22" s="30">
        <f>130/12</f>
        <v>10.833333333333334</v>
      </c>
      <c r="AI22" s="226">
        <f t="shared" ref="AI22:AJ22" si="158">130/12</f>
        <v>10.833333333333334</v>
      </c>
      <c r="AJ22" s="226">
        <f t="shared" si="158"/>
        <v>10.833333333333334</v>
      </c>
      <c r="AK22" s="408"/>
      <c r="AL22" s="48">
        <f t="shared" ref="AL22:AU24" si="159">J22</f>
        <v>6.6667000000000058</v>
      </c>
      <c r="AM22" s="48">
        <f t="shared" si="159"/>
        <v>6.6667000000000058</v>
      </c>
      <c r="AN22" s="48">
        <f t="shared" si="159"/>
        <v>6.6667000000000058</v>
      </c>
      <c r="AO22" s="48">
        <f t="shared" si="159"/>
        <v>12.5</v>
      </c>
      <c r="AP22" s="48">
        <f t="shared" si="159"/>
        <v>12.5</v>
      </c>
      <c r="AQ22" s="48">
        <f t="shared" si="159"/>
        <v>12.5</v>
      </c>
      <c r="AR22" s="48">
        <f t="shared" si="159"/>
        <v>12.5</v>
      </c>
      <c r="AS22" s="48">
        <f t="shared" si="159"/>
        <v>12.5</v>
      </c>
      <c r="AT22" s="48">
        <f t="shared" si="159"/>
        <v>12.5</v>
      </c>
      <c r="AU22" s="48">
        <f t="shared" si="159"/>
        <v>12.5</v>
      </c>
      <c r="AV22" s="48">
        <f t="shared" ref="AV22:BE24" si="160">T22</f>
        <v>12.5</v>
      </c>
      <c r="AW22" s="48">
        <f t="shared" si="160"/>
        <v>12.5</v>
      </c>
      <c r="AX22" s="276">
        <f t="shared" si="160"/>
        <v>10.75</v>
      </c>
      <c r="AY22" s="276">
        <f>10.75</f>
        <v>10.75</v>
      </c>
      <c r="AZ22" s="276">
        <v>10.75</v>
      </c>
      <c r="BA22" s="276">
        <f>10.75</f>
        <v>10.75</v>
      </c>
      <c r="BB22" s="276">
        <v>10.75</v>
      </c>
      <c r="BC22" s="276">
        <f>10.75</f>
        <v>10.75</v>
      </c>
      <c r="BD22" s="276">
        <v>10.75</v>
      </c>
      <c r="BE22" s="276">
        <f>10.75</f>
        <v>10.75</v>
      </c>
      <c r="BF22" s="276">
        <v>10.75</v>
      </c>
      <c r="BG22" s="276">
        <f>10.75</f>
        <v>10.75</v>
      </c>
      <c r="BH22" s="276">
        <v>10.75</v>
      </c>
      <c r="BI22" s="276">
        <f>10.75</f>
        <v>10.75</v>
      </c>
      <c r="BJ22" s="48">
        <f t="shared" ref="BF22:BL24" si="161">AH22</f>
        <v>10.833333333333334</v>
      </c>
      <c r="BK22" s="48">
        <f t="shared" si="161"/>
        <v>10.833333333333334</v>
      </c>
      <c r="BL22" s="48">
        <f t="shared" si="161"/>
        <v>10.833333333333334</v>
      </c>
      <c r="BM22" s="408"/>
      <c r="BN22" s="48">
        <f>BP22</f>
        <v>20.000100000000018</v>
      </c>
      <c r="BO22" s="48">
        <f>BP22</f>
        <v>20.000100000000018</v>
      </c>
      <c r="BP22" s="48">
        <f>SUM(AL22:AN22)</f>
        <v>20.000100000000018</v>
      </c>
      <c r="BQ22" s="48">
        <f>BS22</f>
        <v>37.5</v>
      </c>
      <c r="BR22" s="48">
        <f>BS22</f>
        <v>37.5</v>
      </c>
      <c r="BS22" s="48">
        <f>SUM(AO22:AQ22)</f>
        <v>37.5</v>
      </c>
      <c r="BT22" s="48">
        <f>BV22</f>
        <v>37.5</v>
      </c>
      <c r="BU22" s="48">
        <f>BV22</f>
        <v>37.5</v>
      </c>
      <c r="BV22" s="48">
        <f>SUM(AR22:AT22)</f>
        <v>37.5</v>
      </c>
      <c r="BW22" s="48">
        <f>BY22</f>
        <v>37.5</v>
      </c>
      <c r="BX22" s="48">
        <f>BY22</f>
        <v>37.5</v>
      </c>
      <c r="BY22" s="48">
        <f>SUM(AU22:AW22)</f>
        <v>37.5</v>
      </c>
      <c r="BZ22" s="276">
        <v>32.25</v>
      </c>
      <c r="CA22" s="276">
        <v>32.25</v>
      </c>
      <c r="CB22" s="276">
        <v>32.25</v>
      </c>
      <c r="CC22" s="276">
        <v>64.5</v>
      </c>
      <c r="CD22" s="276">
        <v>64.5</v>
      </c>
      <c r="CE22" s="276">
        <v>64.5</v>
      </c>
      <c r="CF22" s="276">
        <v>96.75</v>
      </c>
      <c r="CG22" s="276">
        <v>96.75</v>
      </c>
      <c r="CH22" s="276">
        <v>96.75</v>
      </c>
      <c r="CI22" s="276">
        <v>129</v>
      </c>
      <c r="CJ22" s="276">
        <v>129</v>
      </c>
      <c r="CK22" s="276">
        <v>129</v>
      </c>
      <c r="CL22" s="48">
        <f>CN22</f>
        <v>32.5</v>
      </c>
      <c r="CM22" s="48">
        <f>CN22</f>
        <v>32.5</v>
      </c>
      <c r="CN22" s="48">
        <f>130/4</f>
        <v>32.5</v>
      </c>
      <c r="CO22" s="406"/>
      <c r="CP22" s="40">
        <f>AL22</f>
        <v>6.6667000000000058</v>
      </c>
      <c r="CQ22" s="40">
        <f t="shared" ref="CQ22:DA23" si="162">CP22+AM22</f>
        <v>13.333400000000012</v>
      </c>
      <c r="CR22" s="40">
        <f t="shared" si="162"/>
        <v>20.000100000000018</v>
      </c>
      <c r="CS22" s="40">
        <f t="shared" si="162"/>
        <v>32.500100000000018</v>
      </c>
      <c r="CT22" s="40">
        <f t="shared" si="162"/>
        <v>45.000100000000018</v>
      </c>
      <c r="CU22" s="40">
        <f t="shared" si="162"/>
        <v>57.500100000000018</v>
      </c>
      <c r="CV22" s="40">
        <f t="shared" si="162"/>
        <v>70.000100000000018</v>
      </c>
      <c r="CW22" s="40">
        <f t="shared" si="162"/>
        <v>82.500100000000018</v>
      </c>
      <c r="CX22" s="40">
        <f t="shared" si="162"/>
        <v>95.000100000000018</v>
      </c>
      <c r="CY22" s="40">
        <f t="shared" si="162"/>
        <v>107.50010000000002</v>
      </c>
      <c r="CZ22" s="40">
        <f t="shared" si="162"/>
        <v>120.00010000000002</v>
      </c>
      <c r="DA22" s="40">
        <f t="shared" si="162"/>
        <v>132.50010000000003</v>
      </c>
      <c r="DB22" s="40">
        <f>AX22</f>
        <v>10.75</v>
      </c>
      <c r="DC22" s="40">
        <f>DB22+10.75</f>
        <v>21.5</v>
      </c>
      <c r="DD22" s="40">
        <f t="shared" ref="DD22:DM22" si="163">DC22+10.75</f>
        <v>32.25</v>
      </c>
      <c r="DE22" s="40">
        <f t="shared" si="163"/>
        <v>43</v>
      </c>
      <c r="DF22" s="40">
        <f t="shared" si="163"/>
        <v>53.75</v>
      </c>
      <c r="DG22" s="40">
        <f t="shared" si="163"/>
        <v>64.5</v>
      </c>
      <c r="DH22" s="40">
        <f t="shared" si="163"/>
        <v>75.25</v>
      </c>
      <c r="DI22" s="40">
        <f t="shared" si="163"/>
        <v>86</v>
      </c>
      <c r="DJ22" s="40">
        <f t="shared" si="163"/>
        <v>96.75</v>
      </c>
      <c r="DK22" s="40">
        <f t="shared" si="163"/>
        <v>107.5</v>
      </c>
      <c r="DL22" s="40">
        <f t="shared" si="163"/>
        <v>118.25</v>
      </c>
      <c r="DM22" s="40">
        <f t="shared" si="163"/>
        <v>129</v>
      </c>
      <c r="DN22" s="40">
        <f>BJ22</f>
        <v>10.833333333333334</v>
      </c>
      <c r="DO22" s="40">
        <f>DN22+BK22</f>
        <v>21.666666666666668</v>
      </c>
      <c r="DP22" s="40">
        <f>DO22+BL22</f>
        <v>32.5</v>
      </c>
      <c r="DQ22" s="40"/>
      <c r="DR22" s="40"/>
      <c r="DS22" s="40"/>
      <c r="DT22" s="40"/>
      <c r="DU22" s="40"/>
      <c r="DV22" s="40"/>
      <c r="DW22" s="40"/>
      <c r="DX22" s="40"/>
      <c r="DY22" s="40"/>
      <c r="EA22" s="58">
        <f t="shared" si="57"/>
        <v>132.50010000000003</v>
      </c>
      <c r="EB22" s="58">
        <f t="shared" si="58"/>
        <v>129</v>
      </c>
      <c r="EC22" s="58"/>
      <c r="ED22" s="429"/>
      <c r="EE22" s="40">
        <f>HLOOKUP($I$1,Month,ROW()-1)</f>
        <v>10.833333333333334</v>
      </c>
      <c r="EF22" s="40">
        <f>HLOOKUP($I$1,Qtr,ROW()-1)</f>
        <v>32.5</v>
      </c>
      <c r="EG22" s="40">
        <v>130</v>
      </c>
      <c r="EH22" s="54"/>
      <c r="EI22" s="54"/>
      <c r="EJ22" s="54"/>
      <c r="EK22" s="675"/>
      <c r="EL22" s="53"/>
      <c r="EM22" s="53"/>
      <c r="EN22" s="53"/>
      <c r="EO22" s="49"/>
      <c r="EP22" s="49"/>
      <c r="EQ22" s="49"/>
      <c r="FC22" s="568"/>
      <c r="FD22" s="568"/>
      <c r="FE22" s="568"/>
      <c r="FF22" s="568"/>
    </row>
    <row r="23" spans="1:162">
      <c r="A23" s="6" t="s">
        <v>23</v>
      </c>
      <c r="B23" s="2" t="s">
        <v>1</v>
      </c>
      <c r="C23" s="3" t="s">
        <v>41</v>
      </c>
      <c r="G23" s="43" t="s">
        <v>113</v>
      </c>
      <c r="H23" s="28"/>
      <c r="I23" s="29"/>
      <c r="J23" s="30">
        <f t="shared" si="155"/>
        <v>1.6666699999999999</v>
      </c>
      <c r="K23" s="30">
        <f t="shared" si="155"/>
        <v>1.6666699999999999</v>
      </c>
      <c r="L23" s="30">
        <f t="shared" si="155"/>
        <v>1.6666699999999999</v>
      </c>
      <c r="M23" s="30">
        <f>+M5</f>
        <v>5.87</v>
      </c>
      <c r="N23" s="30">
        <f t="shared" ref="N23:X23" si="164">+N5-M5</f>
        <v>5.8299999999999992</v>
      </c>
      <c r="O23" s="30">
        <f t="shared" si="164"/>
        <v>5.8300000000000018</v>
      </c>
      <c r="P23" s="30">
        <f t="shared" si="164"/>
        <v>5.8299999999999983</v>
      </c>
      <c r="Q23" s="30">
        <f>+Q5-P5</f>
        <v>5.8299999999999983</v>
      </c>
      <c r="R23" s="30">
        <f t="shared" si="164"/>
        <v>5.8299999999999983</v>
      </c>
      <c r="S23" s="30">
        <f t="shared" si="164"/>
        <v>5.8299999999999983</v>
      </c>
      <c r="T23" s="30">
        <f t="shared" si="164"/>
        <v>5.8299999999999983</v>
      </c>
      <c r="U23" s="30">
        <f t="shared" si="164"/>
        <v>5.8299999999999983</v>
      </c>
      <c r="V23" s="30">
        <f t="shared" si="164"/>
        <v>5.8299999999999983</v>
      </c>
      <c r="W23" s="30">
        <f t="shared" si="164"/>
        <v>5.8299999999999983</v>
      </c>
      <c r="X23" s="30">
        <f t="shared" si="164"/>
        <v>5.8299999999999983</v>
      </c>
      <c r="Y23" s="30">
        <v>6</v>
      </c>
      <c r="Z23" s="226">
        <v>6</v>
      </c>
      <c r="AA23" s="226">
        <v>6</v>
      </c>
      <c r="AB23" s="226">
        <f t="shared" ref="AB23:AG23" si="165">M23</f>
        <v>5.87</v>
      </c>
      <c r="AC23" s="226">
        <f t="shared" si="165"/>
        <v>5.8299999999999992</v>
      </c>
      <c r="AD23" s="226">
        <f t="shared" si="165"/>
        <v>5.8300000000000018</v>
      </c>
      <c r="AE23" s="226">
        <f t="shared" si="165"/>
        <v>5.8299999999999983</v>
      </c>
      <c r="AF23" s="226">
        <f t="shared" si="165"/>
        <v>5.8299999999999983</v>
      </c>
      <c r="AG23" s="226">
        <f t="shared" si="165"/>
        <v>5.8299999999999983</v>
      </c>
      <c r="AH23" s="30">
        <f t="shared" ref="AH23:AJ23" si="166">+AH5-AG5</f>
        <v>9.3329999999999984</v>
      </c>
      <c r="AI23" s="30">
        <f t="shared" si="166"/>
        <v>9.3329999999999984</v>
      </c>
      <c r="AJ23" s="30">
        <f t="shared" si="166"/>
        <v>9.3329999999999984</v>
      </c>
      <c r="AK23" s="408"/>
      <c r="AL23" s="48">
        <f t="shared" si="159"/>
        <v>1.6666699999999999</v>
      </c>
      <c r="AM23" s="48">
        <f t="shared" si="159"/>
        <v>1.6666699999999999</v>
      </c>
      <c r="AN23" s="48">
        <f t="shared" si="159"/>
        <v>1.6666699999999999</v>
      </c>
      <c r="AO23" s="48">
        <f t="shared" si="159"/>
        <v>5.87</v>
      </c>
      <c r="AP23" s="48">
        <f t="shared" si="159"/>
        <v>5.8299999999999992</v>
      </c>
      <c r="AQ23" s="48">
        <f t="shared" si="159"/>
        <v>5.8300000000000018</v>
      </c>
      <c r="AR23" s="48">
        <f t="shared" si="159"/>
        <v>5.8299999999999983</v>
      </c>
      <c r="AS23" s="48">
        <f t="shared" si="159"/>
        <v>5.8299999999999983</v>
      </c>
      <c r="AT23" s="48">
        <f t="shared" si="159"/>
        <v>5.8299999999999983</v>
      </c>
      <c r="AU23" s="48">
        <f t="shared" si="159"/>
        <v>5.8299999999999983</v>
      </c>
      <c r="AV23" s="48">
        <f t="shared" si="160"/>
        <v>5.8299999999999983</v>
      </c>
      <c r="AW23" s="48">
        <f t="shared" si="160"/>
        <v>5.8299999999999983</v>
      </c>
      <c r="AX23" s="48">
        <f t="shared" si="160"/>
        <v>5.8299999999999983</v>
      </c>
      <c r="AY23" s="48">
        <f t="shared" si="160"/>
        <v>5.8299999999999983</v>
      </c>
      <c r="AZ23" s="48">
        <f t="shared" si="160"/>
        <v>5.8299999999999983</v>
      </c>
      <c r="BA23" s="48">
        <f t="shared" si="160"/>
        <v>6</v>
      </c>
      <c r="BB23" s="48">
        <f t="shared" si="160"/>
        <v>6</v>
      </c>
      <c r="BC23" s="48">
        <f t="shared" si="160"/>
        <v>6</v>
      </c>
      <c r="BD23" s="48">
        <f t="shared" si="160"/>
        <v>5.87</v>
      </c>
      <c r="BE23" s="48">
        <f t="shared" si="160"/>
        <v>5.8299999999999992</v>
      </c>
      <c r="BF23" s="48">
        <f t="shared" si="161"/>
        <v>5.8300000000000018</v>
      </c>
      <c r="BG23" s="48">
        <f t="shared" si="161"/>
        <v>5.8299999999999983</v>
      </c>
      <c r="BH23" s="48">
        <f t="shared" si="161"/>
        <v>5.8299999999999983</v>
      </c>
      <c r="BI23" s="48">
        <f t="shared" si="161"/>
        <v>5.8299999999999983</v>
      </c>
      <c r="BJ23" s="48">
        <f t="shared" si="161"/>
        <v>9.3329999999999984</v>
      </c>
      <c r="BK23" s="48">
        <f t="shared" si="161"/>
        <v>9.3329999999999984</v>
      </c>
      <c r="BL23" s="48">
        <f t="shared" si="161"/>
        <v>9.3329999999999984</v>
      </c>
      <c r="BM23" s="408"/>
      <c r="BN23" s="48">
        <f>BP23</f>
        <v>5.0000099999999996</v>
      </c>
      <c r="BO23" s="48">
        <f>BP23</f>
        <v>5.0000099999999996</v>
      </c>
      <c r="BP23" s="48">
        <f>SUM(AL23:AN23)</f>
        <v>5.0000099999999996</v>
      </c>
      <c r="BQ23" s="48">
        <f>BS23</f>
        <v>17.53</v>
      </c>
      <c r="BR23" s="48">
        <f>BS23</f>
        <v>17.53</v>
      </c>
      <c r="BS23" s="48">
        <f>SUM(AO23:AQ23)</f>
        <v>17.53</v>
      </c>
      <c r="BT23" s="48">
        <f>BV23</f>
        <v>17.489999999999995</v>
      </c>
      <c r="BU23" s="48">
        <f>BV23</f>
        <v>17.489999999999995</v>
      </c>
      <c r="BV23" s="48">
        <f>SUM(AR23:AT23)</f>
        <v>17.489999999999995</v>
      </c>
      <c r="BW23" s="48">
        <f>BY23</f>
        <v>17.489999999999995</v>
      </c>
      <c r="BX23" s="48">
        <f>BY23</f>
        <v>17.489999999999995</v>
      </c>
      <c r="BY23" s="48">
        <f>SUM(AU23:AW23)</f>
        <v>17.489999999999995</v>
      </c>
      <c r="BZ23" s="48">
        <f>CB23</f>
        <v>17.489999999999995</v>
      </c>
      <c r="CA23" s="48">
        <f>CB23</f>
        <v>17.489999999999995</v>
      </c>
      <c r="CB23" s="48">
        <f>SUM(AX23:AZ23)</f>
        <v>17.489999999999995</v>
      </c>
      <c r="CC23" s="48">
        <f>CE23</f>
        <v>18</v>
      </c>
      <c r="CD23" s="48">
        <f>CE23</f>
        <v>18</v>
      </c>
      <c r="CE23" s="48">
        <f>SUM(BA23:BC23)</f>
        <v>18</v>
      </c>
      <c r="CF23" s="48">
        <f>CH23</f>
        <v>17.53</v>
      </c>
      <c r="CG23" s="48">
        <f>CH23</f>
        <v>17.53</v>
      </c>
      <c r="CH23" s="48">
        <f>SUM(BD23:BF23)</f>
        <v>17.53</v>
      </c>
      <c r="CI23" s="48">
        <f>CK23</f>
        <v>17.489999999999995</v>
      </c>
      <c r="CJ23" s="48">
        <f>CK23</f>
        <v>17.489999999999995</v>
      </c>
      <c r="CK23" s="48">
        <f>SUM(BG23:BI23)</f>
        <v>17.489999999999995</v>
      </c>
      <c r="CL23" s="48">
        <f>CN23</f>
        <v>27.998999999999995</v>
      </c>
      <c r="CM23" s="48">
        <f>CN23</f>
        <v>27.998999999999995</v>
      </c>
      <c r="CN23" s="48">
        <f>SUM(BJ23:BL23)</f>
        <v>27.998999999999995</v>
      </c>
      <c r="CO23" s="406"/>
      <c r="CP23" s="40">
        <f>AL23</f>
        <v>1.6666699999999999</v>
      </c>
      <c r="CQ23" s="40">
        <f t="shared" si="162"/>
        <v>3.3333399999999997</v>
      </c>
      <c r="CR23" s="40">
        <f t="shared" si="162"/>
        <v>5.0000099999999996</v>
      </c>
      <c r="CS23" s="40">
        <f t="shared" si="162"/>
        <v>10.870010000000001</v>
      </c>
      <c r="CT23" s="40">
        <f t="shared" si="162"/>
        <v>16.700009999999999</v>
      </c>
      <c r="CU23" s="40">
        <f t="shared" si="162"/>
        <v>22.530010000000001</v>
      </c>
      <c r="CV23" s="40">
        <f t="shared" si="162"/>
        <v>28.360009999999999</v>
      </c>
      <c r="CW23" s="40">
        <f t="shared" si="162"/>
        <v>34.190010000000001</v>
      </c>
      <c r="CX23" s="40">
        <f t="shared" si="162"/>
        <v>40.020009999999999</v>
      </c>
      <c r="CY23" s="40">
        <f t="shared" si="162"/>
        <v>45.850009999999997</v>
      </c>
      <c r="CZ23" s="40">
        <f t="shared" si="162"/>
        <v>51.680009999999996</v>
      </c>
      <c r="DA23" s="40">
        <f t="shared" si="162"/>
        <v>57.510009999999994</v>
      </c>
      <c r="DB23" s="40">
        <f>AX23</f>
        <v>5.8299999999999983</v>
      </c>
      <c r="DC23" s="40">
        <f t="shared" ref="DC23:DM23" si="167">DB23+AY23</f>
        <v>11.659999999999997</v>
      </c>
      <c r="DD23" s="40">
        <f t="shared" si="167"/>
        <v>17.489999999999995</v>
      </c>
      <c r="DE23" s="40">
        <f t="shared" si="167"/>
        <v>23.489999999999995</v>
      </c>
      <c r="DF23" s="40">
        <f t="shared" si="167"/>
        <v>29.489999999999995</v>
      </c>
      <c r="DG23" s="40">
        <f t="shared" si="167"/>
        <v>35.489999999999995</v>
      </c>
      <c r="DH23" s="40">
        <f t="shared" si="167"/>
        <v>41.359999999999992</v>
      </c>
      <c r="DI23" s="40">
        <f t="shared" si="167"/>
        <v>47.189999999999991</v>
      </c>
      <c r="DJ23" s="40">
        <f t="shared" si="167"/>
        <v>53.019999999999996</v>
      </c>
      <c r="DK23" s="40">
        <f t="shared" si="167"/>
        <v>58.849999999999994</v>
      </c>
      <c r="DL23" s="40">
        <f t="shared" si="167"/>
        <v>64.679999999999993</v>
      </c>
      <c r="DM23" s="40">
        <f t="shared" si="167"/>
        <v>70.509999999999991</v>
      </c>
      <c r="DN23" s="40">
        <f>BJ23</f>
        <v>9.3329999999999984</v>
      </c>
      <c r="DO23" s="40">
        <f>DN23+BK23</f>
        <v>18.665999999999997</v>
      </c>
      <c r="DP23" s="40">
        <f>DO23+BL23</f>
        <v>27.998999999999995</v>
      </c>
      <c r="DQ23" s="40"/>
      <c r="DR23" s="40"/>
      <c r="DS23" s="40"/>
      <c r="DT23" s="40"/>
      <c r="DU23" s="40"/>
      <c r="DV23" s="40"/>
      <c r="DW23" s="40"/>
      <c r="DX23" s="40"/>
      <c r="DY23" s="40"/>
      <c r="EA23" s="59">
        <f t="shared" si="57"/>
        <v>57.510009999999994</v>
      </c>
      <c r="EB23" s="59">
        <f>IF(I1&gt;6/30/10,DM23,"")</f>
        <v>70.509999999999991</v>
      </c>
      <c r="EC23" s="59"/>
      <c r="ED23" s="429"/>
      <c r="EE23" s="40">
        <f>HLOOKUP($I$1,Month,ROW()-1)</f>
        <v>9.3329999999999984</v>
      </c>
      <c r="EF23" s="40">
        <f>HLOOKUP($I$1,Qtr,ROW()-1)</f>
        <v>27.998999999999995</v>
      </c>
      <c r="EG23" s="40">
        <f>HLOOKUP($EJ$4,Budget,ROW()-1)</f>
        <v>70.509999999999991</v>
      </c>
      <c r="EH23" s="54"/>
      <c r="EI23" s="54"/>
      <c r="EJ23" s="54"/>
      <c r="EK23" s="675"/>
      <c r="EL23" s="53"/>
      <c r="EM23" s="53"/>
      <c r="EN23" s="53"/>
      <c r="EO23" s="49"/>
      <c r="EP23" s="49"/>
      <c r="EQ23" s="49"/>
      <c r="FC23" s="568"/>
      <c r="FD23" s="568"/>
      <c r="FE23" s="568"/>
      <c r="FF23" s="568"/>
    </row>
    <row r="24" spans="1:162">
      <c r="A24" s="6" t="s">
        <v>23</v>
      </c>
      <c r="B24" s="101" t="s">
        <v>144</v>
      </c>
      <c r="G24" s="43"/>
      <c r="H24" s="28"/>
      <c r="I24" s="29"/>
      <c r="J24" s="102">
        <f>J18/$DA$18</f>
        <v>0</v>
      </c>
      <c r="K24" s="102">
        <f t="shared" ref="K24:U24" si="168">K18/$DA$18</f>
        <v>0</v>
      </c>
      <c r="L24" s="102">
        <f t="shared" si="168"/>
        <v>0.33333333333333331</v>
      </c>
      <c r="M24" s="102">
        <f t="shared" si="168"/>
        <v>0.33333333333333331</v>
      </c>
      <c r="N24" s="102">
        <f t="shared" si="168"/>
        <v>0.33333333333333331</v>
      </c>
      <c r="O24" s="102">
        <f t="shared" si="168"/>
        <v>0.33333333333333331</v>
      </c>
      <c r="P24" s="102">
        <f t="shared" si="168"/>
        <v>0.66666666666666663</v>
      </c>
      <c r="Q24" s="102">
        <f t="shared" si="168"/>
        <v>0.66666666666666663</v>
      </c>
      <c r="R24" s="102">
        <f t="shared" si="168"/>
        <v>0.66666666666666663</v>
      </c>
      <c r="S24" s="102">
        <f t="shared" si="168"/>
        <v>0.66666666666666663</v>
      </c>
      <c r="T24" s="102">
        <f t="shared" si="168"/>
        <v>1</v>
      </c>
      <c r="U24" s="102">
        <f t="shared" si="168"/>
        <v>1</v>
      </c>
      <c r="V24" s="102">
        <f>V18/$DK$18</f>
        <v>0</v>
      </c>
      <c r="W24" s="102">
        <f>W18/$DK$18</f>
        <v>0.5</v>
      </c>
      <c r="X24" s="102">
        <f>X18/$AG$18</f>
        <v>0.33333333333333331</v>
      </c>
      <c r="Y24" s="102">
        <f t="shared" ref="Y24:AH24" si="169">Y18/$AG$18</f>
        <v>0.33333333333333331</v>
      </c>
      <c r="Z24" s="102">
        <f t="shared" si="169"/>
        <v>0.33333333333333331</v>
      </c>
      <c r="AA24" s="102">
        <f t="shared" si="169"/>
        <v>0.33333333333333331</v>
      </c>
      <c r="AB24" s="102">
        <f t="shared" si="169"/>
        <v>0.66666666666666663</v>
      </c>
      <c r="AC24" s="102">
        <f t="shared" si="169"/>
        <v>0.66666666666666663</v>
      </c>
      <c r="AD24" s="102">
        <f t="shared" si="169"/>
        <v>0.66666666666666663</v>
      </c>
      <c r="AE24" s="102">
        <f t="shared" si="169"/>
        <v>0.66666666666666663</v>
      </c>
      <c r="AF24" s="102">
        <f t="shared" si="169"/>
        <v>1</v>
      </c>
      <c r="AG24" s="102">
        <f t="shared" si="169"/>
        <v>1</v>
      </c>
      <c r="AH24" s="102">
        <f t="shared" si="169"/>
        <v>0</v>
      </c>
      <c r="AI24" s="102">
        <f>AI18/$DK$18</f>
        <v>0</v>
      </c>
      <c r="AJ24" s="102">
        <f>AJ18/$DK$18</f>
        <v>0</v>
      </c>
      <c r="AK24" s="411"/>
      <c r="AL24" s="99">
        <f>J24</f>
        <v>0</v>
      </c>
      <c r="AM24" s="99">
        <f t="shared" si="159"/>
        <v>0</v>
      </c>
      <c r="AN24" s="99">
        <f t="shared" si="159"/>
        <v>0.33333333333333331</v>
      </c>
      <c r="AO24" s="99">
        <f t="shared" si="159"/>
        <v>0.33333333333333331</v>
      </c>
      <c r="AP24" s="99">
        <f t="shared" si="159"/>
        <v>0.33333333333333331</v>
      </c>
      <c r="AQ24" s="99">
        <f t="shared" si="159"/>
        <v>0.33333333333333331</v>
      </c>
      <c r="AR24" s="99">
        <f t="shared" si="159"/>
        <v>0.66666666666666663</v>
      </c>
      <c r="AS24" s="99">
        <f t="shared" si="159"/>
        <v>0.66666666666666663</v>
      </c>
      <c r="AT24" s="99">
        <f t="shared" si="159"/>
        <v>0.66666666666666663</v>
      </c>
      <c r="AU24" s="99">
        <f t="shared" si="159"/>
        <v>0.66666666666666663</v>
      </c>
      <c r="AV24" s="99">
        <f t="shared" si="160"/>
        <v>1</v>
      </c>
      <c r="AW24" s="99">
        <f t="shared" si="160"/>
        <v>1</v>
      </c>
      <c r="AX24" s="99">
        <f t="shared" si="160"/>
        <v>0</v>
      </c>
      <c r="AY24" s="99">
        <f t="shared" si="160"/>
        <v>0.5</v>
      </c>
      <c r="AZ24" s="99">
        <f t="shared" si="160"/>
        <v>0.33333333333333331</v>
      </c>
      <c r="BA24" s="99">
        <f t="shared" si="160"/>
        <v>0.33333333333333331</v>
      </c>
      <c r="BB24" s="99">
        <f t="shared" si="160"/>
        <v>0.33333333333333331</v>
      </c>
      <c r="BC24" s="99">
        <f t="shared" si="160"/>
        <v>0.33333333333333331</v>
      </c>
      <c r="BD24" s="99">
        <f t="shared" si="160"/>
        <v>0.66666666666666663</v>
      </c>
      <c r="BE24" s="99">
        <f t="shared" si="160"/>
        <v>0.66666666666666663</v>
      </c>
      <c r="BF24" s="99">
        <f t="shared" si="161"/>
        <v>0.66666666666666663</v>
      </c>
      <c r="BG24" s="99">
        <f t="shared" si="161"/>
        <v>0.66666666666666663</v>
      </c>
      <c r="BH24" s="99">
        <f t="shared" si="161"/>
        <v>1</v>
      </c>
      <c r="BI24" s="99">
        <f t="shared" si="161"/>
        <v>1</v>
      </c>
      <c r="BJ24" s="99">
        <f t="shared" si="161"/>
        <v>0</v>
      </c>
      <c r="BK24" s="99">
        <f t="shared" si="161"/>
        <v>0</v>
      </c>
      <c r="BL24" s="99">
        <f t="shared" si="161"/>
        <v>0</v>
      </c>
      <c r="BM24" s="411"/>
      <c r="BN24" s="99">
        <f t="shared" ref="BN24:CN24" si="170">AL24</f>
        <v>0</v>
      </c>
      <c r="BO24" s="99">
        <f t="shared" si="170"/>
        <v>0</v>
      </c>
      <c r="BP24" s="99">
        <f t="shared" si="170"/>
        <v>0.33333333333333331</v>
      </c>
      <c r="BQ24" s="99">
        <f t="shared" si="170"/>
        <v>0.33333333333333331</v>
      </c>
      <c r="BR24" s="99">
        <f t="shared" si="170"/>
        <v>0.33333333333333331</v>
      </c>
      <c r="BS24" s="99">
        <f t="shared" si="170"/>
        <v>0.33333333333333331</v>
      </c>
      <c r="BT24" s="99">
        <f t="shared" si="170"/>
        <v>0.66666666666666663</v>
      </c>
      <c r="BU24" s="99">
        <f t="shared" si="170"/>
        <v>0.66666666666666663</v>
      </c>
      <c r="BV24" s="99">
        <f t="shared" si="170"/>
        <v>0.66666666666666663</v>
      </c>
      <c r="BW24" s="99">
        <f t="shared" si="170"/>
        <v>0.66666666666666663</v>
      </c>
      <c r="BX24" s="99">
        <f t="shared" si="170"/>
        <v>1</v>
      </c>
      <c r="BY24" s="99">
        <f t="shared" si="170"/>
        <v>1</v>
      </c>
      <c r="BZ24" s="99">
        <f t="shared" si="170"/>
        <v>0</v>
      </c>
      <c r="CA24" s="99">
        <f t="shared" si="170"/>
        <v>0.5</v>
      </c>
      <c r="CB24" s="99">
        <f t="shared" si="170"/>
        <v>0.33333333333333331</v>
      </c>
      <c r="CC24" s="99">
        <f t="shared" si="170"/>
        <v>0.33333333333333331</v>
      </c>
      <c r="CD24" s="99">
        <f t="shared" si="170"/>
        <v>0.33333333333333331</v>
      </c>
      <c r="CE24" s="99">
        <f t="shared" si="170"/>
        <v>0.33333333333333331</v>
      </c>
      <c r="CF24" s="99">
        <f t="shared" si="170"/>
        <v>0.66666666666666663</v>
      </c>
      <c r="CG24" s="99">
        <f t="shared" si="170"/>
        <v>0.66666666666666663</v>
      </c>
      <c r="CH24" s="99">
        <f t="shared" si="170"/>
        <v>0.66666666666666663</v>
      </c>
      <c r="CI24" s="99">
        <f t="shared" si="170"/>
        <v>0.66666666666666663</v>
      </c>
      <c r="CJ24" s="99">
        <f t="shared" si="170"/>
        <v>1</v>
      </c>
      <c r="CK24" s="99">
        <f t="shared" si="170"/>
        <v>1</v>
      </c>
      <c r="CL24" s="99">
        <f t="shared" si="170"/>
        <v>0</v>
      </c>
      <c r="CM24" s="99">
        <f t="shared" si="170"/>
        <v>0</v>
      </c>
      <c r="CN24" s="99">
        <f t="shared" si="170"/>
        <v>0</v>
      </c>
      <c r="CO24" s="423"/>
      <c r="CP24" s="99">
        <f t="shared" ref="CP24:DP24" si="171">BN24</f>
        <v>0</v>
      </c>
      <c r="CQ24" s="99">
        <f t="shared" si="171"/>
        <v>0</v>
      </c>
      <c r="CR24" s="99">
        <f t="shared" si="171"/>
        <v>0.33333333333333331</v>
      </c>
      <c r="CS24" s="99">
        <f t="shared" si="171"/>
        <v>0.33333333333333331</v>
      </c>
      <c r="CT24" s="99">
        <f t="shared" si="171"/>
        <v>0.33333333333333331</v>
      </c>
      <c r="CU24" s="99">
        <f t="shared" si="171"/>
        <v>0.33333333333333331</v>
      </c>
      <c r="CV24" s="99">
        <f t="shared" si="171"/>
        <v>0.66666666666666663</v>
      </c>
      <c r="CW24" s="99">
        <f t="shared" si="171"/>
        <v>0.66666666666666663</v>
      </c>
      <c r="CX24" s="99">
        <f t="shared" si="171"/>
        <v>0.66666666666666663</v>
      </c>
      <c r="CY24" s="99">
        <f t="shared" si="171"/>
        <v>0.66666666666666663</v>
      </c>
      <c r="CZ24" s="99">
        <f t="shared" si="171"/>
        <v>1</v>
      </c>
      <c r="DA24" s="99">
        <f t="shared" si="171"/>
        <v>1</v>
      </c>
      <c r="DB24" s="99">
        <f t="shared" si="171"/>
        <v>0</v>
      </c>
      <c r="DC24" s="99">
        <f t="shared" si="171"/>
        <v>0.5</v>
      </c>
      <c r="DD24" s="99">
        <f t="shared" si="171"/>
        <v>0.33333333333333331</v>
      </c>
      <c r="DE24" s="99">
        <f t="shared" si="171"/>
        <v>0.33333333333333331</v>
      </c>
      <c r="DF24" s="99">
        <f t="shared" si="171"/>
        <v>0.33333333333333331</v>
      </c>
      <c r="DG24" s="99">
        <f t="shared" si="171"/>
        <v>0.33333333333333331</v>
      </c>
      <c r="DH24" s="99">
        <f t="shared" si="171"/>
        <v>0.66666666666666663</v>
      </c>
      <c r="DI24" s="99">
        <f t="shared" si="171"/>
        <v>0.66666666666666663</v>
      </c>
      <c r="DJ24" s="99">
        <f t="shared" si="171"/>
        <v>0.66666666666666663</v>
      </c>
      <c r="DK24" s="99">
        <f t="shared" si="171"/>
        <v>0.66666666666666663</v>
      </c>
      <c r="DL24" s="99">
        <f t="shared" si="171"/>
        <v>1</v>
      </c>
      <c r="DM24" s="99">
        <f t="shared" si="171"/>
        <v>1</v>
      </c>
      <c r="DN24" s="99">
        <f t="shared" si="171"/>
        <v>0</v>
      </c>
      <c r="DO24" s="99">
        <f t="shared" si="171"/>
        <v>0</v>
      </c>
      <c r="DP24" s="99">
        <f t="shared" si="171"/>
        <v>0</v>
      </c>
      <c r="DQ24" s="99"/>
      <c r="DR24" s="99"/>
      <c r="DS24" s="99"/>
      <c r="DT24" s="99"/>
      <c r="DU24" s="99"/>
      <c r="DV24" s="99"/>
      <c r="DW24" s="99"/>
      <c r="DX24" s="99"/>
      <c r="DY24" s="99"/>
      <c r="EA24" s="40" t="str">
        <f>HLOOKUP($I$1,Month,19)</f>
        <v>N/A</v>
      </c>
      <c r="EB24" s="40" t="str">
        <f>HLOOKUP($I$1,Qtr,19)</f>
        <v>N/A</v>
      </c>
      <c r="EC24" s="40"/>
      <c r="ED24" s="429"/>
      <c r="EE24" s="99">
        <f>HLOOKUP($I$1,Month,ROW()-1)</f>
        <v>0</v>
      </c>
      <c r="EF24" s="99">
        <f>HLOOKUP($I$1,Qtr,ROW()-1)</f>
        <v>0</v>
      </c>
      <c r="EG24" s="127">
        <v>1</v>
      </c>
      <c r="EH24" s="54"/>
      <c r="EI24" s="54"/>
      <c r="EJ24" s="54"/>
      <c r="EK24" s="675"/>
      <c r="EL24" s="136"/>
      <c r="EM24" s="136"/>
      <c r="EN24" s="136"/>
      <c r="EO24" s="49"/>
      <c r="EP24" s="49"/>
      <c r="EQ24" s="49"/>
      <c r="FC24" s="568"/>
      <c r="FD24" s="568"/>
      <c r="FE24" s="568"/>
      <c r="FF24" s="568"/>
    </row>
    <row r="25" spans="1:162">
      <c r="A25" s="6" t="s">
        <v>23</v>
      </c>
      <c r="B25" s="2" t="s">
        <v>98</v>
      </c>
      <c r="G25" s="41" t="s">
        <v>92</v>
      </c>
      <c r="H25" s="28"/>
      <c r="I25" s="29"/>
      <c r="J25" s="32">
        <f>J11*J12</f>
        <v>1.52</v>
      </c>
      <c r="K25" s="32">
        <f t="shared" ref="K25:BL25" si="172">K11*K12</f>
        <v>1.52</v>
      </c>
      <c r="L25" s="32">
        <f t="shared" si="172"/>
        <v>1.52</v>
      </c>
      <c r="M25" s="32">
        <f t="shared" si="172"/>
        <v>1.52</v>
      </c>
      <c r="N25" s="32">
        <f t="shared" si="172"/>
        <v>1.52</v>
      </c>
      <c r="O25" s="32">
        <f t="shared" si="172"/>
        <v>1.52</v>
      </c>
      <c r="P25" s="32">
        <f t="shared" si="172"/>
        <v>1.52</v>
      </c>
      <c r="Q25" s="32">
        <f t="shared" si="172"/>
        <v>1.52</v>
      </c>
      <c r="R25" s="32">
        <f t="shared" si="172"/>
        <v>1.52</v>
      </c>
      <c r="S25" s="32">
        <f t="shared" si="172"/>
        <v>1.52</v>
      </c>
      <c r="T25" s="32">
        <f t="shared" si="172"/>
        <v>1.52</v>
      </c>
      <c r="U25" s="32">
        <f t="shared" si="172"/>
        <v>1.33</v>
      </c>
      <c r="V25" s="32">
        <f t="shared" si="172"/>
        <v>1.3679999999999999</v>
      </c>
      <c r="W25" s="32">
        <f t="shared" si="172"/>
        <v>2.7359999999999998</v>
      </c>
      <c r="X25" s="32">
        <f t="shared" si="172"/>
        <v>3.762</v>
      </c>
      <c r="Y25" s="32">
        <f t="shared" si="172"/>
        <v>4.7879999999999994</v>
      </c>
      <c r="Z25" s="32">
        <f t="shared" si="172"/>
        <v>5.8140000000000001</v>
      </c>
      <c r="AA25" s="32">
        <f t="shared" si="172"/>
        <v>6.839999999999999</v>
      </c>
      <c r="AB25" s="32">
        <f t="shared" si="172"/>
        <v>7.8659999999999988</v>
      </c>
      <c r="AC25" s="32">
        <f t="shared" si="172"/>
        <v>8.8919999999999995</v>
      </c>
      <c r="AD25" s="32">
        <f t="shared" si="172"/>
        <v>9.9179999999999993</v>
      </c>
      <c r="AE25" s="32">
        <f t="shared" si="172"/>
        <v>10.943999999999999</v>
      </c>
      <c r="AF25" s="32">
        <f t="shared" si="172"/>
        <v>11.969999999999999</v>
      </c>
      <c r="AG25" s="32">
        <f t="shared" si="172"/>
        <v>12.995999999999999</v>
      </c>
      <c r="AH25" s="32">
        <f t="shared" si="172"/>
        <v>0</v>
      </c>
      <c r="AI25" s="32">
        <f t="shared" si="172"/>
        <v>0</v>
      </c>
      <c r="AJ25" s="32">
        <f t="shared" si="172"/>
        <v>0</v>
      </c>
      <c r="AK25" s="408"/>
      <c r="AL25" s="56">
        <f t="shared" si="172"/>
        <v>1.52</v>
      </c>
      <c r="AM25" s="56">
        <f t="shared" si="172"/>
        <v>1.52</v>
      </c>
      <c r="AN25" s="56">
        <f t="shared" si="172"/>
        <v>1.52</v>
      </c>
      <c r="AO25" s="56">
        <f>AO11*AO12</f>
        <v>1.52</v>
      </c>
      <c r="AP25" s="56">
        <f t="shared" si="172"/>
        <v>1.52</v>
      </c>
      <c r="AQ25" s="56">
        <f t="shared" si="172"/>
        <v>1.52</v>
      </c>
      <c r="AR25" s="56">
        <f t="shared" si="172"/>
        <v>1.52</v>
      </c>
      <c r="AS25" s="56">
        <f t="shared" si="172"/>
        <v>1.52</v>
      </c>
      <c r="AT25" s="56">
        <f t="shared" si="172"/>
        <v>1.52</v>
      </c>
      <c r="AU25" s="56">
        <f t="shared" si="172"/>
        <v>1.52</v>
      </c>
      <c r="AV25" s="56">
        <f t="shared" si="172"/>
        <v>1.52</v>
      </c>
      <c r="AW25" s="56">
        <f t="shared" si="172"/>
        <v>1.33</v>
      </c>
      <c r="AX25" s="56">
        <f t="shared" si="172"/>
        <v>1.3679999999999999</v>
      </c>
      <c r="AY25" s="56">
        <f t="shared" si="172"/>
        <v>1.3679999999999999</v>
      </c>
      <c r="AZ25" s="56">
        <f t="shared" si="172"/>
        <v>1.026</v>
      </c>
      <c r="BA25" s="56">
        <f t="shared" si="172"/>
        <v>1.026</v>
      </c>
      <c r="BB25" s="56">
        <f t="shared" si="172"/>
        <v>1.026</v>
      </c>
      <c r="BC25" s="56">
        <f t="shared" si="172"/>
        <v>1.0259999999999991</v>
      </c>
      <c r="BD25" s="56">
        <f t="shared" si="172"/>
        <v>1.026</v>
      </c>
      <c r="BE25" s="56">
        <f t="shared" si="172"/>
        <v>1.026</v>
      </c>
      <c r="BF25" s="56">
        <f t="shared" si="172"/>
        <v>1.026</v>
      </c>
      <c r="BG25" s="56">
        <f t="shared" si="172"/>
        <v>1.026</v>
      </c>
      <c r="BH25" s="56">
        <f t="shared" si="172"/>
        <v>1.026</v>
      </c>
      <c r="BI25" s="56">
        <f t="shared" si="172"/>
        <v>1.026</v>
      </c>
      <c r="BJ25" s="56">
        <f t="shared" si="172"/>
        <v>0</v>
      </c>
      <c r="BK25" s="56">
        <f t="shared" si="172"/>
        <v>0</v>
      </c>
      <c r="BL25" s="56">
        <f t="shared" si="172"/>
        <v>0</v>
      </c>
      <c r="BM25" s="408"/>
      <c r="BN25" s="56">
        <f>+AL25</f>
        <v>1.52</v>
      </c>
      <c r="BO25" s="56">
        <f>+BN25+AM25</f>
        <v>3.04</v>
      </c>
      <c r="BP25" s="56">
        <f>+BO25+AN25</f>
        <v>4.5600000000000005</v>
      </c>
      <c r="BQ25" s="56">
        <f>M25</f>
        <v>1.52</v>
      </c>
      <c r="BR25" s="56">
        <f>+BQ25+AP25</f>
        <v>3.04</v>
      </c>
      <c r="BS25" s="56">
        <f>+BR25+AQ25</f>
        <v>4.5600000000000005</v>
      </c>
      <c r="BT25" s="56">
        <f>P25</f>
        <v>1.52</v>
      </c>
      <c r="BU25" s="56">
        <f>+BT25+AS25</f>
        <v>3.04</v>
      </c>
      <c r="BV25" s="56">
        <f>+BU25+AT25</f>
        <v>4.5600000000000005</v>
      </c>
      <c r="BW25" s="56">
        <f>S25</f>
        <v>1.52</v>
      </c>
      <c r="BX25" s="56">
        <f>+BW25+AV25</f>
        <v>3.04</v>
      </c>
      <c r="BY25" s="56">
        <f>+BX25+AW25</f>
        <v>4.37</v>
      </c>
      <c r="BZ25" s="56">
        <f>V25</f>
        <v>1.3679999999999999</v>
      </c>
      <c r="CA25" s="56">
        <f>+BZ25+AY25</f>
        <v>2.7359999999999998</v>
      </c>
      <c r="CB25" s="56">
        <f>+CA25+AZ25</f>
        <v>3.7619999999999996</v>
      </c>
      <c r="CC25" s="56">
        <f>Y25</f>
        <v>4.7879999999999994</v>
      </c>
      <c r="CD25" s="56">
        <f>+CC25+BB25</f>
        <v>5.8139999999999992</v>
      </c>
      <c r="CE25" s="56">
        <f>+CD25+BC25</f>
        <v>6.8399999999999981</v>
      </c>
      <c r="CF25" s="56">
        <f>AB25</f>
        <v>7.8659999999999988</v>
      </c>
      <c r="CG25" s="56">
        <f>+CF25+BE25</f>
        <v>8.8919999999999995</v>
      </c>
      <c r="CH25" s="56">
        <f>+CG25+BF25</f>
        <v>9.9179999999999993</v>
      </c>
      <c r="CI25" s="56">
        <f>AE25</f>
        <v>10.943999999999999</v>
      </c>
      <c r="CJ25" s="56">
        <f>+CI25+BH25</f>
        <v>11.969999999999999</v>
      </c>
      <c r="CK25" s="56">
        <f>+CJ25+BI25</f>
        <v>12.995999999999999</v>
      </c>
      <c r="CL25" s="56">
        <f>AH25</f>
        <v>0</v>
      </c>
      <c r="CM25" s="56">
        <f>+CL25+BK25</f>
        <v>0</v>
      </c>
      <c r="CN25" s="56">
        <f>+CM25+BL25</f>
        <v>0</v>
      </c>
      <c r="CO25" s="406"/>
      <c r="CP25" s="60">
        <f>J25</f>
        <v>1.52</v>
      </c>
      <c r="CQ25" s="60">
        <f t="shared" ref="CQ25:DA25" si="173">CP25+K25</f>
        <v>3.04</v>
      </c>
      <c r="CR25" s="60">
        <f t="shared" si="173"/>
        <v>4.5600000000000005</v>
      </c>
      <c r="CS25" s="60">
        <f t="shared" si="173"/>
        <v>6.08</v>
      </c>
      <c r="CT25" s="60">
        <f t="shared" si="173"/>
        <v>7.6</v>
      </c>
      <c r="CU25" s="60">
        <f t="shared" si="173"/>
        <v>9.1199999999999992</v>
      </c>
      <c r="CV25" s="60">
        <f t="shared" si="173"/>
        <v>10.639999999999999</v>
      </c>
      <c r="CW25" s="60">
        <f t="shared" si="173"/>
        <v>12.159999999999998</v>
      </c>
      <c r="CX25" s="60">
        <f t="shared" si="173"/>
        <v>13.679999999999998</v>
      </c>
      <c r="CY25" s="60">
        <f t="shared" si="173"/>
        <v>15.199999999999998</v>
      </c>
      <c r="CZ25" s="60">
        <f t="shared" si="173"/>
        <v>16.72</v>
      </c>
      <c r="DA25" s="60">
        <f t="shared" si="173"/>
        <v>18.049999999999997</v>
      </c>
      <c r="DB25" s="60">
        <f>V25</f>
        <v>1.3679999999999999</v>
      </c>
      <c r="DC25" s="60">
        <f t="shared" ref="DC25:DM25" si="174">DB25+W25</f>
        <v>4.1039999999999992</v>
      </c>
      <c r="DD25" s="60">
        <f t="shared" si="174"/>
        <v>7.8659999999999997</v>
      </c>
      <c r="DE25" s="60">
        <f t="shared" si="174"/>
        <v>12.654</v>
      </c>
      <c r="DF25" s="60">
        <f t="shared" si="174"/>
        <v>18.468</v>
      </c>
      <c r="DG25" s="60">
        <f t="shared" si="174"/>
        <v>25.308</v>
      </c>
      <c r="DH25" s="60">
        <f t="shared" si="174"/>
        <v>33.173999999999999</v>
      </c>
      <c r="DI25" s="60">
        <f t="shared" si="174"/>
        <v>42.066000000000003</v>
      </c>
      <c r="DJ25" s="60">
        <f t="shared" si="174"/>
        <v>51.984000000000002</v>
      </c>
      <c r="DK25" s="60">
        <f t="shared" si="174"/>
        <v>62.927999999999997</v>
      </c>
      <c r="DL25" s="60">
        <f t="shared" si="174"/>
        <v>74.897999999999996</v>
      </c>
      <c r="DM25" s="60">
        <f t="shared" si="174"/>
        <v>87.893999999999991</v>
      </c>
      <c r="DN25" s="60">
        <f>AH25</f>
        <v>0</v>
      </c>
      <c r="DO25" s="60">
        <f>DN25+AI25</f>
        <v>0</v>
      </c>
      <c r="DP25" s="60">
        <f>DO25+AJ25</f>
        <v>0</v>
      </c>
      <c r="DQ25" s="60"/>
      <c r="DR25" s="60"/>
      <c r="DS25" s="60"/>
      <c r="DT25" s="60"/>
      <c r="DU25" s="60"/>
      <c r="DV25" s="60"/>
      <c r="DW25" s="60"/>
      <c r="DX25" s="60"/>
      <c r="DY25" s="60"/>
      <c r="EA25" s="98">
        <v>0.95</v>
      </c>
      <c r="EB25" s="98">
        <v>0.95</v>
      </c>
      <c r="EC25" s="98"/>
      <c r="ED25" s="429"/>
      <c r="EE25" s="61">
        <f>HLOOKUP($I$1,Month,ROW()-1)</f>
        <v>0</v>
      </c>
      <c r="EF25" s="61">
        <f>HLOOKUP($I$1,Qtr,ROW()-1)</f>
        <v>0</v>
      </c>
      <c r="EG25" s="99">
        <f>HLOOKUP($EJ$4,Budget,ROW()-1)</f>
        <v>0.95</v>
      </c>
      <c r="EH25" s="54"/>
      <c r="EK25" s="675"/>
      <c r="EL25" s="136"/>
      <c r="EM25" s="136"/>
      <c r="EN25" s="136"/>
      <c r="EO25" s="49"/>
      <c r="EP25" s="49"/>
      <c r="EQ25" s="49"/>
      <c r="FC25" s="568"/>
      <c r="FD25" s="568"/>
      <c r="FE25" s="568"/>
      <c r="FF25" s="568"/>
    </row>
    <row r="26" spans="1:162">
      <c r="A26" s="6" t="s">
        <v>21</v>
      </c>
      <c r="I26" s="1"/>
      <c r="J26" s="1"/>
      <c r="K26" s="42" t="s">
        <v>114</v>
      </c>
      <c r="L26" s="1"/>
      <c r="M26" s="1"/>
      <c r="N26" s="1"/>
      <c r="O26" s="1"/>
      <c r="P26" s="1"/>
      <c r="Q26" s="1"/>
      <c r="R26" s="1"/>
      <c r="S26" s="1"/>
      <c r="T26" s="1"/>
      <c r="U26" s="1"/>
      <c r="V26" s="1"/>
      <c r="W26" s="1"/>
      <c r="X26" s="1"/>
      <c r="Y26" s="1"/>
      <c r="Z26" s="1"/>
      <c r="AA26" s="1"/>
      <c r="AB26" s="1"/>
      <c r="AC26" s="1"/>
      <c r="AD26" s="1"/>
      <c r="AE26" s="1"/>
      <c r="AF26" s="1"/>
      <c r="AG26" s="1"/>
      <c r="AH26" s="1"/>
      <c r="AI26" s="1"/>
      <c r="AJ26" s="1"/>
      <c r="AK26" s="406"/>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406"/>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406"/>
      <c r="CP26" s="1"/>
      <c r="CQ26" s="1"/>
      <c r="CR26" s="1"/>
      <c r="CS26" s="1"/>
      <c r="CT26" s="1"/>
      <c r="CU26" s="1"/>
      <c r="CV26" s="1"/>
      <c r="CW26" s="1"/>
      <c r="CX26" s="1"/>
      <c r="CY26" s="1"/>
      <c r="CZ26" s="1"/>
      <c r="DA26" s="1"/>
      <c r="DB26" s="390"/>
      <c r="DC26" s="390"/>
      <c r="DD26" s="390"/>
      <c r="DE26" s="391"/>
      <c r="DF26" s="390"/>
      <c r="DG26" s="390"/>
      <c r="DH26" s="390"/>
      <c r="DI26" s="390"/>
      <c r="DJ26" s="390"/>
      <c r="DK26" s="390"/>
      <c r="DL26" s="390"/>
      <c r="DM26" s="390"/>
      <c r="DN26" s="1"/>
      <c r="DO26" s="1"/>
      <c r="DP26" s="1"/>
      <c r="DQ26" s="245"/>
      <c r="DR26" s="245"/>
      <c r="DS26" s="245"/>
      <c r="DT26" s="245"/>
      <c r="DU26" s="245"/>
      <c r="DV26" s="245"/>
      <c r="DW26" s="245"/>
      <c r="DX26" s="245"/>
      <c r="DY26" s="245"/>
      <c r="ED26" s="429"/>
      <c r="EE26" s="23"/>
      <c r="EF26" s="23"/>
      <c r="EG26" s="23"/>
      <c r="EH26" s="23"/>
      <c r="EK26" s="23"/>
    </row>
    <row r="27" spans="1:162" ht="12.75" customHeight="1">
      <c r="A27" s="6" t="s">
        <v>22</v>
      </c>
      <c r="B27" s="2" t="s">
        <v>0</v>
      </c>
      <c r="C27" s="3" t="s">
        <v>54</v>
      </c>
      <c r="E27" s="3" t="s">
        <v>16</v>
      </c>
      <c r="G27" s="1" t="s">
        <v>91</v>
      </c>
      <c r="I27" s="18">
        <v>146</v>
      </c>
      <c r="J27" s="21">
        <v>149</v>
      </c>
      <c r="K27" s="19">
        <v>154</v>
      </c>
      <c r="L27" s="19">
        <v>156</v>
      </c>
      <c r="M27" s="20">
        <v>42</v>
      </c>
      <c r="N27" s="19">
        <v>79</v>
      </c>
      <c r="O27" s="19">
        <v>84</v>
      </c>
      <c r="P27" s="19">
        <v>86</v>
      </c>
      <c r="Q27" s="19">
        <v>95</v>
      </c>
      <c r="R27" s="19">
        <v>106</v>
      </c>
      <c r="S27" s="19">
        <v>107</v>
      </c>
      <c r="T27" s="19">
        <v>108</v>
      </c>
      <c r="U27" s="19">
        <v>123</v>
      </c>
      <c r="V27" s="26">
        <v>136</v>
      </c>
      <c r="W27" s="19">
        <v>140</v>
      </c>
      <c r="X27" s="19">
        <v>142</v>
      </c>
      <c r="Y27" s="328">
        <v>60</v>
      </c>
      <c r="Z27" s="19">
        <v>76</v>
      </c>
      <c r="AA27" s="19">
        <v>93</v>
      </c>
      <c r="AB27" s="19">
        <v>100</v>
      </c>
      <c r="AC27" s="19">
        <v>108</v>
      </c>
      <c r="AD27" s="19">
        <v>114</v>
      </c>
      <c r="AE27" s="19">
        <v>117</v>
      </c>
      <c r="AF27" s="19">
        <v>119</v>
      </c>
      <c r="AG27" s="19">
        <v>120</v>
      </c>
      <c r="AH27" s="19">
        <v>121</v>
      </c>
      <c r="AI27" s="19">
        <v>127</v>
      </c>
      <c r="AJ27" s="19"/>
      <c r="AK27" s="408"/>
      <c r="AL27" s="21">
        <f t="shared" ref="AL27:AM31" si="175">J27-I27</f>
        <v>3</v>
      </c>
      <c r="AM27" s="21">
        <f t="shared" si="175"/>
        <v>5</v>
      </c>
      <c r="AN27" s="21">
        <f t="shared" ref="AN27:AN33" si="176">L27-K27</f>
        <v>2</v>
      </c>
      <c r="AO27" s="21">
        <f>M27</f>
        <v>42</v>
      </c>
      <c r="AP27" s="129">
        <f t="shared" ref="AP27:AQ33" si="177">IF(N27&lt;&gt;"",N27-M27,0)</f>
        <v>37</v>
      </c>
      <c r="AQ27" s="131">
        <f t="shared" si="177"/>
        <v>5</v>
      </c>
      <c r="AR27" s="131">
        <f t="shared" ref="AR27:AR46" si="178">IF(P27&lt;&gt;"",P27-O27,0)</f>
        <v>2</v>
      </c>
      <c r="AS27" s="131">
        <f t="shared" ref="AS27:AS45" si="179">IF(Q27&lt;&gt;"",Q27-P27,0)</f>
        <v>9</v>
      </c>
      <c r="AT27" s="131">
        <f t="shared" ref="AT27:AT46" si="180">IF(R27&lt;&gt;"",R27-Q27,0)</f>
        <v>11</v>
      </c>
      <c r="AU27" s="131">
        <f t="shared" ref="AU27:AU46" si="181">IF(S27&lt;&gt;"",S27-R27,0)</f>
        <v>1</v>
      </c>
      <c r="AV27" s="131">
        <f t="shared" ref="AV27:AV46" si="182">IF(T27&lt;&gt;"",T27-S27,0)</f>
        <v>1</v>
      </c>
      <c r="AW27" s="131">
        <f t="shared" ref="AW27:AW46" si="183">IF(U27&lt;&gt;"",U27-T27,0)</f>
        <v>15</v>
      </c>
      <c r="AX27" s="131">
        <f>IF(V27&lt;&gt;"",V27-U27,0)</f>
        <v>13</v>
      </c>
      <c r="AY27" s="131">
        <f t="shared" ref="AY27:AY46" si="184">IF(W27&lt;&gt;"",W27-V27,0)</f>
        <v>4</v>
      </c>
      <c r="AZ27" s="131">
        <f t="shared" ref="AZ27:AZ46" si="185">IF(X27&lt;&gt;"",X27-W27,0)</f>
        <v>2</v>
      </c>
      <c r="BA27" s="21">
        <f>Y27</f>
        <v>60</v>
      </c>
      <c r="BB27" s="131">
        <f t="shared" ref="BB27:BJ31" si="186">IF(Z27&lt;&gt;"",Z27-Y27,0)</f>
        <v>16</v>
      </c>
      <c r="BC27" s="131">
        <f t="shared" si="186"/>
        <v>17</v>
      </c>
      <c r="BD27" s="131">
        <f t="shared" si="186"/>
        <v>7</v>
      </c>
      <c r="BE27" s="131">
        <f t="shared" si="186"/>
        <v>8</v>
      </c>
      <c r="BF27" s="131">
        <f t="shared" si="186"/>
        <v>6</v>
      </c>
      <c r="BG27" s="131">
        <f t="shared" si="186"/>
        <v>3</v>
      </c>
      <c r="BH27" s="131">
        <f t="shared" si="186"/>
        <v>2</v>
      </c>
      <c r="BI27" s="131">
        <f t="shared" si="186"/>
        <v>1</v>
      </c>
      <c r="BJ27" s="131">
        <f t="shared" si="186"/>
        <v>1</v>
      </c>
      <c r="BK27" s="131">
        <f t="shared" ref="BK27:BK43" si="187">IF(AI27&lt;&gt;"",AI27-AH27,0)</f>
        <v>6</v>
      </c>
      <c r="BL27" s="131">
        <f t="shared" ref="BL27:BL43" si="188">IF(AJ27&lt;&gt;"",AJ27-AI27,0)</f>
        <v>0</v>
      </c>
      <c r="BM27" s="408"/>
      <c r="BN27" s="48">
        <f>BP27</f>
        <v>10</v>
      </c>
      <c r="BO27" s="48">
        <f>BP27</f>
        <v>10</v>
      </c>
      <c r="BP27" s="48">
        <f>SUM(AL27:AN27)</f>
        <v>10</v>
      </c>
      <c r="BQ27" s="48">
        <f>BS27</f>
        <v>84</v>
      </c>
      <c r="BR27" s="48">
        <f>BS27</f>
        <v>84</v>
      </c>
      <c r="BS27" s="48">
        <f>SUM(AO27:AQ27)</f>
        <v>84</v>
      </c>
      <c r="BT27" s="48">
        <f>BV27</f>
        <v>22</v>
      </c>
      <c r="BU27" s="48">
        <f>BV27</f>
        <v>22</v>
      </c>
      <c r="BV27" s="48">
        <f>SUM(AR27:AT27)</f>
        <v>22</v>
      </c>
      <c r="BW27" s="48">
        <f>BY27</f>
        <v>17</v>
      </c>
      <c r="BX27" s="48">
        <f>BY27</f>
        <v>17</v>
      </c>
      <c r="BY27" s="48">
        <f>SUM(AU27:AW27)</f>
        <v>17</v>
      </c>
      <c r="BZ27" s="48">
        <f>CB27</f>
        <v>19</v>
      </c>
      <c r="CA27" s="48">
        <f>CB27</f>
        <v>19</v>
      </c>
      <c r="CB27" s="48">
        <f>SUM(AX27:AZ27)</f>
        <v>19</v>
      </c>
      <c r="CC27" s="48">
        <f>CE27</f>
        <v>93</v>
      </c>
      <c r="CD27" s="48">
        <f>CE27</f>
        <v>93</v>
      </c>
      <c r="CE27" s="48">
        <f>SUM(BA27:BC27)</f>
        <v>93</v>
      </c>
      <c r="CF27" s="48">
        <f>CH27</f>
        <v>21</v>
      </c>
      <c r="CG27" s="48">
        <f>CH27</f>
        <v>21</v>
      </c>
      <c r="CH27" s="48">
        <f>SUM(BD27:BF27)</f>
        <v>21</v>
      </c>
      <c r="CI27" s="48">
        <f>CK27</f>
        <v>6</v>
      </c>
      <c r="CJ27" s="48">
        <f>CK27</f>
        <v>6</v>
      </c>
      <c r="CK27" s="48">
        <f>SUM(BG27:BI27)</f>
        <v>6</v>
      </c>
      <c r="CL27" s="48">
        <f>CN27</f>
        <v>7</v>
      </c>
      <c r="CM27" s="48">
        <f>CN27</f>
        <v>7</v>
      </c>
      <c r="CN27" s="48">
        <f>SUM(BJ27:BL27)</f>
        <v>7</v>
      </c>
      <c r="CO27" s="406"/>
      <c r="CP27" s="21">
        <f t="shared" ref="CP27:CR31" si="189">I27+AL27</f>
        <v>149</v>
      </c>
      <c r="CQ27" s="21">
        <f t="shared" si="189"/>
        <v>154</v>
      </c>
      <c r="CR27" s="21">
        <f t="shared" si="189"/>
        <v>156</v>
      </c>
      <c r="CS27" s="21">
        <f>AO27</f>
        <v>42</v>
      </c>
      <c r="CT27" s="21">
        <f t="shared" ref="CT27:DD31" si="190">M27+AP27</f>
        <v>79</v>
      </c>
      <c r="CU27" s="21">
        <f t="shared" si="190"/>
        <v>84</v>
      </c>
      <c r="CV27" s="21">
        <f t="shared" si="190"/>
        <v>86</v>
      </c>
      <c r="CW27" s="21">
        <f t="shared" si="190"/>
        <v>95</v>
      </c>
      <c r="CX27" s="21">
        <f t="shared" si="190"/>
        <v>106</v>
      </c>
      <c r="CY27" s="21">
        <f t="shared" si="190"/>
        <v>107</v>
      </c>
      <c r="CZ27" s="21">
        <f t="shared" si="190"/>
        <v>108</v>
      </c>
      <c r="DA27" s="21">
        <f t="shared" si="190"/>
        <v>123</v>
      </c>
      <c r="DB27" s="21">
        <f t="shared" si="190"/>
        <v>136</v>
      </c>
      <c r="DC27" s="21">
        <f t="shared" si="190"/>
        <v>140</v>
      </c>
      <c r="DD27" s="21">
        <f t="shared" si="190"/>
        <v>142</v>
      </c>
      <c r="DE27" s="21">
        <f>+BA27</f>
        <v>60</v>
      </c>
      <c r="DF27" s="21">
        <f t="shared" ref="DF27:DO31" si="191">Y27+BB27</f>
        <v>76</v>
      </c>
      <c r="DG27" s="21">
        <f t="shared" si="191"/>
        <v>93</v>
      </c>
      <c r="DH27" s="21">
        <f t="shared" si="191"/>
        <v>100</v>
      </c>
      <c r="DI27" s="21">
        <f t="shared" si="191"/>
        <v>108</v>
      </c>
      <c r="DJ27" s="21">
        <f t="shared" si="191"/>
        <v>114</v>
      </c>
      <c r="DK27" s="21">
        <f t="shared" si="191"/>
        <v>117</v>
      </c>
      <c r="DL27" s="21">
        <f t="shared" si="191"/>
        <v>119</v>
      </c>
      <c r="DM27" s="21">
        <f t="shared" si="191"/>
        <v>120</v>
      </c>
      <c r="DN27" s="21">
        <f t="shared" si="191"/>
        <v>121</v>
      </c>
      <c r="DO27" s="21">
        <f t="shared" si="191"/>
        <v>127</v>
      </c>
      <c r="DP27" s="21"/>
      <c r="DQ27" s="248"/>
      <c r="DR27" s="248"/>
      <c r="DS27" s="248"/>
      <c r="DT27" s="248"/>
      <c r="DU27" s="248"/>
      <c r="DV27" s="248"/>
      <c r="DW27" s="248"/>
      <c r="DX27" s="248"/>
      <c r="DY27" s="248"/>
      <c r="ED27" s="429"/>
      <c r="EE27" s="23"/>
      <c r="EF27" s="23"/>
      <c r="EG27" s="23"/>
      <c r="EH27" s="18">
        <f t="shared" ref="EH27:EH44" si="192">HLOOKUP($I$1,Month,ROW()-1)</f>
        <v>6</v>
      </c>
      <c r="EI27" s="18">
        <f t="shared" ref="EI27:EI44" si="193">HLOOKUP($I$1,Qtr,ROW()-1)</f>
        <v>7</v>
      </c>
      <c r="EJ27" s="18">
        <f t="shared" ref="EJ27:EJ49" si="194">HLOOKUP($I$1,YTD,ROW()-1)</f>
        <v>127</v>
      </c>
      <c r="EK27" s="24">
        <f>$EK$1/12</f>
        <v>0.91666666666666663</v>
      </c>
      <c r="EL27" s="14">
        <f t="shared" ref="EL27:EM33" si="195">EH27/EE4</f>
        <v>0.54545454545454541</v>
      </c>
      <c r="EM27" s="14">
        <f t="shared" si="195"/>
        <v>0.21212121212121213</v>
      </c>
      <c r="EN27" s="14">
        <f t="shared" ref="EN27:EN33" si="196">EJ27/EG4</f>
        <v>0.98449612403100772</v>
      </c>
      <c r="EO27" s="46" t="str">
        <f t="shared" ref="EO27:EP33" si="197">IF(EH27&lt;0,,IF(EH27&lt;EE4,"È",IF(EH27=EE4,"Æ","Ç")))</f>
        <v>È</v>
      </c>
      <c r="EP27" s="46" t="str">
        <f>IF(EI27&lt;0,,IF(EI27&gt;EF4,"È",IF(EI27=EF4,"Æ","Ç")))</f>
        <v>Ç</v>
      </c>
      <c r="EQ27" s="2">
        <f t="shared" ref="EQ27:EQ42" si="198">IF(EL27&gt;=0.9,1,IF(EL27&lt;0.75,3,2))</f>
        <v>3</v>
      </c>
      <c r="ER27" s="2">
        <f t="shared" ref="ER27:ER42" si="199">IF(EM27&gt;=0.9,1,IF(EM27&lt;0.75,3,2))</f>
        <v>3</v>
      </c>
      <c r="ES27" s="2">
        <f t="shared" ref="ES27:ES42" si="200">IF(EN27&gt;=0.9,1,IF(EN27&lt;0.75,3,2))</f>
        <v>1</v>
      </c>
    </row>
    <row r="28" spans="1:162" ht="12.75" customHeight="1">
      <c r="A28" s="6" t="s">
        <v>22</v>
      </c>
      <c r="B28" s="2" t="s">
        <v>1</v>
      </c>
      <c r="C28" s="3" t="s">
        <v>55</v>
      </c>
      <c r="E28" s="3" t="s">
        <v>16</v>
      </c>
      <c r="G28" s="1" t="s">
        <v>91</v>
      </c>
      <c r="I28" s="18">
        <v>99</v>
      </c>
      <c r="J28" s="19">
        <v>103</v>
      </c>
      <c r="K28" s="19">
        <v>107</v>
      </c>
      <c r="L28" s="19">
        <v>109</v>
      </c>
      <c r="M28" s="20">
        <v>41</v>
      </c>
      <c r="N28" s="19">
        <v>71</v>
      </c>
      <c r="O28" s="19">
        <v>72</v>
      </c>
      <c r="P28" s="19">
        <v>73</v>
      </c>
      <c r="Q28" s="19">
        <v>77</v>
      </c>
      <c r="R28" s="19">
        <v>85</v>
      </c>
      <c r="S28" s="19">
        <v>88</v>
      </c>
      <c r="T28" s="19">
        <v>88</v>
      </c>
      <c r="U28" s="19">
        <v>102</v>
      </c>
      <c r="V28" s="26">
        <v>103</v>
      </c>
      <c r="W28" s="19">
        <v>107</v>
      </c>
      <c r="X28" s="19">
        <v>107</v>
      </c>
      <c r="Y28" s="328">
        <v>56</v>
      </c>
      <c r="Z28" s="19">
        <v>68</v>
      </c>
      <c r="AA28" s="19">
        <v>87</v>
      </c>
      <c r="AB28" s="19">
        <v>91</v>
      </c>
      <c r="AC28" s="19">
        <v>96</v>
      </c>
      <c r="AD28" s="19">
        <v>97</v>
      </c>
      <c r="AE28" s="19">
        <v>101</v>
      </c>
      <c r="AF28" s="19">
        <v>103</v>
      </c>
      <c r="AG28" s="19">
        <v>104</v>
      </c>
      <c r="AH28" s="19">
        <v>105</v>
      </c>
      <c r="AI28" s="19">
        <v>107</v>
      </c>
      <c r="AJ28" s="19"/>
      <c r="AK28" s="408"/>
      <c r="AL28" s="21">
        <f t="shared" si="175"/>
        <v>4</v>
      </c>
      <c r="AM28" s="21">
        <f t="shared" si="175"/>
        <v>4</v>
      </c>
      <c r="AN28" s="21">
        <f t="shared" si="176"/>
        <v>2</v>
      </c>
      <c r="AO28" s="21">
        <f>M28</f>
        <v>41</v>
      </c>
      <c r="AP28" s="129">
        <f t="shared" si="177"/>
        <v>30</v>
      </c>
      <c r="AQ28" s="129">
        <f t="shared" si="177"/>
        <v>1</v>
      </c>
      <c r="AR28" s="129">
        <f t="shared" si="178"/>
        <v>1</v>
      </c>
      <c r="AS28" s="129">
        <f t="shared" si="179"/>
        <v>4</v>
      </c>
      <c r="AT28" s="129">
        <f t="shared" si="180"/>
        <v>8</v>
      </c>
      <c r="AU28" s="129">
        <f t="shared" si="181"/>
        <v>3</v>
      </c>
      <c r="AV28" s="129">
        <f t="shared" si="182"/>
        <v>0</v>
      </c>
      <c r="AW28" s="129">
        <f t="shared" si="183"/>
        <v>14</v>
      </c>
      <c r="AX28" s="129">
        <f>IF(V28&lt;&gt;"",V28-U28,0)</f>
        <v>1</v>
      </c>
      <c r="AY28" s="129">
        <f t="shared" si="184"/>
        <v>4</v>
      </c>
      <c r="AZ28" s="129">
        <f t="shared" si="185"/>
        <v>0</v>
      </c>
      <c r="BA28" s="21">
        <f>Y28</f>
        <v>56</v>
      </c>
      <c r="BB28" s="129">
        <f t="shared" si="186"/>
        <v>12</v>
      </c>
      <c r="BC28" s="129">
        <f t="shared" si="186"/>
        <v>19</v>
      </c>
      <c r="BD28" s="129">
        <f t="shared" si="186"/>
        <v>4</v>
      </c>
      <c r="BE28" s="129">
        <f t="shared" si="186"/>
        <v>5</v>
      </c>
      <c r="BF28" s="129">
        <f t="shared" si="186"/>
        <v>1</v>
      </c>
      <c r="BG28" s="129">
        <f t="shared" si="186"/>
        <v>4</v>
      </c>
      <c r="BH28" s="129">
        <f t="shared" si="186"/>
        <v>2</v>
      </c>
      <c r="BI28" s="129">
        <f t="shared" si="186"/>
        <v>1</v>
      </c>
      <c r="BJ28" s="129">
        <f t="shared" si="186"/>
        <v>1</v>
      </c>
      <c r="BK28" s="129">
        <f t="shared" si="187"/>
        <v>2</v>
      </c>
      <c r="BL28" s="129">
        <f t="shared" si="188"/>
        <v>0</v>
      </c>
      <c r="BM28" s="408"/>
      <c r="BN28" s="48">
        <f t="shared" ref="BN28:BN44" si="201">BP28</f>
        <v>10</v>
      </c>
      <c r="BO28" s="48">
        <f t="shared" ref="BO28:BO44" si="202">BP28</f>
        <v>10</v>
      </c>
      <c r="BP28" s="48">
        <f t="shared" ref="BP28:BP43" si="203">SUM(AL28:AN28)</f>
        <v>10</v>
      </c>
      <c r="BQ28" s="48">
        <f t="shared" ref="BQ28:BQ44" si="204">BS28</f>
        <v>72</v>
      </c>
      <c r="BR28" s="48">
        <f t="shared" ref="BR28:BR44" si="205">BS28</f>
        <v>72</v>
      </c>
      <c r="BS28" s="48">
        <f t="shared" ref="BS28:BS33" si="206">SUM(AO28:AQ28)</f>
        <v>72</v>
      </c>
      <c r="BT28" s="48">
        <f t="shared" ref="BT28:BT44" si="207">BV28</f>
        <v>13</v>
      </c>
      <c r="BU28" s="48">
        <f t="shared" ref="BU28:BU44" si="208">BV28</f>
        <v>13</v>
      </c>
      <c r="BV28" s="48">
        <f t="shared" ref="BV28:BV36" si="209">SUM(AR28:AT28)</f>
        <v>13</v>
      </c>
      <c r="BW28" s="48">
        <f t="shared" ref="BW28:BW44" si="210">BY28</f>
        <v>17</v>
      </c>
      <c r="BX28" s="48">
        <f t="shared" ref="BX28:BX44" si="211">BY28</f>
        <v>17</v>
      </c>
      <c r="BY28" s="48">
        <f t="shared" ref="BY28:BY36" si="212">SUM(AU28:AW28)</f>
        <v>17</v>
      </c>
      <c r="BZ28" s="48">
        <f t="shared" ref="BZ28:BZ44" si="213">CB28</f>
        <v>5</v>
      </c>
      <c r="CA28" s="48">
        <f t="shared" ref="CA28:CA44" si="214">CB28</f>
        <v>5</v>
      </c>
      <c r="CB28" s="48">
        <f t="shared" ref="CB28:CB36" si="215">SUM(AX28:AZ28)</f>
        <v>5</v>
      </c>
      <c r="CC28" s="48">
        <f t="shared" ref="CC28:CC44" si="216">CE28</f>
        <v>87</v>
      </c>
      <c r="CD28" s="48">
        <f t="shared" ref="CD28:CD44" si="217">CE28</f>
        <v>87</v>
      </c>
      <c r="CE28" s="48">
        <f t="shared" ref="CE28:CE36" si="218">SUM(BA28:BC28)</f>
        <v>87</v>
      </c>
      <c r="CF28" s="48">
        <f t="shared" ref="CF28:CF44" si="219">CH28</f>
        <v>10</v>
      </c>
      <c r="CG28" s="48">
        <f t="shared" ref="CG28:CG44" si="220">CH28</f>
        <v>10</v>
      </c>
      <c r="CH28" s="48">
        <f t="shared" ref="CH28:CH36" si="221">SUM(BD28:BF28)</f>
        <v>10</v>
      </c>
      <c r="CI28" s="48">
        <f t="shared" ref="CI28:CI44" si="222">CK28</f>
        <v>7</v>
      </c>
      <c r="CJ28" s="48">
        <f t="shared" ref="CJ28:CJ44" si="223">CK28</f>
        <v>7</v>
      </c>
      <c r="CK28" s="48">
        <f t="shared" ref="CK28:CK36" si="224">SUM(BG28:BI28)</f>
        <v>7</v>
      </c>
      <c r="CL28" s="48">
        <f t="shared" ref="CL28:CL44" si="225">CN28</f>
        <v>3</v>
      </c>
      <c r="CM28" s="48">
        <f t="shared" ref="CM28:CM44" si="226">CN28</f>
        <v>3</v>
      </c>
      <c r="CN28" s="48">
        <f t="shared" ref="CN28:CN36" si="227">SUM(BJ28:BL28)</f>
        <v>3</v>
      </c>
      <c r="CO28" s="406"/>
      <c r="CP28" s="21">
        <f t="shared" si="189"/>
        <v>103</v>
      </c>
      <c r="CQ28" s="21">
        <f t="shared" si="189"/>
        <v>107</v>
      </c>
      <c r="CR28" s="21">
        <f t="shared" si="189"/>
        <v>109</v>
      </c>
      <c r="CS28" s="21">
        <f>AO28</f>
        <v>41</v>
      </c>
      <c r="CT28" s="21">
        <f t="shared" si="190"/>
        <v>71</v>
      </c>
      <c r="CU28" s="21">
        <f t="shared" si="190"/>
        <v>72</v>
      </c>
      <c r="CV28" s="21">
        <f t="shared" si="190"/>
        <v>73</v>
      </c>
      <c r="CW28" s="21">
        <f t="shared" si="190"/>
        <v>77</v>
      </c>
      <c r="CX28" s="21">
        <f t="shared" si="190"/>
        <v>85</v>
      </c>
      <c r="CY28" s="21">
        <f t="shared" si="190"/>
        <v>88</v>
      </c>
      <c r="CZ28" s="21">
        <f t="shared" si="190"/>
        <v>88</v>
      </c>
      <c r="DA28" s="21">
        <f t="shared" si="190"/>
        <v>102</v>
      </c>
      <c r="DB28" s="21">
        <f t="shared" si="190"/>
        <v>103</v>
      </c>
      <c r="DC28" s="21">
        <f t="shared" si="190"/>
        <v>107</v>
      </c>
      <c r="DD28" s="21">
        <f t="shared" si="190"/>
        <v>107</v>
      </c>
      <c r="DE28" s="21">
        <f>+BA28</f>
        <v>56</v>
      </c>
      <c r="DF28" s="21">
        <f t="shared" si="191"/>
        <v>68</v>
      </c>
      <c r="DG28" s="21">
        <f t="shared" si="191"/>
        <v>87</v>
      </c>
      <c r="DH28" s="21">
        <f t="shared" si="191"/>
        <v>91</v>
      </c>
      <c r="DI28" s="21">
        <f t="shared" si="191"/>
        <v>96</v>
      </c>
      <c r="DJ28" s="21">
        <f t="shared" si="191"/>
        <v>97</v>
      </c>
      <c r="DK28" s="21">
        <f t="shared" si="191"/>
        <v>101</v>
      </c>
      <c r="DL28" s="21">
        <f t="shared" si="191"/>
        <v>103</v>
      </c>
      <c r="DM28" s="21">
        <f t="shared" si="191"/>
        <v>104</v>
      </c>
      <c r="DN28" s="21">
        <f t="shared" si="191"/>
        <v>105</v>
      </c>
      <c r="DO28" s="21">
        <f t="shared" si="191"/>
        <v>107</v>
      </c>
      <c r="DP28" s="21"/>
      <c r="DQ28" s="248"/>
      <c r="DR28" s="248"/>
      <c r="DS28" s="248"/>
      <c r="DT28" s="248"/>
      <c r="DU28" s="248"/>
      <c r="DV28" s="248"/>
      <c r="DW28" s="248"/>
      <c r="DX28" s="248"/>
      <c r="DY28" s="248"/>
      <c r="ED28" s="429"/>
      <c r="EE28" s="23"/>
      <c r="EF28" s="23"/>
      <c r="EG28" s="23"/>
      <c r="EH28" s="237">
        <f t="shared" si="192"/>
        <v>2</v>
      </c>
      <c r="EI28" s="18">
        <f t="shared" si="193"/>
        <v>3</v>
      </c>
      <c r="EJ28" s="18">
        <f t="shared" si="194"/>
        <v>107</v>
      </c>
      <c r="EK28" s="24">
        <f>$EK$1/12</f>
        <v>0.91666666666666663</v>
      </c>
      <c r="EL28" s="14">
        <f t="shared" si="195"/>
        <v>0.21429336762027218</v>
      </c>
      <c r="EM28" s="14">
        <f t="shared" si="195"/>
        <v>0.10714668381013609</v>
      </c>
      <c r="EN28" s="14">
        <f t="shared" si="196"/>
        <v>0.95539126397371343</v>
      </c>
      <c r="EO28" s="46" t="str">
        <f t="shared" si="197"/>
        <v>È</v>
      </c>
      <c r="EP28" s="46" t="str">
        <f t="shared" si="197"/>
        <v>È</v>
      </c>
      <c r="EQ28" s="2">
        <f t="shared" si="198"/>
        <v>3</v>
      </c>
      <c r="ER28" s="2">
        <f t="shared" si="199"/>
        <v>3</v>
      </c>
      <c r="ES28" s="2">
        <f t="shared" si="200"/>
        <v>1</v>
      </c>
    </row>
    <row r="29" spans="1:162" ht="12.75" customHeight="1">
      <c r="A29" s="6" t="s">
        <v>22</v>
      </c>
      <c r="B29" s="2" t="s">
        <v>2</v>
      </c>
      <c r="C29" s="3" t="s">
        <v>56</v>
      </c>
      <c r="E29" s="3" t="s">
        <v>16</v>
      </c>
      <c r="G29" s="1" t="s">
        <v>91</v>
      </c>
      <c r="I29" s="18">
        <v>97</v>
      </c>
      <c r="J29" s="19">
        <v>99</v>
      </c>
      <c r="K29" s="19">
        <v>99</v>
      </c>
      <c r="L29" s="19">
        <v>110</v>
      </c>
      <c r="M29" s="20">
        <v>2</v>
      </c>
      <c r="N29" s="19">
        <v>6</v>
      </c>
      <c r="O29" s="19">
        <v>46</v>
      </c>
      <c r="P29" s="19">
        <v>51</v>
      </c>
      <c r="Q29" s="19">
        <v>54</v>
      </c>
      <c r="R29" s="19">
        <v>78</v>
      </c>
      <c r="S29" s="19">
        <v>82</v>
      </c>
      <c r="T29" s="19">
        <v>84</v>
      </c>
      <c r="U29" s="19">
        <v>94</v>
      </c>
      <c r="V29" s="26">
        <v>101</v>
      </c>
      <c r="W29" s="19">
        <v>106</v>
      </c>
      <c r="X29" s="19">
        <v>109</v>
      </c>
      <c r="Y29" s="328">
        <v>3</v>
      </c>
      <c r="Z29" s="19">
        <v>7</v>
      </c>
      <c r="AA29" s="19">
        <v>45</v>
      </c>
      <c r="AB29" s="19">
        <v>62</v>
      </c>
      <c r="AC29" s="19">
        <v>75</v>
      </c>
      <c r="AD29" s="19">
        <v>85</v>
      </c>
      <c r="AE29" s="19">
        <v>87</v>
      </c>
      <c r="AF29" s="19">
        <v>87</v>
      </c>
      <c r="AG29" s="19">
        <v>91</v>
      </c>
      <c r="AH29" s="19">
        <v>96</v>
      </c>
      <c r="AI29" s="19">
        <v>101</v>
      </c>
      <c r="AJ29" s="19"/>
      <c r="AK29" s="408"/>
      <c r="AL29" s="21">
        <f t="shared" si="175"/>
        <v>2</v>
      </c>
      <c r="AM29" s="21">
        <f t="shared" si="175"/>
        <v>0</v>
      </c>
      <c r="AN29" s="21">
        <f t="shared" si="176"/>
        <v>11</v>
      </c>
      <c r="AO29" s="21">
        <f>M29</f>
        <v>2</v>
      </c>
      <c r="AP29" s="129">
        <f t="shared" si="177"/>
        <v>4</v>
      </c>
      <c r="AQ29" s="129">
        <f t="shared" si="177"/>
        <v>40</v>
      </c>
      <c r="AR29" s="129">
        <f t="shared" si="178"/>
        <v>5</v>
      </c>
      <c r="AS29" s="129">
        <f t="shared" si="179"/>
        <v>3</v>
      </c>
      <c r="AT29" s="129">
        <f t="shared" si="180"/>
        <v>24</v>
      </c>
      <c r="AU29" s="129">
        <f t="shared" si="181"/>
        <v>4</v>
      </c>
      <c r="AV29" s="129">
        <f t="shared" si="182"/>
        <v>2</v>
      </c>
      <c r="AW29" s="129">
        <f t="shared" si="183"/>
        <v>10</v>
      </c>
      <c r="AX29" s="129">
        <f>IF(V29&lt;&gt;"",V29-U29,0)</f>
        <v>7</v>
      </c>
      <c r="AY29" s="129">
        <f t="shared" si="184"/>
        <v>5</v>
      </c>
      <c r="AZ29" s="129">
        <f t="shared" si="185"/>
        <v>3</v>
      </c>
      <c r="BA29" s="21">
        <f>Y29</f>
        <v>3</v>
      </c>
      <c r="BB29" s="129">
        <f t="shared" si="186"/>
        <v>4</v>
      </c>
      <c r="BC29" s="129">
        <f t="shared" si="186"/>
        <v>38</v>
      </c>
      <c r="BD29" s="129">
        <f t="shared" si="186"/>
        <v>17</v>
      </c>
      <c r="BE29" s="129">
        <f t="shared" si="186"/>
        <v>13</v>
      </c>
      <c r="BF29" s="129">
        <f t="shared" si="186"/>
        <v>10</v>
      </c>
      <c r="BG29" s="129">
        <f t="shared" si="186"/>
        <v>2</v>
      </c>
      <c r="BH29" s="129">
        <f t="shared" si="186"/>
        <v>0</v>
      </c>
      <c r="BI29" s="129">
        <f t="shared" si="186"/>
        <v>4</v>
      </c>
      <c r="BJ29" s="129">
        <f t="shared" si="186"/>
        <v>5</v>
      </c>
      <c r="BK29" s="129">
        <f t="shared" si="187"/>
        <v>5</v>
      </c>
      <c r="BL29" s="129">
        <f t="shared" si="188"/>
        <v>0</v>
      </c>
      <c r="BM29" s="408"/>
      <c r="BN29" s="48">
        <f t="shared" si="201"/>
        <v>13</v>
      </c>
      <c r="BO29" s="48">
        <f t="shared" si="202"/>
        <v>13</v>
      </c>
      <c r="BP29" s="48">
        <f t="shared" si="203"/>
        <v>13</v>
      </c>
      <c r="BQ29" s="48">
        <f t="shared" si="204"/>
        <v>46</v>
      </c>
      <c r="BR29" s="48">
        <f t="shared" si="205"/>
        <v>46</v>
      </c>
      <c r="BS29" s="48">
        <f t="shared" si="206"/>
        <v>46</v>
      </c>
      <c r="BT29" s="48">
        <f t="shared" si="207"/>
        <v>32</v>
      </c>
      <c r="BU29" s="48">
        <f t="shared" si="208"/>
        <v>32</v>
      </c>
      <c r="BV29" s="48">
        <f t="shared" si="209"/>
        <v>32</v>
      </c>
      <c r="BW29" s="48">
        <f t="shared" si="210"/>
        <v>16</v>
      </c>
      <c r="BX29" s="48">
        <f t="shared" si="211"/>
        <v>16</v>
      </c>
      <c r="BY29" s="48">
        <f t="shared" si="212"/>
        <v>16</v>
      </c>
      <c r="BZ29" s="48">
        <f t="shared" si="213"/>
        <v>15</v>
      </c>
      <c r="CA29" s="48">
        <f t="shared" si="214"/>
        <v>15</v>
      </c>
      <c r="CB29" s="48">
        <f t="shared" si="215"/>
        <v>15</v>
      </c>
      <c r="CC29" s="48">
        <f t="shared" si="216"/>
        <v>45</v>
      </c>
      <c r="CD29" s="48">
        <f t="shared" si="217"/>
        <v>45</v>
      </c>
      <c r="CE29" s="48">
        <f t="shared" si="218"/>
        <v>45</v>
      </c>
      <c r="CF29" s="48">
        <f t="shared" si="219"/>
        <v>40</v>
      </c>
      <c r="CG29" s="48">
        <f t="shared" si="220"/>
        <v>40</v>
      </c>
      <c r="CH29" s="48">
        <f t="shared" si="221"/>
        <v>40</v>
      </c>
      <c r="CI29" s="48">
        <f t="shared" si="222"/>
        <v>6</v>
      </c>
      <c r="CJ29" s="48">
        <f t="shared" si="223"/>
        <v>6</v>
      </c>
      <c r="CK29" s="48">
        <f t="shared" si="224"/>
        <v>6</v>
      </c>
      <c r="CL29" s="48">
        <f t="shared" si="225"/>
        <v>10</v>
      </c>
      <c r="CM29" s="48">
        <f t="shared" si="226"/>
        <v>10</v>
      </c>
      <c r="CN29" s="48">
        <f t="shared" si="227"/>
        <v>10</v>
      </c>
      <c r="CO29" s="406"/>
      <c r="CP29" s="21">
        <f t="shared" si="189"/>
        <v>99</v>
      </c>
      <c r="CQ29" s="21">
        <f t="shared" si="189"/>
        <v>99</v>
      </c>
      <c r="CR29" s="21">
        <f t="shared" si="189"/>
        <v>110</v>
      </c>
      <c r="CS29" s="21">
        <f>AO29</f>
        <v>2</v>
      </c>
      <c r="CT29" s="21">
        <f t="shared" si="190"/>
        <v>6</v>
      </c>
      <c r="CU29" s="21">
        <f t="shared" si="190"/>
        <v>46</v>
      </c>
      <c r="CV29" s="21">
        <f t="shared" si="190"/>
        <v>51</v>
      </c>
      <c r="CW29" s="21">
        <f t="shared" si="190"/>
        <v>54</v>
      </c>
      <c r="CX29" s="21">
        <f t="shared" si="190"/>
        <v>78</v>
      </c>
      <c r="CY29" s="21">
        <f t="shared" si="190"/>
        <v>82</v>
      </c>
      <c r="CZ29" s="21">
        <f t="shared" si="190"/>
        <v>84</v>
      </c>
      <c r="DA29" s="21">
        <f t="shared" si="190"/>
        <v>94</v>
      </c>
      <c r="DB29" s="21">
        <f t="shared" si="190"/>
        <v>101</v>
      </c>
      <c r="DC29" s="21">
        <f t="shared" si="190"/>
        <v>106</v>
      </c>
      <c r="DD29" s="21">
        <f t="shared" si="190"/>
        <v>109</v>
      </c>
      <c r="DE29" s="21">
        <f>+BA29</f>
        <v>3</v>
      </c>
      <c r="DF29" s="21">
        <f t="shared" si="191"/>
        <v>7</v>
      </c>
      <c r="DG29" s="21">
        <f t="shared" si="191"/>
        <v>45</v>
      </c>
      <c r="DH29" s="21">
        <f t="shared" si="191"/>
        <v>62</v>
      </c>
      <c r="DI29" s="21">
        <f t="shared" si="191"/>
        <v>75</v>
      </c>
      <c r="DJ29" s="21">
        <f t="shared" si="191"/>
        <v>85</v>
      </c>
      <c r="DK29" s="21">
        <f t="shared" si="191"/>
        <v>87</v>
      </c>
      <c r="DL29" s="21">
        <f t="shared" si="191"/>
        <v>87</v>
      </c>
      <c r="DM29" s="21">
        <f t="shared" si="191"/>
        <v>91</v>
      </c>
      <c r="DN29" s="21">
        <f t="shared" si="191"/>
        <v>96</v>
      </c>
      <c r="DO29" s="21">
        <f t="shared" si="191"/>
        <v>101</v>
      </c>
      <c r="DP29" s="21"/>
      <c r="DQ29" s="248"/>
      <c r="DR29" s="248"/>
      <c r="DS29" s="248"/>
      <c r="DT29" s="248"/>
      <c r="DU29" s="248"/>
      <c r="DV29" s="248"/>
      <c r="DW29" s="248"/>
      <c r="DX29" s="248"/>
      <c r="DY29" s="248"/>
      <c r="ED29" s="429"/>
      <c r="EE29" s="23"/>
      <c r="EF29" s="23"/>
      <c r="EG29" s="23"/>
      <c r="EH29" s="237">
        <f t="shared" si="192"/>
        <v>5</v>
      </c>
      <c r="EI29" s="18">
        <f t="shared" si="193"/>
        <v>10</v>
      </c>
      <c r="EJ29" s="18">
        <f t="shared" si="194"/>
        <v>101</v>
      </c>
      <c r="EK29" s="24">
        <f>$EK$1/12</f>
        <v>0.91666666666666663</v>
      </c>
      <c r="EL29" s="14">
        <f t="shared" si="195"/>
        <v>0.55555555555555558</v>
      </c>
      <c r="EM29" s="14">
        <f t="shared" si="195"/>
        <v>0.37037037037037035</v>
      </c>
      <c r="EN29" s="14">
        <f t="shared" si="196"/>
        <v>0.92660550458715596</v>
      </c>
      <c r="EO29" s="46" t="str">
        <f>IF(EH29&lt;0,,IF(EH29&lt;EE6,"È",IF(EH29=EE6,"Æ","Ç")))</f>
        <v>È</v>
      </c>
      <c r="EP29" s="46" t="str">
        <f t="shared" si="197"/>
        <v>È</v>
      </c>
      <c r="EQ29" s="2">
        <f t="shared" si="198"/>
        <v>3</v>
      </c>
      <c r="ER29" s="2">
        <f t="shared" si="199"/>
        <v>3</v>
      </c>
      <c r="ES29" s="2">
        <f t="shared" si="200"/>
        <v>1</v>
      </c>
    </row>
    <row r="30" spans="1:162" ht="12.75" customHeight="1">
      <c r="A30" s="6" t="s">
        <v>22</v>
      </c>
      <c r="B30" s="2" t="s">
        <v>3</v>
      </c>
      <c r="C30" s="3" t="s">
        <v>57</v>
      </c>
      <c r="E30" s="3" t="s">
        <v>16</v>
      </c>
      <c r="G30" s="1" t="s">
        <v>91</v>
      </c>
      <c r="I30" s="18">
        <v>7</v>
      </c>
      <c r="J30" s="21">
        <v>10</v>
      </c>
      <c r="K30" s="21">
        <v>11</v>
      </c>
      <c r="L30" s="21">
        <v>11</v>
      </c>
      <c r="M30" s="22">
        <v>0</v>
      </c>
      <c r="N30" s="21">
        <v>3</v>
      </c>
      <c r="O30" s="21">
        <v>5</v>
      </c>
      <c r="P30" s="21">
        <v>10</v>
      </c>
      <c r="Q30" s="21">
        <v>10</v>
      </c>
      <c r="R30" s="21">
        <v>10</v>
      </c>
      <c r="S30" s="21">
        <v>10</v>
      </c>
      <c r="T30" s="21">
        <v>10</v>
      </c>
      <c r="U30" s="21">
        <v>11</v>
      </c>
      <c r="V30" s="27">
        <v>11</v>
      </c>
      <c r="W30" s="21">
        <v>12</v>
      </c>
      <c r="X30" s="21">
        <v>14</v>
      </c>
      <c r="Y30" s="329">
        <v>0</v>
      </c>
      <c r="Z30" s="21">
        <v>0</v>
      </c>
      <c r="AA30" s="21">
        <v>4</v>
      </c>
      <c r="AB30" s="21">
        <v>4</v>
      </c>
      <c r="AC30" s="21">
        <v>7</v>
      </c>
      <c r="AD30" s="21">
        <v>9</v>
      </c>
      <c r="AE30" s="21">
        <v>9</v>
      </c>
      <c r="AF30" s="21">
        <v>10</v>
      </c>
      <c r="AG30" s="21">
        <v>10</v>
      </c>
      <c r="AH30" s="21">
        <v>10</v>
      </c>
      <c r="AI30" s="21">
        <v>10</v>
      </c>
      <c r="AJ30" s="21"/>
      <c r="AK30" s="408"/>
      <c r="AL30" s="21">
        <f t="shared" si="175"/>
        <v>3</v>
      </c>
      <c r="AM30" s="21">
        <f t="shared" si="175"/>
        <v>1</v>
      </c>
      <c r="AN30" s="21">
        <f t="shared" si="176"/>
        <v>0</v>
      </c>
      <c r="AO30" s="21">
        <f>M30</f>
        <v>0</v>
      </c>
      <c r="AP30" s="129">
        <f t="shared" si="177"/>
        <v>3</v>
      </c>
      <c r="AQ30" s="129">
        <f t="shared" si="177"/>
        <v>2</v>
      </c>
      <c r="AR30" s="129">
        <f t="shared" si="178"/>
        <v>5</v>
      </c>
      <c r="AS30" s="129">
        <f t="shared" si="179"/>
        <v>0</v>
      </c>
      <c r="AT30" s="129">
        <f t="shared" si="180"/>
        <v>0</v>
      </c>
      <c r="AU30" s="129">
        <f t="shared" si="181"/>
        <v>0</v>
      </c>
      <c r="AV30" s="129">
        <f t="shared" si="182"/>
        <v>0</v>
      </c>
      <c r="AW30" s="129">
        <f t="shared" si="183"/>
        <v>1</v>
      </c>
      <c r="AX30" s="129">
        <f>IF(V30&lt;&gt;"",V30-U30,0)</f>
        <v>0</v>
      </c>
      <c r="AY30" s="129">
        <f t="shared" si="184"/>
        <v>1</v>
      </c>
      <c r="AZ30" s="129">
        <f t="shared" si="185"/>
        <v>2</v>
      </c>
      <c r="BA30" s="21">
        <f>Y30</f>
        <v>0</v>
      </c>
      <c r="BB30" s="129">
        <f t="shared" si="186"/>
        <v>0</v>
      </c>
      <c r="BC30" s="129">
        <f t="shared" si="186"/>
        <v>4</v>
      </c>
      <c r="BD30" s="129">
        <f t="shared" si="186"/>
        <v>0</v>
      </c>
      <c r="BE30" s="129">
        <f t="shared" si="186"/>
        <v>3</v>
      </c>
      <c r="BF30" s="129">
        <f t="shared" si="186"/>
        <v>2</v>
      </c>
      <c r="BG30" s="129">
        <f t="shared" si="186"/>
        <v>0</v>
      </c>
      <c r="BH30" s="129">
        <f t="shared" si="186"/>
        <v>1</v>
      </c>
      <c r="BI30" s="129">
        <f t="shared" si="186"/>
        <v>0</v>
      </c>
      <c r="BJ30" s="129">
        <f t="shared" si="186"/>
        <v>0</v>
      </c>
      <c r="BK30" s="129">
        <f t="shared" si="187"/>
        <v>0</v>
      </c>
      <c r="BL30" s="129">
        <f t="shared" si="188"/>
        <v>0</v>
      </c>
      <c r="BM30" s="408"/>
      <c r="BN30" s="48">
        <f t="shared" si="201"/>
        <v>4</v>
      </c>
      <c r="BO30" s="48">
        <f t="shared" si="202"/>
        <v>4</v>
      </c>
      <c r="BP30" s="48">
        <f t="shared" si="203"/>
        <v>4</v>
      </c>
      <c r="BQ30" s="48">
        <f t="shared" si="204"/>
        <v>5</v>
      </c>
      <c r="BR30" s="48">
        <f t="shared" si="205"/>
        <v>5</v>
      </c>
      <c r="BS30" s="48">
        <f t="shared" si="206"/>
        <v>5</v>
      </c>
      <c r="BT30" s="48">
        <f t="shared" si="207"/>
        <v>5</v>
      </c>
      <c r="BU30" s="48">
        <f t="shared" si="208"/>
        <v>5</v>
      </c>
      <c r="BV30" s="48">
        <f t="shared" si="209"/>
        <v>5</v>
      </c>
      <c r="BW30" s="48">
        <f t="shared" si="210"/>
        <v>1</v>
      </c>
      <c r="BX30" s="48">
        <f t="shared" si="211"/>
        <v>1</v>
      </c>
      <c r="BY30" s="48">
        <f t="shared" si="212"/>
        <v>1</v>
      </c>
      <c r="BZ30" s="48">
        <f t="shared" si="213"/>
        <v>3</v>
      </c>
      <c r="CA30" s="48">
        <f t="shared" si="214"/>
        <v>3</v>
      </c>
      <c r="CB30" s="48">
        <f t="shared" si="215"/>
        <v>3</v>
      </c>
      <c r="CC30" s="48">
        <f t="shared" si="216"/>
        <v>4</v>
      </c>
      <c r="CD30" s="48">
        <f t="shared" si="217"/>
        <v>4</v>
      </c>
      <c r="CE30" s="48">
        <f t="shared" si="218"/>
        <v>4</v>
      </c>
      <c r="CF30" s="48">
        <f t="shared" si="219"/>
        <v>5</v>
      </c>
      <c r="CG30" s="48">
        <f t="shared" si="220"/>
        <v>5</v>
      </c>
      <c r="CH30" s="48">
        <f t="shared" si="221"/>
        <v>5</v>
      </c>
      <c r="CI30" s="48">
        <f t="shared" si="222"/>
        <v>1</v>
      </c>
      <c r="CJ30" s="48">
        <f t="shared" si="223"/>
        <v>1</v>
      </c>
      <c r="CK30" s="48">
        <f t="shared" si="224"/>
        <v>1</v>
      </c>
      <c r="CL30" s="48">
        <f t="shared" si="225"/>
        <v>0</v>
      </c>
      <c r="CM30" s="48">
        <f t="shared" si="226"/>
        <v>0</v>
      </c>
      <c r="CN30" s="48">
        <f t="shared" si="227"/>
        <v>0</v>
      </c>
      <c r="CO30" s="406"/>
      <c r="CP30" s="21">
        <f t="shared" si="189"/>
        <v>10</v>
      </c>
      <c r="CQ30" s="21">
        <f t="shared" si="189"/>
        <v>11</v>
      </c>
      <c r="CR30" s="21">
        <f t="shared" si="189"/>
        <v>11</v>
      </c>
      <c r="CS30" s="21">
        <f>AO30</f>
        <v>0</v>
      </c>
      <c r="CT30" s="21">
        <f t="shared" si="190"/>
        <v>3</v>
      </c>
      <c r="CU30" s="21">
        <f t="shared" si="190"/>
        <v>5</v>
      </c>
      <c r="CV30" s="21">
        <f t="shared" si="190"/>
        <v>10</v>
      </c>
      <c r="CW30" s="21">
        <f t="shared" si="190"/>
        <v>10</v>
      </c>
      <c r="CX30" s="21">
        <f t="shared" si="190"/>
        <v>10</v>
      </c>
      <c r="CY30" s="21">
        <f t="shared" si="190"/>
        <v>10</v>
      </c>
      <c r="CZ30" s="21">
        <f t="shared" si="190"/>
        <v>10</v>
      </c>
      <c r="DA30" s="21">
        <f t="shared" si="190"/>
        <v>11</v>
      </c>
      <c r="DB30" s="21">
        <f t="shared" si="190"/>
        <v>11</v>
      </c>
      <c r="DC30" s="21">
        <f t="shared" si="190"/>
        <v>12</v>
      </c>
      <c r="DD30" s="21">
        <f t="shared" si="190"/>
        <v>14</v>
      </c>
      <c r="DE30" s="21">
        <f>+BA30</f>
        <v>0</v>
      </c>
      <c r="DF30" s="21">
        <f t="shared" si="191"/>
        <v>0</v>
      </c>
      <c r="DG30" s="21">
        <f t="shared" si="191"/>
        <v>4</v>
      </c>
      <c r="DH30" s="21">
        <f t="shared" si="191"/>
        <v>4</v>
      </c>
      <c r="DI30" s="21">
        <f t="shared" si="191"/>
        <v>7</v>
      </c>
      <c r="DJ30" s="21">
        <f t="shared" si="191"/>
        <v>9</v>
      </c>
      <c r="DK30" s="21">
        <f t="shared" si="191"/>
        <v>9</v>
      </c>
      <c r="DL30" s="21">
        <f t="shared" si="191"/>
        <v>10</v>
      </c>
      <c r="DM30" s="21">
        <f t="shared" si="191"/>
        <v>10</v>
      </c>
      <c r="DN30" s="21">
        <f t="shared" si="191"/>
        <v>10</v>
      </c>
      <c r="DO30" s="21">
        <f t="shared" si="191"/>
        <v>10</v>
      </c>
      <c r="DP30" s="21"/>
      <c r="DQ30" s="248"/>
      <c r="DR30" s="248"/>
      <c r="DS30" s="248"/>
      <c r="DT30" s="248"/>
      <c r="DU30" s="248"/>
      <c r="DV30" s="248"/>
      <c r="DW30" s="248"/>
      <c r="DX30" s="248"/>
      <c r="DY30" s="248"/>
      <c r="ED30" s="429"/>
      <c r="EE30" s="23"/>
      <c r="EF30" s="23"/>
      <c r="EG30" s="23"/>
      <c r="EH30" s="237">
        <f t="shared" si="192"/>
        <v>0</v>
      </c>
      <c r="EI30" s="18">
        <f t="shared" si="193"/>
        <v>0</v>
      </c>
      <c r="EJ30" s="18">
        <f t="shared" si="194"/>
        <v>10</v>
      </c>
      <c r="EK30" s="24">
        <f>$EK$1/12</f>
        <v>0.91666666666666663</v>
      </c>
      <c r="EL30" s="14">
        <f t="shared" si="195"/>
        <v>0</v>
      </c>
      <c r="EM30" s="14">
        <f t="shared" si="195"/>
        <v>0</v>
      </c>
      <c r="EN30" s="14">
        <f t="shared" si="196"/>
        <v>0.66666666666666663</v>
      </c>
      <c r="EO30" s="46" t="str">
        <f>IF(EH30&lt;0,,IF(EH30&lt;EE7,"È",IF(EH30=EE7,"Æ","Ç")))</f>
        <v>È</v>
      </c>
      <c r="EP30" s="46" t="str">
        <f>IF(EI30&lt;0,,IF(EI30&lt;EF7,"È",IF(EI30=EF7,"Æ","Ç")))</f>
        <v>È</v>
      </c>
      <c r="EQ30" s="2">
        <f t="shared" si="198"/>
        <v>3</v>
      </c>
      <c r="ER30" s="2">
        <f t="shared" si="199"/>
        <v>3</v>
      </c>
      <c r="ES30" s="2">
        <f t="shared" si="200"/>
        <v>3</v>
      </c>
    </row>
    <row r="31" spans="1:162" ht="12.75" customHeight="1" thickBot="1">
      <c r="A31" s="6" t="s">
        <v>22</v>
      </c>
      <c r="B31" s="2" t="s">
        <v>94</v>
      </c>
      <c r="C31" s="3" t="s">
        <v>58</v>
      </c>
      <c r="E31" s="3" t="s">
        <v>16</v>
      </c>
      <c r="G31" s="1" t="s">
        <v>91</v>
      </c>
      <c r="I31" s="116">
        <v>0.72499999999999998</v>
      </c>
      <c r="J31" s="116">
        <v>0.72499999999999998</v>
      </c>
      <c r="K31" s="116">
        <v>0.72499999999999998</v>
      </c>
      <c r="L31" s="116">
        <v>0.755</v>
      </c>
      <c r="M31" s="117">
        <v>0.03</v>
      </c>
      <c r="N31" s="116">
        <v>0</v>
      </c>
      <c r="O31" s="116">
        <v>0</v>
      </c>
      <c r="P31" s="116">
        <v>1.2E-2</v>
      </c>
      <c r="Q31" s="116">
        <v>1.212</v>
      </c>
      <c r="R31" s="116">
        <v>1.2470000000000001</v>
      </c>
      <c r="S31" s="116">
        <v>1.2470000000000001</v>
      </c>
      <c r="T31" s="116">
        <v>1.2470000000000001</v>
      </c>
      <c r="U31" s="116">
        <v>8.2620000000000005</v>
      </c>
      <c r="V31" s="123">
        <v>8.282</v>
      </c>
      <c r="W31" s="116">
        <v>8.282</v>
      </c>
      <c r="X31" s="116">
        <v>8.2929999999999993</v>
      </c>
      <c r="Y31" s="330">
        <v>7.45</v>
      </c>
      <c r="Z31" s="116">
        <v>7.45</v>
      </c>
      <c r="AA31" s="116">
        <v>7.45</v>
      </c>
      <c r="AB31" s="116">
        <v>7.4539999999999997</v>
      </c>
      <c r="AC31" s="116">
        <v>7.5090000000000003</v>
      </c>
      <c r="AD31" s="116">
        <v>7.7590000000000003</v>
      </c>
      <c r="AE31" s="116">
        <v>7.7590000000000003</v>
      </c>
      <c r="AF31" s="116">
        <v>7.7640000000000002</v>
      </c>
      <c r="AG31" s="116">
        <v>7.7640000000000002</v>
      </c>
      <c r="AH31" s="116">
        <v>7.7640000000000002</v>
      </c>
      <c r="AI31" s="116">
        <v>7.7640000000000002</v>
      </c>
      <c r="AJ31" s="116"/>
      <c r="AK31" s="416"/>
      <c r="AL31" s="116">
        <f t="shared" si="175"/>
        <v>0</v>
      </c>
      <c r="AM31" s="116">
        <f t="shared" si="175"/>
        <v>0</v>
      </c>
      <c r="AN31" s="116">
        <f t="shared" si="176"/>
        <v>3.0000000000000027E-2</v>
      </c>
      <c r="AO31" s="116">
        <f>M31</f>
        <v>0.03</v>
      </c>
      <c r="AP31" s="129">
        <f t="shared" si="177"/>
        <v>-0.03</v>
      </c>
      <c r="AQ31" s="129">
        <f t="shared" si="177"/>
        <v>0</v>
      </c>
      <c r="AR31" s="129">
        <f t="shared" si="178"/>
        <v>1.2E-2</v>
      </c>
      <c r="AS31" s="129">
        <f t="shared" si="179"/>
        <v>1.2</v>
      </c>
      <c r="AT31" s="129">
        <f t="shared" si="180"/>
        <v>3.5000000000000142E-2</v>
      </c>
      <c r="AU31" s="129">
        <f t="shared" si="181"/>
        <v>0</v>
      </c>
      <c r="AV31" s="129">
        <f t="shared" si="182"/>
        <v>0</v>
      </c>
      <c r="AW31" s="129">
        <f t="shared" si="183"/>
        <v>7.0150000000000006</v>
      </c>
      <c r="AX31" s="129">
        <f>IF(V31&lt;&gt;"",V31-U31,0)</f>
        <v>1.9999999999999574E-2</v>
      </c>
      <c r="AY31" s="129">
        <f t="shared" si="184"/>
        <v>0</v>
      </c>
      <c r="AZ31" s="129">
        <f t="shared" si="185"/>
        <v>1.0999999999999233E-2</v>
      </c>
      <c r="BA31" s="116">
        <f>Y31</f>
        <v>7.45</v>
      </c>
      <c r="BB31" s="129">
        <f t="shared" si="186"/>
        <v>0</v>
      </c>
      <c r="BC31" s="129">
        <f t="shared" si="186"/>
        <v>0</v>
      </c>
      <c r="BD31" s="129">
        <f t="shared" si="186"/>
        <v>3.9999999999995595E-3</v>
      </c>
      <c r="BE31" s="129">
        <f t="shared" si="186"/>
        <v>5.5000000000000604E-2</v>
      </c>
      <c r="BF31" s="129">
        <f t="shared" si="186"/>
        <v>0.25</v>
      </c>
      <c r="BG31" s="129">
        <f t="shared" si="186"/>
        <v>0</v>
      </c>
      <c r="BH31" s="129">
        <f t="shared" si="186"/>
        <v>4.9999999999998934E-3</v>
      </c>
      <c r="BI31" s="129">
        <f t="shared" si="186"/>
        <v>0</v>
      </c>
      <c r="BJ31" s="129">
        <f t="shared" si="186"/>
        <v>0</v>
      </c>
      <c r="BK31" s="129">
        <f t="shared" si="187"/>
        <v>0</v>
      </c>
      <c r="BL31" s="129">
        <f t="shared" si="188"/>
        <v>0</v>
      </c>
      <c r="BM31" s="409"/>
      <c r="BN31" s="119">
        <f t="shared" si="201"/>
        <v>3.0000000000000027E-2</v>
      </c>
      <c r="BO31" s="119">
        <f t="shared" si="202"/>
        <v>3.0000000000000027E-2</v>
      </c>
      <c r="BP31" s="119">
        <f t="shared" si="203"/>
        <v>3.0000000000000027E-2</v>
      </c>
      <c r="BQ31" s="119">
        <f t="shared" si="204"/>
        <v>0</v>
      </c>
      <c r="BR31" s="119">
        <f t="shared" si="205"/>
        <v>0</v>
      </c>
      <c r="BS31" s="119">
        <f t="shared" si="206"/>
        <v>0</v>
      </c>
      <c r="BT31" s="119">
        <f t="shared" si="207"/>
        <v>1.2470000000000001</v>
      </c>
      <c r="BU31" s="119">
        <f t="shared" si="208"/>
        <v>1.2470000000000001</v>
      </c>
      <c r="BV31" s="119">
        <f t="shared" si="209"/>
        <v>1.2470000000000001</v>
      </c>
      <c r="BW31" s="119">
        <f t="shared" si="210"/>
        <v>7.0150000000000006</v>
      </c>
      <c r="BX31" s="119">
        <f t="shared" si="211"/>
        <v>7.0150000000000006</v>
      </c>
      <c r="BY31" s="119">
        <f t="shared" si="212"/>
        <v>7.0150000000000006</v>
      </c>
      <c r="BZ31" s="119">
        <f t="shared" si="213"/>
        <v>3.0999999999998806E-2</v>
      </c>
      <c r="CA31" s="119">
        <f t="shared" si="214"/>
        <v>3.0999999999998806E-2</v>
      </c>
      <c r="CB31" s="119">
        <f t="shared" si="215"/>
        <v>3.0999999999998806E-2</v>
      </c>
      <c r="CC31" s="119">
        <f t="shared" si="216"/>
        <v>7.45</v>
      </c>
      <c r="CD31" s="119">
        <f t="shared" si="217"/>
        <v>7.45</v>
      </c>
      <c r="CE31" s="119">
        <f t="shared" si="218"/>
        <v>7.45</v>
      </c>
      <c r="CF31" s="119">
        <f t="shared" si="219"/>
        <v>0.30900000000000016</v>
      </c>
      <c r="CG31" s="119">
        <f t="shared" si="220"/>
        <v>0.30900000000000016</v>
      </c>
      <c r="CH31" s="119">
        <f t="shared" si="221"/>
        <v>0.30900000000000016</v>
      </c>
      <c r="CI31" s="119">
        <f t="shared" si="222"/>
        <v>4.9999999999998934E-3</v>
      </c>
      <c r="CJ31" s="119">
        <f t="shared" si="223"/>
        <v>4.9999999999998934E-3</v>
      </c>
      <c r="CK31" s="119">
        <f t="shared" si="224"/>
        <v>4.9999999999998934E-3</v>
      </c>
      <c r="CL31" s="119">
        <f t="shared" si="225"/>
        <v>0</v>
      </c>
      <c r="CM31" s="119">
        <f t="shared" si="226"/>
        <v>0</v>
      </c>
      <c r="CN31" s="119">
        <f t="shared" si="227"/>
        <v>0</v>
      </c>
      <c r="CO31" s="421"/>
      <c r="CP31" s="116">
        <f t="shared" si="189"/>
        <v>0.72499999999999998</v>
      </c>
      <c r="CQ31" s="116">
        <f t="shared" si="189"/>
        <v>0.72499999999999998</v>
      </c>
      <c r="CR31" s="116">
        <f t="shared" si="189"/>
        <v>0.755</v>
      </c>
      <c r="CS31" s="116">
        <f>AO31</f>
        <v>0.03</v>
      </c>
      <c r="CT31" s="116">
        <f t="shared" si="190"/>
        <v>0</v>
      </c>
      <c r="CU31" s="116">
        <f t="shared" si="190"/>
        <v>0</v>
      </c>
      <c r="CV31" s="116">
        <f t="shared" si="190"/>
        <v>1.2E-2</v>
      </c>
      <c r="CW31" s="116">
        <f t="shared" si="190"/>
        <v>1.212</v>
      </c>
      <c r="CX31" s="116">
        <f t="shared" si="190"/>
        <v>1.2470000000000001</v>
      </c>
      <c r="CY31" s="116">
        <f t="shared" si="190"/>
        <v>1.2470000000000001</v>
      </c>
      <c r="CZ31" s="116">
        <f t="shared" si="190"/>
        <v>1.2470000000000001</v>
      </c>
      <c r="DA31" s="116">
        <f t="shared" si="190"/>
        <v>8.2620000000000005</v>
      </c>
      <c r="DB31" s="116">
        <f t="shared" si="190"/>
        <v>8.282</v>
      </c>
      <c r="DC31" s="116">
        <f t="shared" si="190"/>
        <v>8.282</v>
      </c>
      <c r="DD31" s="116">
        <f t="shared" si="190"/>
        <v>8.2929999999999993</v>
      </c>
      <c r="DE31" s="116">
        <f>+BA31</f>
        <v>7.45</v>
      </c>
      <c r="DF31" s="116">
        <f t="shared" si="191"/>
        <v>7.45</v>
      </c>
      <c r="DG31" s="116">
        <f t="shared" si="191"/>
        <v>7.45</v>
      </c>
      <c r="DH31" s="116">
        <f t="shared" si="191"/>
        <v>7.4539999999999997</v>
      </c>
      <c r="DI31" s="116">
        <f t="shared" si="191"/>
        <v>7.5090000000000003</v>
      </c>
      <c r="DJ31" s="116">
        <f t="shared" si="191"/>
        <v>7.7590000000000003</v>
      </c>
      <c r="DK31" s="116">
        <f t="shared" si="191"/>
        <v>7.7590000000000003</v>
      </c>
      <c r="DL31" s="116">
        <f t="shared" si="191"/>
        <v>7.7640000000000002</v>
      </c>
      <c r="DM31" s="116">
        <f t="shared" si="191"/>
        <v>7.7640000000000002</v>
      </c>
      <c r="DN31" s="116">
        <f t="shared" si="191"/>
        <v>7.7640000000000002</v>
      </c>
      <c r="DO31" s="116">
        <f t="shared" si="191"/>
        <v>7.7640000000000002</v>
      </c>
      <c r="DP31" s="116"/>
      <c r="DQ31" s="243"/>
      <c r="DR31" s="243"/>
      <c r="DS31" s="243"/>
      <c r="DT31" s="243"/>
      <c r="DU31" s="243"/>
      <c r="DV31" s="243"/>
      <c r="DW31" s="243"/>
      <c r="DX31" s="243"/>
      <c r="DY31" s="243"/>
      <c r="DZ31" s="124"/>
      <c r="EA31" s="124"/>
      <c r="EB31" s="124"/>
      <c r="EC31" s="124"/>
      <c r="ED31" s="431"/>
      <c r="EE31" s="125"/>
      <c r="EF31" s="125"/>
      <c r="EG31" s="125"/>
      <c r="EH31" s="237">
        <f t="shared" si="192"/>
        <v>0</v>
      </c>
      <c r="EI31" s="403">
        <f t="shared" si="193"/>
        <v>0</v>
      </c>
      <c r="EJ31" s="116">
        <f t="shared" si="194"/>
        <v>7.7640000000000002</v>
      </c>
      <c r="EK31" s="24">
        <f>$EK$1/12</f>
        <v>0.91666666666666663</v>
      </c>
      <c r="EL31" s="14">
        <f t="shared" si="195"/>
        <v>0</v>
      </c>
      <c r="EM31" s="14">
        <f t="shared" si="195"/>
        <v>0</v>
      </c>
      <c r="EN31" s="14">
        <f t="shared" si="196"/>
        <v>1.0352000000000001</v>
      </c>
      <c r="EO31" s="46" t="str">
        <f t="shared" si="197"/>
        <v>È</v>
      </c>
      <c r="EP31" s="46" t="str">
        <f t="shared" si="197"/>
        <v>È</v>
      </c>
      <c r="EQ31" s="2">
        <f t="shared" si="198"/>
        <v>3</v>
      </c>
      <c r="ER31" s="2">
        <f t="shared" si="199"/>
        <v>3</v>
      </c>
      <c r="ES31" s="2">
        <f t="shared" si="200"/>
        <v>1</v>
      </c>
    </row>
    <row r="32" spans="1:162" ht="15.75">
      <c r="A32" s="6" t="s">
        <v>23</v>
      </c>
      <c r="B32" s="381" t="s">
        <v>5</v>
      </c>
      <c r="C32" s="3" t="s">
        <v>61</v>
      </c>
      <c r="E32" s="3" t="s">
        <v>16</v>
      </c>
      <c r="G32" s="3" t="s">
        <v>91</v>
      </c>
      <c r="I32" s="23"/>
      <c r="J32" s="19">
        <v>3</v>
      </c>
      <c r="K32" s="19">
        <v>7</v>
      </c>
      <c r="L32" s="19">
        <v>8</v>
      </c>
      <c r="M32" s="19">
        <v>10</v>
      </c>
      <c r="N32" s="19">
        <v>12</v>
      </c>
      <c r="O32" s="19">
        <v>15</v>
      </c>
      <c r="P32" s="19">
        <v>16</v>
      </c>
      <c r="Q32" s="19">
        <v>20</v>
      </c>
      <c r="R32" s="19">
        <v>26</v>
      </c>
      <c r="S32" s="19">
        <v>27</v>
      </c>
      <c r="T32" s="19">
        <v>28</v>
      </c>
      <c r="U32" s="19">
        <v>37</v>
      </c>
      <c r="V32" s="31">
        <v>5</v>
      </c>
      <c r="W32" s="19">
        <v>8</v>
      </c>
      <c r="X32" s="19">
        <v>10</v>
      </c>
      <c r="Y32" s="326">
        <v>13</v>
      </c>
      <c r="Z32" s="19">
        <v>15</v>
      </c>
      <c r="AA32" s="19">
        <v>15</v>
      </c>
      <c r="AB32" s="19">
        <v>18</v>
      </c>
      <c r="AC32" s="19">
        <v>21</v>
      </c>
      <c r="AD32" s="19">
        <v>26</v>
      </c>
      <c r="AE32" s="19">
        <v>26</v>
      </c>
      <c r="AF32" s="19">
        <v>28</v>
      </c>
      <c r="AG32" s="19">
        <v>29</v>
      </c>
      <c r="AH32" s="31">
        <v>1</v>
      </c>
      <c r="AI32" s="19">
        <v>5</v>
      </c>
      <c r="AJ32" s="19"/>
      <c r="AK32" s="408"/>
      <c r="AL32" s="19">
        <f t="shared" ref="AL32:AL38" si="228">J32</f>
        <v>3</v>
      </c>
      <c r="AM32" s="19">
        <f>K32-J32</f>
        <v>4</v>
      </c>
      <c r="AN32" s="19">
        <f t="shared" si="176"/>
        <v>1</v>
      </c>
      <c r="AO32" s="19">
        <f>M32-L32</f>
        <v>2</v>
      </c>
      <c r="AP32" s="129">
        <f t="shared" si="177"/>
        <v>2</v>
      </c>
      <c r="AQ32" s="129">
        <f t="shared" si="177"/>
        <v>3</v>
      </c>
      <c r="AR32" s="129">
        <f t="shared" si="178"/>
        <v>1</v>
      </c>
      <c r="AS32" s="129">
        <f t="shared" si="179"/>
        <v>4</v>
      </c>
      <c r="AT32" s="129">
        <f t="shared" si="180"/>
        <v>6</v>
      </c>
      <c r="AU32" s="129">
        <f t="shared" si="181"/>
        <v>1</v>
      </c>
      <c r="AV32" s="129">
        <f t="shared" si="182"/>
        <v>1</v>
      </c>
      <c r="AW32" s="129">
        <f t="shared" si="183"/>
        <v>9</v>
      </c>
      <c r="AX32" s="19">
        <f t="shared" ref="AX32:AX38" si="229">V32</f>
        <v>5</v>
      </c>
      <c r="AY32" s="129">
        <f t="shared" si="184"/>
        <v>3</v>
      </c>
      <c r="AZ32" s="129">
        <f t="shared" si="185"/>
        <v>2</v>
      </c>
      <c r="BA32" s="129">
        <f t="shared" ref="BA32:BA46" si="230">IF(Y32&lt;&gt;"",Y32-X32,0)</f>
        <v>3</v>
      </c>
      <c r="BB32" s="129">
        <f t="shared" ref="BB32:BB43" si="231">IF(Z32&lt;&gt;"",Z32-Y32,0)</f>
        <v>2</v>
      </c>
      <c r="BC32" s="383">
        <f>IF(AA32&lt;&gt;"0.001",AA32-Z32,0)</f>
        <v>0</v>
      </c>
      <c r="BD32" s="129">
        <f t="shared" ref="BD32:BD43" si="232">IF(AB32&lt;&gt;"",AB32-AA32,0)</f>
        <v>3</v>
      </c>
      <c r="BE32" s="129">
        <f t="shared" ref="BE32:BE43" si="233">IF(AC32&lt;&gt;"",AC32-AB32,0)</f>
        <v>3</v>
      </c>
      <c r="BF32" s="129">
        <f t="shared" ref="BF32:BF43" si="234">IF(AD32&lt;&gt;"",AD32-AC32,0)</f>
        <v>5</v>
      </c>
      <c r="BG32" s="129">
        <f t="shared" ref="BG32:BG43" si="235">IF(AE32&lt;&gt;"",AE32-AD32,0)</f>
        <v>0</v>
      </c>
      <c r="BH32" s="129">
        <f t="shared" ref="BH32:BH43" si="236">IF(AF32&lt;&gt;"",AF32-AE32,0)</f>
        <v>2</v>
      </c>
      <c r="BI32" s="129">
        <f t="shared" ref="BI32:BI43" si="237">IF(AG32&lt;&gt;"",AG32-AF32,0)</f>
        <v>1</v>
      </c>
      <c r="BJ32" s="19">
        <f t="shared" ref="BJ32:BJ38" si="238">AH32</f>
        <v>1</v>
      </c>
      <c r="BK32" s="129">
        <f t="shared" si="187"/>
        <v>4</v>
      </c>
      <c r="BL32" s="129">
        <f t="shared" si="188"/>
        <v>0</v>
      </c>
      <c r="BM32" s="408"/>
      <c r="BN32" s="48">
        <f t="shared" si="201"/>
        <v>8</v>
      </c>
      <c r="BO32" s="48">
        <f t="shared" si="202"/>
        <v>8</v>
      </c>
      <c r="BP32" s="48">
        <f t="shared" si="203"/>
        <v>8</v>
      </c>
      <c r="BQ32" s="48">
        <f t="shared" si="204"/>
        <v>7</v>
      </c>
      <c r="BR32" s="48">
        <f t="shared" si="205"/>
        <v>7</v>
      </c>
      <c r="BS32" s="48">
        <f t="shared" si="206"/>
        <v>7</v>
      </c>
      <c r="BT32" s="48">
        <f t="shared" si="207"/>
        <v>11</v>
      </c>
      <c r="BU32" s="48">
        <f t="shared" si="208"/>
        <v>11</v>
      </c>
      <c r="BV32" s="48">
        <f t="shared" si="209"/>
        <v>11</v>
      </c>
      <c r="BW32" s="48">
        <f t="shared" si="210"/>
        <v>11</v>
      </c>
      <c r="BX32" s="48">
        <f t="shared" si="211"/>
        <v>11</v>
      </c>
      <c r="BY32" s="48">
        <f t="shared" si="212"/>
        <v>11</v>
      </c>
      <c r="BZ32" s="48">
        <f t="shared" si="213"/>
        <v>10</v>
      </c>
      <c r="CA32" s="48">
        <f t="shared" si="214"/>
        <v>10</v>
      </c>
      <c r="CB32" s="48">
        <f t="shared" si="215"/>
        <v>10</v>
      </c>
      <c r="CC32" s="48">
        <f t="shared" si="216"/>
        <v>5</v>
      </c>
      <c r="CD32" s="48">
        <f t="shared" si="217"/>
        <v>5</v>
      </c>
      <c r="CE32" s="48">
        <f t="shared" si="218"/>
        <v>5</v>
      </c>
      <c r="CF32" s="48">
        <f t="shared" si="219"/>
        <v>11</v>
      </c>
      <c r="CG32" s="48">
        <f t="shared" si="220"/>
        <v>11</v>
      </c>
      <c r="CH32" s="48">
        <f t="shared" si="221"/>
        <v>11</v>
      </c>
      <c r="CI32" s="48">
        <f t="shared" si="222"/>
        <v>3</v>
      </c>
      <c r="CJ32" s="48">
        <f t="shared" si="223"/>
        <v>3</v>
      </c>
      <c r="CK32" s="48">
        <f t="shared" si="224"/>
        <v>3</v>
      </c>
      <c r="CL32" s="48">
        <f t="shared" si="225"/>
        <v>5</v>
      </c>
      <c r="CM32" s="48">
        <f t="shared" si="226"/>
        <v>5</v>
      </c>
      <c r="CN32" s="48">
        <f t="shared" si="227"/>
        <v>5</v>
      </c>
      <c r="CO32" s="406"/>
      <c r="CP32" s="21">
        <f>+AL32</f>
        <v>3</v>
      </c>
      <c r="CQ32" s="21">
        <f t="shared" ref="CQ32:DA32" si="239">+CP32+AM32</f>
        <v>7</v>
      </c>
      <c r="CR32" s="21">
        <f t="shared" si="239"/>
        <v>8</v>
      </c>
      <c r="CS32" s="21">
        <f t="shared" si="239"/>
        <v>10</v>
      </c>
      <c r="CT32" s="21">
        <f t="shared" si="239"/>
        <v>12</v>
      </c>
      <c r="CU32" s="21">
        <f t="shared" si="239"/>
        <v>15</v>
      </c>
      <c r="CV32" s="21">
        <f t="shared" si="239"/>
        <v>16</v>
      </c>
      <c r="CW32" s="21">
        <f t="shared" si="239"/>
        <v>20</v>
      </c>
      <c r="CX32" s="21">
        <f t="shared" si="239"/>
        <v>26</v>
      </c>
      <c r="CY32" s="21">
        <f t="shared" si="239"/>
        <v>27</v>
      </c>
      <c r="CZ32" s="21">
        <f t="shared" si="239"/>
        <v>28</v>
      </c>
      <c r="DA32" s="21">
        <f t="shared" si="239"/>
        <v>37</v>
      </c>
      <c r="DB32" s="305">
        <f>AX32</f>
        <v>5</v>
      </c>
      <c r="DC32" s="21">
        <f t="shared" ref="DC32:DM32" si="240">+DB32+AY32</f>
        <v>8</v>
      </c>
      <c r="DD32" s="21">
        <f t="shared" si="240"/>
        <v>10</v>
      </c>
      <c r="DE32" s="21">
        <f t="shared" si="240"/>
        <v>13</v>
      </c>
      <c r="DF32" s="21">
        <f t="shared" si="240"/>
        <v>15</v>
      </c>
      <c r="DG32" s="21">
        <f t="shared" si="240"/>
        <v>15</v>
      </c>
      <c r="DH32" s="21">
        <f t="shared" si="240"/>
        <v>18</v>
      </c>
      <c r="DI32" s="21">
        <f t="shared" si="240"/>
        <v>21</v>
      </c>
      <c r="DJ32" s="21">
        <f t="shared" si="240"/>
        <v>26</v>
      </c>
      <c r="DK32" s="21">
        <f t="shared" si="240"/>
        <v>26</v>
      </c>
      <c r="DL32" s="21">
        <f t="shared" si="240"/>
        <v>28</v>
      </c>
      <c r="DM32" s="21">
        <f t="shared" si="240"/>
        <v>29</v>
      </c>
      <c r="DN32" s="21">
        <f>+BJ32</f>
        <v>1</v>
      </c>
      <c r="DO32" s="21">
        <f>+DN32+BK32</f>
        <v>5</v>
      </c>
      <c r="DP32" s="21"/>
      <c r="DQ32" s="248"/>
      <c r="DR32" s="248"/>
      <c r="DS32" s="248"/>
      <c r="DT32" s="248"/>
      <c r="DU32" s="248"/>
      <c r="DV32" s="248"/>
      <c r="DW32" s="248"/>
      <c r="DX32" s="248"/>
      <c r="DY32" s="248"/>
      <c r="ED32" s="429"/>
      <c r="EE32" s="23"/>
      <c r="EF32" s="23"/>
      <c r="EG32" s="23"/>
      <c r="EH32" s="237">
        <f t="shared" si="192"/>
        <v>4</v>
      </c>
      <c r="EI32" s="18">
        <f t="shared" si="193"/>
        <v>5</v>
      </c>
      <c r="EJ32" s="18">
        <f t="shared" si="194"/>
        <v>5</v>
      </c>
      <c r="EK32" s="24">
        <f>$EK$2/12</f>
        <v>0.16666666666666666</v>
      </c>
      <c r="EL32" s="14" t="e">
        <f t="shared" si="195"/>
        <v>#DIV/0!</v>
      </c>
      <c r="EM32" s="14">
        <f t="shared" si="195"/>
        <v>0.33333333333333331</v>
      </c>
      <c r="EN32" s="14">
        <f t="shared" si="196"/>
        <v>8.3333333333333329E-2</v>
      </c>
      <c r="EO32" s="46" t="str">
        <f t="shared" si="197"/>
        <v>Ç</v>
      </c>
      <c r="EP32" s="46" t="str">
        <f t="shared" si="197"/>
        <v>È</v>
      </c>
      <c r="EQ32" s="2" t="e">
        <f t="shared" si="198"/>
        <v>#DIV/0!</v>
      </c>
      <c r="ER32" s="2">
        <f t="shared" si="199"/>
        <v>3</v>
      </c>
      <c r="ES32" s="2">
        <f t="shared" si="200"/>
        <v>3</v>
      </c>
    </row>
    <row r="33" spans="1:149" ht="12.75" customHeight="1">
      <c r="A33" s="6" t="s">
        <v>23</v>
      </c>
      <c r="B33" s="2" t="s">
        <v>4</v>
      </c>
      <c r="C33" s="3" t="s">
        <v>62</v>
      </c>
      <c r="E33" s="3" t="s">
        <v>16</v>
      </c>
      <c r="G33" s="3" t="s">
        <v>91</v>
      </c>
      <c r="I33" s="23"/>
      <c r="J33" s="19">
        <v>1</v>
      </c>
      <c r="K33" s="19">
        <v>4</v>
      </c>
      <c r="L33" s="19">
        <v>4</v>
      </c>
      <c r="M33" s="19">
        <v>5</v>
      </c>
      <c r="N33" s="19">
        <v>5</v>
      </c>
      <c r="O33" s="19">
        <v>6</v>
      </c>
      <c r="P33" s="19">
        <v>6</v>
      </c>
      <c r="Q33" s="19">
        <v>8</v>
      </c>
      <c r="R33" s="19">
        <v>12</v>
      </c>
      <c r="S33" s="19">
        <v>13</v>
      </c>
      <c r="T33" s="19">
        <v>13</v>
      </c>
      <c r="U33" s="19">
        <v>20</v>
      </c>
      <c r="V33" s="31">
        <v>1</v>
      </c>
      <c r="W33" s="19">
        <v>2</v>
      </c>
      <c r="X33" s="19">
        <v>2</v>
      </c>
      <c r="Y33" s="326">
        <v>2</v>
      </c>
      <c r="Z33" s="19">
        <v>2</v>
      </c>
      <c r="AA33" s="19">
        <v>2</v>
      </c>
      <c r="AB33" s="19">
        <v>4</v>
      </c>
      <c r="AC33" s="19">
        <v>6</v>
      </c>
      <c r="AD33" s="19">
        <v>9</v>
      </c>
      <c r="AE33" s="19">
        <v>9</v>
      </c>
      <c r="AF33" s="19">
        <v>10</v>
      </c>
      <c r="AG33" s="19">
        <v>10</v>
      </c>
      <c r="AH33" s="31">
        <v>1</v>
      </c>
      <c r="AI33" s="19">
        <v>1</v>
      </c>
      <c r="AJ33" s="19"/>
      <c r="AK33" s="408"/>
      <c r="AL33" s="19">
        <f t="shared" si="228"/>
        <v>1</v>
      </c>
      <c r="AM33" s="19">
        <f>K33-J33</f>
        <v>3</v>
      </c>
      <c r="AN33" s="19">
        <f t="shared" si="176"/>
        <v>0</v>
      </c>
      <c r="AO33" s="19">
        <f>M33-L33</f>
        <v>1</v>
      </c>
      <c r="AP33" s="129">
        <f t="shared" si="177"/>
        <v>0</v>
      </c>
      <c r="AQ33" s="129">
        <f t="shared" si="177"/>
        <v>1</v>
      </c>
      <c r="AR33" s="129">
        <f t="shared" si="178"/>
        <v>0</v>
      </c>
      <c r="AS33" s="129">
        <f t="shared" si="179"/>
        <v>2</v>
      </c>
      <c r="AT33" s="129">
        <f t="shared" si="180"/>
        <v>4</v>
      </c>
      <c r="AU33" s="129">
        <f t="shared" si="181"/>
        <v>1</v>
      </c>
      <c r="AV33" s="129">
        <f t="shared" si="182"/>
        <v>0</v>
      </c>
      <c r="AW33" s="129">
        <f t="shared" si="183"/>
        <v>7</v>
      </c>
      <c r="AX33" s="19">
        <f t="shared" si="229"/>
        <v>1</v>
      </c>
      <c r="AY33" s="129">
        <f t="shared" si="184"/>
        <v>1</v>
      </c>
      <c r="AZ33" s="129">
        <f t="shared" si="185"/>
        <v>0</v>
      </c>
      <c r="BA33" s="129">
        <f t="shared" si="230"/>
        <v>0</v>
      </c>
      <c r="BB33" s="129">
        <f t="shared" si="231"/>
        <v>0</v>
      </c>
      <c r="BC33" s="129">
        <f t="shared" ref="BC33:BC43" si="241">IF(AA33&lt;&gt;"",AA33-Z33,0)</f>
        <v>0</v>
      </c>
      <c r="BD33" s="129">
        <f t="shared" si="232"/>
        <v>2</v>
      </c>
      <c r="BE33" s="129">
        <f t="shared" si="233"/>
        <v>2</v>
      </c>
      <c r="BF33" s="129">
        <f t="shared" si="234"/>
        <v>3</v>
      </c>
      <c r="BG33" s="129">
        <f t="shared" si="235"/>
        <v>0</v>
      </c>
      <c r="BH33" s="129">
        <f t="shared" si="236"/>
        <v>1</v>
      </c>
      <c r="BI33" s="129">
        <f t="shared" si="237"/>
        <v>0</v>
      </c>
      <c r="BJ33" s="19">
        <f t="shared" si="238"/>
        <v>1</v>
      </c>
      <c r="BK33" s="129">
        <f t="shared" si="187"/>
        <v>0</v>
      </c>
      <c r="BL33" s="129">
        <f t="shared" si="188"/>
        <v>0</v>
      </c>
      <c r="BM33" s="408"/>
      <c r="BN33" s="48">
        <f t="shared" si="201"/>
        <v>4</v>
      </c>
      <c r="BO33" s="48">
        <f t="shared" si="202"/>
        <v>4</v>
      </c>
      <c r="BP33" s="48">
        <f t="shared" si="203"/>
        <v>4</v>
      </c>
      <c r="BQ33" s="48">
        <f t="shared" si="204"/>
        <v>2</v>
      </c>
      <c r="BR33" s="48">
        <f t="shared" si="205"/>
        <v>2</v>
      </c>
      <c r="BS33" s="48">
        <f t="shared" si="206"/>
        <v>2</v>
      </c>
      <c r="BT33" s="48">
        <f t="shared" si="207"/>
        <v>6</v>
      </c>
      <c r="BU33" s="48">
        <f t="shared" si="208"/>
        <v>6</v>
      </c>
      <c r="BV33" s="48">
        <f t="shared" si="209"/>
        <v>6</v>
      </c>
      <c r="BW33" s="48">
        <f t="shared" si="210"/>
        <v>8</v>
      </c>
      <c r="BX33" s="48">
        <f t="shared" si="211"/>
        <v>8</v>
      </c>
      <c r="BY33" s="48">
        <f t="shared" si="212"/>
        <v>8</v>
      </c>
      <c r="BZ33" s="48">
        <f t="shared" si="213"/>
        <v>2</v>
      </c>
      <c r="CA33" s="48">
        <f t="shared" si="214"/>
        <v>2</v>
      </c>
      <c r="CB33" s="48">
        <f t="shared" si="215"/>
        <v>2</v>
      </c>
      <c r="CC33" s="48">
        <f t="shared" si="216"/>
        <v>0</v>
      </c>
      <c r="CD33" s="48">
        <f t="shared" si="217"/>
        <v>0</v>
      </c>
      <c r="CE33" s="48">
        <f t="shared" si="218"/>
        <v>0</v>
      </c>
      <c r="CF33" s="48">
        <f t="shared" si="219"/>
        <v>7</v>
      </c>
      <c r="CG33" s="48">
        <f t="shared" si="220"/>
        <v>7</v>
      </c>
      <c r="CH33" s="48">
        <f t="shared" si="221"/>
        <v>7</v>
      </c>
      <c r="CI33" s="48">
        <f t="shared" si="222"/>
        <v>1</v>
      </c>
      <c r="CJ33" s="48">
        <f t="shared" si="223"/>
        <v>1</v>
      </c>
      <c r="CK33" s="48">
        <f t="shared" si="224"/>
        <v>1</v>
      </c>
      <c r="CL33" s="48">
        <f t="shared" si="225"/>
        <v>1</v>
      </c>
      <c r="CM33" s="48">
        <f t="shared" si="226"/>
        <v>1</v>
      </c>
      <c r="CN33" s="48">
        <f t="shared" si="227"/>
        <v>1</v>
      </c>
      <c r="CO33" s="406"/>
      <c r="CP33" s="21">
        <f>+AL33</f>
        <v>1</v>
      </c>
      <c r="CQ33" s="21">
        <f t="shared" ref="CQ33:CR35" si="242">+CP33+AM33</f>
        <v>4</v>
      </c>
      <c r="CR33" s="21">
        <f t="shared" si="242"/>
        <v>4</v>
      </c>
      <c r="CS33" s="21">
        <f t="shared" ref="CS33:DA33" si="243">L33+AO33</f>
        <v>5</v>
      </c>
      <c r="CT33" s="21">
        <f t="shared" si="243"/>
        <v>5</v>
      </c>
      <c r="CU33" s="21">
        <f t="shared" si="243"/>
        <v>6</v>
      </c>
      <c r="CV33" s="21">
        <f t="shared" si="243"/>
        <v>6</v>
      </c>
      <c r="CW33" s="21">
        <f t="shared" si="243"/>
        <v>8</v>
      </c>
      <c r="CX33" s="21">
        <f t="shared" si="243"/>
        <v>12</v>
      </c>
      <c r="CY33" s="21">
        <f t="shared" si="243"/>
        <v>13</v>
      </c>
      <c r="CZ33" s="21">
        <f t="shared" si="243"/>
        <v>13</v>
      </c>
      <c r="DA33" s="21">
        <f t="shared" si="243"/>
        <v>20</v>
      </c>
      <c r="DB33" s="21">
        <f>AX33</f>
        <v>1</v>
      </c>
      <c r="DC33" s="21">
        <f t="shared" ref="DC33:DM33" si="244">V33+AY33</f>
        <v>2</v>
      </c>
      <c r="DD33" s="21">
        <f t="shared" si="244"/>
        <v>2</v>
      </c>
      <c r="DE33" s="21">
        <f t="shared" si="244"/>
        <v>2</v>
      </c>
      <c r="DF33" s="21">
        <f t="shared" si="244"/>
        <v>2</v>
      </c>
      <c r="DG33" s="21">
        <f t="shared" si="244"/>
        <v>2</v>
      </c>
      <c r="DH33" s="21">
        <f t="shared" si="244"/>
        <v>4</v>
      </c>
      <c r="DI33" s="21">
        <f t="shared" si="244"/>
        <v>6</v>
      </c>
      <c r="DJ33" s="21">
        <f t="shared" si="244"/>
        <v>9</v>
      </c>
      <c r="DK33" s="21">
        <f t="shared" si="244"/>
        <v>9</v>
      </c>
      <c r="DL33" s="21">
        <f t="shared" si="244"/>
        <v>10</v>
      </c>
      <c r="DM33" s="21">
        <f t="shared" si="244"/>
        <v>10</v>
      </c>
      <c r="DN33" s="21">
        <f>BJ33</f>
        <v>1</v>
      </c>
      <c r="DO33" s="21">
        <f t="shared" ref="DO33:DO35" si="245">AH33+BK33</f>
        <v>1</v>
      </c>
      <c r="DP33" s="21"/>
      <c r="DQ33" s="248"/>
      <c r="DR33" s="248"/>
      <c r="DS33" s="248"/>
      <c r="DT33" s="248"/>
      <c r="DU33" s="248"/>
      <c r="DV33" s="248"/>
      <c r="DW33" s="248"/>
      <c r="DX33" s="248"/>
      <c r="DY33" s="248"/>
      <c r="ED33" s="429"/>
      <c r="EE33" s="23"/>
      <c r="EF33" s="23"/>
      <c r="EG33" s="23"/>
      <c r="EH33" s="237">
        <f t="shared" si="192"/>
        <v>0</v>
      </c>
      <c r="EI33" s="18">
        <f t="shared" si="193"/>
        <v>1</v>
      </c>
      <c r="EJ33" s="18">
        <f t="shared" si="194"/>
        <v>1</v>
      </c>
      <c r="EK33" s="24">
        <f t="shared" ref="EK33:EK49" si="246">$EK$2/12</f>
        <v>0.16666666666666666</v>
      </c>
      <c r="EL33" s="14" t="e">
        <f t="shared" si="195"/>
        <v>#DIV/0!</v>
      </c>
      <c r="EM33" s="14">
        <f t="shared" si="195"/>
        <v>0.66666666666666663</v>
      </c>
      <c r="EN33" s="14">
        <f t="shared" si="196"/>
        <v>0.16666666666666666</v>
      </c>
      <c r="EO33" s="46" t="str">
        <f t="shared" si="197"/>
        <v>Æ</v>
      </c>
      <c r="EP33" s="46" t="str">
        <f t="shared" si="197"/>
        <v>È</v>
      </c>
      <c r="EQ33" s="2" t="e">
        <f t="shared" si="198"/>
        <v>#DIV/0!</v>
      </c>
      <c r="ER33" s="2">
        <f t="shared" si="199"/>
        <v>3</v>
      </c>
      <c r="ES33" s="2">
        <f t="shared" si="200"/>
        <v>3</v>
      </c>
    </row>
    <row r="34" spans="1:149" ht="12.75" customHeight="1">
      <c r="A34" s="6" t="s">
        <v>23</v>
      </c>
      <c r="B34" s="2" t="s">
        <v>162</v>
      </c>
      <c r="C34" s="3" t="s">
        <v>62</v>
      </c>
      <c r="E34" s="3" t="s">
        <v>16</v>
      </c>
      <c r="G34" s="3" t="s">
        <v>91</v>
      </c>
      <c r="I34" s="23"/>
      <c r="J34" s="19">
        <v>75</v>
      </c>
      <c r="K34" s="19">
        <v>102</v>
      </c>
      <c r="L34" s="19">
        <v>112</v>
      </c>
      <c r="M34" s="19">
        <v>114</v>
      </c>
      <c r="N34" s="19">
        <v>117</v>
      </c>
      <c r="O34" s="19">
        <v>120</v>
      </c>
      <c r="P34" s="19">
        <v>122</v>
      </c>
      <c r="Q34" s="19">
        <v>129</v>
      </c>
      <c r="R34" s="19">
        <v>135</v>
      </c>
      <c r="S34" s="19">
        <v>136</v>
      </c>
      <c r="T34" s="19">
        <v>137</v>
      </c>
      <c r="U34" s="19">
        <v>146</v>
      </c>
      <c r="V34" s="31">
        <v>24</v>
      </c>
      <c r="W34" s="19">
        <v>98</v>
      </c>
      <c r="X34" s="19">
        <v>108</v>
      </c>
      <c r="Y34" s="326">
        <v>113</v>
      </c>
      <c r="Z34" s="19">
        <v>120</v>
      </c>
      <c r="AA34" s="19">
        <v>120</v>
      </c>
      <c r="AB34" s="19">
        <v>124</v>
      </c>
      <c r="AC34" s="19">
        <v>127</v>
      </c>
      <c r="AD34" s="19">
        <v>132</v>
      </c>
      <c r="AE34" s="19">
        <v>134</v>
      </c>
      <c r="AF34" s="19">
        <v>136</v>
      </c>
      <c r="AG34" s="19">
        <v>137</v>
      </c>
      <c r="AH34" s="31">
        <v>18</v>
      </c>
      <c r="AI34" s="19">
        <v>76</v>
      </c>
      <c r="AJ34" s="19"/>
      <c r="AK34" s="408"/>
      <c r="AL34" s="19">
        <f t="shared" si="228"/>
        <v>75</v>
      </c>
      <c r="AM34" s="19">
        <f>K34-J34</f>
        <v>27</v>
      </c>
      <c r="AN34" s="19">
        <f>L34-K34</f>
        <v>10</v>
      </c>
      <c r="AO34" s="19">
        <f>M34-L34</f>
        <v>2</v>
      </c>
      <c r="AP34" s="129">
        <f t="shared" ref="AP34:AW35" si="247">IF(N34&lt;&gt;"",N34-M34,0)</f>
        <v>3</v>
      </c>
      <c r="AQ34" s="129">
        <f t="shared" si="247"/>
        <v>3</v>
      </c>
      <c r="AR34" s="129">
        <f t="shared" si="247"/>
        <v>2</v>
      </c>
      <c r="AS34" s="129">
        <f t="shared" si="247"/>
        <v>7</v>
      </c>
      <c r="AT34" s="129">
        <f t="shared" si="247"/>
        <v>6</v>
      </c>
      <c r="AU34" s="129">
        <f t="shared" si="247"/>
        <v>1</v>
      </c>
      <c r="AV34" s="129">
        <f t="shared" si="247"/>
        <v>1</v>
      </c>
      <c r="AW34" s="129">
        <f t="shared" si="247"/>
        <v>9</v>
      </c>
      <c r="AX34" s="19">
        <f t="shared" si="229"/>
        <v>24</v>
      </c>
      <c r="AY34" s="129">
        <f t="shared" ref="AY34:BI35" si="248">IF(W34&lt;&gt;"",W34-V34,0)</f>
        <v>74</v>
      </c>
      <c r="AZ34" s="129">
        <f t="shared" si="248"/>
        <v>10</v>
      </c>
      <c r="BA34" s="129">
        <f t="shared" si="248"/>
        <v>5</v>
      </c>
      <c r="BB34" s="129">
        <f t="shared" si="248"/>
        <v>7</v>
      </c>
      <c r="BC34" s="129">
        <f t="shared" si="248"/>
        <v>0</v>
      </c>
      <c r="BD34" s="129">
        <f t="shared" si="248"/>
        <v>4</v>
      </c>
      <c r="BE34" s="129">
        <f t="shared" si="248"/>
        <v>3</v>
      </c>
      <c r="BF34" s="129">
        <f t="shared" si="248"/>
        <v>5</v>
      </c>
      <c r="BG34" s="129">
        <f t="shared" si="248"/>
        <v>2</v>
      </c>
      <c r="BH34" s="129">
        <f t="shared" si="248"/>
        <v>2</v>
      </c>
      <c r="BI34" s="129">
        <f t="shared" si="248"/>
        <v>1</v>
      </c>
      <c r="BJ34" s="19">
        <f t="shared" si="238"/>
        <v>18</v>
      </c>
      <c r="BK34" s="129">
        <f>IF(AI34&lt;&gt;"",AI34-AH34,0)</f>
        <v>58</v>
      </c>
      <c r="BL34" s="129">
        <f>IF(AJ34&lt;&gt;"",AJ34-AI34,0)</f>
        <v>0</v>
      </c>
      <c r="BM34" s="408"/>
      <c r="BN34" s="48">
        <f>BP34</f>
        <v>112</v>
      </c>
      <c r="BO34" s="48">
        <f>BP34</f>
        <v>112</v>
      </c>
      <c r="BP34" s="48">
        <f>SUM(AL34:AN34)</f>
        <v>112</v>
      </c>
      <c r="BQ34" s="48">
        <f>BS34</f>
        <v>8</v>
      </c>
      <c r="BR34" s="48">
        <f>BS34</f>
        <v>8</v>
      </c>
      <c r="BS34" s="48">
        <f>SUM(AO34:AQ34)</f>
        <v>8</v>
      </c>
      <c r="BT34" s="48">
        <f>BV34</f>
        <v>15</v>
      </c>
      <c r="BU34" s="48">
        <f>BV34</f>
        <v>15</v>
      </c>
      <c r="BV34" s="48">
        <f>SUM(AR34:AT34)</f>
        <v>15</v>
      </c>
      <c r="BW34" s="48">
        <f>BY34</f>
        <v>11</v>
      </c>
      <c r="BX34" s="48">
        <f>BY34</f>
        <v>11</v>
      </c>
      <c r="BY34" s="48">
        <f>SUM(AU34:AW34)</f>
        <v>11</v>
      </c>
      <c r="BZ34" s="48">
        <f>CB34</f>
        <v>108</v>
      </c>
      <c r="CA34" s="48">
        <f>CB34</f>
        <v>108</v>
      </c>
      <c r="CB34" s="48">
        <f>SUM(AX34:AZ34)</f>
        <v>108</v>
      </c>
      <c r="CC34" s="48">
        <f>CE34</f>
        <v>12</v>
      </c>
      <c r="CD34" s="48">
        <f>CE34</f>
        <v>12</v>
      </c>
      <c r="CE34" s="48">
        <f>SUM(BA34:BC34)</f>
        <v>12</v>
      </c>
      <c r="CF34" s="48">
        <f>CH34</f>
        <v>12</v>
      </c>
      <c r="CG34" s="48">
        <f>CH34</f>
        <v>12</v>
      </c>
      <c r="CH34" s="48">
        <f>SUM(BD34:BF34)</f>
        <v>12</v>
      </c>
      <c r="CI34" s="48">
        <f>CK34</f>
        <v>5</v>
      </c>
      <c r="CJ34" s="48">
        <f>CK34</f>
        <v>5</v>
      </c>
      <c r="CK34" s="48">
        <f>SUM(BG34:BI34)</f>
        <v>5</v>
      </c>
      <c r="CL34" s="48">
        <f>CN34</f>
        <v>76</v>
      </c>
      <c r="CM34" s="48">
        <f>CN34</f>
        <v>76</v>
      </c>
      <c r="CN34" s="48">
        <f>SUM(BJ34:BL34)</f>
        <v>76</v>
      </c>
      <c r="CO34" s="406"/>
      <c r="CP34" s="21">
        <f>+AL34</f>
        <v>75</v>
      </c>
      <c r="CQ34" s="21">
        <f t="shared" si="242"/>
        <v>102</v>
      </c>
      <c r="CR34" s="21">
        <f t="shared" si="242"/>
        <v>112</v>
      </c>
      <c r="CS34" s="21">
        <f t="shared" ref="CS34:DA35" si="249">L34+AO34</f>
        <v>114</v>
      </c>
      <c r="CT34" s="21">
        <f t="shared" si="249"/>
        <v>117</v>
      </c>
      <c r="CU34" s="21">
        <f t="shared" si="249"/>
        <v>120</v>
      </c>
      <c r="CV34" s="21">
        <f t="shared" si="249"/>
        <v>122</v>
      </c>
      <c r="CW34" s="21">
        <f t="shared" si="249"/>
        <v>129</v>
      </c>
      <c r="CX34" s="21">
        <f t="shared" si="249"/>
        <v>135</v>
      </c>
      <c r="CY34" s="21">
        <f t="shared" si="249"/>
        <v>136</v>
      </c>
      <c r="CZ34" s="21">
        <f t="shared" si="249"/>
        <v>137</v>
      </c>
      <c r="DA34" s="21">
        <f t="shared" si="249"/>
        <v>146</v>
      </c>
      <c r="DB34" s="21">
        <f>AX34</f>
        <v>24</v>
      </c>
      <c r="DC34" s="21">
        <f t="shared" ref="DC34:DM35" si="250">V34+AY34</f>
        <v>98</v>
      </c>
      <c r="DD34" s="21">
        <f t="shared" si="250"/>
        <v>108</v>
      </c>
      <c r="DE34" s="21">
        <f t="shared" si="250"/>
        <v>113</v>
      </c>
      <c r="DF34" s="21">
        <f t="shared" si="250"/>
        <v>120</v>
      </c>
      <c r="DG34" s="21">
        <f t="shared" si="250"/>
        <v>120</v>
      </c>
      <c r="DH34" s="21">
        <f t="shared" si="250"/>
        <v>124</v>
      </c>
      <c r="DI34" s="21">
        <f t="shared" si="250"/>
        <v>127</v>
      </c>
      <c r="DJ34" s="21">
        <f t="shared" si="250"/>
        <v>132</v>
      </c>
      <c r="DK34" s="21">
        <f t="shared" si="250"/>
        <v>134</v>
      </c>
      <c r="DL34" s="21">
        <f t="shared" si="250"/>
        <v>136</v>
      </c>
      <c r="DM34" s="21">
        <f t="shared" si="250"/>
        <v>137</v>
      </c>
      <c r="DN34" s="21">
        <f>BJ34</f>
        <v>18</v>
      </c>
      <c r="DO34" s="21">
        <f t="shared" si="245"/>
        <v>76</v>
      </c>
      <c r="DP34" s="21"/>
      <c r="DQ34" s="248"/>
      <c r="DR34" s="248"/>
      <c r="DS34" s="248"/>
      <c r="DT34" s="248"/>
      <c r="DU34" s="248"/>
      <c r="DV34" s="248"/>
      <c r="DW34" s="248"/>
      <c r="DX34" s="248"/>
      <c r="DY34" s="248"/>
      <c r="ED34" s="429"/>
      <c r="EE34" s="23"/>
      <c r="EF34" s="23"/>
      <c r="EG34" s="23"/>
      <c r="EH34" s="237">
        <f t="shared" si="192"/>
        <v>58</v>
      </c>
      <c r="EI34" s="18">
        <f t="shared" si="193"/>
        <v>76</v>
      </c>
      <c r="EJ34" s="18">
        <f t="shared" si="194"/>
        <v>76</v>
      </c>
      <c r="EK34" s="24">
        <f t="shared" si="246"/>
        <v>0.16666666666666666</v>
      </c>
      <c r="EL34" s="14"/>
      <c r="EM34" s="14"/>
      <c r="EN34" s="14"/>
      <c r="EO34" s="46" t="str">
        <f>IF(EH34&lt;0,,IF(EH34&lt;EE12,"È",IF(EH34=EE12,"Æ","Ç")))</f>
        <v>Ç</v>
      </c>
      <c r="EP34" s="46" t="str">
        <f>IF(EI34&lt;0,,IF(EI34&lt;EF12,"È",IF(EI34=EF12,"Æ","Ç")))</f>
        <v>Ç</v>
      </c>
      <c r="EQ34" s="2">
        <f t="shared" si="198"/>
        <v>3</v>
      </c>
      <c r="ER34" s="2">
        <f>IF(EM34&gt;=0.9,1,IF(EM34&lt;0.75,3,2))</f>
        <v>3</v>
      </c>
      <c r="ES34" s="2">
        <f>IF(EN34&gt;=0.9,1,IF(EN34&lt;0.75,3,2))</f>
        <v>3</v>
      </c>
    </row>
    <row r="35" spans="1:149" ht="12.75" customHeight="1">
      <c r="A35" s="6" t="s">
        <v>23</v>
      </c>
      <c r="B35" s="2" t="s">
        <v>163</v>
      </c>
      <c r="C35" s="3" t="s">
        <v>62</v>
      </c>
      <c r="E35" s="3" t="s">
        <v>16</v>
      </c>
      <c r="G35" s="3" t="s">
        <v>91</v>
      </c>
      <c r="I35" s="23"/>
      <c r="J35" s="19">
        <v>65</v>
      </c>
      <c r="K35" s="19">
        <v>87</v>
      </c>
      <c r="L35" s="19">
        <v>96</v>
      </c>
      <c r="M35" s="19">
        <v>97</v>
      </c>
      <c r="N35" s="19">
        <v>99</v>
      </c>
      <c r="O35" s="19">
        <v>99</v>
      </c>
      <c r="P35" s="19">
        <v>100</v>
      </c>
      <c r="Q35" s="19">
        <v>103</v>
      </c>
      <c r="R35" s="19">
        <v>106</v>
      </c>
      <c r="S35" s="19">
        <v>109</v>
      </c>
      <c r="T35" s="19">
        <v>109</v>
      </c>
      <c r="U35" s="19">
        <v>117</v>
      </c>
      <c r="V35" s="31">
        <v>11</v>
      </c>
      <c r="W35" s="19">
        <v>84</v>
      </c>
      <c r="X35" s="19">
        <v>90</v>
      </c>
      <c r="Y35" s="326">
        <v>93</v>
      </c>
      <c r="Z35" s="19">
        <v>99</v>
      </c>
      <c r="AA35" s="19">
        <v>101</v>
      </c>
      <c r="AB35" s="19">
        <v>102</v>
      </c>
      <c r="AC35" s="19">
        <v>103</v>
      </c>
      <c r="AD35" s="19">
        <v>104</v>
      </c>
      <c r="AE35" s="19">
        <v>107</v>
      </c>
      <c r="AF35" s="19">
        <v>109</v>
      </c>
      <c r="AG35" s="19">
        <v>110</v>
      </c>
      <c r="AH35" s="31">
        <v>16</v>
      </c>
      <c r="AI35" s="19">
        <v>70</v>
      </c>
      <c r="AJ35" s="19"/>
      <c r="AK35" s="408"/>
      <c r="AL35" s="19">
        <f t="shared" si="228"/>
        <v>65</v>
      </c>
      <c r="AM35" s="19">
        <f>K35-J35</f>
        <v>22</v>
      </c>
      <c r="AN35" s="19">
        <f>L35-K35</f>
        <v>9</v>
      </c>
      <c r="AO35" s="19">
        <f>M35-L35</f>
        <v>1</v>
      </c>
      <c r="AP35" s="129">
        <f t="shared" si="247"/>
        <v>2</v>
      </c>
      <c r="AQ35" s="129">
        <f t="shared" si="247"/>
        <v>0</v>
      </c>
      <c r="AR35" s="129">
        <f t="shared" si="247"/>
        <v>1</v>
      </c>
      <c r="AS35" s="129">
        <f t="shared" si="247"/>
        <v>3</v>
      </c>
      <c r="AT35" s="129">
        <f t="shared" si="247"/>
        <v>3</v>
      </c>
      <c r="AU35" s="129">
        <f t="shared" si="247"/>
        <v>3</v>
      </c>
      <c r="AV35" s="129">
        <f t="shared" si="247"/>
        <v>0</v>
      </c>
      <c r="AW35" s="129">
        <f t="shared" si="247"/>
        <v>8</v>
      </c>
      <c r="AX35" s="19">
        <f t="shared" si="229"/>
        <v>11</v>
      </c>
      <c r="AY35" s="129">
        <f t="shared" si="248"/>
        <v>73</v>
      </c>
      <c r="AZ35" s="129">
        <f t="shared" si="248"/>
        <v>6</v>
      </c>
      <c r="BA35" s="129">
        <f t="shared" si="248"/>
        <v>3</v>
      </c>
      <c r="BB35" s="129">
        <f t="shared" si="248"/>
        <v>6</v>
      </c>
      <c r="BC35" s="129">
        <f t="shared" si="248"/>
        <v>2</v>
      </c>
      <c r="BD35" s="129">
        <f t="shared" si="248"/>
        <v>1</v>
      </c>
      <c r="BE35" s="129">
        <f t="shared" si="248"/>
        <v>1</v>
      </c>
      <c r="BF35" s="129">
        <f t="shared" si="248"/>
        <v>1</v>
      </c>
      <c r="BG35" s="129">
        <f t="shared" si="248"/>
        <v>3</v>
      </c>
      <c r="BH35" s="129">
        <f t="shared" si="248"/>
        <v>2</v>
      </c>
      <c r="BI35" s="129">
        <f t="shared" si="248"/>
        <v>1</v>
      </c>
      <c r="BJ35" s="19">
        <f t="shared" si="238"/>
        <v>16</v>
      </c>
      <c r="BK35" s="129">
        <f>IF(AI35&lt;&gt;"",AI35-AH35,0)</f>
        <v>54</v>
      </c>
      <c r="BL35" s="129">
        <f>IF(AJ35&lt;&gt;"",AJ35-AI35,0)</f>
        <v>0</v>
      </c>
      <c r="BM35" s="408"/>
      <c r="BN35" s="48">
        <f>BP35</f>
        <v>96</v>
      </c>
      <c r="BO35" s="48">
        <f>BP35</f>
        <v>96</v>
      </c>
      <c r="BP35" s="48">
        <f>SUM(AL35:AN35)</f>
        <v>96</v>
      </c>
      <c r="BQ35" s="48">
        <f>BS35</f>
        <v>3</v>
      </c>
      <c r="BR35" s="48">
        <f>BS35</f>
        <v>3</v>
      </c>
      <c r="BS35" s="48">
        <f>SUM(AO35:AQ35)</f>
        <v>3</v>
      </c>
      <c r="BT35" s="48">
        <f>BV35</f>
        <v>7</v>
      </c>
      <c r="BU35" s="48">
        <f>BV35</f>
        <v>7</v>
      </c>
      <c r="BV35" s="48">
        <f>SUM(AR35:AT35)</f>
        <v>7</v>
      </c>
      <c r="BW35" s="48">
        <f>BY35</f>
        <v>11</v>
      </c>
      <c r="BX35" s="48">
        <f>BY35</f>
        <v>11</v>
      </c>
      <c r="BY35" s="48">
        <f>SUM(AU35:AW35)</f>
        <v>11</v>
      </c>
      <c r="BZ35" s="48">
        <f>CB35</f>
        <v>90</v>
      </c>
      <c r="CA35" s="48">
        <f>CB35</f>
        <v>90</v>
      </c>
      <c r="CB35" s="48">
        <f>SUM(AX35:AZ35)</f>
        <v>90</v>
      </c>
      <c r="CC35" s="48">
        <f>CE35</f>
        <v>11</v>
      </c>
      <c r="CD35" s="48">
        <f>CE35</f>
        <v>11</v>
      </c>
      <c r="CE35" s="48">
        <f>SUM(BA35:BC35)</f>
        <v>11</v>
      </c>
      <c r="CF35" s="48">
        <f>CH35</f>
        <v>3</v>
      </c>
      <c r="CG35" s="48">
        <f>CH35</f>
        <v>3</v>
      </c>
      <c r="CH35" s="48">
        <f>SUM(BD35:BF35)</f>
        <v>3</v>
      </c>
      <c r="CI35" s="48">
        <f>CK35</f>
        <v>6</v>
      </c>
      <c r="CJ35" s="48">
        <f>CK35</f>
        <v>6</v>
      </c>
      <c r="CK35" s="48">
        <f>SUM(BG35:BI35)</f>
        <v>6</v>
      </c>
      <c r="CL35" s="48">
        <f>CN35</f>
        <v>70</v>
      </c>
      <c r="CM35" s="48">
        <f>CN35</f>
        <v>70</v>
      </c>
      <c r="CN35" s="48">
        <f>SUM(BJ35:BL35)</f>
        <v>70</v>
      </c>
      <c r="CO35" s="406"/>
      <c r="CP35" s="21">
        <f>+AL35</f>
        <v>65</v>
      </c>
      <c r="CQ35" s="21">
        <f t="shared" si="242"/>
        <v>87</v>
      </c>
      <c r="CR35" s="21">
        <f t="shared" si="242"/>
        <v>96</v>
      </c>
      <c r="CS35" s="21">
        <f t="shared" si="249"/>
        <v>97</v>
      </c>
      <c r="CT35" s="21">
        <f t="shared" si="249"/>
        <v>99</v>
      </c>
      <c r="CU35" s="21">
        <f t="shared" si="249"/>
        <v>99</v>
      </c>
      <c r="CV35" s="21">
        <f t="shared" si="249"/>
        <v>100</v>
      </c>
      <c r="CW35" s="21">
        <f t="shared" si="249"/>
        <v>103</v>
      </c>
      <c r="CX35" s="21">
        <f t="shared" si="249"/>
        <v>106</v>
      </c>
      <c r="CY35" s="21">
        <f t="shared" si="249"/>
        <v>109</v>
      </c>
      <c r="CZ35" s="21">
        <f t="shared" si="249"/>
        <v>109</v>
      </c>
      <c r="DA35" s="21">
        <f t="shared" si="249"/>
        <v>117</v>
      </c>
      <c r="DB35" s="21">
        <f>AX35</f>
        <v>11</v>
      </c>
      <c r="DC35" s="21">
        <f t="shared" si="250"/>
        <v>84</v>
      </c>
      <c r="DD35" s="21">
        <f t="shared" si="250"/>
        <v>90</v>
      </c>
      <c r="DE35" s="21">
        <f t="shared" si="250"/>
        <v>93</v>
      </c>
      <c r="DF35" s="21">
        <f t="shared" si="250"/>
        <v>99</v>
      </c>
      <c r="DG35" s="21">
        <f t="shared" si="250"/>
        <v>101</v>
      </c>
      <c r="DH35" s="21">
        <f t="shared" si="250"/>
        <v>102</v>
      </c>
      <c r="DI35" s="21">
        <f t="shared" si="250"/>
        <v>103</v>
      </c>
      <c r="DJ35" s="21">
        <f t="shared" si="250"/>
        <v>104</v>
      </c>
      <c r="DK35" s="21">
        <f t="shared" si="250"/>
        <v>107</v>
      </c>
      <c r="DL35" s="21">
        <f t="shared" si="250"/>
        <v>109</v>
      </c>
      <c r="DM35" s="21">
        <f t="shared" si="250"/>
        <v>110</v>
      </c>
      <c r="DN35" s="21">
        <f>BJ35</f>
        <v>16</v>
      </c>
      <c r="DO35" s="21">
        <f t="shared" si="245"/>
        <v>70</v>
      </c>
      <c r="DP35" s="21"/>
      <c r="DQ35" s="248"/>
      <c r="DR35" s="248"/>
      <c r="DS35" s="248"/>
      <c r="DT35" s="248"/>
      <c r="DU35" s="248"/>
      <c r="DV35" s="248"/>
      <c r="DW35" s="248"/>
      <c r="DX35" s="248"/>
      <c r="DY35" s="248"/>
      <c r="ED35" s="429"/>
      <c r="EE35" s="23"/>
      <c r="EF35" s="23"/>
      <c r="EG35" s="23"/>
      <c r="EH35" s="237">
        <f t="shared" si="192"/>
        <v>54</v>
      </c>
      <c r="EI35" s="18">
        <f t="shared" si="193"/>
        <v>70</v>
      </c>
      <c r="EJ35" s="18">
        <f t="shared" si="194"/>
        <v>70</v>
      </c>
      <c r="EK35" s="24">
        <f t="shared" si="246"/>
        <v>0.16666666666666666</v>
      </c>
      <c r="EL35" s="14"/>
      <c r="EM35" s="14"/>
      <c r="EN35" s="14"/>
      <c r="EO35" s="46" t="str">
        <f>IF(EH35&lt;0,,IF(EH35&lt;EE11,"È",IF(EH35=EE11,"Æ","Ç")))</f>
        <v>Ç</v>
      </c>
      <c r="EP35" s="46" t="str">
        <f>IF(EI35&lt;0,,IF(EI35&lt;EF11,"È",IF(EI35=EF11,"Æ","Ç")))</f>
        <v>Ç</v>
      </c>
      <c r="EQ35" s="2">
        <f t="shared" si="198"/>
        <v>3</v>
      </c>
      <c r="ER35" s="2">
        <f>IF(EM35&gt;=0.9,1,IF(EM35&lt;0.75,3,2))</f>
        <v>3</v>
      </c>
      <c r="ES35" s="2">
        <f>IF(EN35&gt;=0.9,1,IF(EN35&lt;0.75,3,2))</f>
        <v>3</v>
      </c>
    </row>
    <row r="36" spans="1:149" ht="12.75" customHeight="1">
      <c r="A36" s="6" t="s">
        <v>23</v>
      </c>
      <c r="B36" s="2" t="s">
        <v>6</v>
      </c>
      <c r="C36" s="3" t="s">
        <v>63</v>
      </c>
      <c r="E36" s="3" t="s">
        <v>16</v>
      </c>
      <c r="G36" s="3" t="s">
        <v>89</v>
      </c>
      <c r="I36" s="23"/>
      <c r="J36" s="19">
        <v>0</v>
      </c>
      <c r="K36" s="19">
        <v>1</v>
      </c>
      <c r="L36" s="19">
        <v>0</v>
      </c>
      <c r="M36" s="19">
        <v>1</v>
      </c>
      <c r="N36" s="19">
        <v>0</v>
      </c>
      <c r="O36" s="19">
        <v>0</v>
      </c>
      <c r="P36" s="19">
        <v>0</v>
      </c>
      <c r="Q36" s="19">
        <v>0</v>
      </c>
      <c r="R36" s="19">
        <v>0</v>
      </c>
      <c r="S36" s="19">
        <v>2</v>
      </c>
      <c r="T36" s="19">
        <v>0</v>
      </c>
      <c r="U36" s="19">
        <v>0</v>
      </c>
      <c r="V36" s="31">
        <v>0</v>
      </c>
      <c r="W36" s="19">
        <v>2</v>
      </c>
      <c r="X36" s="19">
        <v>0</v>
      </c>
      <c r="Y36" s="326">
        <v>0</v>
      </c>
      <c r="Z36" s="19">
        <v>1</v>
      </c>
      <c r="AA36" s="263">
        <v>1E-4</v>
      </c>
      <c r="AB36" s="263">
        <v>1E-4</v>
      </c>
      <c r="AC36" s="19">
        <v>0</v>
      </c>
      <c r="AD36" s="19">
        <v>0</v>
      </c>
      <c r="AE36" s="19">
        <v>0</v>
      </c>
      <c r="AF36" s="19">
        <v>0</v>
      </c>
      <c r="AG36" s="19">
        <v>0</v>
      </c>
      <c r="AH36" s="31">
        <v>0</v>
      </c>
      <c r="AI36" s="19">
        <v>0</v>
      </c>
      <c r="AJ36" s="19"/>
      <c r="AK36" s="408"/>
      <c r="AL36" s="19">
        <f t="shared" si="228"/>
        <v>0</v>
      </c>
      <c r="AM36" s="19">
        <f t="shared" ref="AM36:AO37" si="251">K36</f>
        <v>1</v>
      </c>
      <c r="AN36" s="19">
        <f t="shared" si="251"/>
        <v>0</v>
      </c>
      <c r="AO36" s="19">
        <f t="shared" si="251"/>
        <v>1</v>
      </c>
      <c r="AP36" s="246">
        <f t="shared" ref="AP36:AV36" si="252">N36</f>
        <v>0</v>
      </c>
      <c r="AQ36" s="246">
        <f t="shared" si="252"/>
        <v>0</v>
      </c>
      <c r="AR36" s="246">
        <f t="shared" si="252"/>
        <v>0</v>
      </c>
      <c r="AS36" s="246">
        <f t="shared" si="252"/>
        <v>0</v>
      </c>
      <c r="AT36" s="246">
        <f t="shared" si="252"/>
        <v>0</v>
      </c>
      <c r="AU36" s="246">
        <f t="shared" si="252"/>
        <v>2</v>
      </c>
      <c r="AV36" s="246">
        <f t="shared" si="252"/>
        <v>0</v>
      </c>
      <c r="AW36" s="376">
        <f>U36</f>
        <v>0</v>
      </c>
      <c r="AX36" s="376">
        <f t="shared" si="229"/>
        <v>0</v>
      </c>
      <c r="AY36" s="376">
        <f t="shared" ref="AY36:BI36" si="253">W36</f>
        <v>2</v>
      </c>
      <c r="AZ36" s="376">
        <f t="shared" si="253"/>
        <v>0</v>
      </c>
      <c r="BA36" s="376">
        <f t="shared" si="253"/>
        <v>0</v>
      </c>
      <c r="BB36" s="376">
        <f t="shared" si="253"/>
        <v>1</v>
      </c>
      <c r="BC36" s="376">
        <f t="shared" si="253"/>
        <v>1E-4</v>
      </c>
      <c r="BD36" s="376">
        <f t="shared" si="253"/>
        <v>1E-4</v>
      </c>
      <c r="BE36" s="376">
        <f t="shared" si="253"/>
        <v>0</v>
      </c>
      <c r="BF36" s="376">
        <f t="shared" si="253"/>
        <v>0</v>
      </c>
      <c r="BG36" s="376">
        <f t="shared" si="253"/>
        <v>0</v>
      </c>
      <c r="BH36" s="376">
        <f t="shared" si="253"/>
        <v>0</v>
      </c>
      <c r="BI36" s="376">
        <f t="shared" si="253"/>
        <v>0</v>
      </c>
      <c r="BJ36" s="376">
        <f t="shared" si="238"/>
        <v>0</v>
      </c>
      <c r="BK36" s="376">
        <f>AI36</f>
        <v>0</v>
      </c>
      <c r="BL36" s="376">
        <f>AJ36</f>
        <v>0</v>
      </c>
      <c r="BM36" s="408"/>
      <c r="BN36" s="48">
        <f t="shared" si="201"/>
        <v>1</v>
      </c>
      <c r="BO36" s="48">
        <f t="shared" si="202"/>
        <v>1</v>
      </c>
      <c r="BP36" s="48">
        <f t="shared" si="203"/>
        <v>1</v>
      </c>
      <c r="BQ36" s="48">
        <f t="shared" si="204"/>
        <v>1</v>
      </c>
      <c r="BR36" s="48">
        <f t="shared" si="205"/>
        <v>1</v>
      </c>
      <c r="BS36" s="48">
        <f>SUM(M36:O36)</f>
        <v>1</v>
      </c>
      <c r="BT36" s="48">
        <f t="shared" si="207"/>
        <v>0</v>
      </c>
      <c r="BU36" s="48">
        <f t="shared" si="208"/>
        <v>0</v>
      </c>
      <c r="BV36" s="48">
        <f t="shared" si="209"/>
        <v>0</v>
      </c>
      <c r="BW36" s="48">
        <f t="shared" si="210"/>
        <v>2</v>
      </c>
      <c r="BX36" s="48">
        <f t="shared" si="211"/>
        <v>2</v>
      </c>
      <c r="BY36" s="48">
        <f t="shared" si="212"/>
        <v>2</v>
      </c>
      <c r="BZ36" s="48">
        <f t="shared" si="213"/>
        <v>2</v>
      </c>
      <c r="CA36" s="48">
        <f t="shared" si="214"/>
        <v>2</v>
      </c>
      <c r="CB36" s="48">
        <f t="shared" si="215"/>
        <v>2</v>
      </c>
      <c r="CC36" s="48">
        <f t="shared" si="216"/>
        <v>1.0001</v>
      </c>
      <c r="CD36" s="48">
        <f t="shared" si="217"/>
        <v>1.0001</v>
      </c>
      <c r="CE36" s="48">
        <f t="shared" si="218"/>
        <v>1.0001</v>
      </c>
      <c r="CF36" s="48">
        <f t="shared" si="219"/>
        <v>1E-4</v>
      </c>
      <c r="CG36" s="48">
        <f t="shared" si="220"/>
        <v>1E-4</v>
      </c>
      <c r="CH36" s="48">
        <f t="shared" si="221"/>
        <v>1E-4</v>
      </c>
      <c r="CI36" s="48">
        <f t="shared" si="222"/>
        <v>0</v>
      </c>
      <c r="CJ36" s="48">
        <f t="shared" si="223"/>
        <v>0</v>
      </c>
      <c r="CK36" s="48">
        <f t="shared" si="224"/>
        <v>0</v>
      </c>
      <c r="CL36" s="48">
        <f t="shared" si="225"/>
        <v>0</v>
      </c>
      <c r="CM36" s="48">
        <f t="shared" si="226"/>
        <v>0</v>
      </c>
      <c r="CN36" s="48">
        <f t="shared" si="227"/>
        <v>0</v>
      </c>
      <c r="CO36" s="406"/>
      <c r="CP36" s="21">
        <f>+J36</f>
        <v>0</v>
      </c>
      <c r="CQ36" s="21">
        <f>+CP36+K36</f>
        <v>1</v>
      </c>
      <c r="CR36" s="21">
        <f t="shared" ref="CR36:DA36" si="254">+CQ36+L36</f>
        <v>1</v>
      </c>
      <c r="CS36" s="21">
        <f t="shared" si="254"/>
        <v>2</v>
      </c>
      <c r="CT36" s="21">
        <f t="shared" si="254"/>
        <v>2</v>
      </c>
      <c r="CU36" s="21">
        <f t="shared" si="254"/>
        <v>2</v>
      </c>
      <c r="CV36" s="21">
        <f t="shared" si="254"/>
        <v>2</v>
      </c>
      <c r="CW36" s="21">
        <f t="shared" si="254"/>
        <v>2</v>
      </c>
      <c r="CX36" s="21">
        <f t="shared" si="254"/>
        <v>2</v>
      </c>
      <c r="CY36" s="21">
        <f t="shared" si="254"/>
        <v>4</v>
      </c>
      <c r="CZ36" s="21">
        <f t="shared" si="254"/>
        <v>4</v>
      </c>
      <c r="DA36" s="21">
        <f t="shared" si="254"/>
        <v>4</v>
      </c>
      <c r="DB36" s="305">
        <f>+V36</f>
        <v>0</v>
      </c>
      <c r="DC36" s="21">
        <f t="shared" ref="DC36:DM36" si="255">+DB36+W36</f>
        <v>2</v>
      </c>
      <c r="DD36" s="21">
        <f t="shared" si="255"/>
        <v>2</v>
      </c>
      <c r="DE36" s="21">
        <f t="shared" si="255"/>
        <v>2</v>
      </c>
      <c r="DF36" s="21">
        <f t="shared" si="255"/>
        <v>3</v>
      </c>
      <c r="DG36" s="21">
        <f t="shared" si="255"/>
        <v>3.0001000000000002</v>
      </c>
      <c r="DH36" s="21">
        <f t="shared" si="255"/>
        <v>3.0002000000000004</v>
      </c>
      <c r="DI36" s="21">
        <f t="shared" si="255"/>
        <v>3.0002000000000004</v>
      </c>
      <c r="DJ36" s="21">
        <f t="shared" si="255"/>
        <v>3.0002000000000004</v>
      </c>
      <c r="DK36" s="21">
        <f t="shared" si="255"/>
        <v>3.0002000000000004</v>
      </c>
      <c r="DL36" s="21">
        <f t="shared" si="255"/>
        <v>3.0002000000000004</v>
      </c>
      <c r="DM36" s="21">
        <f t="shared" si="255"/>
        <v>3.0002000000000004</v>
      </c>
      <c r="DN36" s="21">
        <f>BJ36</f>
        <v>0</v>
      </c>
      <c r="DO36" s="21">
        <f>DN36+BK36</f>
        <v>0</v>
      </c>
      <c r="DP36" s="21"/>
      <c r="DQ36" s="248"/>
      <c r="DR36" s="248"/>
      <c r="DS36" s="248"/>
      <c r="DT36" s="248"/>
      <c r="DU36" s="248"/>
      <c r="DV36" s="248"/>
      <c r="DW36" s="248"/>
      <c r="DX36" s="248"/>
      <c r="DY36" s="248"/>
      <c r="ED36" s="429"/>
      <c r="EE36" s="23"/>
      <c r="EF36" s="23"/>
      <c r="EG36" s="23"/>
      <c r="EH36" s="237">
        <f t="shared" si="192"/>
        <v>0</v>
      </c>
      <c r="EI36" s="18">
        <f t="shared" si="193"/>
        <v>0</v>
      </c>
      <c r="EJ36" s="18">
        <f t="shared" si="194"/>
        <v>0</v>
      </c>
      <c r="EK36" s="24">
        <f t="shared" si="246"/>
        <v>0.16666666666666666</v>
      </c>
      <c r="EL36" s="14" t="e">
        <f t="shared" ref="EL36:EM42" si="256">EH36/EE11</f>
        <v>#DIV/0!</v>
      </c>
      <c r="EM36" s="14" t="e">
        <f t="shared" si="256"/>
        <v>#DIV/0!</v>
      </c>
      <c r="EN36" s="14">
        <f>EJ36/EK36/EG11</f>
        <v>0</v>
      </c>
      <c r="EO36" s="46" t="str">
        <f t="shared" ref="EO36:EO48" si="257">IF(EH36&lt;0,,IF(EH36&lt;EE11,"È",IF(EH36=EE11,"Æ","Ç")))</f>
        <v>Æ</v>
      </c>
      <c r="EP36" s="46" t="str">
        <f t="shared" ref="EP36:EP48" si="258">IF(EI36&lt;0,,IF(EI36&lt;EF11,"È",IF(EI36=EF11,"Æ","Ç")))</f>
        <v>Æ</v>
      </c>
      <c r="EQ36" s="2" t="e">
        <f t="shared" si="198"/>
        <v>#DIV/0!</v>
      </c>
      <c r="ER36" s="2" t="e">
        <f t="shared" si="199"/>
        <v>#DIV/0!</v>
      </c>
      <c r="ES36" s="2">
        <f t="shared" si="200"/>
        <v>3</v>
      </c>
    </row>
    <row r="37" spans="1:149" s="14" customFormat="1" ht="12.75" customHeight="1">
      <c r="A37" s="15" t="s">
        <v>23</v>
      </c>
      <c r="B37" s="14" t="s">
        <v>7</v>
      </c>
      <c r="C37" s="16" t="s">
        <v>64</v>
      </c>
      <c r="D37" s="16"/>
      <c r="E37" s="16" t="s">
        <v>16</v>
      </c>
      <c r="F37" s="16"/>
      <c r="G37" s="16" t="s">
        <v>89</v>
      </c>
      <c r="H37" s="16"/>
      <c r="I37" s="24"/>
      <c r="J37" s="25">
        <v>0</v>
      </c>
      <c r="K37" s="25">
        <v>1</v>
      </c>
      <c r="L37" s="25">
        <v>0</v>
      </c>
      <c r="M37" s="25">
        <v>1</v>
      </c>
      <c r="N37" s="25">
        <v>0</v>
      </c>
      <c r="O37" s="25">
        <v>0</v>
      </c>
      <c r="P37" s="25">
        <v>0</v>
      </c>
      <c r="Q37" s="25">
        <v>0</v>
      </c>
      <c r="R37" s="25">
        <v>0</v>
      </c>
      <c r="S37" s="25">
        <v>0.5</v>
      </c>
      <c r="T37" s="25">
        <v>0</v>
      </c>
      <c r="U37" s="25">
        <v>0</v>
      </c>
      <c r="V37" s="33">
        <v>0</v>
      </c>
      <c r="W37" s="25">
        <v>1</v>
      </c>
      <c r="X37" s="25">
        <v>0</v>
      </c>
      <c r="Y37" s="327">
        <v>0</v>
      </c>
      <c r="Z37" s="25">
        <v>1</v>
      </c>
      <c r="AA37" s="25">
        <v>0</v>
      </c>
      <c r="AB37" s="25">
        <v>0</v>
      </c>
      <c r="AC37" s="25">
        <v>0</v>
      </c>
      <c r="AD37" s="25">
        <v>0</v>
      </c>
      <c r="AE37" s="25">
        <v>0</v>
      </c>
      <c r="AF37" s="25">
        <v>0</v>
      </c>
      <c r="AG37" s="25">
        <v>0</v>
      </c>
      <c r="AH37" s="220">
        <v>0</v>
      </c>
      <c r="AI37" s="377">
        <v>0</v>
      </c>
      <c r="AJ37" s="25"/>
      <c r="AK37" s="412"/>
      <c r="AL37" s="14">
        <f t="shared" si="228"/>
        <v>0</v>
      </c>
      <c r="AM37" s="14">
        <f t="shared" si="251"/>
        <v>1</v>
      </c>
      <c r="AN37" s="14">
        <f t="shared" si="251"/>
        <v>0</v>
      </c>
      <c r="AO37" s="14">
        <f t="shared" si="251"/>
        <v>1</v>
      </c>
      <c r="AP37" s="129">
        <f>IF(N37&lt;&gt;"",N37,0)</f>
        <v>0</v>
      </c>
      <c r="AQ37" s="129">
        <f t="shared" ref="AQ37:AW37" si="259">IF(O37&lt;&gt;"",O37,0)</f>
        <v>0</v>
      </c>
      <c r="AR37" s="129">
        <f t="shared" si="259"/>
        <v>0</v>
      </c>
      <c r="AS37" s="129">
        <f t="shared" si="259"/>
        <v>0</v>
      </c>
      <c r="AT37" s="129">
        <f t="shared" si="259"/>
        <v>0</v>
      </c>
      <c r="AU37" s="129">
        <f t="shared" si="259"/>
        <v>0.5</v>
      </c>
      <c r="AV37" s="129">
        <f t="shared" si="259"/>
        <v>0</v>
      </c>
      <c r="AW37" s="129">
        <f t="shared" si="259"/>
        <v>0</v>
      </c>
      <c r="AX37" s="14">
        <f t="shared" si="229"/>
        <v>0</v>
      </c>
      <c r="AY37" s="129">
        <f t="shared" si="184"/>
        <v>1</v>
      </c>
      <c r="AZ37" s="383">
        <v>0</v>
      </c>
      <c r="BA37" s="383">
        <f t="shared" ref="BA37:BI37" si="260">IF(Y37&lt;&gt;"",Y37,0)</f>
        <v>0</v>
      </c>
      <c r="BB37" s="129">
        <f t="shared" si="260"/>
        <v>1</v>
      </c>
      <c r="BC37" s="129">
        <f t="shared" si="260"/>
        <v>0</v>
      </c>
      <c r="BD37" s="129">
        <f t="shared" si="260"/>
        <v>0</v>
      </c>
      <c r="BE37" s="129">
        <f t="shared" si="260"/>
        <v>0</v>
      </c>
      <c r="BF37" s="129">
        <f t="shared" si="260"/>
        <v>0</v>
      </c>
      <c r="BG37" s="129">
        <f t="shared" si="260"/>
        <v>0</v>
      </c>
      <c r="BH37" s="129">
        <f t="shared" si="260"/>
        <v>0</v>
      </c>
      <c r="BI37" s="129">
        <f t="shared" si="260"/>
        <v>0</v>
      </c>
      <c r="BJ37" s="14">
        <f t="shared" si="238"/>
        <v>0</v>
      </c>
      <c r="BK37" s="129">
        <f t="shared" si="187"/>
        <v>0</v>
      </c>
      <c r="BL37" s="129">
        <f t="shared" si="188"/>
        <v>0</v>
      </c>
      <c r="BM37" s="410"/>
      <c r="BN37" s="56">
        <f t="shared" si="201"/>
        <v>1</v>
      </c>
      <c r="BO37" s="56">
        <f t="shared" si="202"/>
        <v>1</v>
      </c>
      <c r="BP37" s="56">
        <f>(AL37*AL36+AM37*AM36+AN37*AN36)/BP36</f>
        <v>1</v>
      </c>
      <c r="BQ37" s="56">
        <f t="shared" si="204"/>
        <v>1</v>
      </c>
      <c r="BR37" s="56">
        <f t="shared" si="205"/>
        <v>1</v>
      </c>
      <c r="BS37" s="56">
        <f>(AO37*AO36+AP37*AP36+AQ37*AQ36)/BS36</f>
        <v>1</v>
      </c>
      <c r="BT37" s="56" t="str">
        <f t="shared" si="207"/>
        <v>0</v>
      </c>
      <c r="BU37" s="56" t="str">
        <f t="shared" si="208"/>
        <v>0</v>
      </c>
      <c r="BV37" s="56" t="str">
        <f>IF(BV36=0,"0",(AR37*AR36+AS37*AS36+AT37*AT36)/BV36)</f>
        <v>0</v>
      </c>
      <c r="BW37" s="56">
        <f t="shared" si="210"/>
        <v>0.5</v>
      </c>
      <c r="BX37" s="56">
        <f t="shared" si="211"/>
        <v>0.5</v>
      </c>
      <c r="BY37" s="56">
        <f>(AU37*AU36+AV37*AV36+AW37*AW36)/BY36</f>
        <v>0.5</v>
      </c>
      <c r="BZ37" s="56">
        <f t="shared" si="213"/>
        <v>1</v>
      </c>
      <c r="CA37" s="56">
        <f t="shared" si="214"/>
        <v>1</v>
      </c>
      <c r="CB37" s="56">
        <f>IF(CB36&lt;&gt;0,(AX37*AX36+AY37*AY36+AZ37*AZ36)/CB36,0)</f>
        <v>1</v>
      </c>
      <c r="CC37" s="56">
        <f>IF(CC36&lt;&gt;0,(AY37*AY36+AZ37*AZ36+BA37*BA36)/CC36,0)</f>
        <v>1.9998000199980002</v>
      </c>
      <c r="CD37" s="56">
        <f>IF(CD36&lt;&gt;0,(AZ37*AZ36+BA37*BA36+BB37*BB36)/CD36,0)</f>
        <v>0.99990000999900008</v>
      </c>
      <c r="CE37" s="56">
        <f>IF(CE36&lt;&gt;0,(BA37*BA36+BB37*BB36+BC37*BC36)/CE36,0)</f>
        <v>0.99990000999900008</v>
      </c>
      <c r="CF37" s="56">
        <f t="shared" si="219"/>
        <v>0</v>
      </c>
      <c r="CG37" s="56">
        <f t="shared" si="220"/>
        <v>0</v>
      </c>
      <c r="CH37" s="56">
        <f>(BD37*BD36+BE37*BE36+BF37*BF36)/CH36</f>
        <v>0</v>
      </c>
      <c r="CI37" s="56" t="str">
        <f t="shared" ref="CI37:CN37" si="261">IF(CI36=0,"0%",(BE37*BE36+BF37*BF36+BG37*BG36)/CI36)</f>
        <v>0%</v>
      </c>
      <c r="CJ37" s="56" t="str">
        <f t="shared" si="261"/>
        <v>0%</v>
      </c>
      <c r="CK37" s="56" t="str">
        <f t="shared" si="261"/>
        <v>0%</v>
      </c>
      <c r="CL37" s="56" t="str">
        <f t="shared" si="261"/>
        <v>0%</v>
      </c>
      <c r="CM37" s="56" t="str">
        <f t="shared" si="261"/>
        <v>0%</v>
      </c>
      <c r="CN37" s="56" t="str">
        <f t="shared" si="261"/>
        <v>0%</v>
      </c>
      <c r="CO37" s="422"/>
      <c r="CP37" s="25">
        <f>J37</f>
        <v>0</v>
      </c>
      <c r="CQ37" s="25">
        <f t="shared" ref="CQ37:DA37" si="262">CQ49/CQ36</f>
        <v>1</v>
      </c>
      <c r="CR37" s="25">
        <f t="shared" si="262"/>
        <v>1</v>
      </c>
      <c r="CS37" s="25">
        <f t="shared" si="262"/>
        <v>1</v>
      </c>
      <c r="CT37" s="25">
        <f t="shared" si="262"/>
        <v>1</v>
      </c>
      <c r="CU37" s="25">
        <f t="shared" si="262"/>
        <v>1</v>
      </c>
      <c r="CV37" s="25">
        <f t="shared" si="262"/>
        <v>1</v>
      </c>
      <c r="CW37" s="25">
        <f t="shared" si="262"/>
        <v>1</v>
      </c>
      <c r="CX37" s="25">
        <f t="shared" si="262"/>
        <v>1</v>
      </c>
      <c r="CY37" s="25">
        <f t="shared" si="262"/>
        <v>0.75</v>
      </c>
      <c r="CZ37" s="25">
        <f t="shared" si="262"/>
        <v>0.75</v>
      </c>
      <c r="DA37" s="25">
        <f t="shared" si="262"/>
        <v>0.75</v>
      </c>
      <c r="DB37" s="25">
        <f>IF(DB36&lt;&gt;0,DB49/DB36,0)</f>
        <v>0</v>
      </c>
      <c r="DC37" s="250">
        <f t="shared" ref="DC37:DO37" si="263">IF(DC36&lt;&gt;0,DC49/DC36,0)</f>
        <v>1</v>
      </c>
      <c r="DD37" s="250">
        <f t="shared" si="263"/>
        <v>1</v>
      </c>
      <c r="DE37" s="250">
        <f t="shared" si="263"/>
        <v>1</v>
      </c>
      <c r="DF37" s="250">
        <f t="shared" si="263"/>
        <v>1</v>
      </c>
      <c r="DG37" s="250">
        <f t="shared" si="263"/>
        <v>0.99996666777774068</v>
      </c>
      <c r="DH37" s="250">
        <f t="shared" si="263"/>
        <v>0.99993333777748139</v>
      </c>
      <c r="DI37" s="250">
        <f t="shared" si="263"/>
        <v>0.99993333777748139</v>
      </c>
      <c r="DJ37" s="250">
        <f t="shared" si="263"/>
        <v>0.99993333777748139</v>
      </c>
      <c r="DK37" s="250">
        <f t="shared" si="263"/>
        <v>0.99993333777748139</v>
      </c>
      <c r="DL37" s="250">
        <f t="shared" si="263"/>
        <v>0.99993333777748139</v>
      </c>
      <c r="DM37" s="250">
        <f t="shared" si="263"/>
        <v>0.99993333777748139</v>
      </c>
      <c r="DN37" s="250">
        <f t="shared" si="263"/>
        <v>0</v>
      </c>
      <c r="DO37" s="250">
        <f t="shared" si="263"/>
        <v>0</v>
      </c>
      <c r="DP37" s="250"/>
      <c r="DQ37" s="377"/>
      <c r="DR37" s="377"/>
      <c r="DS37" s="377"/>
      <c r="DT37" s="377"/>
      <c r="DU37" s="377"/>
      <c r="DV37" s="377"/>
      <c r="DW37" s="377"/>
      <c r="DX37" s="377"/>
      <c r="DY37" s="377"/>
      <c r="ED37" s="430"/>
      <c r="EE37" s="24"/>
      <c r="EF37" s="24"/>
      <c r="EG37" s="24"/>
      <c r="EH37" s="25">
        <f t="shared" si="192"/>
        <v>0</v>
      </c>
      <c r="EI37" s="377" t="str">
        <f t="shared" si="193"/>
        <v>0%</v>
      </c>
      <c r="EJ37" s="377">
        <f t="shared" si="194"/>
        <v>0</v>
      </c>
      <c r="EK37" s="24">
        <f t="shared" si="246"/>
        <v>0.16666666666666666</v>
      </c>
      <c r="EL37" s="14">
        <f>EH37</f>
        <v>0</v>
      </c>
      <c r="EM37" s="14" t="str">
        <f>EI37</f>
        <v>0%</v>
      </c>
      <c r="EN37" s="14">
        <f>EJ37</f>
        <v>0</v>
      </c>
      <c r="EO37" s="46" t="str">
        <f t="shared" si="257"/>
        <v>È</v>
      </c>
      <c r="EP37" s="46" t="str">
        <f>IF(EI37&lt;0,,IF(EI37&gt;EF12,"È",IF(EI37=EF12,"Æ","Ç")))</f>
        <v>È</v>
      </c>
      <c r="EQ37" s="2">
        <f t="shared" si="198"/>
        <v>3</v>
      </c>
      <c r="ER37" s="2">
        <f t="shared" si="199"/>
        <v>1</v>
      </c>
      <c r="ES37" s="2">
        <f t="shared" si="200"/>
        <v>3</v>
      </c>
    </row>
    <row r="38" spans="1:149" ht="12.75" customHeight="1">
      <c r="A38" s="6" t="s">
        <v>23</v>
      </c>
      <c r="B38" s="2" t="s">
        <v>8</v>
      </c>
      <c r="C38" s="3" t="s">
        <v>87</v>
      </c>
      <c r="E38" s="3" t="s">
        <v>16</v>
      </c>
      <c r="G38" s="3" t="s">
        <v>91</v>
      </c>
      <c r="I38" s="23"/>
      <c r="J38" s="19">
        <v>0</v>
      </c>
      <c r="K38" s="19">
        <v>0</v>
      </c>
      <c r="L38" s="19">
        <v>0</v>
      </c>
      <c r="M38" s="19">
        <v>0</v>
      </c>
      <c r="N38" s="19">
        <v>0</v>
      </c>
      <c r="O38" s="19">
        <v>0</v>
      </c>
      <c r="P38" s="19">
        <v>0</v>
      </c>
      <c r="Q38" s="19">
        <v>2</v>
      </c>
      <c r="R38" s="19">
        <v>2</v>
      </c>
      <c r="S38" s="19">
        <v>2</v>
      </c>
      <c r="T38" s="19">
        <v>2</v>
      </c>
      <c r="U38" s="19">
        <v>2</v>
      </c>
      <c r="V38" s="31">
        <v>15</v>
      </c>
      <c r="W38" s="19">
        <v>17</v>
      </c>
      <c r="X38" s="19">
        <v>18</v>
      </c>
      <c r="Y38" s="326">
        <v>18</v>
      </c>
      <c r="Z38" s="19">
        <v>19</v>
      </c>
      <c r="AA38" s="19">
        <v>19</v>
      </c>
      <c r="AB38" s="19">
        <v>19</v>
      </c>
      <c r="AC38" s="19">
        <v>21</v>
      </c>
      <c r="AD38" s="19">
        <v>21</v>
      </c>
      <c r="AE38" s="19">
        <v>21</v>
      </c>
      <c r="AF38" s="19">
        <v>21</v>
      </c>
      <c r="AG38" s="19">
        <v>21</v>
      </c>
      <c r="AH38" s="31">
        <v>0</v>
      </c>
      <c r="AI38" s="19">
        <v>0</v>
      </c>
      <c r="AJ38" s="19"/>
      <c r="AK38" s="408"/>
      <c r="AL38" s="19">
        <f t="shared" si="228"/>
        <v>0</v>
      </c>
      <c r="AM38" s="19">
        <f>K38-J38</f>
        <v>0</v>
      </c>
      <c r="AN38" s="19">
        <f t="shared" ref="AN38:AN44" si="264">L38-K38</f>
        <v>0</v>
      </c>
      <c r="AO38" s="19">
        <f t="shared" ref="AO38:AO44" si="265">M38-L38</f>
        <v>0</v>
      </c>
      <c r="AP38" s="129">
        <f t="shared" ref="AP38:AQ46" si="266">IF(N38&lt;&gt;"",N38-M38,0)</f>
        <v>0</v>
      </c>
      <c r="AQ38" s="129">
        <f t="shared" si="266"/>
        <v>0</v>
      </c>
      <c r="AR38" s="129">
        <f t="shared" si="178"/>
        <v>0</v>
      </c>
      <c r="AS38" s="129">
        <f t="shared" si="179"/>
        <v>2</v>
      </c>
      <c r="AT38" s="129">
        <f t="shared" si="180"/>
        <v>0</v>
      </c>
      <c r="AU38" s="129">
        <f t="shared" si="181"/>
        <v>0</v>
      </c>
      <c r="AV38" s="129">
        <f t="shared" si="182"/>
        <v>0</v>
      </c>
      <c r="AW38" s="129">
        <f t="shared" si="183"/>
        <v>0</v>
      </c>
      <c r="AX38" s="19">
        <f t="shared" si="229"/>
        <v>15</v>
      </c>
      <c r="AY38" s="129">
        <f t="shared" si="184"/>
        <v>2</v>
      </c>
      <c r="AZ38" s="129">
        <f t="shared" si="185"/>
        <v>1</v>
      </c>
      <c r="BA38" s="129">
        <f t="shared" si="230"/>
        <v>0</v>
      </c>
      <c r="BB38" s="129">
        <f t="shared" si="231"/>
        <v>1</v>
      </c>
      <c r="BC38" s="129">
        <f t="shared" si="241"/>
        <v>0</v>
      </c>
      <c r="BD38" s="129">
        <f t="shared" si="232"/>
        <v>0</v>
      </c>
      <c r="BE38" s="129">
        <f t="shared" si="233"/>
        <v>2</v>
      </c>
      <c r="BF38" s="129">
        <f t="shared" si="234"/>
        <v>0</v>
      </c>
      <c r="BG38" s="129">
        <f t="shared" si="235"/>
        <v>0</v>
      </c>
      <c r="BH38" s="129">
        <f t="shared" si="236"/>
        <v>0</v>
      </c>
      <c r="BI38" s="129">
        <f t="shared" si="237"/>
        <v>0</v>
      </c>
      <c r="BJ38" s="19">
        <f t="shared" si="238"/>
        <v>0</v>
      </c>
      <c r="BK38" s="129">
        <f t="shared" si="187"/>
        <v>0</v>
      </c>
      <c r="BL38" s="129">
        <f t="shared" si="188"/>
        <v>0</v>
      </c>
      <c r="BM38" s="408"/>
      <c r="BN38" s="48">
        <f t="shared" si="201"/>
        <v>0</v>
      </c>
      <c r="BO38" s="48">
        <f t="shared" si="202"/>
        <v>0</v>
      </c>
      <c r="BP38" s="48">
        <f t="shared" si="203"/>
        <v>0</v>
      </c>
      <c r="BQ38" s="48">
        <f t="shared" si="204"/>
        <v>0</v>
      </c>
      <c r="BR38" s="48">
        <f t="shared" si="205"/>
        <v>0</v>
      </c>
      <c r="BS38" s="48">
        <f t="shared" ref="BS38:BS43" si="267">SUM(AO38:AQ38)</f>
        <v>0</v>
      </c>
      <c r="BT38" s="48">
        <f t="shared" si="207"/>
        <v>2</v>
      </c>
      <c r="BU38" s="48">
        <f t="shared" si="208"/>
        <v>2</v>
      </c>
      <c r="BV38" s="48">
        <f t="shared" ref="BV38:BV43" si="268">SUM(AR38:AT38)</f>
        <v>2</v>
      </c>
      <c r="BW38" s="48">
        <f t="shared" si="210"/>
        <v>0</v>
      </c>
      <c r="BX38" s="48">
        <f t="shared" si="211"/>
        <v>0</v>
      </c>
      <c r="BY38" s="48">
        <f t="shared" ref="BY38:BY43" si="269">SUM(AU38:AW38)</f>
        <v>0</v>
      </c>
      <c r="BZ38" s="48">
        <f t="shared" si="213"/>
        <v>18</v>
      </c>
      <c r="CA38" s="48">
        <f t="shared" si="214"/>
        <v>18</v>
      </c>
      <c r="CB38" s="48">
        <f t="shared" ref="CB38:CB43" si="270">SUM(AX38:AZ38)</f>
        <v>18</v>
      </c>
      <c r="CC38" s="48">
        <f t="shared" si="216"/>
        <v>1</v>
      </c>
      <c r="CD38" s="48">
        <f t="shared" si="217"/>
        <v>1</v>
      </c>
      <c r="CE38" s="48">
        <f t="shared" ref="CE38:CE43" si="271">SUM(BA38:BC38)</f>
        <v>1</v>
      </c>
      <c r="CF38" s="48">
        <f t="shared" si="219"/>
        <v>2</v>
      </c>
      <c r="CG38" s="48">
        <f t="shared" si="220"/>
        <v>2</v>
      </c>
      <c r="CH38" s="48">
        <f t="shared" ref="CH38:CH43" si="272">SUM(BD38:BF38)</f>
        <v>2</v>
      </c>
      <c r="CI38" s="48">
        <f t="shared" si="222"/>
        <v>0</v>
      </c>
      <c r="CJ38" s="48">
        <f t="shared" si="223"/>
        <v>0</v>
      </c>
      <c r="CK38" s="48">
        <f t="shared" ref="CK38:CK43" si="273">SUM(BG38:BI38)</f>
        <v>0</v>
      </c>
      <c r="CL38" s="48">
        <f t="shared" si="225"/>
        <v>0</v>
      </c>
      <c r="CM38" s="48">
        <f t="shared" si="226"/>
        <v>0</v>
      </c>
      <c r="CN38" s="48">
        <f t="shared" ref="CN38:CN43" si="274">SUM(BJ38:BL38)</f>
        <v>0</v>
      </c>
      <c r="CO38" s="406"/>
      <c r="CP38" s="21">
        <f>AL38</f>
        <v>0</v>
      </c>
      <c r="CQ38" s="21">
        <f>CP38+AM38</f>
        <v>0</v>
      </c>
      <c r="CR38" s="21">
        <f t="shared" ref="CR38:CR44" si="275">CQ38+AN38</f>
        <v>0</v>
      </c>
      <c r="CS38" s="21">
        <f t="shared" ref="CS38:CS44" si="276">CR38+AO38</f>
        <v>0</v>
      </c>
      <c r="CT38" s="21">
        <f t="shared" ref="CT38:CT44" si="277">CS38+AP38</f>
        <v>0</v>
      </c>
      <c r="CU38" s="21">
        <f t="shared" ref="CU38:CU44" si="278">CT38+AQ38</f>
        <v>0</v>
      </c>
      <c r="CV38" s="21">
        <f t="shared" ref="CV38:CV44" si="279">CU38+AR38</f>
        <v>0</v>
      </c>
      <c r="CW38" s="21">
        <f t="shared" ref="CW38:CW44" si="280">CV38+AS38</f>
        <v>2</v>
      </c>
      <c r="CX38" s="21">
        <f t="shared" ref="CX38:CX44" si="281">CW38+AT38</f>
        <v>2</v>
      </c>
      <c r="CY38" s="21">
        <f t="shared" ref="CY38:CY44" si="282">CX38+AU38</f>
        <v>2</v>
      </c>
      <c r="CZ38" s="21">
        <f t="shared" ref="CZ38:CZ44" si="283">CY38+AV38</f>
        <v>2</v>
      </c>
      <c r="DA38" s="21">
        <f t="shared" ref="DA38:DA44" si="284">CZ38+AW38</f>
        <v>2</v>
      </c>
      <c r="DB38" s="21">
        <f>AX38</f>
        <v>15</v>
      </c>
      <c r="DC38" s="21">
        <f t="shared" ref="DC38:DC43" si="285">DB38+AY38</f>
        <v>17</v>
      </c>
      <c r="DD38" s="21">
        <f t="shared" ref="DD38:DD43" si="286">DC38+AZ38</f>
        <v>18</v>
      </c>
      <c r="DE38" s="21">
        <f t="shared" ref="DE38:DE43" si="287">DD38+BA38</f>
        <v>18</v>
      </c>
      <c r="DF38" s="21">
        <f t="shared" ref="DF38:DF44" si="288">DE38+BB38</f>
        <v>19</v>
      </c>
      <c r="DG38" s="21">
        <f t="shared" ref="DG38:DG44" si="289">DF38+BC38</f>
        <v>19</v>
      </c>
      <c r="DH38" s="21">
        <f t="shared" ref="DH38:DH44" si="290">DG38+BD38</f>
        <v>19</v>
      </c>
      <c r="DI38" s="21">
        <f t="shared" ref="DI38:DI44" si="291">DH38+BE38</f>
        <v>21</v>
      </c>
      <c r="DJ38" s="21">
        <f t="shared" ref="DJ38:DJ44" si="292">DI38+BF38</f>
        <v>21</v>
      </c>
      <c r="DK38" s="21">
        <f t="shared" ref="DK38:DK44" si="293">DJ38+BG38</f>
        <v>21</v>
      </c>
      <c r="DL38" s="21">
        <f t="shared" ref="DL38:DL44" si="294">DK38+BH38</f>
        <v>21</v>
      </c>
      <c r="DM38" s="21">
        <f t="shared" ref="DM38:DM44" si="295">DL38+BI38</f>
        <v>21</v>
      </c>
      <c r="DN38" s="21">
        <f t="shared" ref="DN38:DN43" si="296">BJ38</f>
        <v>0</v>
      </c>
      <c r="DO38" s="21">
        <f t="shared" ref="DO38:DO44" si="297">DN38+BK38</f>
        <v>0</v>
      </c>
      <c r="DP38" s="21"/>
      <c r="DQ38" s="248"/>
      <c r="DR38" s="248"/>
      <c r="DS38" s="248"/>
      <c r="DT38" s="248"/>
      <c r="DU38" s="248"/>
      <c r="DV38" s="248"/>
      <c r="DW38" s="248"/>
      <c r="DX38" s="248"/>
      <c r="DY38" s="248"/>
      <c r="ED38" s="429"/>
      <c r="EE38" s="23"/>
      <c r="EF38" s="23"/>
      <c r="EG38" s="23"/>
      <c r="EH38" s="18">
        <f t="shared" si="192"/>
        <v>0</v>
      </c>
      <c r="EI38" s="18">
        <f t="shared" si="193"/>
        <v>0</v>
      </c>
      <c r="EJ38" s="18">
        <f t="shared" si="194"/>
        <v>0</v>
      </c>
      <c r="EK38" s="24">
        <f t="shared" si="246"/>
        <v>0.16666666666666666</v>
      </c>
      <c r="EL38" s="14" t="e">
        <f t="shared" si="256"/>
        <v>#DIV/0!</v>
      </c>
      <c r="EM38" s="14" t="e">
        <f t="shared" si="256"/>
        <v>#DIV/0!</v>
      </c>
      <c r="EN38" s="14">
        <f>EJ38/EK38/EG13</f>
        <v>0</v>
      </c>
      <c r="EO38" s="46" t="str">
        <f t="shared" si="257"/>
        <v>Æ</v>
      </c>
      <c r="EP38" s="46" t="str">
        <f t="shared" si="258"/>
        <v>Æ</v>
      </c>
      <c r="EQ38" s="2" t="e">
        <f t="shared" si="198"/>
        <v>#DIV/0!</v>
      </c>
      <c r="ER38" s="2" t="e">
        <f t="shared" si="199"/>
        <v>#DIV/0!</v>
      </c>
      <c r="ES38" s="2">
        <f t="shared" si="200"/>
        <v>3</v>
      </c>
    </row>
    <row r="39" spans="1:149" ht="12.75" customHeight="1">
      <c r="A39" s="6" t="s">
        <v>23</v>
      </c>
      <c r="B39" s="2" t="s">
        <v>9</v>
      </c>
      <c r="C39" s="3" t="s">
        <v>65</v>
      </c>
      <c r="E39" s="3" t="s">
        <v>16</v>
      </c>
      <c r="G39" s="3" t="s">
        <v>91</v>
      </c>
      <c r="I39" s="23"/>
      <c r="J39" s="19">
        <v>85.06</v>
      </c>
      <c r="K39" s="19">
        <v>159.52000000000001</v>
      </c>
      <c r="L39" s="19">
        <v>241.22</v>
      </c>
      <c r="M39" s="19">
        <v>293.22000000000003</v>
      </c>
      <c r="N39" s="19">
        <v>356.46</v>
      </c>
      <c r="O39" s="19">
        <v>394.71</v>
      </c>
      <c r="P39" s="19">
        <v>415.28</v>
      </c>
      <c r="Q39" s="19">
        <v>456.28</v>
      </c>
      <c r="R39" s="19">
        <v>562.38</v>
      </c>
      <c r="S39" s="19">
        <v>608.73</v>
      </c>
      <c r="T39" s="19">
        <v>613.98</v>
      </c>
      <c r="U39" s="19">
        <v>776.48</v>
      </c>
      <c r="V39" s="31">
        <v>78</v>
      </c>
      <c r="W39" s="19">
        <v>284.27999999999997</v>
      </c>
      <c r="X39" s="19">
        <v>463.62</v>
      </c>
      <c r="Y39" s="326">
        <v>613.62</v>
      </c>
      <c r="Z39" s="19">
        <v>748.52</v>
      </c>
      <c r="AA39" s="19">
        <v>914.57</v>
      </c>
      <c r="AB39" s="19">
        <v>1090.57</v>
      </c>
      <c r="AC39" s="19">
        <v>1243.07</v>
      </c>
      <c r="AD39" s="19">
        <v>1425.07</v>
      </c>
      <c r="AE39" s="19">
        <v>1573.07</v>
      </c>
      <c r="AF39" s="19">
        <v>1619.07</v>
      </c>
      <c r="AG39" s="19">
        <v>1766.07</v>
      </c>
      <c r="AH39" s="404">
        <v>55</v>
      </c>
      <c r="AI39" s="254">
        <v>175</v>
      </c>
      <c r="AJ39" s="19"/>
      <c r="AK39" s="408"/>
      <c r="AL39" s="19">
        <f t="shared" ref="AL39:AL46" si="298">J39</f>
        <v>85.06</v>
      </c>
      <c r="AM39" s="19">
        <f t="shared" ref="AM39:AM44" si="299">K39-J39</f>
        <v>74.460000000000008</v>
      </c>
      <c r="AN39" s="19">
        <f t="shared" si="264"/>
        <v>81.699999999999989</v>
      </c>
      <c r="AO39" s="19">
        <f t="shared" si="265"/>
        <v>52.000000000000028</v>
      </c>
      <c r="AP39" s="130">
        <f t="shared" si="266"/>
        <v>63.239999999999952</v>
      </c>
      <c r="AQ39" s="130">
        <f t="shared" si="266"/>
        <v>38.25</v>
      </c>
      <c r="AR39" s="130">
        <f t="shared" si="178"/>
        <v>20.569999999999993</v>
      </c>
      <c r="AS39" s="130">
        <f t="shared" si="179"/>
        <v>41</v>
      </c>
      <c r="AT39" s="130">
        <f t="shared" si="180"/>
        <v>106.10000000000002</v>
      </c>
      <c r="AU39" s="130">
        <f t="shared" si="181"/>
        <v>46.350000000000023</v>
      </c>
      <c r="AV39" s="130">
        <f t="shared" si="182"/>
        <v>5.25</v>
      </c>
      <c r="AW39" s="130">
        <f t="shared" si="183"/>
        <v>162.5</v>
      </c>
      <c r="AX39" s="19">
        <f t="shared" ref="AX39:AX44" si="300">V39</f>
        <v>78</v>
      </c>
      <c r="AY39" s="130">
        <f t="shared" si="184"/>
        <v>206.27999999999997</v>
      </c>
      <c r="AZ39" s="130">
        <f t="shared" si="185"/>
        <v>179.34000000000003</v>
      </c>
      <c r="BA39" s="130">
        <f t="shared" si="230"/>
        <v>150</v>
      </c>
      <c r="BB39" s="130">
        <f t="shared" si="231"/>
        <v>134.89999999999998</v>
      </c>
      <c r="BC39" s="130">
        <f t="shared" si="241"/>
        <v>166.05000000000007</v>
      </c>
      <c r="BD39" s="130">
        <f t="shared" si="232"/>
        <v>175.99999999999989</v>
      </c>
      <c r="BE39" s="130">
        <f t="shared" si="233"/>
        <v>152.5</v>
      </c>
      <c r="BF39" s="130">
        <f t="shared" si="234"/>
        <v>182</v>
      </c>
      <c r="BG39" s="130">
        <f t="shared" si="235"/>
        <v>148</v>
      </c>
      <c r="BH39" s="130">
        <f t="shared" si="236"/>
        <v>46</v>
      </c>
      <c r="BI39" s="130">
        <f t="shared" si="237"/>
        <v>147</v>
      </c>
      <c r="BJ39" s="19">
        <f>AH39</f>
        <v>55</v>
      </c>
      <c r="BK39" s="130">
        <f t="shared" si="187"/>
        <v>120</v>
      </c>
      <c r="BL39" s="130">
        <f t="shared" si="188"/>
        <v>0</v>
      </c>
      <c r="BM39" s="408"/>
      <c r="BN39" s="48">
        <f t="shared" si="201"/>
        <v>241.22</v>
      </c>
      <c r="BO39" s="48">
        <f t="shared" si="202"/>
        <v>241.22</v>
      </c>
      <c r="BP39" s="48">
        <f t="shared" si="203"/>
        <v>241.22</v>
      </c>
      <c r="BQ39" s="48">
        <f t="shared" si="204"/>
        <v>153.48999999999998</v>
      </c>
      <c r="BR39" s="48">
        <f t="shared" si="205"/>
        <v>153.48999999999998</v>
      </c>
      <c r="BS39" s="48">
        <f t="shared" si="267"/>
        <v>153.48999999999998</v>
      </c>
      <c r="BT39" s="48">
        <f t="shared" si="207"/>
        <v>167.67000000000002</v>
      </c>
      <c r="BU39" s="48">
        <f t="shared" si="208"/>
        <v>167.67000000000002</v>
      </c>
      <c r="BV39" s="48">
        <f t="shared" si="268"/>
        <v>167.67000000000002</v>
      </c>
      <c r="BW39" s="48">
        <f t="shared" si="210"/>
        <v>214.10000000000002</v>
      </c>
      <c r="BX39" s="48">
        <f t="shared" si="211"/>
        <v>214.10000000000002</v>
      </c>
      <c r="BY39" s="48">
        <f t="shared" si="269"/>
        <v>214.10000000000002</v>
      </c>
      <c r="BZ39" s="48">
        <f t="shared" si="213"/>
        <v>463.62</v>
      </c>
      <c r="CA39" s="48">
        <f t="shared" si="214"/>
        <v>463.62</v>
      </c>
      <c r="CB39" s="48">
        <f t="shared" si="270"/>
        <v>463.62</v>
      </c>
      <c r="CC39" s="48">
        <f t="shared" si="216"/>
        <v>450.95000000000005</v>
      </c>
      <c r="CD39" s="48">
        <f t="shared" si="217"/>
        <v>450.95000000000005</v>
      </c>
      <c r="CE39" s="48">
        <f t="shared" si="271"/>
        <v>450.95000000000005</v>
      </c>
      <c r="CF39" s="48">
        <f t="shared" si="219"/>
        <v>510.49999999999989</v>
      </c>
      <c r="CG39" s="48">
        <f t="shared" si="220"/>
        <v>510.49999999999989</v>
      </c>
      <c r="CH39" s="48">
        <f t="shared" si="272"/>
        <v>510.49999999999989</v>
      </c>
      <c r="CI39" s="48">
        <f t="shared" si="222"/>
        <v>341</v>
      </c>
      <c r="CJ39" s="48">
        <f t="shared" si="223"/>
        <v>341</v>
      </c>
      <c r="CK39" s="48">
        <f t="shared" si="273"/>
        <v>341</v>
      </c>
      <c r="CL39" s="48">
        <f t="shared" si="225"/>
        <v>175</v>
      </c>
      <c r="CM39" s="48">
        <f t="shared" si="226"/>
        <v>175</v>
      </c>
      <c r="CN39" s="48">
        <f t="shared" si="274"/>
        <v>175</v>
      </c>
      <c r="CO39" s="406"/>
      <c r="CP39" s="21">
        <f t="shared" ref="CP39:CP44" si="301">AL39</f>
        <v>85.06</v>
      </c>
      <c r="CQ39" s="21">
        <f t="shared" ref="CQ39:CQ44" si="302">CP39+AM39</f>
        <v>159.52000000000001</v>
      </c>
      <c r="CR39" s="21">
        <f t="shared" si="275"/>
        <v>241.22</v>
      </c>
      <c r="CS39" s="21">
        <f t="shared" si="276"/>
        <v>293.22000000000003</v>
      </c>
      <c r="CT39" s="21">
        <f t="shared" si="277"/>
        <v>356.46</v>
      </c>
      <c r="CU39" s="21">
        <f t="shared" si="278"/>
        <v>394.71</v>
      </c>
      <c r="CV39" s="21">
        <f t="shared" si="279"/>
        <v>415.28</v>
      </c>
      <c r="CW39" s="21">
        <f t="shared" si="280"/>
        <v>456.28</v>
      </c>
      <c r="CX39" s="21">
        <f t="shared" si="281"/>
        <v>562.38</v>
      </c>
      <c r="CY39" s="21">
        <f t="shared" si="282"/>
        <v>608.73</v>
      </c>
      <c r="CZ39" s="21">
        <f t="shared" si="283"/>
        <v>613.98</v>
      </c>
      <c r="DA39" s="21">
        <f t="shared" si="284"/>
        <v>776.48</v>
      </c>
      <c r="DB39" s="21">
        <f t="shared" ref="DB39:DB44" si="303">AX39</f>
        <v>78</v>
      </c>
      <c r="DC39" s="21">
        <f t="shared" si="285"/>
        <v>284.27999999999997</v>
      </c>
      <c r="DD39" s="21">
        <f t="shared" si="286"/>
        <v>463.62</v>
      </c>
      <c r="DE39" s="21">
        <f t="shared" si="287"/>
        <v>613.62</v>
      </c>
      <c r="DF39" s="21">
        <f t="shared" si="288"/>
        <v>748.52</v>
      </c>
      <c r="DG39" s="21">
        <f t="shared" si="289"/>
        <v>914.57</v>
      </c>
      <c r="DH39" s="21">
        <f t="shared" si="290"/>
        <v>1090.57</v>
      </c>
      <c r="DI39" s="21">
        <f t="shared" si="291"/>
        <v>1243.07</v>
      </c>
      <c r="DJ39" s="21">
        <f t="shared" si="292"/>
        <v>1425.07</v>
      </c>
      <c r="DK39" s="21">
        <f t="shared" si="293"/>
        <v>1573.07</v>
      </c>
      <c r="DL39" s="21">
        <f t="shared" si="294"/>
        <v>1619.07</v>
      </c>
      <c r="DM39" s="21">
        <f t="shared" si="295"/>
        <v>1766.07</v>
      </c>
      <c r="DN39" s="21">
        <f t="shared" si="296"/>
        <v>55</v>
      </c>
      <c r="DO39" s="21">
        <f t="shared" si="297"/>
        <v>175</v>
      </c>
      <c r="DP39" s="21"/>
      <c r="DQ39" s="248"/>
      <c r="DR39" s="248"/>
      <c r="DS39" s="248"/>
      <c r="DT39" s="248"/>
      <c r="DU39" s="248"/>
      <c r="DV39" s="248"/>
      <c r="DW39" s="248"/>
      <c r="DX39" s="248"/>
      <c r="DY39" s="248"/>
      <c r="ED39" s="429"/>
      <c r="EE39" s="23"/>
      <c r="EF39" s="23"/>
      <c r="EG39" s="23"/>
      <c r="EH39" s="18">
        <f t="shared" si="192"/>
        <v>120</v>
      </c>
      <c r="EI39" s="18">
        <f t="shared" si="193"/>
        <v>175</v>
      </c>
      <c r="EJ39" s="18">
        <f t="shared" si="194"/>
        <v>175</v>
      </c>
      <c r="EK39" s="24">
        <f t="shared" si="246"/>
        <v>0.16666666666666666</v>
      </c>
      <c r="EL39" s="14">
        <f t="shared" si="256"/>
        <v>1.2</v>
      </c>
      <c r="EM39" s="14">
        <f t="shared" si="256"/>
        <v>0.58333333333333337</v>
      </c>
      <c r="EN39" s="14">
        <f>EJ39/EK39/EG14</f>
        <v>0.80769230769230771</v>
      </c>
      <c r="EO39" s="46" t="str">
        <f t="shared" si="257"/>
        <v>Ç</v>
      </c>
      <c r="EP39" s="46" t="str">
        <f t="shared" si="258"/>
        <v>È</v>
      </c>
      <c r="EQ39" s="2">
        <f t="shared" si="198"/>
        <v>1</v>
      </c>
      <c r="ER39" s="2">
        <f t="shared" si="199"/>
        <v>3</v>
      </c>
      <c r="ES39" s="2">
        <f t="shared" si="200"/>
        <v>2</v>
      </c>
    </row>
    <row r="40" spans="1:149" ht="12.75" customHeight="1">
      <c r="A40" s="6" t="s">
        <v>23</v>
      </c>
      <c r="B40" s="2" t="s">
        <v>10</v>
      </c>
      <c r="C40" s="3" t="s">
        <v>66</v>
      </c>
      <c r="E40" s="3" t="s">
        <v>16</v>
      </c>
      <c r="G40" s="3" t="s">
        <v>91</v>
      </c>
      <c r="I40" s="23"/>
      <c r="J40" s="19">
        <v>47.06</v>
      </c>
      <c r="K40" s="19">
        <v>70.52</v>
      </c>
      <c r="L40" s="19">
        <v>121.22</v>
      </c>
      <c r="M40" s="19">
        <v>159.22</v>
      </c>
      <c r="N40" s="19">
        <v>198.96</v>
      </c>
      <c r="O40" s="19">
        <v>225.21</v>
      </c>
      <c r="P40" s="19">
        <v>237.53</v>
      </c>
      <c r="Q40" s="19">
        <v>237.53</v>
      </c>
      <c r="R40" s="19">
        <v>297.63</v>
      </c>
      <c r="S40" s="19">
        <v>322.73</v>
      </c>
      <c r="T40" s="19">
        <v>322.98</v>
      </c>
      <c r="U40" s="19">
        <v>353.48</v>
      </c>
      <c r="V40" s="31">
        <v>3</v>
      </c>
      <c r="W40" s="19">
        <v>121.28</v>
      </c>
      <c r="X40" s="19">
        <v>233.27</v>
      </c>
      <c r="Y40" s="326">
        <v>331.02</v>
      </c>
      <c r="Z40" s="19">
        <v>406.92</v>
      </c>
      <c r="AA40" s="19">
        <v>513.97</v>
      </c>
      <c r="AB40" s="19">
        <v>647.97</v>
      </c>
      <c r="AC40" s="19">
        <v>765.72</v>
      </c>
      <c r="AD40" s="19">
        <v>889.22</v>
      </c>
      <c r="AE40" s="19">
        <v>985.22</v>
      </c>
      <c r="AF40" s="19">
        <v>991.22</v>
      </c>
      <c r="AG40" s="19">
        <v>1114.47</v>
      </c>
      <c r="AH40" s="404">
        <v>8</v>
      </c>
      <c r="AI40" s="254">
        <v>84</v>
      </c>
      <c r="AJ40" s="19"/>
      <c r="AK40" s="408"/>
      <c r="AL40" s="19">
        <f t="shared" si="298"/>
        <v>47.06</v>
      </c>
      <c r="AM40" s="19">
        <f t="shared" si="299"/>
        <v>23.459999999999994</v>
      </c>
      <c r="AN40" s="19">
        <f t="shared" si="264"/>
        <v>50.7</v>
      </c>
      <c r="AO40" s="19">
        <f t="shared" si="265"/>
        <v>38</v>
      </c>
      <c r="AP40" s="129">
        <f t="shared" si="266"/>
        <v>39.740000000000009</v>
      </c>
      <c r="AQ40" s="129">
        <f t="shared" si="266"/>
        <v>26.25</v>
      </c>
      <c r="AR40" s="129">
        <f t="shared" si="178"/>
        <v>12.319999999999993</v>
      </c>
      <c r="AS40" s="129">
        <f t="shared" si="179"/>
        <v>0</v>
      </c>
      <c r="AT40" s="129">
        <f t="shared" si="180"/>
        <v>60.099999999999994</v>
      </c>
      <c r="AU40" s="129">
        <f t="shared" si="181"/>
        <v>25.100000000000023</v>
      </c>
      <c r="AV40" s="129">
        <f t="shared" si="182"/>
        <v>0.25</v>
      </c>
      <c r="AW40" s="129">
        <f t="shared" si="183"/>
        <v>30.5</v>
      </c>
      <c r="AX40" s="19">
        <f t="shared" si="300"/>
        <v>3</v>
      </c>
      <c r="AY40" s="129">
        <f t="shared" si="184"/>
        <v>118.28</v>
      </c>
      <c r="AZ40" s="129">
        <f t="shared" si="185"/>
        <v>111.99000000000001</v>
      </c>
      <c r="BA40" s="129">
        <f t="shared" si="230"/>
        <v>97.749999999999972</v>
      </c>
      <c r="BB40" s="129">
        <f t="shared" si="231"/>
        <v>75.900000000000034</v>
      </c>
      <c r="BC40" s="129">
        <f t="shared" si="241"/>
        <v>107.05000000000001</v>
      </c>
      <c r="BD40" s="129">
        <f t="shared" si="232"/>
        <v>134</v>
      </c>
      <c r="BE40" s="129">
        <f t="shared" si="233"/>
        <v>117.75</v>
      </c>
      <c r="BF40" s="129">
        <f t="shared" si="234"/>
        <v>123.5</v>
      </c>
      <c r="BG40" s="129">
        <f t="shared" si="235"/>
        <v>96</v>
      </c>
      <c r="BH40" s="129">
        <f t="shared" si="236"/>
        <v>6</v>
      </c>
      <c r="BI40" s="129">
        <f t="shared" si="237"/>
        <v>123.25</v>
      </c>
      <c r="BJ40" s="19">
        <f>AH40</f>
        <v>8</v>
      </c>
      <c r="BK40" s="129">
        <f t="shared" si="187"/>
        <v>76</v>
      </c>
      <c r="BL40" s="129">
        <f t="shared" si="188"/>
        <v>0</v>
      </c>
      <c r="BM40" s="408"/>
      <c r="BN40" s="48">
        <f t="shared" si="201"/>
        <v>121.22</v>
      </c>
      <c r="BO40" s="48">
        <f t="shared" si="202"/>
        <v>121.22</v>
      </c>
      <c r="BP40" s="48">
        <f t="shared" si="203"/>
        <v>121.22</v>
      </c>
      <c r="BQ40" s="48">
        <f t="shared" si="204"/>
        <v>103.99000000000001</v>
      </c>
      <c r="BR40" s="48">
        <f t="shared" si="205"/>
        <v>103.99000000000001</v>
      </c>
      <c r="BS40" s="48">
        <f t="shared" si="267"/>
        <v>103.99000000000001</v>
      </c>
      <c r="BT40" s="48">
        <f t="shared" si="207"/>
        <v>72.419999999999987</v>
      </c>
      <c r="BU40" s="48">
        <f t="shared" si="208"/>
        <v>72.419999999999987</v>
      </c>
      <c r="BV40" s="48">
        <f t="shared" si="268"/>
        <v>72.419999999999987</v>
      </c>
      <c r="BW40" s="48">
        <f t="shared" si="210"/>
        <v>55.850000000000023</v>
      </c>
      <c r="BX40" s="48">
        <f t="shared" si="211"/>
        <v>55.850000000000023</v>
      </c>
      <c r="BY40" s="48">
        <f t="shared" si="269"/>
        <v>55.850000000000023</v>
      </c>
      <c r="BZ40" s="48">
        <f t="shared" si="213"/>
        <v>233.27</v>
      </c>
      <c r="CA40" s="48">
        <f t="shared" si="214"/>
        <v>233.27</v>
      </c>
      <c r="CB40" s="48">
        <f t="shared" si="270"/>
        <v>233.27</v>
      </c>
      <c r="CC40" s="48">
        <f t="shared" si="216"/>
        <v>280.70000000000005</v>
      </c>
      <c r="CD40" s="48">
        <f t="shared" si="217"/>
        <v>280.70000000000005</v>
      </c>
      <c r="CE40" s="48">
        <f t="shared" si="271"/>
        <v>280.70000000000005</v>
      </c>
      <c r="CF40" s="48">
        <f t="shared" si="219"/>
        <v>375.25</v>
      </c>
      <c r="CG40" s="48">
        <f t="shared" si="220"/>
        <v>375.25</v>
      </c>
      <c r="CH40" s="48">
        <f t="shared" si="272"/>
        <v>375.25</v>
      </c>
      <c r="CI40" s="48">
        <f t="shared" si="222"/>
        <v>225.25</v>
      </c>
      <c r="CJ40" s="48">
        <f t="shared" si="223"/>
        <v>225.25</v>
      </c>
      <c r="CK40" s="48">
        <f t="shared" si="273"/>
        <v>225.25</v>
      </c>
      <c r="CL40" s="48">
        <f t="shared" si="225"/>
        <v>84</v>
      </c>
      <c r="CM40" s="48">
        <f t="shared" si="226"/>
        <v>84</v>
      </c>
      <c r="CN40" s="48">
        <f t="shared" si="274"/>
        <v>84</v>
      </c>
      <c r="CO40" s="406"/>
      <c r="CP40" s="21">
        <f t="shared" si="301"/>
        <v>47.06</v>
      </c>
      <c r="CQ40" s="21">
        <f t="shared" si="302"/>
        <v>70.52</v>
      </c>
      <c r="CR40" s="21">
        <f t="shared" si="275"/>
        <v>121.22</v>
      </c>
      <c r="CS40" s="21">
        <f t="shared" si="276"/>
        <v>159.22</v>
      </c>
      <c r="CT40" s="21">
        <f t="shared" si="277"/>
        <v>198.96</v>
      </c>
      <c r="CU40" s="21">
        <f t="shared" si="278"/>
        <v>225.21</v>
      </c>
      <c r="CV40" s="21">
        <f t="shared" si="279"/>
        <v>237.53</v>
      </c>
      <c r="CW40" s="21">
        <f t="shared" si="280"/>
        <v>237.53</v>
      </c>
      <c r="CX40" s="21">
        <f t="shared" si="281"/>
        <v>297.63</v>
      </c>
      <c r="CY40" s="21">
        <f t="shared" si="282"/>
        <v>322.73</v>
      </c>
      <c r="CZ40" s="21">
        <f t="shared" si="283"/>
        <v>322.98</v>
      </c>
      <c r="DA40" s="21">
        <f t="shared" si="284"/>
        <v>353.48</v>
      </c>
      <c r="DB40" s="21">
        <f t="shared" si="303"/>
        <v>3</v>
      </c>
      <c r="DC40" s="21">
        <f t="shared" si="285"/>
        <v>121.28</v>
      </c>
      <c r="DD40" s="21">
        <f t="shared" si="286"/>
        <v>233.27</v>
      </c>
      <c r="DE40" s="21">
        <f t="shared" si="287"/>
        <v>331.02</v>
      </c>
      <c r="DF40" s="21">
        <f t="shared" si="288"/>
        <v>406.92</v>
      </c>
      <c r="DG40" s="21">
        <f t="shared" si="289"/>
        <v>513.97</v>
      </c>
      <c r="DH40" s="21">
        <f t="shared" si="290"/>
        <v>647.97</v>
      </c>
      <c r="DI40" s="21">
        <f t="shared" si="291"/>
        <v>765.72</v>
      </c>
      <c r="DJ40" s="21">
        <f t="shared" si="292"/>
        <v>889.22</v>
      </c>
      <c r="DK40" s="21">
        <f t="shared" si="293"/>
        <v>985.22</v>
      </c>
      <c r="DL40" s="21">
        <f t="shared" si="294"/>
        <v>991.22</v>
      </c>
      <c r="DM40" s="21">
        <f t="shared" si="295"/>
        <v>1114.47</v>
      </c>
      <c r="DN40" s="21">
        <f t="shared" si="296"/>
        <v>8</v>
      </c>
      <c r="DO40" s="21">
        <f t="shared" si="297"/>
        <v>84</v>
      </c>
      <c r="DP40" s="21"/>
      <c r="DQ40" s="248"/>
      <c r="DR40" s="248"/>
      <c r="DS40" s="248"/>
      <c r="DT40" s="248"/>
      <c r="DU40" s="248"/>
      <c r="DV40" s="248"/>
      <c r="DW40" s="248"/>
      <c r="DX40" s="248"/>
      <c r="DY40" s="248"/>
      <c r="ED40" s="429"/>
      <c r="EE40" s="23"/>
      <c r="EF40" s="23"/>
      <c r="EG40" s="23"/>
      <c r="EH40" s="18">
        <f t="shared" si="192"/>
        <v>76</v>
      </c>
      <c r="EI40" s="18">
        <f t="shared" si="193"/>
        <v>84</v>
      </c>
      <c r="EJ40" s="18">
        <f t="shared" si="194"/>
        <v>84</v>
      </c>
      <c r="EK40" s="24">
        <f t="shared" si="246"/>
        <v>0.16666666666666666</v>
      </c>
      <c r="EL40" s="14" t="e">
        <f t="shared" si="256"/>
        <v>#DIV/0!</v>
      </c>
      <c r="EM40" s="14" t="e">
        <f t="shared" si="256"/>
        <v>#DIV/0!</v>
      </c>
      <c r="EN40" s="14">
        <f>EJ40/EK40/EG15</f>
        <v>1.1200000000000001</v>
      </c>
      <c r="EO40" s="46" t="str">
        <f t="shared" si="257"/>
        <v>Ç</v>
      </c>
      <c r="EP40" s="46" t="str">
        <f t="shared" si="258"/>
        <v>Ç</v>
      </c>
      <c r="EQ40" s="2" t="e">
        <f t="shared" si="198"/>
        <v>#DIV/0!</v>
      </c>
      <c r="ER40" s="2" t="e">
        <f t="shared" si="199"/>
        <v>#DIV/0!</v>
      </c>
      <c r="ES40" s="2">
        <f t="shared" si="200"/>
        <v>1</v>
      </c>
    </row>
    <row r="41" spans="1:149" ht="12.75" customHeight="1">
      <c r="A41" s="6" t="s">
        <v>23</v>
      </c>
      <c r="B41" s="2" t="s">
        <v>11</v>
      </c>
      <c r="C41" s="3" t="s">
        <v>67</v>
      </c>
      <c r="E41" s="3" t="s">
        <v>16</v>
      </c>
      <c r="G41" s="3" t="s">
        <v>91</v>
      </c>
      <c r="I41" s="23"/>
      <c r="J41" s="19">
        <v>4</v>
      </c>
      <c r="K41" s="19">
        <v>8</v>
      </c>
      <c r="L41" s="19">
        <v>10</v>
      </c>
      <c r="M41" s="19">
        <v>12</v>
      </c>
      <c r="N41" s="19">
        <v>14</v>
      </c>
      <c r="O41" s="19">
        <v>17</v>
      </c>
      <c r="P41" s="19">
        <v>19</v>
      </c>
      <c r="Q41" s="19">
        <v>24</v>
      </c>
      <c r="R41" s="19">
        <v>36</v>
      </c>
      <c r="S41" s="19">
        <v>38</v>
      </c>
      <c r="T41" s="19">
        <v>39</v>
      </c>
      <c r="U41" s="19">
        <v>51</v>
      </c>
      <c r="V41" s="31">
        <v>5</v>
      </c>
      <c r="W41" s="19">
        <v>9</v>
      </c>
      <c r="X41" s="19">
        <v>11</v>
      </c>
      <c r="Y41" s="326">
        <v>15</v>
      </c>
      <c r="Z41" s="19">
        <v>20</v>
      </c>
      <c r="AA41" s="19">
        <v>20</v>
      </c>
      <c r="AB41" s="19">
        <v>24</v>
      </c>
      <c r="AC41" s="19">
        <v>27</v>
      </c>
      <c r="AD41" s="19">
        <v>34</v>
      </c>
      <c r="AE41" s="19">
        <v>34</v>
      </c>
      <c r="AF41" s="19">
        <v>37</v>
      </c>
      <c r="AG41" s="19">
        <v>38</v>
      </c>
      <c r="AH41" s="31">
        <v>1</v>
      </c>
      <c r="AI41" s="19">
        <v>29</v>
      </c>
      <c r="AJ41" s="19"/>
      <c r="AK41" s="408"/>
      <c r="AL41" s="19">
        <f t="shared" si="298"/>
        <v>4</v>
      </c>
      <c r="AM41" s="19">
        <f t="shared" si="299"/>
        <v>4</v>
      </c>
      <c r="AN41" s="19">
        <f t="shared" si="264"/>
        <v>2</v>
      </c>
      <c r="AO41" s="19">
        <f t="shared" si="265"/>
        <v>2</v>
      </c>
      <c r="AP41" s="129">
        <f t="shared" si="266"/>
        <v>2</v>
      </c>
      <c r="AQ41" s="129">
        <f t="shared" si="266"/>
        <v>3</v>
      </c>
      <c r="AR41" s="129">
        <f t="shared" si="178"/>
        <v>2</v>
      </c>
      <c r="AS41" s="129">
        <f t="shared" si="179"/>
        <v>5</v>
      </c>
      <c r="AT41" s="129">
        <f t="shared" si="180"/>
        <v>12</v>
      </c>
      <c r="AU41" s="129">
        <f t="shared" si="181"/>
        <v>2</v>
      </c>
      <c r="AV41" s="129">
        <f t="shared" si="182"/>
        <v>1</v>
      </c>
      <c r="AW41" s="129">
        <f t="shared" si="183"/>
        <v>12</v>
      </c>
      <c r="AX41" s="19">
        <f t="shared" si="300"/>
        <v>5</v>
      </c>
      <c r="AY41" s="129">
        <f t="shared" si="184"/>
        <v>4</v>
      </c>
      <c r="AZ41" s="129">
        <f t="shared" si="185"/>
        <v>2</v>
      </c>
      <c r="BA41" s="129">
        <f t="shared" si="230"/>
        <v>4</v>
      </c>
      <c r="BB41" s="129">
        <f t="shared" si="231"/>
        <v>5</v>
      </c>
      <c r="BC41" s="129">
        <f t="shared" si="241"/>
        <v>0</v>
      </c>
      <c r="BD41" s="129">
        <f t="shared" si="232"/>
        <v>4</v>
      </c>
      <c r="BE41" s="129">
        <f t="shared" si="233"/>
        <v>3</v>
      </c>
      <c r="BF41" s="129">
        <f t="shared" si="234"/>
        <v>7</v>
      </c>
      <c r="BG41" s="129">
        <f t="shared" si="235"/>
        <v>0</v>
      </c>
      <c r="BH41" s="129">
        <f t="shared" si="236"/>
        <v>3</v>
      </c>
      <c r="BI41" s="129">
        <f t="shared" si="237"/>
        <v>1</v>
      </c>
      <c r="BJ41" s="19">
        <f>AH41</f>
        <v>1</v>
      </c>
      <c r="BK41" s="129">
        <f t="shared" si="187"/>
        <v>28</v>
      </c>
      <c r="BL41" s="129">
        <f t="shared" si="188"/>
        <v>0</v>
      </c>
      <c r="BM41" s="408"/>
      <c r="BN41" s="48">
        <f t="shared" si="201"/>
        <v>10</v>
      </c>
      <c r="BO41" s="48">
        <f t="shared" si="202"/>
        <v>10</v>
      </c>
      <c r="BP41" s="48">
        <f t="shared" si="203"/>
        <v>10</v>
      </c>
      <c r="BQ41" s="48">
        <f t="shared" si="204"/>
        <v>7</v>
      </c>
      <c r="BR41" s="48">
        <f t="shared" si="205"/>
        <v>7</v>
      </c>
      <c r="BS41" s="48">
        <f t="shared" si="267"/>
        <v>7</v>
      </c>
      <c r="BT41" s="48">
        <f t="shared" si="207"/>
        <v>19</v>
      </c>
      <c r="BU41" s="48">
        <f t="shared" si="208"/>
        <v>19</v>
      </c>
      <c r="BV41" s="48">
        <f t="shared" si="268"/>
        <v>19</v>
      </c>
      <c r="BW41" s="48">
        <f t="shared" si="210"/>
        <v>15</v>
      </c>
      <c r="BX41" s="48">
        <f t="shared" si="211"/>
        <v>15</v>
      </c>
      <c r="BY41" s="48">
        <f t="shared" si="269"/>
        <v>15</v>
      </c>
      <c r="BZ41" s="48">
        <f t="shared" si="213"/>
        <v>11</v>
      </c>
      <c r="CA41" s="48">
        <f t="shared" si="214"/>
        <v>11</v>
      </c>
      <c r="CB41" s="48">
        <f t="shared" si="270"/>
        <v>11</v>
      </c>
      <c r="CC41" s="48">
        <f t="shared" si="216"/>
        <v>9</v>
      </c>
      <c r="CD41" s="48">
        <f t="shared" si="217"/>
        <v>9</v>
      </c>
      <c r="CE41" s="48">
        <f t="shared" si="271"/>
        <v>9</v>
      </c>
      <c r="CF41" s="48">
        <f t="shared" si="219"/>
        <v>14</v>
      </c>
      <c r="CG41" s="48">
        <f t="shared" si="220"/>
        <v>14</v>
      </c>
      <c r="CH41" s="48">
        <f t="shared" si="272"/>
        <v>14</v>
      </c>
      <c r="CI41" s="48">
        <f t="shared" si="222"/>
        <v>4</v>
      </c>
      <c r="CJ41" s="48">
        <f t="shared" si="223"/>
        <v>4</v>
      </c>
      <c r="CK41" s="48">
        <f t="shared" si="273"/>
        <v>4</v>
      </c>
      <c r="CL41" s="48">
        <f t="shared" si="225"/>
        <v>29</v>
      </c>
      <c r="CM41" s="48">
        <f t="shared" si="226"/>
        <v>29</v>
      </c>
      <c r="CN41" s="48">
        <f t="shared" si="274"/>
        <v>29</v>
      </c>
      <c r="CO41" s="406"/>
      <c r="CP41" s="21">
        <f t="shared" si="301"/>
        <v>4</v>
      </c>
      <c r="CQ41" s="21">
        <f t="shared" si="302"/>
        <v>8</v>
      </c>
      <c r="CR41" s="21">
        <f t="shared" si="275"/>
        <v>10</v>
      </c>
      <c r="CS41" s="21">
        <f t="shared" si="276"/>
        <v>12</v>
      </c>
      <c r="CT41" s="21">
        <f t="shared" si="277"/>
        <v>14</v>
      </c>
      <c r="CU41" s="21">
        <f t="shared" si="278"/>
        <v>17</v>
      </c>
      <c r="CV41" s="21">
        <f t="shared" si="279"/>
        <v>19</v>
      </c>
      <c r="CW41" s="21">
        <f t="shared" si="280"/>
        <v>24</v>
      </c>
      <c r="CX41" s="21">
        <f t="shared" si="281"/>
        <v>36</v>
      </c>
      <c r="CY41" s="21">
        <f t="shared" si="282"/>
        <v>38</v>
      </c>
      <c r="CZ41" s="21">
        <f t="shared" si="283"/>
        <v>39</v>
      </c>
      <c r="DA41" s="21">
        <f t="shared" si="284"/>
        <v>51</v>
      </c>
      <c r="DB41" s="21">
        <f t="shared" si="303"/>
        <v>5</v>
      </c>
      <c r="DC41" s="21">
        <f t="shared" si="285"/>
        <v>9</v>
      </c>
      <c r="DD41" s="21">
        <f t="shared" si="286"/>
        <v>11</v>
      </c>
      <c r="DE41" s="21">
        <f t="shared" si="287"/>
        <v>15</v>
      </c>
      <c r="DF41" s="21">
        <f t="shared" si="288"/>
        <v>20</v>
      </c>
      <c r="DG41" s="21">
        <f t="shared" si="289"/>
        <v>20</v>
      </c>
      <c r="DH41" s="21">
        <f t="shared" si="290"/>
        <v>24</v>
      </c>
      <c r="DI41" s="21">
        <f t="shared" si="291"/>
        <v>27</v>
      </c>
      <c r="DJ41" s="21">
        <f t="shared" si="292"/>
        <v>34</v>
      </c>
      <c r="DK41" s="21">
        <f t="shared" si="293"/>
        <v>34</v>
      </c>
      <c r="DL41" s="21">
        <f t="shared" si="294"/>
        <v>37</v>
      </c>
      <c r="DM41" s="21">
        <f t="shared" si="295"/>
        <v>38</v>
      </c>
      <c r="DN41" s="21">
        <f t="shared" si="296"/>
        <v>1</v>
      </c>
      <c r="DO41" s="21">
        <f t="shared" si="297"/>
        <v>29</v>
      </c>
      <c r="DP41" s="21"/>
      <c r="DQ41" s="248"/>
      <c r="DR41" s="248"/>
      <c r="DS41" s="248"/>
      <c r="DT41" s="248"/>
      <c r="DU41" s="248"/>
      <c r="DV41" s="248"/>
      <c r="DW41" s="248"/>
      <c r="DX41" s="248"/>
      <c r="DY41" s="248"/>
      <c r="ED41" s="429"/>
      <c r="EE41" s="23"/>
      <c r="EF41" s="23"/>
      <c r="EG41" s="23"/>
      <c r="EH41" s="18">
        <f t="shared" si="192"/>
        <v>28</v>
      </c>
      <c r="EI41" s="18">
        <f t="shared" si="193"/>
        <v>29</v>
      </c>
      <c r="EJ41" s="18">
        <f t="shared" si="194"/>
        <v>29</v>
      </c>
      <c r="EK41" s="24">
        <f t="shared" si="246"/>
        <v>0.16666666666666666</v>
      </c>
      <c r="EL41" s="14" t="e">
        <f t="shared" si="256"/>
        <v>#DIV/0!</v>
      </c>
      <c r="EM41" s="14" t="e">
        <f t="shared" si="256"/>
        <v>#DIV/0!</v>
      </c>
      <c r="EN41" s="14">
        <f>EJ41/EG16</f>
        <v>0.4264705882352941</v>
      </c>
      <c r="EO41" s="46" t="str">
        <f t="shared" si="257"/>
        <v>Ç</v>
      </c>
      <c r="EP41" s="46" t="str">
        <f>IF(EI41&lt;0,,IF(EI41&gt;EF16,"È",IF(EI41=EF16,"Æ","Ç")))</f>
        <v>È</v>
      </c>
      <c r="EQ41" s="2" t="e">
        <f t="shared" si="198"/>
        <v>#DIV/0!</v>
      </c>
      <c r="ER41" s="2" t="e">
        <f t="shared" si="199"/>
        <v>#DIV/0!</v>
      </c>
      <c r="ES41" s="2">
        <f t="shared" si="200"/>
        <v>3</v>
      </c>
    </row>
    <row r="42" spans="1:149" ht="12.75" customHeight="1">
      <c r="A42" s="6" t="s">
        <v>23</v>
      </c>
      <c r="B42" s="2" t="s">
        <v>12</v>
      </c>
      <c r="C42" s="3" t="s">
        <v>68</v>
      </c>
      <c r="E42" s="3" t="s">
        <v>16</v>
      </c>
      <c r="G42" s="3" t="s">
        <v>91</v>
      </c>
      <c r="I42" s="23"/>
      <c r="J42" s="19">
        <v>5</v>
      </c>
      <c r="K42" s="19">
        <v>6</v>
      </c>
      <c r="L42" s="19">
        <v>13</v>
      </c>
      <c r="M42" s="19">
        <v>53</v>
      </c>
      <c r="N42" s="19">
        <v>54</v>
      </c>
      <c r="O42" s="19">
        <v>96</v>
      </c>
      <c r="P42" s="19">
        <v>98</v>
      </c>
      <c r="Q42" s="19">
        <v>111</v>
      </c>
      <c r="R42" s="19">
        <v>185</v>
      </c>
      <c r="S42" s="19">
        <v>187</v>
      </c>
      <c r="T42" s="19">
        <v>188</v>
      </c>
      <c r="U42" s="19">
        <v>201</v>
      </c>
      <c r="V42" s="31">
        <v>5</v>
      </c>
      <c r="W42" s="19">
        <v>73</v>
      </c>
      <c r="X42" s="19">
        <v>79</v>
      </c>
      <c r="Y42" s="326">
        <v>130</v>
      </c>
      <c r="Z42" s="19">
        <v>139</v>
      </c>
      <c r="AA42" s="19">
        <v>166</v>
      </c>
      <c r="AB42" s="19">
        <v>177</v>
      </c>
      <c r="AC42" s="19">
        <v>184</v>
      </c>
      <c r="AD42" s="19">
        <v>193</v>
      </c>
      <c r="AE42" s="19">
        <v>258</v>
      </c>
      <c r="AF42" s="19">
        <v>264</v>
      </c>
      <c r="AG42" s="19">
        <v>316</v>
      </c>
      <c r="AH42" s="31">
        <v>6</v>
      </c>
      <c r="AI42" s="19">
        <v>39</v>
      </c>
      <c r="AJ42" s="19"/>
      <c r="AK42" s="408"/>
      <c r="AL42" s="19">
        <f t="shared" si="298"/>
        <v>5</v>
      </c>
      <c r="AM42" s="19">
        <f t="shared" si="299"/>
        <v>1</v>
      </c>
      <c r="AN42" s="19">
        <f t="shared" si="264"/>
        <v>7</v>
      </c>
      <c r="AO42" s="19">
        <f t="shared" si="265"/>
        <v>40</v>
      </c>
      <c r="AP42" s="129">
        <f t="shared" si="266"/>
        <v>1</v>
      </c>
      <c r="AQ42" s="129">
        <f t="shared" si="266"/>
        <v>42</v>
      </c>
      <c r="AR42" s="129">
        <f t="shared" si="178"/>
        <v>2</v>
      </c>
      <c r="AS42" s="129">
        <f t="shared" si="179"/>
        <v>13</v>
      </c>
      <c r="AT42" s="129">
        <f t="shared" si="180"/>
        <v>74</v>
      </c>
      <c r="AU42" s="129">
        <f t="shared" si="181"/>
        <v>2</v>
      </c>
      <c r="AV42" s="129">
        <f t="shared" si="182"/>
        <v>1</v>
      </c>
      <c r="AW42" s="129">
        <f t="shared" si="183"/>
        <v>13</v>
      </c>
      <c r="AX42" s="19">
        <f t="shared" si="300"/>
        <v>5</v>
      </c>
      <c r="AY42" s="129">
        <f t="shared" si="184"/>
        <v>68</v>
      </c>
      <c r="AZ42" s="129">
        <f t="shared" si="185"/>
        <v>6</v>
      </c>
      <c r="BA42" s="129">
        <f t="shared" si="230"/>
        <v>51</v>
      </c>
      <c r="BB42" s="129">
        <f t="shared" si="231"/>
        <v>9</v>
      </c>
      <c r="BC42" s="129">
        <f t="shared" si="241"/>
        <v>27</v>
      </c>
      <c r="BD42" s="129">
        <f t="shared" si="232"/>
        <v>11</v>
      </c>
      <c r="BE42" s="129">
        <f t="shared" si="233"/>
        <v>7</v>
      </c>
      <c r="BF42" s="129">
        <f t="shared" si="234"/>
        <v>9</v>
      </c>
      <c r="BG42" s="129">
        <f t="shared" si="235"/>
        <v>65</v>
      </c>
      <c r="BH42" s="129">
        <f t="shared" si="236"/>
        <v>6</v>
      </c>
      <c r="BI42" s="129">
        <f t="shared" si="237"/>
        <v>52</v>
      </c>
      <c r="BJ42" s="19">
        <f>AH42</f>
        <v>6</v>
      </c>
      <c r="BK42" s="129">
        <f t="shared" si="187"/>
        <v>33</v>
      </c>
      <c r="BL42" s="129">
        <f t="shared" si="188"/>
        <v>0</v>
      </c>
      <c r="BM42" s="408"/>
      <c r="BN42" s="48">
        <f t="shared" si="201"/>
        <v>13</v>
      </c>
      <c r="BO42" s="48">
        <f t="shared" si="202"/>
        <v>13</v>
      </c>
      <c r="BP42" s="48">
        <f t="shared" si="203"/>
        <v>13</v>
      </c>
      <c r="BQ42" s="48">
        <f t="shared" si="204"/>
        <v>83</v>
      </c>
      <c r="BR42" s="48">
        <f t="shared" si="205"/>
        <v>83</v>
      </c>
      <c r="BS42" s="48">
        <f t="shared" si="267"/>
        <v>83</v>
      </c>
      <c r="BT42" s="48">
        <f t="shared" si="207"/>
        <v>89</v>
      </c>
      <c r="BU42" s="48">
        <f t="shared" si="208"/>
        <v>89</v>
      </c>
      <c r="BV42" s="48">
        <f t="shared" si="268"/>
        <v>89</v>
      </c>
      <c r="BW42" s="48">
        <f t="shared" si="210"/>
        <v>16</v>
      </c>
      <c r="BX42" s="48">
        <f t="shared" si="211"/>
        <v>16</v>
      </c>
      <c r="BY42" s="48">
        <f t="shared" si="269"/>
        <v>16</v>
      </c>
      <c r="BZ42" s="48">
        <f t="shared" si="213"/>
        <v>79</v>
      </c>
      <c r="CA42" s="48">
        <f t="shared" si="214"/>
        <v>79</v>
      </c>
      <c r="CB42" s="48">
        <f t="shared" si="270"/>
        <v>79</v>
      </c>
      <c r="CC42" s="48">
        <f t="shared" si="216"/>
        <v>87</v>
      </c>
      <c r="CD42" s="48">
        <f t="shared" si="217"/>
        <v>87</v>
      </c>
      <c r="CE42" s="48">
        <f t="shared" si="271"/>
        <v>87</v>
      </c>
      <c r="CF42" s="48">
        <f t="shared" si="219"/>
        <v>27</v>
      </c>
      <c r="CG42" s="48">
        <f t="shared" si="220"/>
        <v>27</v>
      </c>
      <c r="CH42" s="48">
        <f t="shared" si="272"/>
        <v>27</v>
      </c>
      <c r="CI42" s="48">
        <f t="shared" si="222"/>
        <v>123</v>
      </c>
      <c r="CJ42" s="48">
        <f t="shared" si="223"/>
        <v>123</v>
      </c>
      <c r="CK42" s="48">
        <f t="shared" si="273"/>
        <v>123</v>
      </c>
      <c r="CL42" s="48">
        <f t="shared" si="225"/>
        <v>39</v>
      </c>
      <c r="CM42" s="48">
        <f t="shared" si="226"/>
        <v>39</v>
      </c>
      <c r="CN42" s="48">
        <f t="shared" si="274"/>
        <v>39</v>
      </c>
      <c r="CO42" s="406"/>
      <c r="CP42" s="21">
        <f t="shared" si="301"/>
        <v>5</v>
      </c>
      <c r="CQ42" s="21">
        <f t="shared" si="302"/>
        <v>6</v>
      </c>
      <c r="CR42" s="21">
        <f t="shared" si="275"/>
        <v>13</v>
      </c>
      <c r="CS42" s="21">
        <f t="shared" si="276"/>
        <v>53</v>
      </c>
      <c r="CT42" s="21">
        <f t="shared" si="277"/>
        <v>54</v>
      </c>
      <c r="CU42" s="21">
        <f t="shared" si="278"/>
        <v>96</v>
      </c>
      <c r="CV42" s="21">
        <f t="shared" si="279"/>
        <v>98</v>
      </c>
      <c r="CW42" s="21">
        <f t="shared" si="280"/>
        <v>111</v>
      </c>
      <c r="CX42" s="21">
        <f t="shared" si="281"/>
        <v>185</v>
      </c>
      <c r="CY42" s="21">
        <f t="shared" si="282"/>
        <v>187</v>
      </c>
      <c r="CZ42" s="21">
        <f t="shared" si="283"/>
        <v>188</v>
      </c>
      <c r="DA42" s="21">
        <f t="shared" si="284"/>
        <v>201</v>
      </c>
      <c r="DB42" s="21">
        <f t="shared" si="303"/>
        <v>5</v>
      </c>
      <c r="DC42" s="21">
        <f t="shared" si="285"/>
        <v>73</v>
      </c>
      <c r="DD42" s="21">
        <f t="shared" si="286"/>
        <v>79</v>
      </c>
      <c r="DE42" s="21">
        <f t="shared" si="287"/>
        <v>130</v>
      </c>
      <c r="DF42" s="21">
        <f t="shared" si="288"/>
        <v>139</v>
      </c>
      <c r="DG42" s="21">
        <f t="shared" si="289"/>
        <v>166</v>
      </c>
      <c r="DH42" s="21">
        <f t="shared" si="290"/>
        <v>177</v>
      </c>
      <c r="DI42" s="21">
        <f t="shared" si="291"/>
        <v>184</v>
      </c>
      <c r="DJ42" s="21">
        <f t="shared" si="292"/>
        <v>193</v>
      </c>
      <c r="DK42" s="21">
        <f t="shared" si="293"/>
        <v>258</v>
      </c>
      <c r="DL42" s="21">
        <f t="shared" si="294"/>
        <v>264</v>
      </c>
      <c r="DM42" s="21">
        <f t="shared" si="295"/>
        <v>316</v>
      </c>
      <c r="DN42" s="21">
        <f t="shared" si="296"/>
        <v>6</v>
      </c>
      <c r="DO42" s="21">
        <f t="shared" si="297"/>
        <v>39</v>
      </c>
      <c r="DP42" s="21"/>
      <c r="DQ42" s="248"/>
      <c r="DR42" s="248"/>
      <c r="DS42" s="248"/>
      <c r="DT42" s="248"/>
      <c r="DU42" s="248"/>
      <c r="DV42" s="248"/>
      <c r="DW42" s="248"/>
      <c r="DX42" s="248"/>
      <c r="DY42" s="248"/>
      <c r="ED42" s="429"/>
      <c r="EE42" s="23"/>
      <c r="EF42" s="23"/>
      <c r="EG42" s="23"/>
      <c r="EH42" s="18">
        <f t="shared" si="192"/>
        <v>33</v>
      </c>
      <c r="EI42" s="18">
        <f t="shared" si="193"/>
        <v>39</v>
      </c>
      <c r="EJ42" s="18">
        <f t="shared" si="194"/>
        <v>39</v>
      </c>
      <c r="EK42" s="24">
        <f t="shared" si="246"/>
        <v>0.16666666666666666</v>
      </c>
      <c r="EL42" s="14" t="e">
        <f t="shared" si="256"/>
        <v>#DIV/0!</v>
      </c>
      <c r="EM42" s="14" t="e">
        <f t="shared" si="256"/>
        <v>#DIV/0!</v>
      </c>
      <c r="EN42" s="14">
        <f>EJ42/EG17</f>
        <v>0.50649350649350644</v>
      </c>
      <c r="EO42" s="46" t="str">
        <f t="shared" si="257"/>
        <v>Ç</v>
      </c>
      <c r="EP42" s="46" t="str">
        <f t="shared" si="258"/>
        <v>Ç</v>
      </c>
      <c r="EQ42" s="2" t="e">
        <f t="shared" si="198"/>
        <v>#DIV/0!</v>
      </c>
      <c r="ER42" s="2" t="e">
        <f t="shared" si="199"/>
        <v>#DIV/0!</v>
      </c>
      <c r="ES42" s="2">
        <f t="shared" si="200"/>
        <v>3</v>
      </c>
    </row>
    <row r="43" spans="1:149" ht="12.75" customHeight="1">
      <c r="A43" s="6" t="s">
        <v>23</v>
      </c>
      <c r="B43" s="576" t="s">
        <v>17</v>
      </c>
      <c r="C43" s="3" t="s">
        <v>69</v>
      </c>
      <c r="E43" s="3" t="s">
        <v>18</v>
      </c>
      <c r="G43" s="3" t="s">
        <v>91</v>
      </c>
      <c r="I43" s="23"/>
      <c r="J43" s="19">
        <v>0</v>
      </c>
      <c r="K43" s="19">
        <v>0</v>
      </c>
      <c r="L43" s="19">
        <v>4</v>
      </c>
      <c r="M43" s="19">
        <f>L43</f>
        <v>4</v>
      </c>
      <c r="N43" s="19">
        <f>L43</f>
        <v>4</v>
      </c>
      <c r="O43" s="19">
        <v>4</v>
      </c>
      <c r="P43" s="19">
        <v>8</v>
      </c>
      <c r="Q43" s="19">
        <v>8</v>
      </c>
      <c r="R43" s="19">
        <v>8</v>
      </c>
      <c r="S43" s="19">
        <v>8</v>
      </c>
      <c r="T43" s="19">
        <v>10</v>
      </c>
      <c r="U43" s="19">
        <v>10</v>
      </c>
      <c r="V43" s="31">
        <v>0</v>
      </c>
      <c r="W43" s="19">
        <v>4</v>
      </c>
      <c r="X43" s="19">
        <v>4</v>
      </c>
      <c r="Y43" s="326">
        <v>4</v>
      </c>
      <c r="Z43" s="19">
        <v>4</v>
      </c>
      <c r="AA43" s="19">
        <v>4</v>
      </c>
      <c r="AB43" s="19">
        <v>8</v>
      </c>
      <c r="AC43" s="19">
        <v>8</v>
      </c>
      <c r="AD43" s="19">
        <v>8</v>
      </c>
      <c r="AE43" s="19">
        <v>8</v>
      </c>
      <c r="AF43" s="19"/>
      <c r="AG43" s="19">
        <v>3</v>
      </c>
      <c r="AH43" s="31"/>
      <c r="AI43" s="19"/>
      <c r="AJ43" s="19"/>
      <c r="AK43" s="408"/>
      <c r="AL43" s="19">
        <f t="shared" si="298"/>
        <v>0</v>
      </c>
      <c r="AM43" s="19">
        <f t="shared" si="299"/>
        <v>0</v>
      </c>
      <c r="AN43" s="19">
        <f t="shared" si="264"/>
        <v>4</v>
      </c>
      <c r="AO43" s="19">
        <f t="shared" si="265"/>
        <v>0</v>
      </c>
      <c r="AP43" s="129">
        <f t="shared" si="266"/>
        <v>0</v>
      </c>
      <c r="AQ43" s="129">
        <f t="shared" si="266"/>
        <v>0</v>
      </c>
      <c r="AR43" s="129">
        <f t="shared" si="178"/>
        <v>4</v>
      </c>
      <c r="AS43" s="129">
        <f t="shared" si="179"/>
        <v>0</v>
      </c>
      <c r="AT43" s="129">
        <f t="shared" si="180"/>
        <v>0</v>
      </c>
      <c r="AU43" s="129">
        <f t="shared" si="181"/>
        <v>0</v>
      </c>
      <c r="AV43" s="129">
        <f t="shared" si="182"/>
        <v>2</v>
      </c>
      <c r="AW43" s="129">
        <f t="shared" si="183"/>
        <v>0</v>
      </c>
      <c r="AX43" s="19">
        <f t="shared" si="300"/>
        <v>0</v>
      </c>
      <c r="AY43" s="129">
        <f t="shared" si="184"/>
        <v>4</v>
      </c>
      <c r="AZ43" s="129">
        <f t="shared" si="185"/>
        <v>0</v>
      </c>
      <c r="BA43" s="129">
        <f t="shared" si="230"/>
        <v>0</v>
      </c>
      <c r="BB43" s="129">
        <f t="shared" si="231"/>
        <v>0</v>
      </c>
      <c r="BC43" s="129">
        <f t="shared" si="241"/>
        <v>0</v>
      </c>
      <c r="BD43" s="129">
        <f t="shared" si="232"/>
        <v>4</v>
      </c>
      <c r="BE43" s="129">
        <f t="shared" si="233"/>
        <v>0</v>
      </c>
      <c r="BF43" s="129">
        <f t="shared" si="234"/>
        <v>0</v>
      </c>
      <c r="BG43" s="129">
        <f t="shared" si="235"/>
        <v>0</v>
      </c>
      <c r="BH43" s="129">
        <f t="shared" si="236"/>
        <v>0</v>
      </c>
      <c r="BI43" s="129">
        <f t="shared" si="237"/>
        <v>3</v>
      </c>
      <c r="BJ43" s="19">
        <f>AH43</f>
        <v>0</v>
      </c>
      <c r="BK43" s="129">
        <f t="shared" si="187"/>
        <v>0</v>
      </c>
      <c r="BL43" s="129">
        <f t="shared" si="188"/>
        <v>0</v>
      </c>
      <c r="BM43" s="408"/>
      <c r="BN43" s="48">
        <f t="shared" si="201"/>
        <v>4</v>
      </c>
      <c r="BO43" s="48">
        <f t="shared" si="202"/>
        <v>4</v>
      </c>
      <c r="BP43" s="48">
        <f t="shared" si="203"/>
        <v>4</v>
      </c>
      <c r="BQ43" s="48">
        <f t="shared" si="204"/>
        <v>0</v>
      </c>
      <c r="BR43" s="48">
        <f t="shared" si="205"/>
        <v>0</v>
      </c>
      <c r="BS43" s="48">
        <f t="shared" si="267"/>
        <v>0</v>
      </c>
      <c r="BT43" s="48">
        <f t="shared" si="207"/>
        <v>4</v>
      </c>
      <c r="BU43" s="48">
        <f t="shared" si="208"/>
        <v>4</v>
      </c>
      <c r="BV43" s="48">
        <f t="shared" si="268"/>
        <v>4</v>
      </c>
      <c r="BW43" s="48">
        <f t="shared" si="210"/>
        <v>2</v>
      </c>
      <c r="BX43" s="48">
        <f t="shared" si="211"/>
        <v>2</v>
      </c>
      <c r="BY43" s="48">
        <f t="shared" si="269"/>
        <v>2</v>
      </c>
      <c r="BZ43" s="48">
        <f t="shared" si="213"/>
        <v>4</v>
      </c>
      <c r="CA43" s="48">
        <f t="shared" si="214"/>
        <v>4</v>
      </c>
      <c r="CB43" s="48">
        <f t="shared" si="270"/>
        <v>4</v>
      </c>
      <c r="CC43" s="48">
        <f t="shared" si="216"/>
        <v>0</v>
      </c>
      <c r="CD43" s="48">
        <f t="shared" si="217"/>
        <v>0</v>
      </c>
      <c r="CE43" s="48">
        <f t="shared" si="271"/>
        <v>0</v>
      </c>
      <c r="CF43" s="48">
        <f t="shared" si="219"/>
        <v>4</v>
      </c>
      <c r="CG43" s="48">
        <f t="shared" si="220"/>
        <v>4</v>
      </c>
      <c r="CH43" s="48">
        <f t="shared" si="272"/>
        <v>4</v>
      </c>
      <c r="CI43" s="48">
        <f t="shared" si="222"/>
        <v>3</v>
      </c>
      <c r="CJ43" s="48">
        <f t="shared" si="223"/>
        <v>3</v>
      </c>
      <c r="CK43" s="48">
        <f t="shared" si="273"/>
        <v>3</v>
      </c>
      <c r="CL43" s="48">
        <f t="shared" si="225"/>
        <v>0</v>
      </c>
      <c r="CM43" s="48">
        <f t="shared" si="226"/>
        <v>0</v>
      </c>
      <c r="CN43" s="48">
        <f t="shared" si="274"/>
        <v>0</v>
      </c>
      <c r="CO43" s="406"/>
      <c r="CP43" s="21">
        <f t="shared" si="301"/>
        <v>0</v>
      </c>
      <c r="CQ43" s="21">
        <f t="shared" si="302"/>
        <v>0</v>
      </c>
      <c r="CR43" s="21">
        <f t="shared" si="275"/>
        <v>4</v>
      </c>
      <c r="CS43" s="21">
        <f t="shared" si="276"/>
        <v>4</v>
      </c>
      <c r="CT43" s="21">
        <f t="shared" si="277"/>
        <v>4</v>
      </c>
      <c r="CU43" s="21">
        <f t="shared" si="278"/>
        <v>4</v>
      </c>
      <c r="CV43" s="21">
        <f t="shared" si="279"/>
        <v>8</v>
      </c>
      <c r="CW43" s="21">
        <f t="shared" si="280"/>
        <v>8</v>
      </c>
      <c r="CX43" s="21">
        <f t="shared" si="281"/>
        <v>8</v>
      </c>
      <c r="CY43" s="21">
        <f t="shared" si="282"/>
        <v>8</v>
      </c>
      <c r="CZ43" s="21">
        <f t="shared" si="283"/>
        <v>10</v>
      </c>
      <c r="DA43" s="21">
        <f t="shared" si="284"/>
        <v>10</v>
      </c>
      <c r="DB43" s="21">
        <f t="shared" si="303"/>
        <v>0</v>
      </c>
      <c r="DC43" s="21">
        <f t="shared" si="285"/>
        <v>4</v>
      </c>
      <c r="DD43" s="21">
        <f t="shared" si="286"/>
        <v>4</v>
      </c>
      <c r="DE43" s="21">
        <f t="shared" si="287"/>
        <v>4</v>
      </c>
      <c r="DF43" s="21">
        <f t="shared" si="288"/>
        <v>4</v>
      </c>
      <c r="DG43" s="21">
        <f t="shared" si="289"/>
        <v>4</v>
      </c>
      <c r="DH43" s="21">
        <f t="shared" si="290"/>
        <v>8</v>
      </c>
      <c r="DI43" s="21">
        <f t="shared" si="291"/>
        <v>8</v>
      </c>
      <c r="DJ43" s="21">
        <f t="shared" si="292"/>
        <v>8</v>
      </c>
      <c r="DK43" s="21">
        <f t="shared" si="293"/>
        <v>8</v>
      </c>
      <c r="DL43" s="21">
        <f t="shared" si="294"/>
        <v>8</v>
      </c>
      <c r="DM43" s="21">
        <f t="shared" si="295"/>
        <v>11</v>
      </c>
      <c r="DN43" s="21">
        <f t="shared" si="296"/>
        <v>0</v>
      </c>
      <c r="DO43" s="21">
        <f t="shared" si="297"/>
        <v>0</v>
      </c>
      <c r="DP43" s="21"/>
      <c r="DQ43" s="248"/>
      <c r="DR43" s="248"/>
      <c r="DS43" s="248"/>
      <c r="DT43" s="248"/>
      <c r="DU43" s="248"/>
      <c r="DV43" s="248"/>
      <c r="DW43" s="248"/>
      <c r="DX43" s="248"/>
      <c r="DY43" s="248"/>
      <c r="ED43" s="429"/>
      <c r="EE43" s="23"/>
      <c r="EF43" s="23"/>
      <c r="EG43" s="23"/>
      <c r="EH43" s="18">
        <f t="shared" si="192"/>
        <v>0</v>
      </c>
      <c r="EI43" s="18">
        <f t="shared" si="193"/>
        <v>0</v>
      </c>
      <c r="EJ43" s="18">
        <f t="shared" si="194"/>
        <v>0</v>
      </c>
      <c r="EK43" s="24">
        <f t="shared" si="246"/>
        <v>0.16666666666666666</v>
      </c>
      <c r="EL43" s="14">
        <f>IF(EE18=0,0,EH43/EE18)</f>
        <v>0</v>
      </c>
      <c r="EM43" s="14" t="str">
        <f>IF(EF18=0,"",EI43/EF18)</f>
        <v/>
      </c>
      <c r="EN43" s="14">
        <f>EJ43/EG18</f>
        <v>0</v>
      </c>
      <c r="EO43" s="46" t="str">
        <f t="shared" si="257"/>
        <v>Æ</v>
      </c>
      <c r="EP43" s="46" t="str">
        <f t="shared" si="258"/>
        <v>Æ</v>
      </c>
      <c r="EQ43" s="24" t="str">
        <f>IF(EJ18&lt;&gt;0,EM43/EJ18,"N/A")</f>
        <v>N/A</v>
      </c>
      <c r="ER43" s="2">
        <f>IF(EM43&gt;=0.9,1,IF(EM43&gt;0.75,2,3))</f>
        <v>1</v>
      </c>
      <c r="ES43" s="2">
        <f>IF(EN43="","",IF(EN43&gt;=0.9,1,IF(EN43&lt;0.75,3,2)))</f>
        <v>3</v>
      </c>
    </row>
    <row r="44" spans="1:149" ht="12.75" customHeight="1">
      <c r="A44" s="6" t="s">
        <v>23</v>
      </c>
      <c r="B44" s="575" t="s">
        <v>202</v>
      </c>
      <c r="C44" s="3" t="s">
        <v>70</v>
      </c>
      <c r="E44" s="3" t="s">
        <v>15</v>
      </c>
      <c r="G44" s="3" t="s">
        <v>91</v>
      </c>
      <c r="I44" s="23"/>
      <c r="J44" s="19">
        <v>0</v>
      </c>
      <c r="K44" s="19">
        <v>0</v>
      </c>
      <c r="L44" s="19">
        <v>0</v>
      </c>
      <c r="M44" s="19">
        <v>0</v>
      </c>
      <c r="N44" s="19">
        <f>L44</f>
        <v>0</v>
      </c>
      <c r="O44" s="19">
        <v>0</v>
      </c>
      <c r="P44" s="19">
        <v>2</v>
      </c>
      <c r="Q44" s="19">
        <v>2</v>
      </c>
      <c r="R44" s="19">
        <v>2</v>
      </c>
      <c r="S44" s="19">
        <v>2</v>
      </c>
      <c r="T44" s="19">
        <v>2</v>
      </c>
      <c r="U44" s="19">
        <v>4</v>
      </c>
      <c r="V44" s="31">
        <v>0</v>
      </c>
      <c r="W44" s="19">
        <v>0</v>
      </c>
      <c r="X44" s="19">
        <v>0</v>
      </c>
      <c r="Y44" s="326">
        <v>0</v>
      </c>
      <c r="Z44" s="19">
        <v>0</v>
      </c>
      <c r="AA44" s="19">
        <v>0</v>
      </c>
      <c r="AB44" s="19">
        <v>0</v>
      </c>
      <c r="AC44" s="19">
        <v>2</v>
      </c>
      <c r="AD44" s="19">
        <v>2</v>
      </c>
      <c r="AE44" s="19">
        <v>2</v>
      </c>
      <c r="AF44" s="19">
        <v>2</v>
      </c>
      <c r="AG44" s="19"/>
      <c r="AH44" s="31"/>
      <c r="AI44" s="19"/>
      <c r="AJ44" s="19"/>
      <c r="AK44" s="408"/>
      <c r="AL44" s="40">
        <f t="shared" si="298"/>
        <v>0</v>
      </c>
      <c r="AM44" s="40">
        <f t="shared" si="299"/>
        <v>0</v>
      </c>
      <c r="AN44" s="40">
        <f t="shared" si="264"/>
        <v>0</v>
      </c>
      <c r="AO44" s="40">
        <f t="shared" si="265"/>
        <v>0</v>
      </c>
      <c r="AP44" s="40">
        <f t="shared" ref="AP44:AW44" si="304">N44-M44</f>
        <v>0</v>
      </c>
      <c r="AQ44" s="40">
        <f t="shared" si="304"/>
        <v>0</v>
      </c>
      <c r="AR44" s="40">
        <f t="shared" si="304"/>
        <v>2</v>
      </c>
      <c r="AS44" s="40">
        <f t="shared" si="304"/>
        <v>0</v>
      </c>
      <c r="AT44" s="40">
        <f t="shared" si="304"/>
        <v>0</v>
      </c>
      <c r="AU44" s="40">
        <f t="shared" si="304"/>
        <v>0</v>
      </c>
      <c r="AV44" s="40">
        <f t="shared" si="304"/>
        <v>0</v>
      </c>
      <c r="AW44" s="40">
        <f t="shared" si="304"/>
        <v>2</v>
      </c>
      <c r="AX44" s="40">
        <f t="shared" si="300"/>
        <v>0</v>
      </c>
      <c r="AY44" s="40">
        <f t="shared" ref="AY44:BL45" si="305">W44-V44</f>
        <v>0</v>
      </c>
      <c r="AZ44" s="40">
        <f t="shared" si="305"/>
        <v>0</v>
      </c>
      <c r="BA44" s="40">
        <f t="shared" si="305"/>
        <v>0</v>
      </c>
      <c r="BB44" s="40">
        <f t="shared" si="305"/>
        <v>0</v>
      </c>
      <c r="BC44" s="40">
        <f t="shared" si="305"/>
        <v>0</v>
      </c>
      <c r="BD44" s="40">
        <f t="shared" si="305"/>
        <v>0</v>
      </c>
      <c r="BE44" s="40">
        <f t="shared" si="305"/>
        <v>2</v>
      </c>
      <c r="BF44" s="40">
        <f t="shared" si="305"/>
        <v>0</v>
      </c>
      <c r="BG44" s="40">
        <f t="shared" si="305"/>
        <v>0</v>
      </c>
      <c r="BH44" s="40">
        <f t="shared" si="305"/>
        <v>0</v>
      </c>
      <c r="BI44" s="40">
        <f t="shared" si="305"/>
        <v>-2</v>
      </c>
      <c r="BJ44" s="40">
        <f t="shared" si="305"/>
        <v>0</v>
      </c>
      <c r="BK44" s="40">
        <f t="shared" si="305"/>
        <v>0</v>
      </c>
      <c r="BL44" s="40">
        <f t="shared" si="305"/>
        <v>0</v>
      </c>
      <c r="BM44" s="408"/>
      <c r="BN44" s="48">
        <f t="shared" si="201"/>
        <v>0</v>
      </c>
      <c r="BO44" s="48">
        <f t="shared" si="202"/>
        <v>0</v>
      </c>
      <c r="BP44" s="48">
        <f>SUM(AL44:AN44)</f>
        <v>0</v>
      </c>
      <c r="BQ44" s="48">
        <f t="shared" si="204"/>
        <v>0</v>
      </c>
      <c r="BR44" s="48">
        <f t="shared" si="205"/>
        <v>0</v>
      </c>
      <c r="BS44" s="48">
        <f>SUM(AO44:AQ44)</f>
        <v>0</v>
      </c>
      <c r="BT44" s="48">
        <f t="shared" si="207"/>
        <v>2</v>
      </c>
      <c r="BU44" s="48">
        <f t="shared" si="208"/>
        <v>2</v>
      </c>
      <c r="BV44" s="48">
        <f>SUM(AR44:AT44)</f>
        <v>2</v>
      </c>
      <c r="BW44" s="48">
        <f t="shared" si="210"/>
        <v>2</v>
      </c>
      <c r="BX44" s="48">
        <f t="shared" si="211"/>
        <v>2</v>
      </c>
      <c r="BY44" s="48">
        <f>SUM(AU44:AW44)</f>
        <v>2</v>
      </c>
      <c r="BZ44" s="48">
        <f t="shared" si="213"/>
        <v>0</v>
      </c>
      <c r="CA44" s="48">
        <f t="shared" si="214"/>
        <v>0</v>
      </c>
      <c r="CB44" s="48">
        <f>SUM(AX44:AZ44)</f>
        <v>0</v>
      </c>
      <c r="CC44" s="48">
        <f t="shared" si="216"/>
        <v>0</v>
      </c>
      <c r="CD44" s="48">
        <f t="shared" si="217"/>
        <v>0</v>
      </c>
      <c r="CE44" s="48">
        <f>SUM(BA44:BC44)</f>
        <v>0</v>
      </c>
      <c r="CF44" s="48">
        <f t="shared" si="219"/>
        <v>2</v>
      </c>
      <c r="CG44" s="48">
        <f t="shared" si="220"/>
        <v>2</v>
      </c>
      <c r="CH44" s="48">
        <f>SUM(BD44:BF44)</f>
        <v>2</v>
      </c>
      <c r="CI44" s="48">
        <f t="shared" si="222"/>
        <v>-2</v>
      </c>
      <c r="CJ44" s="48">
        <f t="shared" si="223"/>
        <v>-2</v>
      </c>
      <c r="CK44" s="48">
        <f>SUM(BG44:BI44)</f>
        <v>-2</v>
      </c>
      <c r="CL44" s="48">
        <f t="shared" si="225"/>
        <v>0</v>
      </c>
      <c r="CM44" s="48">
        <f t="shared" si="226"/>
        <v>0</v>
      </c>
      <c r="CN44" s="48">
        <f>SUM(BJ44:BL44)</f>
        <v>0</v>
      </c>
      <c r="CO44" s="406"/>
      <c r="CP44" s="48">
        <f t="shared" si="301"/>
        <v>0</v>
      </c>
      <c r="CQ44" s="48">
        <f t="shared" si="302"/>
        <v>0</v>
      </c>
      <c r="CR44" s="48">
        <f t="shared" si="275"/>
        <v>0</v>
      </c>
      <c r="CS44" s="48">
        <f t="shared" si="276"/>
        <v>0</v>
      </c>
      <c r="CT44" s="48">
        <f t="shared" si="277"/>
        <v>0</v>
      </c>
      <c r="CU44" s="48">
        <f t="shared" si="278"/>
        <v>0</v>
      </c>
      <c r="CV44" s="48">
        <f t="shared" si="279"/>
        <v>2</v>
      </c>
      <c r="CW44" s="48">
        <f t="shared" si="280"/>
        <v>2</v>
      </c>
      <c r="CX44" s="48">
        <f t="shared" si="281"/>
        <v>2</v>
      </c>
      <c r="CY44" s="48">
        <f t="shared" si="282"/>
        <v>2</v>
      </c>
      <c r="CZ44" s="48">
        <f t="shared" si="283"/>
        <v>2</v>
      </c>
      <c r="DA44" s="48">
        <f t="shared" si="284"/>
        <v>4</v>
      </c>
      <c r="DB44" s="384">
        <f t="shared" si="303"/>
        <v>0</v>
      </c>
      <c r="DC44" s="384">
        <f>AY44</f>
        <v>0</v>
      </c>
      <c r="DD44" s="384">
        <f>AZ44</f>
        <v>0</v>
      </c>
      <c r="DE44" s="384">
        <f>BA44</f>
        <v>0</v>
      </c>
      <c r="DF44" s="48">
        <f t="shared" si="288"/>
        <v>0</v>
      </c>
      <c r="DG44" s="48">
        <f t="shared" si="289"/>
        <v>0</v>
      </c>
      <c r="DH44" s="48">
        <f t="shared" si="290"/>
        <v>0</v>
      </c>
      <c r="DI44" s="48">
        <f t="shared" si="291"/>
        <v>2</v>
      </c>
      <c r="DJ44" s="48">
        <f t="shared" si="292"/>
        <v>2</v>
      </c>
      <c r="DK44" s="48">
        <f t="shared" si="293"/>
        <v>2</v>
      </c>
      <c r="DL44" s="48">
        <f t="shared" si="294"/>
        <v>2</v>
      </c>
      <c r="DM44" s="48">
        <f t="shared" si="295"/>
        <v>0</v>
      </c>
      <c r="DN44" s="48">
        <f>DM44+BJ44</f>
        <v>0</v>
      </c>
      <c r="DO44" s="48">
        <f t="shared" si="297"/>
        <v>0</v>
      </c>
      <c r="DP44" s="48">
        <f t="shared" ref="DP44" si="306">DO44+BL44</f>
        <v>0</v>
      </c>
      <c r="DQ44" s="48"/>
      <c r="DR44" s="48"/>
      <c r="DS44" s="48"/>
      <c r="DT44" s="48"/>
      <c r="DU44" s="48"/>
      <c r="DV44" s="48"/>
      <c r="DW44" s="48"/>
      <c r="DX44" s="48"/>
      <c r="DY44" s="48"/>
      <c r="ED44" s="429"/>
      <c r="EE44" s="23"/>
      <c r="EF44" s="23"/>
      <c r="EG44" s="23"/>
      <c r="EH44" s="385">
        <f t="shared" si="192"/>
        <v>0</v>
      </c>
      <c r="EI44" s="385">
        <f t="shared" si="193"/>
        <v>0</v>
      </c>
      <c r="EJ44" s="385">
        <f t="shared" si="194"/>
        <v>0</v>
      </c>
      <c r="EK44" s="24">
        <f>IF(EK2&lt;6,0.5,IF(AND(EK2&gt;=6,EK2&lt;12),0.5,1))</f>
        <v>0.5</v>
      </c>
      <c r="EL44" s="14">
        <f>IF(EE19=0,0,EH44/EE19)</f>
        <v>0</v>
      </c>
      <c r="EM44" s="14">
        <f>IF(EF19=0,0,EI44/EF19)</f>
        <v>0</v>
      </c>
      <c r="EN44" s="14">
        <f>IF(EG19="","",EJ44/EG19)</f>
        <v>0</v>
      </c>
      <c r="EO44" s="46" t="str">
        <f t="shared" si="257"/>
        <v>Æ</v>
      </c>
      <c r="EP44" s="46" t="str">
        <f t="shared" si="258"/>
        <v>Ç</v>
      </c>
      <c r="EQ44" s="24" t="str">
        <f>IF(EJ19&lt;&gt;0,EM44/EJ19,"N/A")</f>
        <v>N/A</v>
      </c>
      <c r="ER44" s="24" t="str">
        <f>IF(EK19&lt;&gt;0,EN44/EK19,"N/A")</f>
        <v>N/A</v>
      </c>
      <c r="ES44" s="2">
        <f>IF(EN44="","",IF(EN44&gt;=0.9,1,IF(EN44&lt;0.75,3,2)))</f>
        <v>3</v>
      </c>
    </row>
    <row r="45" spans="1:149" ht="12.75" customHeight="1">
      <c r="A45" s="6" t="s">
        <v>23</v>
      </c>
      <c r="B45" s="574" t="s">
        <v>13</v>
      </c>
      <c r="C45" s="3" t="s">
        <v>71</v>
      </c>
      <c r="E45" s="3" t="s">
        <v>15</v>
      </c>
      <c r="G45" s="3" t="s">
        <v>91</v>
      </c>
      <c r="I45" s="23"/>
      <c r="J45" s="19">
        <v>0</v>
      </c>
      <c r="K45" s="19">
        <f t="shared" ref="K45:M46" si="307">J45</f>
        <v>0</v>
      </c>
      <c r="L45" s="19">
        <v>8211</v>
      </c>
      <c r="M45" s="19">
        <f t="shared" si="307"/>
        <v>8211</v>
      </c>
      <c r="N45" s="19">
        <f>L45</f>
        <v>8211</v>
      </c>
      <c r="O45" s="19">
        <v>8211</v>
      </c>
      <c r="P45" s="263">
        <v>20844.32</v>
      </c>
      <c r="Q45" s="263">
        <v>20844</v>
      </c>
      <c r="R45" s="19">
        <v>20844</v>
      </c>
      <c r="S45" s="19">
        <v>20844</v>
      </c>
      <c r="T45" s="19">
        <v>20844</v>
      </c>
      <c r="U45" s="19">
        <v>20844</v>
      </c>
      <c r="V45" s="31">
        <v>0</v>
      </c>
      <c r="W45" s="19">
        <v>0</v>
      </c>
      <c r="X45" s="19">
        <v>0</v>
      </c>
      <c r="Y45" s="326">
        <v>0</v>
      </c>
      <c r="Z45" s="19">
        <v>0</v>
      </c>
      <c r="AA45" s="19">
        <v>0</v>
      </c>
      <c r="AB45" s="263">
        <v>37299.230000000003</v>
      </c>
      <c r="AC45" s="19">
        <v>0</v>
      </c>
      <c r="AD45" s="19">
        <v>0</v>
      </c>
      <c r="AE45" s="19">
        <v>0</v>
      </c>
      <c r="AF45" s="19">
        <v>0</v>
      </c>
      <c r="AG45" s="19">
        <v>64386.39</v>
      </c>
      <c r="AH45" s="31">
        <v>20832.37</v>
      </c>
      <c r="AI45" s="19"/>
      <c r="AJ45" s="19"/>
      <c r="AK45" s="408"/>
      <c r="AL45" s="19">
        <f t="shared" si="298"/>
        <v>0</v>
      </c>
      <c r="AM45" s="19"/>
      <c r="AN45" s="19"/>
      <c r="AO45" s="19"/>
      <c r="AP45" s="19"/>
      <c r="AQ45" s="19">
        <f t="shared" si="266"/>
        <v>0</v>
      </c>
      <c r="AR45" s="19">
        <f t="shared" si="178"/>
        <v>12633.32</v>
      </c>
      <c r="AS45" s="19">
        <f t="shared" si="179"/>
        <v>-0.31999999999970896</v>
      </c>
      <c r="AT45" s="19">
        <f t="shared" si="180"/>
        <v>0</v>
      </c>
      <c r="AU45" s="19">
        <f t="shared" si="181"/>
        <v>0</v>
      </c>
      <c r="AV45" s="19">
        <f t="shared" si="182"/>
        <v>0</v>
      </c>
      <c r="AW45" s="19">
        <f t="shared" si="183"/>
        <v>0</v>
      </c>
      <c r="AX45" s="19"/>
      <c r="AY45" s="19">
        <f t="shared" si="184"/>
        <v>0</v>
      </c>
      <c r="AZ45" s="19">
        <f t="shared" si="185"/>
        <v>0</v>
      </c>
      <c r="BA45" s="19">
        <f t="shared" si="230"/>
        <v>0</v>
      </c>
      <c r="BB45" s="19">
        <f t="shared" si="305"/>
        <v>0</v>
      </c>
      <c r="BC45" s="19">
        <f t="shared" si="305"/>
        <v>0</v>
      </c>
      <c r="BD45" s="19">
        <f t="shared" si="305"/>
        <v>37299.230000000003</v>
      </c>
      <c r="BE45" s="19"/>
      <c r="BF45" s="19">
        <f t="shared" si="305"/>
        <v>0</v>
      </c>
      <c r="BG45" s="19">
        <f t="shared" si="305"/>
        <v>0</v>
      </c>
      <c r="BH45" s="19">
        <f t="shared" si="305"/>
        <v>0</v>
      </c>
      <c r="BI45" s="19">
        <f t="shared" si="305"/>
        <v>64386.39</v>
      </c>
      <c r="BJ45" s="19"/>
      <c r="BK45" s="19"/>
      <c r="BL45" s="19"/>
      <c r="BM45" s="408"/>
      <c r="BN45" s="40" t="s">
        <v>97</v>
      </c>
      <c r="BO45" s="40" t="s">
        <v>97</v>
      </c>
      <c r="BP45" s="40" t="s">
        <v>97</v>
      </c>
      <c r="BQ45" s="40" t="s">
        <v>97</v>
      </c>
      <c r="BR45" s="40" t="s">
        <v>97</v>
      </c>
      <c r="BS45" s="40" t="s">
        <v>97</v>
      </c>
      <c r="BT45" s="40" t="s">
        <v>97</v>
      </c>
      <c r="BU45" s="40" t="s">
        <v>97</v>
      </c>
      <c r="BV45" s="40" t="s">
        <v>97</v>
      </c>
      <c r="BW45" s="40" t="s">
        <v>97</v>
      </c>
      <c r="BX45" s="40" t="s">
        <v>97</v>
      </c>
      <c r="BY45" s="40" t="s">
        <v>97</v>
      </c>
      <c r="BZ45" s="40" t="s">
        <v>97</v>
      </c>
      <c r="CA45" s="40" t="s">
        <v>97</v>
      </c>
      <c r="CB45" s="40" t="s">
        <v>97</v>
      </c>
      <c r="CC45" s="40" t="s">
        <v>97</v>
      </c>
      <c r="CD45" s="40" t="s">
        <v>97</v>
      </c>
      <c r="CE45" s="40" t="s">
        <v>97</v>
      </c>
      <c r="CF45" s="40" t="s">
        <v>97</v>
      </c>
      <c r="CG45" s="40" t="s">
        <v>97</v>
      </c>
      <c r="CH45" s="40" t="s">
        <v>97</v>
      </c>
      <c r="CI45" s="40" t="s">
        <v>97</v>
      </c>
      <c r="CJ45" s="40" t="s">
        <v>97</v>
      </c>
      <c r="CK45" s="40" t="s">
        <v>97</v>
      </c>
      <c r="CL45" s="40" t="s">
        <v>97</v>
      </c>
      <c r="CM45" s="40" t="s">
        <v>97</v>
      </c>
      <c r="CN45" s="40" t="s">
        <v>97</v>
      </c>
      <c r="CO45" s="408"/>
      <c r="CP45" s="21">
        <f t="shared" ref="CP45:CY46" si="308">J45</f>
        <v>0</v>
      </c>
      <c r="CQ45" s="21">
        <f t="shared" si="308"/>
        <v>0</v>
      </c>
      <c r="CR45" s="21">
        <f t="shared" si="308"/>
        <v>8211</v>
      </c>
      <c r="CS45" s="21">
        <f t="shared" si="308"/>
        <v>8211</v>
      </c>
      <c r="CT45" s="21">
        <f t="shared" si="308"/>
        <v>8211</v>
      </c>
      <c r="CU45" s="21">
        <f t="shared" si="308"/>
        <v>8211</v>
      </c>
      <c r="CV45" s="21">
        <f t="shared" si="308"/>
        <v>20844.32</v>
      </c>
      <c r="CW45" s="21">
        <f t="shared" si="308"/>
        <v>20844</v>
      </c>
      <c r="CX45" s="21">
        <f t="shared" si="308"/>
        <v>20844</v>
      </c>
      <c r="CY45" s="21">
        <f t="shared" si="308"/>
        <v>20844</v>
      </c>
      <c r="CZ45" s="21">
        <f t="shared" ref="CZ45:DI46" si="309">T45</f>
        <v>20844</v>
      </c>
      <c r="DA45" s="21">
        <f t="shared" si="309"/>
        <v>20844</v>
      </c>
      <c r="DB45" s="21">
        <f t="shared" si="309"/>
        <v>0</v>
      </c>
      <c r="DC45" s="21">
        <f t="shared" si="309"/>
        <v>0</v>
      </c>
      <c r="DD45" s="21">
        <f t="shared" si="309"/>
        <v>0</v>
      </c>
      <c r="DE45" s="21">
        <f t="shared" si="309"/>
        <v>0</v>
      </c>
      <c r="DF45" s="21">
        <f t="shared" si="309"/>
        <v>0</v>
      </c>
      <c r="DG45" s="21">
        <f t="shared" si="309"/>
        <v>0</v>
      </c>
      <c r="DH45" s="21">
        <f t="shared" si="309"/>
        <v>37299.230000000003</v>
      </c>
      <c r="DI45" s="21">
        <f t="shared" si="309"/>
        <v>0</v>
      </c>
      <c r="DJ45" s="21">
        <f t="shared" ref="DJ45:DP46" si="310">AD45</f>
        <v>0</v>
      </c>
      <c r="DK45" s="21">
        <f t="shared" si="310"/>
        <v>0</v>
      </c>
      <c r="DL45" s="21">
        <f t="shared" si="310"/>
        <v>0</v>
      </c>
      <c r="DM45" s="21">
        <f t="shared" si="310"/>
        <v>64386.39</v>
      </c>
      <c r="DN45" s="21">
        <f t="shared" si="310"/>
        <v>20832.37</v>
      </c>
      <c r="DO45" s="21">
        <f t="shared" si="310"/>
        <v>0</v>
      </c>
      <c r="DP45" s="21">
        <f t="shared" si="310"/>
        <v>0</v>
      </c>
      <c r="DQ45" s="248"/>
      <c r="DR45" s="248"/>
      <c r="DS45" s="248"/>
      <c r="DT45" s="248"/>
      <c r="DU45" s="248"/>
      <c r="DV45" s="248"/>
      <c r="DW45" s="248"/>
      <c r="DX45" s="248"/>
      <c r="DY45" s="248"/>
      <c r="ED45" s="429"/>
      <c r="EE45" s="23"/>
      <c r="EF45" s="23"/>
      <c r="EG45" s="23"/>
      <c r="EH45" s="24" t="s">
        <v>97</v>
      </c>
      <c r="EI45" s="24" t="s">
        <v>97</v>
      </c>
      <c r="EJ45" s="18">
        <f t="shared" si="194"/>
        <v>0</v>
      </c>
      <c r="EK45" s="24">
        <f t="shared" si="246"/>
        <v>0.16666666666666666</v>
      </c>
      <c r="EL45" s="24" t="s">
        <v>97</v>
      </c>
      <c r="EM45" s="24" t="s">
        <v>97</v>
      </c>
      <c r="EN45" s="24">
        <f>EJ45/EG20</f>
        <v>0</v>
      </c>
      <c r="EO45" s="46" t="str">
        <f t="shared" si="257"/>
        <v>Æ</v>
      </c>
      <c r="EP45" s="46" t="str">
        <f t="shared" si="258"/>
        <v>Æ</v>
      </c>
      <c r="EQ45" s="24" t="s">
        <v>97</v>
      </c>
      <c r="ER45" s="24" t="s">
        <v>97</v>
      </c>
      <c r="ES45" s="2">
        <f>IF(EN45&gt;=0.9,1,IF(EN45&lt;0.75,2,3))</f>
        <v>2</v>
      </c>
    </row>
    <row r="46" spans="1:149" ht="12.75" customHeight="1" thickBot="1">
      <c r="A46" s="6" t="s">
        <v>23</v>
      </c>
      <c r="B46" s="574" t="s">
        <v>14</v>
      </c>
      <c r="C46" s="3" t="s">
        <v>72</v>
      </c>
      <c r="E46" s="3" t="s">
        <v>15</v>
      </c>
      <c r="G46" s="3" t="s">
        <v>91</v>
      </c>
      <c r="I46" s="23"/>
      <c r="J46" s="19">
        <v>0</v>
      </c>
      <c r="K46" s="19">
        <f t="shared" si="307"/>
        <v>0</v>
      </c>
      <c r="L46" s="19">
        <v>19111</v>
      </c>
      <c r="M46" s="19">
        <f t="shared" si="307"/>
        <v>19111</v>
      </c>
      <c r="N46" s="19">
        <f>L46</f>
        <v>19111</v>
      </c>
      <c r="O46" s="19">
        <f>12230.96+6879.92</f>
        <v>19110.879999999997</v>
      </c>
      <c r="P46" s="263">
        <f>21665.75+12186.98</f>
        <v>33852.729999999996</v>
      </c>
      <c r="Q46" s="263">
        <v>33853</v>
      </c>
      <c r="R46" s="19">
        <v>33853</v>
      </c>
      <c r="S46" s="19">
        <v>33853</v>
      </c>
      <c r="T46" s="19">
        <v>33853</v>
      </c>
      <c r="U46" s="19">
        <v>33853</v>
      </c>
      <c r="V46" s="34">
        <v>0</v>
      </c>
      <c r="W46" s="19">
        <v>0</v>
      </c>
      <c r="X46" s="19">
        <v>0</v>
      </c>
      <c r="Y46" s="326">
        <v>0</v>
      </c>
      <c r="Z46" s="19">
        <v>0</v>
      </c>
      <c r="AA46" s="19">
        <v>0</v>
      </c>
      <c r="AB46" s="19">
        <f>68270+13250</f>
        <v>81520</v>
      </c>
      <c r="AC46" s="19">
        <v>0</v>
      </c>
      <c r="AD46" s="19">
        <v>0</v>
      </c>
      <c r="AE46" s="19">
        <v>0</v>
      </c>
      <c r="AF46" s="19">
        <v>0</v>
      </c>
      <c r="AG46" s="19">
        <v>43554.02</v>
      </c>
      <c r="AH46" s="34">
        <v>43554.02</v>
      </c>
      <c r="AI46" s="19"/>
      <c r="AJ46" s="19"/>
      <c r="AK46" s="408"/>
      <c r="AL46" s="19">
        <f t="shared" si="298"/>
        <v>0</v>
      </c>
      <c r="AM46" s="19"/>
      <c r="AN46" s="19"/>
      <c r="AO46" s="19"/>
      <c r="AP46" s="19"/>
      <c r="AQ46" s="19">
        <f t="shared" si="266"/>
        <v>-0.12000000000261934</v>
      </c>
      <c r="AR46" s="19">
        <f t="shared" si="178"/>
        <v>14741.849999999999</v>
      </c>
      <c r="AS46" s="19"/>
      <c r="AT46" s="19">
        <f t="shared" si="180"/>
        <v>0</v>
      </c>
      <c r="AU46" s="19">
        <f t="shared" si="181"/>
        <v>0</v>
      </c>
      <c r="AV46" s="19">
        <f t="shared" si="182"/>
        <v>0</v>
      </c>
      <c r="AW46" s="19">
        <f t="shared" si="183"/>
        <v>0</v>
      </c>
      <c r="AX46" s="19"/>
      <c r="AY46" s="19">
        <f t="shared" si="184"/>
        <v>0</v>
      </c>
      <c r="AZ46" s="19">
        <f t="shared" si="185"/>
        <v>0</v>
      </c>
      <c r="BA46" s="19">
        <f t="shared" si="230"/>
        <v>0</v>
      </c>
      <c r="BB46" s="19"/>
      <c r="BC46" s="19"/>
      <c r="BD46" s="19"/>
      <c r="BE46" s="19"/>
      <c r="BF46" s="19"/>
      <c r="BG46" s="19"/>
      <c r="BH46" s="19"/>
      <c r="BI46" s="19"/>
      <c r="BJ46" s="19"/>
      <c r="BK46" s="19"/>
      <c r="BL46" s="19"/>
      <c r="BM46" s="408"/>
      <c r="BN46" s="40" t="s">
        <v>97</v>
      </c>
      <c r="BO46" s="40" t="s">
        <v>97</v>
      </c>
      <c r="BP46" s="40" t="s">
        <v>97</v>
      </c>
      <c r="BQ46" s="40" t="s">
        <v>97</v>
      </c>
      <c r="BR46" s="40" t="s">
        <v>97</v>
      </c>
      <c r="BS46" s="40" t="s">
        <v>97</v>
      </c>
      <c r="BT46" s="40" t="s">
        <v>97</v>
      </c>
      <c r="BU46" s="40" t="s">
        <v>97</v>
      </c>
      <c r="BV46" s="40" t="s">
        <v>97</v>
      </c>
      <c r="BW46" s="40" t="s">
        <v>97</v>
      </c>
      <c r="BX46" s="40" t="s">
        <v>97</v>
      </c>
      <c r="BY46" s="40" t="s">
        <v>97</v>
      </c>
      <c r="BZ46" s="40" t="s">
        <v>97</v>
      </c>
      <c r="CA46" s="40" t="s">
        <v>97</v>
      </c>
      <c r="CB46" s="40" t="s">
        <v>97</v>
      </c>
      <c r="CC46" s="40" t="s">
        <v>97</v>
      </c>
      <c r="CD46" s="40" t="s">
        <v>97</v>
      </c>
      <c r="CE46" s="40" t="s">
        <v>97</v>
      </c>
      <c r="CF46" s="40" t="s">
        <v>97</v>
      </c>
      <c r="CG46" s="40" t="s">
        <v>97</v>
      </c>
      <c r="CH46" s="40" t="s">
        <v>97</v>
      </c>
      <c r="CI46" s="40" t="s">
        <v>97</v>
      </c>
      <c r="CJ46" s="40" t="s">
        <v>97</v>
      </c>
      <c r="CK46" s="40" t="s">
        <v>97</v>
      </c>
      <c r="CL46" s="40" t="s">
        <v>97</v>
      </c>
      <c r="CM46" s="40" t="s">
        <v>97</v>
      </c>
      <c r="CN46" s="40" t="s">
        <v>97</v>
      </c>
      <c r="CO46" s="408"/>
      <c r="CP46" s="21">
        <f t="shared" si="308"/>
        <v>0</v>
      </c>
      <c r="CQ46" s="21">
        <f t="shared" si="308"/>
        <v>0</v>
      </c>
      <c r="CR46" s="21">
        <f t="shared" si="308"/>
        <v>19111</v>
      </c>
      <c r="CS46" s="21">
        <f t="shared" si="308"/>
        <v>19111</v>
      </c>
      <c r="CT46" s="21">
        <f t="shared" si="308"/>
        <v>19111</v>
      </c>
      <c r="CU46" s="21">
        <f t="shared" si="308"/>
        <v>19110.879999999997</v>
      </c>
      <c r="CV46" s="21">
        <f t="shared" si="308"/>
        <v>33852.729999999996</v>
      </c>
      <c r="CW46" s="21">
        <f t="shared" si="308"/>
        <v>33853</v>
      </c>
      <c r="CX46" s="21">
        <f t="shared" si="308"/>
        <v>33853</v>
      </c>
      <c r="CY46" s="21">
        <f t="shared" si="308"/>
        <v>33853</v>
      </c>
      <c r="CZ46" s="21">
        <f t="shared" si="309"/>
        <v>33853</v>
      </c>
      <c r="DA46" s="21">
        <f t="shared" si="309"/>
        <v>33853</v>
      </c>
      <c r="DB46" s="21">
        <f t="shared" si="309"/>
        <v>0</v>
      </c>
      <c r="DC46" s="21">
        <f t="shared" si="309"/>
        <v>0</v>
      </c>
      <c r="DD46" s="21">
        <f t="shared" si="309"/>
        <v>0</v>
      </c>
      <c r="DE46" s="21">
        <f t="shared" si="309"/>
        <v>0</v>
      </c>
      <c r="DF46" s="21">
        <f t="shared" si="309"/>
        <v>0</v>
      </c>
      <c r="DG46" s="21">
        <f t="shared" si="309"/>
        <v>0</v>
      </c>
      <c r="DH46" s="21">
        <f t="shared" si="309"/>
        <v>81520</v>
      </c>
      <c r="DI46" s="21">
        <f t="shared" si="309"/>
        <v>0</v>
      </c>
      <c r="DJ46" s="21">
        <f t="shared" si="310"/>
        <v>0</v>
      </c>
      <c r="DK46" s="21">
        <f t="shared" si="310"/>
        <v>0</v>
      </c>
      <c r="DL46" s="21">
        <f t="shared" si="310"/>
        <v>0</v>
      </c>
      <c r="DM46" s="21">
        <f t="shared" si="310"/>
        <v>43554.02</v>
      </c>
      <c r="DN46" s="21">
        <f t="shared" si="310"/>
        <v>43554.02</v>
      </c>
      <c r="DO46" s="21">
        <f t="shared" si="310"/>
        <v>0</v>
      </c>
      <c r="DP46" s="21">
        <f t="shared" si="310"/>
        <v>0</v>
      </c>
      <c r="DQ46" s="248"/>
      <c r="DR46" s="248"/>
      <c r="DS46" s="248"/>
      <c r="DT46" s="248"/>
      <c r="DU46" s="248"/>
      <c r="DV46" s="248"/>
      <c r="DW46" s="248"/>
      <c r="DX46" s="248"/>
      <c r="DY46" s="248"/>
      <c r="ED46" s="429"/>
      <c r="EE46" s="23"/>
      <c r="EF46" s="23"/>
      <c r="EG46" s="23"/>
      <c r="EH46" s="24" t="s">
        <v>97</v>
      </c>
      <c r="EI46" s="24" t="s">
        <v>97</v>
      </c>
      <c r="EJ46" s="18">
        <f t="shared" si="194"/>
        <v>0</v>
      </c>
      <c r="EK46" s="24">
        <f t="shared" si="246"/>
        <v>0.16666666666666666</v>
      </c>
      <c r="EL46" s="24" t="s">
        <v>97</v>
      </c>
      <c r="EM46" s="24" t="s">
        <v>97</v>
      </c>
      <c r="EN46" s="24">
        <f>EJ46/EG21</f>
        <v>0</v>
      </c>
      <c r="EO46" s="46" t="str">
        <f t="shared" si="257"/>
        <v>Æ</v>
      </c>
      <c r="EP46" s="46" t="str">
        <f t="shared" si="258"/>
        <v>Æ</v>
      </c>
      <c r="EQ46" s="24" t="s">
        <v>97</v>
      </c>
      <c r="ER46" s="24" t="s">
        <v>97</v>
      </c>
      <c r="ES46" s="2">
        <f>IF(EN46&gt;=0.9,1,IF(EN46&lt;0.75,2,3))</f>
        <v>2</v>
      </c>
    </row>
    <row r="47" spans="1:149" ht="12.75" customHeight="1">
      <c r="A47" s="6" t="s">
        <v>23</v>
      </c>
      <c r="B47" s="2" t="s">
        <v>0</v>
      </c>
      <c r="C47" s="3" t="s">
        <v>59</v>
      </c>
      <c r="E47" s="3" t="s">
        <v>16</v>
      </c>
      <c r="G47" s="28" t="s">
        <v>92</v>
      </c>
      <c r="H47" s="28"/>
      <c r="I47" s="29"/>
      <c r="J47" s="30">
        <f>IF(J34&lt;&gt;"",+J34-I34,"")</f>
        <v>75</v>
      </c>
      <c r="K47" s="30">
        <f t="shared" ref="K47:U47" si="311">IF(K34&lt;&gt;"",+K34-J34,"")</f>
        <v>27</v>
      </c>
      <c r="L47" s="30">
        <f t="shared" si="311"/>
        <v>10</v>
      </c>
      <c r="M47" s="30">
        <f t="shared" si="311"/>
        <v>2</v>
      </c>
      <c r="N47" s="30">
        <f t="shared" si="311"/>
        <v>3</v>
      </c>
      <c r="O47" s="30">
        <f t="shared" si="311"/>
        <v>3</v>
      </c>
      <c r="P47" s="30">
        <f t="shared" si="311"/>
        <v>2</v>
      </c>
      <c r="Q47" s="30">
        <f t="shared" si="311"/>
        <v>7</v>
      </c>
      <c r="R47" s="30">
        <f t="shared" si="311"/>
        <v>6</v>
      </c>
      <c r="S47" s="30">
        <f t="shared" si="311"/>
        <v>1</v>
      </c>
      <c r="T47" s="30">
        <f t="shared" si="311"/>
        <v>1</v>
      </c>
      <c r="U47" s="30">
        <f t="shared" si="311"/>
        <v>9</v>
      </c>
      <c r="V47" s="30">
        <f>IF(V27&lt;&gt;"",+V27-U27,"")</f>
        <v>13</v>
      </c>
      <c r="W47" s="30">
        <f>IF(W34&lt;&gt;"",+W34-V34,0)</f>
        <v>74</v>
      </c>
      <c r="X47" s="30">
        <f>IF(X34&lt;&gt;"",+X34-W34,0)</f>
        <v>10</v>
      </c>
      <c r="Y47" s="226">
        <f>IF(Y34&lt;&gt;"",+Y34-X34,0)</f>
        <v>5</v>
      </c>
      <c r="Z47" s="30">
        <f t="shared" ref="Z47:AG47" si="312">IF(Z34&lt;&gt;"",+Z34-Y34,"")</f>
        <v>7</v>
      </c>
      <c r="AA47" s="30">
        <f t="shared" si="312"/>
        <v>0</v>
      </c>
      <c r="AB47" s="30">
        <f t="shared" si="312"/>
        <v>4</v>
      </c>
      <c r="AC47" s="30">
        <f t="shared" si="312"/>
        <v>3</v>
      </c>
      <c r="AD47" s="30">
        <f t="shared" si="312"/>
        <v>5</v>
      </c>
      <c r="AE47" s="30">
        <f t="shared" si="312"/>
        <v>2</v>
      </c>
      <c r="AF47" s="30">
        <f t="shared" si="312"/>
        <v>2</v>
      </c>
      <c r="AG47" s="30">
        <f t="shared" si="312"/>
        <v>1</v>
      </c>
      <c r="AH47" s="30">
        <f>IF(AH34&lt;&gt;"",+AH34,"")</f>
        <v>18</v>
      </c>
      <c r="AI47" s="30">
        <f>IF(AI34&lt;&gt;"",+AI34-AH34,"")</f>
        <v>58</v>
      </c>
      <c r="AJ47" s="30" t="str">
        <f>IF(AJ34&lt;&gt;"",+AJ34-AI34,"")</f>
        <v/>
      </c>
      <c r="AK47" s="408"/>
      <c r="AL47" s="48">
        <f t="shared" ref="AL47:AU48" si="313">J47</f>
        <v>75</v>
      </c>
      <c r="AM47" s="48">
        <f t="shared" si="313"/>
        <v>27</v>
      </c>
      <c r="AN47" s="48">
        <f t="shared" si="313"/>
        <v>10</v>
      </c>
      <c r="AO47" s="48">
        <f t="shared" si="313"/>
        <v>2</v>
      </c>
      <c r="AP47" s="48">
        <f t="shared" si="313"/>
        <v>3</v>
      </c>
      <c r="AQ47" s="48">
        <f t="shared" si="313"/>
        <v>3</v>
      </c>
      <c r="AR47" s="48">
        <f t="shared" si="313"/>
        <v>2</v>
      </c>
      <c r="AS47" s="48">
        <f t="shared" si="313"/>
        <v>7</v>
      </c>
      <c r="AT47" s="48">
        <f t="shared" si="313"/>
        <v>6</v>
      </c>
      <c r="AU47" s="48">
        <f t="shared" si="313"/>
        <v>1</v>
      </c>
      <c r="AV47" s="48">
        <f t="shared" ref="AV47:BE48" si="314">T47</f>
        <v>1</v>
      </c>
      <c r="AW47" s="48">
        <f t="shared" si="314"/>
        <v>9</v>
      </c>
      <c r="AX47" s="48">
        <f t="shared" si="314"/>
        <v>13</v>
      </c>
      <c r="AY47" s="48">
        <f t="shared" si="314"/>
        <v>74</v>
      </c>
      <c r="AZ47" s="48">
        <f t="shared" si="314"/>
        <v>10</v>
      </c>
      <c r="BA47" s="48">
        <f t="shared" si="314"/>
        <v>5</v>
      </c>
      <c r="BB47" s="48">
        <f t="shared" si="314"/>
        <v>7</v>
      </c>
      <c r="BC47" s="48">
        <f t="shared" si="314"/>
        <v>0</v>
      </c>
      <c r="BD47" s="48">
        <f t="shared" si="314"/>
        <v>4</v>
      </c>
      <c r="BE47" s="48">
        <f t="shared" si="314"/>
        <v>3</v>
      </c>
      <c r="BF47" s="48">
        <f t="shared" ref="BF47:BL48" si="315">AD47</f>
        <v>5</v>
      </c>
      <c r="BG47" s="48">
        <f t="shared" si="315"/>
        <v>2</v>
      </c>
      <c r="BH47" s="48">
        <f t="shared" si="315"/>
        <v>2</v>
      </c>
      <c r="BI47" s="48">
        <f t="shared" si="315"/>
        <v>1</v>
      </c>
      <c r="BJ47" s="48">
        <f t="shared" si="315"/>
        <v>18</v>
      </c>
      <c r="BK47" s="48">
        <f t="shared" si="315"/>
        <v>58</v>
      </c>
      <c r="BL47" s="48" t="str">
        <f t="shared" si="315"/>
        <v/>
      </c>
      <c r="BM47" s="408"/>
      <c r="BN47" s="48">
        <f>+AL47</f>
        <v>75</v>
      </c>
      <c r="BO47" s="48">
        <f t="shared" ref="BO47:BP49" si="316">+BN47+AM47</f>
        <v>102</v>
      </c>
      <c r="BP47" s="48">
        <f t="shared" si="316"/>
        <v>112</v>
      </c>
      <c r="BQ47" s="48">
        <f>+AO47</f>
        <v>2</v>
      </c>
      <c r="BR47" s="48">
        <f t="shared" ref="BR47:BS49" si="317">+BQ47+AP47</f>
        <v>5</v>
      </c>
      <c r="BS47" s="48">
        <f t="shared" si="317"/>
        <v>8</v>
      </c>
      <c r="BT47" s="48">
        <f>+AR47</f>
        <v>2</v>
      </c>
      <c r="BU47" s="48">
        <f t="shared" ref="BU47:BV49" si="318">+BT47+AS47</f>
        <v>9</v>
      </c>
      <c r="BV47" s="48">
        <f t="shared" si="318"/>
        <v>15</v>
      </c>
      <c r="BW47" s="48">
        <f>+AU47</f>
        <v>1</v>
      </c>
      <c r="BX47" s="48">
        <f t="shared" ref="BX47:BY49" si="319">+BW47+AV47</f>
        <v>2</v>
      </c>
      <c r="BY47" s="48">
        <f t="shared" si="319"/>
        <v>11</v>
      </c>
      <c r="BZ47" s="48">
        <f>+AX47</f>
        <v>13</v>
      </c>
      <c r="CA47" s="48">
        <f>+BZ47+AY47</f>
        <v>87</v>
      </c>
      <c r="CB47" s="48">
        <f t="shared" ref="CA47:CB49" si="320">+CA47+AZ47</f>
        <v>97</v>
      </c>
      <c r="CC47" s="48">
        <f>+BA47</f>
        <v>5</v>
      </c>
      <c r="CD47" s="48">
        <f t="shared" ref="CD47:CE49" si="321">+CC47+BB47</f>
        <v>12</v>
      </c>
      <c r="CE47" s="48">
        <f t="shared" ref="CE47:CK47" si="322">+CD47+BC47</f>
        <v>12</v>
      </c>
      <c r="CF47" s="48">
        <f t="shared" si="322"/>
        <v>16</v>
      </c>
      <c r="CG47" s="48">
        <f t="shared" si="322"/>
        <v>19</v>
      </c>
      <c r="CH47" s="48">
        <f t="shared" si="322"/>
        <v>24</v>
      </c>
      <c r="CI47" s="48">
        <f t="shared" si="322"/>
        <v>26</v>
      </c>
      <c r="CJ47" s="48">
        <f t="shared" si="322"/>
        <v>28</v>
      </c>
      <c r="CK47" s="48">
        <f t="shared" si="322"/>
        <v>29</v>
      </c>
      <c r="CL47" s="48">
        <f>+BJ47</f>
        <v>18</v>
      </c>
      <c r="CM47" s="48">
        <f t="shared" ref="CM47:CN47" si="323">+CL47</f>
        <v>18</v>
      </c>
      <c r="CN47" s="48">
        <f t="shared" si="323"/>
        <v>18</v>
      </c>
      <c r="CO47" s="406"/>
      <c r="CP47" s="40">
        <f>AL47</f>
        <v>75</v>
      </c>
      <c r="CQ47" s="40">
        <f t="shared" ref="CQ47:DA48" si="324">CP47+AM47</f>
        <v>102</v>
      </c>
      <c r="CR47" s="40">
        <f t="shared" si="324"/>
        <v>112</v>
      </c>
      <c r="CS47" s="40">
        <f t="shared" si="324"/>
        <v>114</v>
      </c>
      <c r="CT47" s="40">
        <f t="shared" si="324"/>
        <v>117</v>
      </c>
      <c r="CU47" s="40">
        <f t="shared" si="324"/>
        <v>120</v>
      </c>
      <c r="CV47" s="40">
        <f t="shared" si="324"/>
        <v>122</v>
      </c>
      <c r="CW47" s="40">
        <f t="shared" si="324"/>
        <v>129</v>
      </c>
      <c r="CX47" s="40">
        <f t="shared" si="324"/>
        <v>135</v>
      </c>
      <c r="CY47" s="40">
        <f t="shared" si="324"/>
        <v>136</v>
      </c>
      <c r="CZ47" s="40">
        <f t="shared" si="324"/>
        <v>137</v>
      </c>
      <c r="DA47" s="40">
        <f t="shared" si="324"/>
        <v>146</v>
      </c>
      <c r="DB47" s="40">
        <f>AX47</f>
        <v>13</v>
      </c>
      <c r="DC47" s="40">
        <f t="shared" ref="DC47:DM48" si="325">DB47+AY47</f>
        <v>87</v>
      </c>
      <c r="DD47" s="40">
        <f t="shared" si="325"/>
        <v>97</v>
      </c>
      <c r="DE47" s="40">
        <f t="shared" si="325"/>
        <v>102</v>
      </c>
      <c r="DF47" s="40">
        <f t="shared" si="325"/>
        <v>109</v>
      </c>
      <c r="DG47" s="40">
        <f t="shared" si="325"/>
        <v>109</v>
      </c>
      <c r="DH47" s="40">
        <f t="shared" si="325"/>
        <v>113</v>
      </c>
      <c r="DI47" s="40">
        <f t="shared" si="325"/>
        <v>116</v>
      </c>
      <c r="DJ47" s="40">
        <f t="shared" si="325"/>
        <v>121</v>
      </c>
      <c r="DK47" s="40">
        <f t="shared" si="325"/>
        <v>123</v>
      </c>
      <c r="DL47" s="40">
        <f t="shared" si="325"/>
        <v>125</v>
      </c>
      <c r="DM47" s="40">
        <f t="shared" si="325"/>
        <v>126</v>
      </c>
      <c r="DN47" s="40">
        <f>BJ47</f>
        <v>18</v>
      </c>
      <c r="DO47" s="40">
        <f>DN47+BK47</f>
        <v>76</v>
      </c>
      <c r="DP47" s="40"/>
      <c r="DQ47" s="40"/>
      <c r="DR47" s="40"/>
      <c r="DS47" s="40"/>
      <c r="DT47" s="40"/>
      <c r="DU47" s="40"/>
      <c r="DV47" s="40"/>
      <c r="DW47" s="40"/>
      <c r="DX47" s="40"/>
      <c r="DY47" s="40"/>
      <c r="EA47" s="53"/>
      <c r="EB47" s="53"/>
      <c r="EC47" s="53"/>
      <c r="ED47" s="429"/>
      <c r="EE47" s="54"/>
      <c r="EF47" s="54"/>
      <c r="EG47" s="54"/>
      <c r="EH47" s="18">
        <f>HLOOKUP($I$1,Month,ROW()-1)</f>
        <v>58</v>
      </c>
      <c r="EI47" s="18">
        <f>HLOOKUP($I$1,Qtr,ROW()-1)</f>
        <v>18</v>
      </c>
      <c r="EJ47" s="18">
        <f t="shared" si="194"/>
        <v>76</v>
      </c>
      <c r="EK47" s="57">
        <f t="shared" si="246"/>
        <v>0.16666666666666666</v>
      </c>
      <c r="EL47" s="14">
        <f>EH47/EE22</f>
        <v>5.3538461538461535</v>
      </c>
      <c r="EM47" s="14">
        <f>EI47/EF22</f>
        <v>0.55384615384615388</v>
      </c>
      <c r="EN47" s="14">
        <f>EJ47/EG22</f>
        <v>0.58461538461538465</v>
      </c>
      <c r="EO47" s="46" t="str">
        <f>IF(EH47&lt;0,"È",IF(EH47&lt;EE22,"È",IF(EH47=EE22,"Æ","Ç")))</f>
        <v>Ç</v>
      </c>
      <c r="EP47" s="46" t="str">
        <f>IF(EI47&lt;0,,IF(EI47&gt;EF22,"È",IF(EI47=EF22,"Æ","Ç")))</f>
        <v>Ç</v>
      </c>
      <c r="EQ47" s="2">
        <f>IF(EL47&gt;=0.9,1,IF(EL47&lt;0.75,2,3))</f>
        <v>1</v>
      </c>
      <c r="ER47" s="2">
        <f>IF(EM47&gt;=0.9,1,IF(EM47&lt;0.75,2,3))</f>
        <v>2</v>
      </c>
      <c r="ES47" s="2">
        <f>IF(EN47&gt;=0.9,1,IF(EN47&lt;0.75,2,3))</f>
        <v>2</v>
      </c>
    </row>
    <row r="48" spans="1:149">
      <c r="A48" s="6" t="s">
        <v>23</v>
      </c>
      <c r="B48" s="2" t="s">
        <v>1</v>
      </c>
      <c r="C48" s="3" t="s">
        <v>60</v>
      </c>
      <c r="E48" s="3" t="s">
        <v>16</v>
      </c>
      <c r="G48" s="28" t="s">
        <v>92</v>
      </c>
      <c r="H48" s="28"/>
      <c r="I48" s="29"/>
      <c r="J48" s="30">
        <f>IF(J35&lt;&gt;"",,"")+J35-I35</f>
        <v>65</v>
      </c>
      <c r="K48" s="30">
        <f>IF(K35&lt;&gt;"",+K35-J35,"")</f>
        <v>22</v>
      </c>
      <c r="L48" s="30">
        <f t="shared" ref="L48:AJ48" si="326">IF(L35&lt;&gt;"",+L35-K35,"")</f>
        <v>9</v>
      </c>
      <c r="M48" s="30">
        <f t="shared" si="326"/>
        <v>1</v>
      </c>
      <c r="N48" s="30">
        <f t="shared" si="326"/>
        <v>2</v>
      </c>
      <c r="O48" s="30">
        <f t="shared" si="326"/>
        <v>0</v>
      </c>
      <c r="P48" s="30">
        <f t="shared" si="326"/>
        <v>1</v>
      </c>
      <c r="Q48" s="30">
        <f t="shared" si="326"/>
        <v>3</v>
      </c>
      <c r="R48" s="30">
        <f t="shared" si="326"/>
        <v>3</v>
      </c>
      <c r="S48" s="30">
        <f t="shared" si="326"/>
        <v>3</v>
      </c>
      <c r="T48" s="30">
        <f t="shared" si="326"/>
        <v>0</v>
      </c>
      <c r="U48" s="30">
        <f t="shared" si="326"/>
        <v>8</v>
      </c>
      <c r="V48" s="30">
        <f>IF(V35&lt;&gt;"",+V35,"")</f>
        <v>11</v>
      </c>
      <c r="W48" s="30">
        <f>IF(W35&lt;&gt;"",+W35-V35,0)</f>
        <v>73</v>
      </c>
      <c r="X48" s="30">
        <f>IF(X35&lt;&gt;"",+X35-W35,0)</f>
        <v>6</v>
      </c>
      <c r="Y48" s="30">
        <f t="shared" si="326"/>
        <v>3</v>
      </c>
      <c r="Z48" s="30">
        <f t="shared" si="326"/>
        <v>6</v>
      </c>
      <c r="AA48" s="30">
        <f t="shared" si="326"/>
        <v>2</v>
      </c>
      <c r="AB48" s="30">
        <f t="shared" si="326"/>
        <v>1</v>
      </c>
      <c r="AC48" s="30">
        <f t="shared" si="326"/>
        <v>1</v>
      </c>
      <c r="AD48" s="30">
        <f t="shared" si="326"/>
        <v>1</v>
      </c>
      <c r="AE48" s="30">
        <f t="shared" si="326"/>
        <v>3</v>
      </c>
      <c r="AF48" s="30">
        <f t="shared" si="326"/>
        <v>2</v>
      </c>
      <c r="AG48" s="30">
        <f t="shared" si="326"/>
        <v>1</v>
      </c>
      <c r="AH48" s="30">
        <f>IF(AH35&lt;&gt;"",+AH35,"")</f>
        <v>16</v>
      </c>
      <c r="AI48" s="30">
        <f t="shared" si="326"/>
        <v>54</v>
      </c>
      <c r="AJ48" s="30" t="str">
        <f t="shared" si="326"/>
        <v/>
      </c>
      <c r="AK48" s="408"/>
      <c r="AL48" s="48">
        <f t="shared" si="313"/>
        <v>65</v>
      </c>
      <c r="AM48" s="48">
        <f t="shared" si="313"/>
        <v>22</v>
      </c>
      <c r="AN48" s="48">
        <f t="shared" si="313"/>
        <v>9</v>
      </c>
      <c r="AO48" s="48">
        <f t="shared" si="313"/>
        <v>1</v>
      </c>
      <c r="AP48" s="48">
        <f t="shared" si="313"/>
        <v>2</v>
      </c>
      <c r="AQ48" s="48">
        <f t="shared" si="313"/>
        <v>0</v>
      </c>
      <c r="AR48" s="48">
        <f t="shared" si="313"/>
        <v>1</v>
      </c>
      <c r="AS48" s="48">
        <f t="shared" si="313"/>
        <v>3</v>
      </c>
      <c r="AT48" s="48">
        <f t="shared" si="313"/>
        <v>3</v>
      </c>
      <c r="AU48" s="48">
        <f t="shared" si="313"/>
        <v>3</v>
      </c>
      <c r="AV48" s="48">
        <f t="shared" si="314"/>
        <v>0</v>
      </c>
      <c r="AW48" s="48">
        <f t="shared" si="314"/>
        <v>8</v>
      </c>
      <c r="AX48" s="48">
        <f t="shared" si="314"/>
        <v>11</v>
      </c>
      <c r="AY48" s="48">
        <f t="shared" si="314"/>
        <v>73</v>
      </c>
      <c r="AZ48" s="48">
        <f t="shared" si="314"/>
        <v>6</v>
      </c>
      <c r="BA48" s="48">
        <f t="shared" si="314"/>
        <v>3</v>
      </c>
      <c r="BB48" s="48">
        <f t="shared" si="314"/>
        <v>6</v>
      </c>
      <c r="BC48" s="48">
        <f t="shared" si="314"/>
        <v>2</v>
      </c>
      <c r="BD48" s="48">
        <f t="shared" si="314"/>
        <v>1</v>
      </c>
      <c r="BE48" s="48">
        <f t="shared" si="314"/>
        <v>1</v>
      </c>
      <c r="BF48" s="48">
        <f t="shared" si="315"/>
        <v>1</v>
      </c>
      <c r="BG48" s="48">
        <f t="shared" si="315"/>
        <v>3</v>
      </c>
      <c r="BH48" s="48">
        <f t="shared" si="315"/>
        <v>2</v>
      </c>
      <c r="BI48" s="48">
        <f t="shared" si="315"/>
        <v>1</v>
      </c>
      <c r="BJ48" s="48">
        <f t="shared" si="315"/>
        <v>16</v>
      </c>
      <c r="BK48" s="48">
        <f t="shared" si="315"/>
        <v>54</v>
      </c>
      <c r="BL48" s="48" t="str">
        <f t="shared" si="315"/>
        <v/>
      </c>
      <c r="BM48" s="408"/>
      <c r="BN48" s="48">
        <f>+AL48</f>
        <v>65</v>
      </c>
      <c r="BO48" s="48">
        <f t="shared" si="316"/>
        <v>87</v>
      </c>
      <c r="BP48" s="48">
        <f t="shared" si="316"/>
        <v>96</v>
      </c>
      <c r="BQ48" s="48">
        <f>+AO48</f>
        <v>1</v>
      </c>
      <c r="BR48" s="48">
        <f t="shared" si="317"/>
        <v>3</v>
      </c>
      <c r="BS48" s="48">
        <f t="shared" si="317"/>
        <v>3</v>
      </c>
      <c r="BT48" s="48">
        <f>+AR48</f>
        <v>1</v>
      </c>
      <c r="BU48" s="48">
        <f t="shared" si="318"/>
        <v>4</v>
      </c>
      <c r="BV48" s="48">
        <f t="shared" si="318"/>
        <v>7</v>
      </c>
      <c r="BW48" s="48">
        <f>+AU48</f>
        <v>3</v>
      </c>
      <c r="BX48" s="48">
        <f t="shared" si="319"/>
        <v>3</v>
      </c>
      <c r="BY48" s="48">
        <f t="shared" si="319"/>
        <v>11</v>
      </c>
      <c r="BZ48" s="48">
        <f>+AX48</f>
        <v>11</v>
      </c>
      <c r="CA48" s="48">
        <f t="shared" si="320"/>
        <v>84</v>
      </c>
      <c r="CB48" s="48">
        <f t="shared" si="320"/>
        <v>90</v>
      </c>
      <c r="CC48" s="48">
        <f>+BA48</f>
        <v>3</v>
      </c>
      <c r="CD48" s="48">
        <f t="shared" si="321"/>
        <v>9</v>
      </c>
      <c r="CE48" s="48">
        <f t="shared" si="321"/>
        <v>11</v>
      </c>
      <c r="CF48" s="48">
        <f>+BD48</f>
        <v>1</v>
      </c>
      <c r="CG48" s="48">
        <f>+CF48+BE48</f>
        <v>2</v>
      </c>
      <c r="CH48" s="48">
        <f>+CG48+BF48</f>
        <v>3</v>
      </c>
      <c r="CI48" s="48">
        <f>+BG48</f>
        <v>3</v>
      </c>
      <c r="CJ48" s="48">
        <f>+CI48+BH48</f>
        <v>5</v>
      </c>
      <c r="CK48" s="48">
        <f>+CJ48+BI48</f>
        <v>6</v>
      </c>
      <c r="CL48" s="48">
        <f>+BJ48</f>
        <v>16</v>
      </c>
      <c r="CM48" s="48">
        <f>+CL48+BK48</f>
        <v>70</v>
      </c>
      <c r="CN48" s="48" t="e">
        <f>+CM48+BL48</f>
        <v>#VALUE!</v>
      </c>
      <c r="CO48" s="406"/>
      <c r="CP48" s="40">
        <f>AL48</f>
        <v>65</v>
      </c>
      <c r="CQ48" s="40">
        <f t="shared" si="324"/>
        <v>87</v>
      </c>
      <c r="CR48" s="40">
        <f t="shared" si="324"/>
        <v>96</v>
      </c>
      <c r="CS48" s="40">
        <f t="shared" si="324"/>
        <v>97</v>
      </c>
      <c r="CT48" s="40">
        <f t="shared" si="324"/>
        <v>99</v>
      </c>
      <c r="CU48" s="40">
        <f t="shared" si="324"/>
        <v>99</v>
      </c>
      <c r="CV48" s="40">
        <f t="shared" si="324"/>
        <v>100</v>
      </c>
      <c r="CW48" s="40">
        <f t="shared" si="324"/>
        <v>103</v>
      </c>
      <c r="CX48" s="40">
        <f t="shared" si="324"/>
        <v>106</v>
      </c>
      <c r="CY48" s="40">
        <f t="shared" si="324"/>
        <v>109</v>
      </c>
      <c r="CZ48" s="40">
        <f t="shared" si="324"/>
        <v>109</v>
      </c>
      <c r="DA48" s="40">
        <f t="shared" si="324"/>
        <v>117</v>
      </c>
      <c r="DB48" s="40">
        <f>AX48</f>
        <v>11</v>
      </c>
      <c r="DC48" s="40">
        <f t="shared" si="325"/>
        <v>84</v>
      </c>
      <c r="DD48" s="40">
        <f t="shared" si="325"/>
        <v>90</v>
      </c>
      <c r="DE48" s="40">
        <f t="shared" si="325"/>
        <v>93</v>
      </c>
      <c r="DF48" s="40">
        <f t="shared" si="325"/>
        <v>99</v>
      </c>
      <c r="DG48" s="40">
        <f t="shared" si="325"/>
        <v>101</v>
      </c>
      <c r="DH48" s="40">
        <f t="shared" si="325"/>
        <v>102</v>
      </c>
      <c r="DI48" s="40">
        <f t="shared" si="325"/>
        <v>103</v>
      </c>
      <c r="DJ48" s="40">
        <f t="shared" si="325"/>
        <v>104</v>
      </c>
      <c r="DK48" s="40">
        <f t="shared" si="325"/>
        <v>107</v>
      </c>
      <c r="DL48" s="40">
        <f t="shared" si="325"/>
        <v>109</v>
      </c>
      <c r="DM48" s="40">
        <f t="shared" si="325"/>
        <v>110</v>
      </c>
      <c r="DN48" s="40">
        <f>BJ48</f>
        <v>16</v>
      </c>
      <c r="DO48" s="40">
        <f>DN48+BK48</f>
        <v>70</v>
      </c>
      <c r="DP48" s="40"/>
      <c r="DQ48" s="40"/>
      <c r="DR48" s="40"/>
      <c r="DS48" s="40"/>
      <c r="DT48" s="40"/>
      <c r="DU48" s="40"/>
      <c r="DV48" s="40"/>
      <c r="DW48" s="40"/>
      <c r="DX48" s="40"/>
      <c r="DY48" s="40"/>
      <c r="EA48" s="53"/>
      <c r="EB48" s="53"/>
      <c r="EC48" s="53"/>
      <c r="ED48" s="429"/>
      <c r="EE48" s="54"/>
      <c r="EF48" s="54"/>
      <c r="EG48" s="54"/>
      <c r="EH48" s="18">
        <f>HLOOKUP($I$1,Month,ROW()-1)</f>
        <v>54</v>
      </c>
      <c r="EI48" s="18">
        <f>HLOOKUP($I$1,Qtr,ROW()-1)</f>
        <v>70</v>
      </c>
      <c r="EJ48" s="18">
        <f t="shared" si="194"/>
        <v>70</v>
      </c>
      <c r="EK48" s="57">
        <f t="shared" si="246"/>
        <v>0.16666666666666666</v>
      </c>
      <c r="EL48" s="14">
        <f>EH48/EE23</f>
        <v>5.785920925747349</v>
      </c>
      <c r="EM48" s="14">
        <f>EI48/EF23</f>
        <v>2.5000892889031756</v>
      </c>
      <c r="EN48" s="14">
        <f>EJ48/EG23</f>
        <v>0.99276698340660907</v>
      </c>
      <c r="EO48" s="46" t="str">
        <f t="shared" si="257"/>
        <v>Ç</v>
      </c>
      <c r="EP48" s="46" t="str">
        <f t="shared" si="258"/>
        <v>Ç</v>
      </c>
      <c r="EQ48" s="2">
        <f>IF(EL48&gt;=0.9,1,IF(EL48&lt;0.75,2,3))</f>
        <v>1</v>
      </c>
      <c r="ER48" s="2">
        <f>IF(EM48&gt;=0.9,1,IF(EM48&lt;0.75,2,3))</f>
        <v>1</v>
      </c>
      <c r="ES48" s="2">
        <f>IF(EN48&gt;=0.9,1,IF(EN48&lt;0.75,2,3))</f>
        <v>1</v>
      </c>
    </row>
    <row r="49" spans="1:149">
      <c r="A49" s="6" t="s">
        <v>23</v>
      </c>
      <c r="B49" s="2" t="s">
        <v>98</v>
      </c>
      <c r="G49" s="28" t="s">
        <v>92</v>
      </c>
      <c r="H49" s="28"/>
      <c r="I49" s="29"/>
      <c r="J49" s="32">
        <f>J36*J37</f>
        <v>0</v>
      </c>
      <c r="K49" s="32">
        <f t="shared" ref="K49:AJ49" si="327">K36*K37</f>
        <v>1</v>
      </c>
      <c r="L49" s="32">
        <f t="shared" si="327"/>
        <v>0</v>
      </c>
      <c r="M49" s="32">
        <f t="shared" si="327"/>
        <v>1</v>
      </c>
      <c r="N49" s="32">
        <f t="shared" si="327"/>
        <v>0</v>
      </c>
      <c r="O49" s="32">
        <f t="shared" si="327"/>
        <v>0</v>
      </c>
      <c r="P49" s="32">
        <f t="shared" si="327"/>
        <v>0</v>
      </c>
      <c r="Q49" s="32">
        <f t="shared" si="327"/>
        <v>0</v>
      </c>
      <c r="R49" s="32">
        <f t="shared" si="327"/>
        <v>0</v>
      </c>
      <c r="S49" s="32">
        <f t="shared" si="327"/>
        <v>1</v>
      </c>
      <c r="T49" s="32">
        <f t="shared" si="327"/>
        <v>0</v>
      </c>
      <c r="U49" s="32">
        <f t="shared" si="327"/>
        <v>0</v>
      </c>
      <c r="V49" s="32">
        <f t="shared" si="327"/>
        <v>0</v>
      </c>
      <c r="W49" s="32">
        <f t="shared" si="327"/>
        <v>2</v>
      </c>
      <c r="X49" s="32">
        <f t="shared" si="327"/>
        <v>0</v>
      </c>
      <c r="Y49" s="32">
        <f t="shared" si="327"/>
        <v>0</v>
      </c>
      <c r="Z49" s="32">
        <f t="shared" si="327"/>
        <v>1</v>
      </c>
      <c r="AA49" s="32">
        <f t="shared" si="327"/>
        <v>0</v>
      </c>
      <c r="AB49" s="32">
        <f t="shared" si="327"/>
        <v>0</v>
      </c>
      <c r="AC49" s="32">
        <f t="shared" si="327"/>
        <v>0</v>
      </c>
      <c r="AD49" s="32">
        <f t="shared" si="327"/>
        <v>0</v>
      </c>
      <c r="AE49" s="32">
        <f t="shared" si="327"/>
        <v>0</v>
      </c>
      <c r="AF49" s="32">
        <f t="shared" si="327"/>
        <v>0</v>
      </c>
      <c r="AG49" s="32">
        <f t="shared" si="327"/>
        <v>0</v>
      </c>
      <c r="AH49" s="32">
        <f t="shared" si="327"/>
        <v>0</v>
      </c>
      <c r="AI49" s="32">
        <f t="shared" si="327"/>
        <v>0</v>
      </c>
      <c r="AJ49" s="32">
        <f t="shared" si="327"/>
        <v>0</v>
      </c>
      <c r="AK49" s="408"/>
      <c r="AL49" s="56">
        <f t="shared" ref="AL49:BL49" si="328">AL36*AL37</f>
        <v>0</v>
      </c>
      <c r="AM49" s="56">
        <f t="shared" si="328"/>
        <v>1</v>
      </c>
      <c r="AN49" s="56">
        <f t="shared" si="328"/>
        <v>0</v>
      </c>
      <c r="AO49" s="56">
        <f t="shared" si="328"/>
        <v>1</v>
      </c>
      <c r="AP49" s="56">
        <f t="shared" si="328"/>
        <v>0</v>
      </c>
      <c r="AQ49" s="56">
        <f t="shared" si="328"/>
        <v>0</v>
      </c>
      <c r="AR49" s="56">
        <f t="shared" si="328"/>
        <v>0</v>
      </c>
      <c r="AS49" s="56">
        <f t="shared" si="328"/>
        <v>0</v>
      </c>
      <c r="AT49" s="56">
        <f t="shared" si="328"/>
        <v>0</v>
      </c>
      <c r="AU49" s="56">
        <f t="shared" si="328"/>
        <v>1</v>
      </c>
      <c r="AV49" s="56">
        <f t="shared" si="328"/>
        <v>0</v>
      </c>
      <c r="AW49" s="56">
        <f t="shared" si="328"/>
        <v>0</v>
      </c>
      <c r="AX49" s="56">
        <f t="shared" si="328"/>
        <v>0</v>
      </c>
      <c r="AY49" s="56">
        <f t="shared" si="328"/>
        <v>2</v>
      </c>
      <c r="AZ49" s="56">
        <f t="shared" si="328"/>
        <v>0</v>
      </c>
      <c r="BA49" s="56">
        <f t="shared" si="328"/>
        <v>0</v>
      </c>
      <c r="BB49" s="56">
        <f t="shared" si="328"/>
        <v>1</v>
      </c>
      <c r="BC49" s="56">
        <f t="shared" si="328"/>
        <v>0</v>
      </c>
      <c r="BD49" s="56">
        <f t="shared" si="328"/>
        <v>0</v>
      </c>
      <c r="BE49" s="56">
        <f t="shared" si="328"/>
        <v>0</v>
      </c>
      <c r="BF49" s="56">
        <f t="shared" si="328"/>
        <v>0</v>
      </c>
      <c r="BG49" s="56">
        <f t="shared" si="328"/>
        <v>0</v>
      </c>
      <c r="BH49" s="56">
        <f t="shared" si="328"/>
        <v>0</v>
      </c>
      <c r="BI49" s="56">
        <f t="shared" si="328"/>
        <v>0</v>
      </c>
      <c r="BJ49" s="56">
        <f t="shared" si="328"/>
        <v>0</v>
      </c>
      <c r="BK49" s="56">
        <f t="shared" si="328"/>
        <v>0</v>
      </c>
      <c r="BL49" s="56">
        <f t="shared" si="328"/>
        <v>0</v>
      </c>
      <c r="BM49" s="408"/>
      <c r="BN49" s="56">
        <f>+AL49</f>
        <v>0</v>
      </c>
      <c r="BO49" s="56">
        <f t="shared" si="316"/>
        <v>1</v>
      </c>
      <c r="BP49" s="56">
        <f t="shared" si="316"/>
        <v>1</v>
      </c>
      <c r="BQ49" s="56">
        <f>+AO49</f>
        <v>1</v>
      </c>
      <c r="BR49" s="56">
        <f t="shared" si="317"/>
        <v>1</v>
      </c>
      <c r="BS49" s="56">
        <f t="shared" si="317"/>
        <v>1</v>
      </c>
      <c r="BT49" s="56">
        <f>+AR49</f>
        <v>0</v>
      </c>
      <c r="BU49" s="56">
        <f t="shared" si="318"/>
        <v>0</v>
      </c>
      <c r="BV49" s="56">
        <f t="shared" si="318"/>
        <v>0</v>
      </c>
      <c r="BW49" s="56">
        <f>+AU49</f>
        <v>1</v>
      </c>
      <c r="BX49" s="56">
        <f t="shared" si="319"/>
        <v>1</v>
      </c>
      <c r="BY49" s="56">
        <f t="shared" si="319"/>
        <v>1</v>
      </c>
      <c r="BZ49" s="56">
        <f>+AX49</f>
        <v>0</v>
      </c>
      <c r="CA49" s="56">
        <f t="shared" si="320"/>
        <v>2</v>
      </c>
      <c r="CB49" s="56">
        <f t="shared" si="320"/>
        <v>2</v>
      </c>
      <c r="CC49" s="56">
        <f>+BA49</f>
        <v>0</v>
      </c>
      <c r="CD49" s="56">
        <f t="shared" si="321"/>
        <v>1</v>
      </c>
      <c r="CE49" s="56">
        <f t="shared" si="321"/>
        <v>1</v>
      </c>
      <c r="CF49" s="56">
        <f>+BD49</f>
        <v>0</v>
      </c>
      <c r="CG49" s="56">
        <f>+CF49+BE49</f>
        <v>0</v>
      </c>
      <c r="CH49" s="56">
        <f>+CG49+BF49</f>
        <v>0</v>
      </c>
      <c r="CI49" s="56">
        <f>+BG49</f>
        <v>0</v>
      </c>
      <c r="CJ49" s="56">
        <f>+CI49+BH49</f>
        <v>0</v>
      </c>
      <c r="CK49" s="56">
        <f>+CJ49+BI49</f>
        <v>0</v>
      </c>
      <c r="CL49" s="56">
        <f>+BJ49</f>
        <v>0</v>
      </c>
      <c r="CM49" s="56">
        <f>+CL49+BK49</f>
        <v>0</v>
      </c>
      <c r="CN49" s="56">
        <f>+CM49+BL49</f>
        <v>0</v>
      </c>
      <c r="CO49" s="406"/>
      <c r="CP49" s="60">
        <f>J49</f>
        <v>0</v>
      </c>
      <c r="CQ49" s="60">
        <f t="shared" ref="CQ49:DA49" si="329">CP49+K49</f>
        <v>1</v>
      </c>
      <c r="CR49" s="60">
        <f t="shared" si="329"/>
        <v>1</v>
      </c>
      <c r="CS49" s="60">
        <f t="shared" si="329"/>
        <v>2</v>
      </c>
      <c r="CT49" s="60">
        <f t="shared" si="329"/>
        <v>2</v>
      </c>
      <c r="CU49" s="60">
        <f t="shared" si="329"/>
        <v>2</v>
      </c>
      <c r="CV49" s="60">
        <f t="shared" si="329"/>
        <v>2</v>
      </c>
      <c r="CW49" s="60">
        <f t="shared" si="329"/>
        <v>2</v>
      </c>
      <c r="CX49" s="60">
        <f t="shared" si="329"/>
        <v>2</v>
      </c>
      <c r="CY49" s="60">
        <f t="shared" si="329"/>
        <v>3</v>
      </c>
      <c r="CZ49" s="60">
        <f t="shared" si="329"/>
        <v>3</v>
      </c>
      <c r="DA49" s="60">
        <f t="shared" si="329"/>
        <v>3</v>
      </c>
      <c r="DB49" s="60">
        <f>V49</f>
        <v>0</v>
      </c>
      <c r="DC49" s="60">
        <f t="shared" ref="DC49:DM49" si="330">DB49+W49</f>
        <v>2</v>
      </c>
      <c r="DD49" s="60">
        <f t="shared" si="330"/>
        <v>2</v>
      </c>
      <c r="DE49" s="60">
        <f t="shared" si="330"/>
        <v>2</v>
      </c>
      <c r="DF49" s="60">
        <f t="shared" si="330"/>
        <v>3</v>
      </c>
      <c r="DG49" s="60">
        <f t="shared" si="330"/>
        <v>3</v>
      </c>
      <c r="DH49" s="60">
        <f t="shared" si="330"/>
        <v>3</v>
      </c>
      <c r="DI49" s="60">
        <f t="shared" si="330"/>
        <v>3</v>
      </c>
      <c r="DJ49" s="60">
        <f t="shared" si="330"/>
        <v>3</v>
      </c>
      <c r="DK49" s="60">
        <f t="shared" si="330"/>
        <v>3</v>
      </c>
      <c r="DL49" s="60">
        <f t="shared" si="330"/>
        <v>3</v>
      </c>
      <c r="DM49" s="60">
        <f t="shared" si="330"/>
        <v>3</v>
      </c>
      <c r="DN49" s="60">
        <f>AH49</f>
        <v>0</v>
      </c>
      <c r="DO49" s="60">
        <f>DN49+AI49</f>
        <v>0</v>
      </c>
      <c r="DP49" s="60"/>
      <c r="DQ49" s="60"/>
      <c r="DR49" s="60"/>
      <c r="DS49" s="60"/>
      <c r="DT49" s="60"/>
      <c r="DU49" s="60"/>
      <c r="DV49" s="60"/>
      <c r="DW49" s="60"/>
      <c r="DX49" s="60"/>
      <c r="DY49" s="60"/>
      <c r="EA49" s="53"/>
      <c r="EB49" s="53"/>
      <c r="EC49" s="53"/>
      <c r="ED49" s="429"/>
      <c r="EE49" s="54"/>
      <c r="EF49" s="54"/>
      <c r="EG49" s="54"/>
      <c r="EH49" s="18">
        <f>HLOOKUP($I$1,Month,ROW()-1)</f>
        <v>0</v>
      </c>
      <c r="EI49" s="18">
        <f>HLOOKUP($I$1,Qtr,ROW()-1)</f>
        <v>0</v>
      </c>
      <c r="EJ49" s="18">
        <f t="shared" si="194"/>
        <v>0</v>
      </c>
      <c r="EK49" s="57">
        <f t="shared" si="246"/>
        <v>0.16666666666666666</v>
      </c>
      <c r="EL49" s="14"/>
      <c r="EM49" s="14" t="e">
        <f>EI49/EF25</f>
        <v>#DIV/0!</v>
      </c>
      <c r="EN49" s="14"/>
      <c r="EO49" s="46" t="str">
        <f>IF(EH49&lt;0,,IF(EH49&lt;EE25,"È",IF(EH49=EE25,"Æ","Ç")))</f>
        <v>Æ</v>
      </c>
      <c r="EP49" s="46" t="str">
        <f>IF(EI49&lt;0,,IF(EI49&lt;EF25,"È",IF(EI49=EF25,"Æ","Ç")))</f>
        <v>Æ</v>
      </c>
    </row>
    <row r="50" spans="1:149" ht="13.5" thickBot="1">
      <c r="K50" s="42" t="s">
        <v>114</v>
      </c>
      <c r="AL50" s="14"/>
      <c r="CN50" s="23" t="s">
        <v>152</v>
      </c>
      <c r="CP50" s="2">
        <v>10</v>
      </c>
      <c r="CQ50" s="2">
        <v>11</v>
      </c>
      <c r="CR50" s="2">
        <v>12</v>
      </c>
      <c r="CS50" s="2">
        <v>1</v>
      </c>
      <c r="CT50" s="2">
        <v>2</v>
      </c>
      <c r="CU50" s="2">
        <v>3</v>
      </c>
      <c r="CV50" s="2">
        <v>4</v>
      </c>
      <c r="CW50" s="2">
        <v>5</v>
      </c>
      <c r="CX50" s="2">
        <v>6</v>
      </c>
      <c r="CY50" s="2">
        <v>7</v>
      </c>
      <c r="CZ50" s="2">
        <v>8</v>
      </c>
      <c r="DA50" s="2">
        <v>9</v>
      </c>
      <c r="DB50" s="2">
        <v>10</v>
      </c>
      <c r="DC50" s="2">
        <v>11</v>
      </c>
      <c r="DD50" s="2">
        <v>12</v>
      </c>
      <c r="DE50" s="2">
        <v>1</v>
      </c>
      <c r="DF50" s="2">
        <v>2</v>
      </c>
      <c r="DG50" s="2">
        <v>3</v>
      </c>
      <c r="DH50" s="2">
        <v>4</v>
      </c>
      <c r="DI50" s="2">
        <v>5</v>
      </c>
      <c r="DJ50" s="2">
        <v>6</v>
      </c>
      <c r="DK50" s="2">
        <v>7</v>
      </c>
      <c r="DL50" s="2">
        <v>8</v>
      </c>
      <c r="DM50" s="2">
        <v>9</v>
      </c>
      <c r="DN50" s="2">
        <v>10</v>
      </c>
      <c r="DO50" s="2">
        <v>11</v>
      </c>
      <c r="DP50" s="2">
        <v>12</v>
      </c>
      <c r="ED50" s="429"/>
      <c r="EE50" s="23"/>
      <c r="EF50" s="23"/>
      <c r="EG50" s="23"/>
      <c r="EH50" s="23"/>
      <c r="EI50" s="23"/>
      <c r="EJ50" s="23"/>
      <c r="EK50" s="23"/>
    </row>
    <row r="51" spans="1:149" ht="13.5" thickBot="1">
      <c r="E51" s="666" t="s">
        <v>88</v>
      </c>
      <c r="F51" s="667"/>
      <c r="G51" s="667"/>
      <c r="H51" s="667"/>
      <c r="I51" s="668"/>
      <c r="CN51" s="23" t="s">
        <v>153</v>
      </c>
      <c r="CP51" s="2">
        <v>1</v>
      </c>
      <c r="CQ51" s="2">
        <v>2</v>
      </c>
      <c r="CR51" s="2">
        <v>3</v>
      </c>
      <c r="CS51" s="2">
        <v>4</v>
      </c>
      <c r="CT51" s="2">
        <v>5</v>
      </c>
      <c r="CU51" s="2">
        <v>6</v>
      </c>
      <c r="CV51" s="2">
        <v>7</v>
      </c>
      <c r="CW51" s="2">
        <v>8</v>
      </c>
      <c r="CX51" s="2">
        <v>9</v>
      </c>
      <c r="CY51" s="2">
        <v>10</v>
      </c>
      <c r="CZ51" s="2">
        <v>11</v>
      </c>
      <c r="DA51" s="2">
        <v>12</v>
      </c>
      <c r="DB51" s="2">
        <v>1</v>
      </c>
      <c r="DC51" s="2">
        <v>2</v>
      </c>
      <c r="DD51" s="2">
        <v>3</v>
      </c>
      <c r="DE51" s="2">
        <v>4</v>
      </c>
      <c r="DF51" s="2">
        <v>5</v>
      </c>
      <c r="DG51" s="2">
        <v>6</v>
      </c>
      <c r="DH51" s="2">
        <v>7</v>
      </c>
      <c r="DI51" s="2">
        <v>8</v>
      </c>
      <c r="DJ51" s="2">
        <v>9</v>
      </c>
      <c r="DK51" s="2">
        <v>10</v>
      </c>
      <c r="DL51" s="2">
        <v>11</v>
      </c>
      <c r="DM51" s="2">
        <v>12</v>
      </c>
      <c r="ED51" s="429"/>
      <c r="EE51" s="23"/>
      <c r="EF51" s="23"/>
      <c r="EG51" s="23"/>
      <c r="EH51" s="23"/>
      <c r="EI51" s="23"/>
      <c r="EJ51" s="23"/>
      <c r="EK51" s="23"/>
    </row>
    <row r="52" spans="1:149" ht="13.5" thickBot="1">
      <c r="A52" s="6" t="s">
        <v>30</v>
      </c>
      <c r="C52" s="11" t="s">
        <v>73</v>
      </c>
      <c r="E52" s="8" t="s">
        <v>34</v>
      </c>
      <c r="F52" s="11" t="s">
        <v>33</v>
      </c>
      <c r="G52" s="9" t="s">
        <v>34</v>
      </c>
      <c r="H52" s="11" t="s">
        <v>33</v>
      </c>
      <c r="I52" s="11" t="s">
        <v>34</v>
      </c>
      <c r="AL52" s="109"/>
    </row>
    <row r="53" spans="1:149">
      <c r="A53" s="6" t="s">
        <v>23</v>
      </c>
      <c r="B53" s="2" t="s">
        <v>24</v>
      </c>
      <c r="C53" s="3" t="s">
        <v>74</v>
      </c>
      <c r="E53" s="4" t="str">
        <f>C10</f>
        <v>BInBusNew</v>
      </c>
      <c r="F53" s="4" t="s">
        <v>31</v>
      </c>
      <c r="G53" s="28" t="str">
        <f>C9</f>
        <v>BAllNew</v>
      </c>
      <c r="H53" s="28"/>
      <c r="I53" s="28"/>
      <c r="J53" s="62">
        <f t="shared" ref="J53:AJ53" si="331">J10/J9</f>
        <v>0.19736843144044378</v>
      </c>
      <c r="K53" s="62">
        <f t="shared" si="331"/>
        <v>0.19736843144044378</v>
      </c>
      <c r="L53" s="62">
        <f t="shared" si="331"/>
        <v>0.19736843144044378</v>
      </c>
      <c r="M53" s="62">
        <f t="shared" si="331"/>
        <v>0.19736843144044378</v>
      </c>
      <c r="N53" s="62">
        <f t="shared" si="331"/>
        <v>0.19736843144044378</v>
      </c>
      <c r="O53" s="62">
        <f t="shared" si="331"/>
        <v>0.19736843144044378</v>
      </c>
      <c r="P53" s="62">
        <f t="shared" si="331"/>
        <v>0.19736843144044375</v>
      </c>
      <c r="Q53" s="62">
        <f t="shared" si="331"/>
        <v>0.19736843144044378</v>
      </c>
      <c r="R53" s="62">
        <f t="shared" si="331"/>
        <v>0.19736843144044378</v>
      </c>
      <c r="S53" s="62">
        <f t="shared" si="331"/>
        <v>0.1973684314404438</v>
      </c>
      <c r="T53" s="62">
        <f t="shared" si="331"/>
        <v>0.1973684314404438</v>
      </c>
      <c r="U53" s="62">
        <f t="shared" si="331"/>
        <v>0.1973684314404438</v>
      </c>
      <c r="V53" s="62">
        <f t="shared" si="331"/>
        <v>0.25</v>
      </c>
      <c r="W53" s="62">
        <f t="shared" si="331"/>
        <v>0.25</v>
      </c>
      <c r="X53" s="62">
        <f t="shared" si="331"/>
        <v>0.25</v>
      </c>
      <c r="Y53" s="62">
        <f t="shared" si="331"/>
        <v>0.25</v>
      </c>
      <c r="Z53" s="62">
        <f t="shared" si="331"/>
        <v>0.25</v>
      </c>
      <c r="AA53" s="62">
        <f t="shared" si="331"/>
        <v>0.25</v>
      </c>
      <c r="AB53" s="62">
        <f t="shared" si="331"/>
        <v>0.25</v>
      </c>
      <c r="AC53" s="62">
        <f t="shared" si="331"/>
        <v>0.25</v>
      </c>
      <c r="AD53" s="62">
        <f t="shared" si="331"/>
        <v>0.25</v>
      </c>
      <c r="AE53" s="62">
        <f t="shared" si="331"/>
        <v>0.25</v>
      </c>
      <c r="AF53" s="62">
        <f t="shared" si="331"/>
        <v>0.25</v>
      </c>
      <c r="AG53" s="62">
        <f t="shared" si="331"/>
        <v>0.25</v>
      </c>
      <c r="AH53" s="62">
        <f t="shared" si="331"/>
        <v>0.1</v>
      </c>
      <c r="AI53" s="62" t="e">
        <f t="shared" si="331"/>
        <v>#DIV/0!</v>
      </c>
      <c r="AJ53" s="62" t="e">
        <f t="shared" si="331"/>
        <v>#DIV/0!</v>
      </c>
      <c r="AK53" s="412"/>
      <c r="AL53" s="14">
        <f t="shared" ref="AL53:BL53" si="332">AL10/AL9</f>
        <v>0.19736843144044378</v>
      </c>
      <c r="AM53" s="14">
        <f t="shared" si="332"/>
        <v>0.19736843144044378</v>
      </c>
      <c r="AN53" s="14">
        <f t="shared" si="332"/>
        <v>0.19736843144044378</v>
      </c>
      <c r="AO53" s="14">
        <f t="shared" si="332"/>
        <v>0.19736843144044378</v>
      </c>
      <c r="AP53" s="14">
        <f t="shared" si="332"/>
        <v>0.19736843144044378</v>
      </c>
      <c r="AQ53" s="14">
        <f t="shared" si="332"/>
        <v>0.19736843144044378</v>
      </c>
      <c r="AR53" s="14">
        <f t="shared" si="332"/>
        <v>0.19736843144044366</v>
      </c>
      <c r="AS53" s="14">
        <f t="shared" si="332"/>
        <v>0.19736843144044389</v>
      </c>
      <c r="AT53" s="14">
        <f t="shared" si="332"/>
        <v>0.19736843144044389</v>
      </c>
      <c r="AU53" s="14">
        <f t="shared" si="332"/>
        <v>0.19736843144044389</v>
      </c>
      <c r="AV53" s="14">
        <f t="shared" si="332"/>
        <v>0.19736843144044389</v>
      </c>
      <c r="AW53" s="14">
        <f t="shared" si="332"/>
        <v>0.19736843144044389</v>
      </c>
      <c r="AX53" s="14">
        <f t="shared" si="332"/>
        <v>0.25</v>
      </c>
      <c r="AY53" s="14">
        <f t="shared" si="332"/>
        <v>0.25</v>
      </c>
      <c r="AZ53" s="14">
        <f t="shared" si="332"/>
        <v>0.25</v>
      </c>
      <c r="BA53" s="14">
        <f t="shared" si="332"/>
        <v>0.25</v>
      </c>
      <c r="BB53" s="14">
        <f t="shared" si="332"/>
        <v>0.25</v>
      </c>
      <c r="BC53" s="14">
        <f t="shared" si="332"/>
        <v>0.25</v>
      </c>
      <c r="BD53" s="14">
        <f t="shared" si="332"/>
        <v>0.25</v>
      </c>
      <c r="BE53" s="14">
        <f t="shared" si="332"/>
        <v>0.25</v>
      </c>
      <c r="BF53" s="14">
        <f t="shared" si="332"/>
        <v>0.25</v>
      </c>
      <c r="BG53" s="14">
        <f t="shared" si="332"/>
        <v>0.25</v>
      </c>
      <c r="BH53" s="14">
        <f t="shared" si="332"/>
        <v>0.25</v>
      </c>
      <c r="BI53" s="14">
        <f t="shared" si="332"/>
        <v>0.25</v>
      </c>
      <c r="BJ53" s="14">
        <f t="shared" si="332"/>
        <v>0.1</v>
      </c>
      <c r="BK53" s="14" t="e">
        <f t="shared" si="332"/>
        <v>#DIV/0!</v>
      </c>
      <c r="BL53" s="14" t="e">
        <f t="shared" si="332"/>
        <v>#DIV/0!</v>
      </c>
      <c r="BM53" s="412"/>
      <c r="BN53" s="14">
        <f t="shared" ref="BN53:CN53" si="333">BN10/BN9</f>
        <v>0.19736843144044378</v>
      </c>
      <c r="BO53" s="14">
        <f t="shared" si="333"/>
        <v>0.19736843144044378</v>
      </c>
      <c r="BP53" s="14">
        <f t="shared" si="333"/>
        <v>0.19736843144044378</v>
      </c>
      <c r="BQ53" s="14">
        <f t="shared" si="333"/>
        <v>0.19736843144044378</v>
      </c>
      <c r="BR53" s="14">
        <f t="shared" si="333"/>
        <v>0.19736843144044378</v>
      </c>
      <c r="BS53" s="14">
        <f t="shared" si="333"/>
        <v>0.19736843144044378</v>
      </c>
      <c r="BT53" s="14">
        <f t="shared" si="333"/>
        <v>0.1973684314404438</v>
      </c>
      <c r="BU53" s="14">
        <f t="shared" si="333"/>
        <v>0.1973684314404438</v>
      </c>
      <c r="BV53" s="14">
        <f t="shared" si="333"/>
        <v>0.1973684314404438</v>
      </c>
      <c r="BW53" s="14">
        <f t="shared" si="333"/>
        <v>0.19736843144044389</v>
      </c>
      <c r="BX53" s="14">
        <f t="shared" si="333"/>
        <v>0.19736843144044389</v>
      </c>
      <c r="BY53" s="14">
        <f t="shared" si="333"/>
        <v>0.19736843144044389</v>
      </c>
      <c r="BZ53" s="14">
        <f t="shared" si="333"/>
        <v>0.25</v>
      </c>
      <c r="CA53" s="14">
        <f t="shared" si="333"/>
        <v>0.25</v>
      </c>
      <c r="CB53" s="14">
        <f t="shared" si="333"/>
        <v>0.25</v>
      </c>
      <c r="CC53" s="14">
        <f t="shared" si="333"/>
        <v>0.25</v>
      </c>
      <c r="CD53" s="14">
        <f t="shared" si="333"/>
        <v>0.25</v>
      </c>
      <c r="CE53" s="14">
        <f t="shared" si="333"/>
        <v>0.25</v>
      </c>
      <c r="CF53" s="14">
        <f t="shared" si="333"/>
        <v>0.25</v>
      </c>
      <c r="CG53" s="14">
        <f t="shared" si="333"/>
        <v>0.25</v>
      </c>
      <c r="CH53" s="14">
        <f t="shared" si="333"/>
        <v>0.25</v>
      </c>
      <c r="CI53" s="14">
        <f t="shared" si="333"/>
        <v>0.25</v>
      </c>
      <c r="CJ53" s="14">
        <f t="shared" si="333"/>
        <v>0.25</v>
      </c>
      <c r="CK53" s="14">
        <f t="shared" si="333"/>
        <v>0.25</v>
      </c>
      <c r="CL53" s="14">
        <f t="shared" si="333"/>
        <v>0.1</v>
      </c>
      <c r="CM53" s="14">
        <f t="shared" si="333"/>
        <v>0.1</v>
      </c>
      <c r="CN53" s="14">
        <f t="shared" si="333"/>
        <v>0.1</v>
      </c>
      <c r="CO53" s="412"/>
      <c r="CP53" s="14">
        <f t="shared" ref="CP53:DP53" si="334">CP10/CP9</f>
        <v>0.19736843144044378</v>
      </c>
      <c r="CQ53" s="14">
        <f t="shared" si="334"/>
        <v>0.19736843144044378</v>
      </c>
      <c r="CR53" s="14">
        <f t="shared" si="334"/>
        <v>0.19736843144044378</v>
      </c>
      <c r="CS53" s="14">
        <f t="shared" si="334"/>
        <v>0.19736843144044378</v>
      </c>
      <c r="CT53" s="14">
        <f t="shared" si="334"/>
        <v>0.19736843144044378</v>
      </c>
      <c r="CU53" s="14">
        <f t="shared" si="334"/>
        <v>0.19736843144044378</v>
      </c>
      <c r="CV53" s="14">
        <f t="shared" si="334"/>
        <v>0.19736843144044375</v>
      </c>
      <c r="CW53" s="14">
        <f t="shared" si="334"/>
        <v>0.19736843144044378</v>
      </c>
      <c r="CX53" s="14">
        <f t="shared" si="334"/>
        <v>0.19736843144044378</v>
      </c>
      <c r="CY53" s="14">
        <f t="shared" si="334"/>
        <v>0.1973684314404438</v>
      </c>
      <c r="CZ53" s="14">
        <f t="shared" si="334"/>
        <v>0.1973684314404438</v>
      </c>
      <c r="DA53" s="14">
        <f t="shared" si="334"/>
        <v>0.1973684314404438</v>
      </c>
      <c r="DB53" s="14">
        <f t="shared" si="334"/>
        <v>0.25</v>
      </c>
      <c r="DC53" s="14">
        <f t="shared" si="334"/>
        <v>0.25</v>
      </c>
      <c r="DD53" s="14">
        <f t="shared" si="334"/>
        <v>0.25</v>
      </c>
      <c r="DE53" s="14">
        <f t="shared" si="334"/>
        <v>0.25</v>
      </c>
      <c r="DF53" s="14">
        <f t="shared" si="334"/>
        <v>0.25</v>
      </c>
      <c r="DG53" s="14">
        <f t="shared" si="334"/>
        <v>0.25</v>
      </c>
      <c r="DH53" s="14">
        <f t="shared" si="334"/>
        <v>0.25</v>
      </c>
      <c r="DI53" s="14">
        <f t="shared" si="334"/>
        <v>0.25</v>
      </c>
      <c r="DJ53" s="14">
        <f t="shared" si="334"/>
        <v>0.25</v>
      </c>
      <c r="DK53" s="14">
        <f t="shared" si="334"/>
        <v>0.25</v>
      </c>
      <c r="DL53" s="14">
        <f t="shared" si="334"/>
        <v>0.25</v>
      </c>
      <c r="DM53" s="14">
        <f t="shared" si="334"/>
        <v>0.25</v>
      </c>
      <c r="DN53" s="14">
        <f t="shared" si="334"/>
        <v>0.1</v>
      </c>
      <c r="DO53" s="14" t="e">
        <f t="shared" si="334"/>
        <v>#DIV/0!</v>
      </c>
      <c r="DP53" s="14" t="e">
        <f t="shared" si="334"/>
        <v>#DIV/0!</v>
      </c>
      <c r="DQ53" s="14"/>
      <c r="DR53" s="14"/>
      <c r="DS53" s="14"/>
      <c r="DT53" s="14"/>
      <c r="DU53" s="14"/>
      <c r="DV53" s="14"/>
      <c r="DW53" s="14"/>
      <c r="DX53" s="14"/>
      <c r="DY53" s="14"/>
      <c r="DZ53" s="14"/>
      <c r="EA53" s="14">
        <f>EA10/EA9</f>
        <v>0.1973684314404438</v>
      </c>
      <c r="EB53" s="14">
        <f>EB10/EB9</f>
        <v>0.25</v>
      </c>
      <c r="EC53" s="14"/>
      <c r="ED53" s="429"/>
      <c r="EE53" s="14">
        <v>0.1</v>
      </c>
      <c r="EF53" s="14">
        <f>EF10/EF9</f>
        <v>0.1</v>
      </c>
      <c r="EG53" s="14">
        <f>EG10/EG9</f>
        <v>0.1</v>
      </c>
      <c r="EK53" s="24"/>
      <c r="EL53" s="47"/>
      <c r="EM53" s="47"/>
      <c r="EN53" s="47"/>
    </row>
    <row r="54" spans="1:149">
      <c r="A54" s="6" t="s">
        <v>23</v>
      </c>
      <c r="B54" s="2" t="s">
        <v>25</v>
      </c>
      <c r="C54" s="3" t="s">
        <v>75</v>
      </c>
      <c r="E54" s="4" t="str">
        <f>C23</f>
        <v>BSEE</v>
      </c>
      <c r="F54" s="4" t="s">
        <v>31</v>
      </c>
      <c r="G54" s="28" t="str">
        <f>C22</f>
        <v>BSUniq</v>
      </c>
      <c r="H54" s="28"/>
      <c r="I54" s="28"/>
      <c r="J54" s="62">
        <f t="shared" ref="J54:AJ54" si="335">J23/J22</f>
        <v>0.24999925000374976</v>
      </c>
      <c r="K54" s="62">
        <f t="shared" si="335"/>
        <v>0.24999925000374976</v>
      </c>
      <c r="L54" s="62">
        <f t="shared" si="335"/>
        <v>0.24999925000374976</v>
      </c>
      <c r="M54" s="62">
        <f t="shared" si="335"/>
        <v>0.46960000000000002</v>
      </c>
      <c r="N54" s="62">
        <f t="shared" si="335"/>
        <v>0.46639999999999993</v>
      </c>
      <c r="O54" s="62">
        <f t="shared" si="335"/>
        <v>0.46640000000000015</v>
      </c>
      <c r="P54" s="62">
        <f t="shared" si="335"/>
        <v>0.46639999999999987</v>
      </c>
      <c r="Q54" s="62">
        <f t="shared" si="335"/>
        <v>0.46639999999999987</v>
      </c>
      <c r="R54" s="62">
        <f t="shared" si="335"/>
        <v>0.46639999999999987</v>
      </c>
      <c r="S54" s="62">
        <f t="shared" si="335"/>
        <v>0.46639999999999987</v>
      </c>
      <c r="T54" s="62">
        <f t="shared" si="335"/>
        <v>0.46639999999999987</v>
      </c>
      <c r="U54" s="62">
        <f t="shared" si="335"/>
        <v>0.46639999999999987</v>
      </c>
      <c r="V54" s="62">
        <f t="shared" si="335"/>
        <v>0.5423255813953487</v>
      </c>
      <c r="W54" s="62">
        <f t="shared" si="335"/>
        <v>0.27116279069767435</v>
      </c>
      <c r="X54" s="62">
        <f t="shared" si="335"/>
        <v>0.18077519379844956</v>
      </c>
      <c r="Y54" s="62">
        <f t="shared" si="335"/>
        <v>0.13953488372093023</v>
      </c>
      <c r="Z54" s="62">
        <f t="shared" si="335"/>
        <v>0.11162790697674418</v>
      </c>
      <c r="AA54" s="62">
        <f t="shared" si="335"/>
        <v>9.3023255813953487E-2</v>
      </c>
      <c r="AB54" s="62">
        <f t="shared" si="335"/>
        <v>7.8006644518272425E-2</v>
      </c>
      <c r="AC54" s="62">
        <f t="shared" si="335"/>
        <v>6.7790697674418601E-2</v>
      </c>
      <c r="AD54" s="62">
        <f t="shared" si="335"/>
        <v>6.0258397932816558E-2</v>
      </c>
      <c r="AE54" s="62">
        <f t="shared" si="335"/>
        <v>5.423255813953487E-2</v>
      </c>
      <c r="AF54" s="62">
        <f t="shared" si="335"/>
        <v>4.9302325581395336E-2</v>
      </c>
      <c r="AG54" s="62">
        <f t="shared" si="335"/>
        <v>4.5193798449612389E-2</v>
      </c>
      <c r="AH54" s="62">
        <f t="shared" si="335"/>
        <v>0.86150769230769209</v>
      </c>
      <c r="AI54" s="62">
        <f t="shared" si="335"/>
        <v>0.86150769230769209</v>
      </c>
      <c r="AJ54" s="62">
        <f t="shared" si="335"/>
        <v>0.86150769230769209</v>
      </c>
      <c r="AK54" s="412"/>
      <c r="AL54" s="14">
        <f t="shared" ref="AL54:BL54" si="336">AL23/AL22</f>
        <v>0.24999925000374976</v>
      </c>
      <c r="AM54" s="14">
        <f t="shared" si="336"/>
        <v>0.24999925000374976</v>
      </c>
      <c r="AN54" s="14">
        <f t="shared" si="336"/>
        <v>0.24999925000374976</v>
      </c>
      <c r="AO54" s="14">
        <f t="shared" si="336"/>
        <v>0.46960000000000002</v>
      </c>
      <c r="AP54" s="14">
        <f t="shared" si="336"/>
        <v>0.46639999999999993</v>
      </c>
      <c r="AQ54" s="14">
        <f t="shared" si="336"/>
        <v>0.46640000000000015</v>
      </c>
      <c r="AR54" s="14">
        <f t="shared" si="336"/>
        <v>0.46639999999999987</v>
      </c>
      <c r="AS54" s="14">
        <f t="shared" si="336"/>
        <v>0.46639999999999987</v>
      </c>
      <c r="AT54" s="14">
        <f t="shared" si="336"/>
        <v>0.46639999999999987</v>
      </c>
      <c r="AU54" s="14">
        <f t="shared" si="336"/>
        <v>0.46639999999999987</v>
      </c>
      <c r="AV54" s="14">
        <f t="shared" si="336"/>
        <v>0.46639999999999987</v>
      </c>
      <c r="AW54" s="14">
        <f t="shared" si="336"/>
        <v>0.46639999999999987</v>
      </c>
      <c r="AX54" s="14">
        <f t="shared" si="336"/>
        <v>0.5423255813953487</v>
      </c>
      <c r="AY54" s="14">
        <f t="shared" si="336"/>
        <v>0.5423255813953487</v>
      </c>
      <c r="AZ54" s="14">
        <f t="shared" si="336"/>
        <v>0.5423255813953487</v>
      </c>
      <c r="BA54" s="14">
        <f t="shared" si="336"/>
        <v>0.55813953488372092</v>
      </c>
      <c r="BB54" s="14">
        <f t="shared" si="336"/>
        <v>0.55813953488372092</v>
      </c>
      <c r="BC54" s="14">
        <f t="shared" si="336"/>
        <v>0.55813953488372092</v>
      </c>
      <c r="BD54" s="14">
        <f t="shared" si="336"/>
        <v>0.54604651162790696</v>
      </c>
      <c r="BE54" s="14">
        <f t="shared" si="336"/>
        <v>0.54232558139534881</v>
      </c>
      <c r="BF54" s="14">
        <f t="shared" si="336"/>
        <v>0.54232558139534903</v>
      </c>
      <c r="BG54" s="14">
        <f t="shared" si="336"/>
        <v>0.5423255813953487</v>
      </c>
      <c r="BH54" s="14">
        <f t="shared" si="336"/>
        <v>0.5423255813953487</v>
      </c>
      <c r="BI54" s="14">
        <f t="shared" si="336"/>
        <v>0.5423255813953487</v>
      </c>
      <c r="BJ54" s="14">
        <f t="shared" si="336"/>
        <v>0.86150769230769209</v>
      </c>
      <c r="BK54" s="14">
        <f t="shared" si="336"/>
        <v>0.86150769230769209</v>
      </c>
      <c r="BL54" s="14">
        <f t="shared" si="336"/>
        <v>0.86150769230769209</v>
      </c>
      <c r="BM54" s="412"/>
      <c r="BN54" s="14">
        <f t="shared" ref="BN54:CN54" si="337">BN23/BN22</f>
        <v>0.24999925000374976</v>
      </c>
      <c r="BO54" s="14">
        <f t="shared" si="337"/>
        <v>0.24999925000374976</v>
      </c>
      <c r="BP54" s="14">
        <f t="shared" si="337"/>
        <v>0.24999925000374976</v>
      </c>
      <c r="BQ54" s="14">
        <f t="shared" si="337"/>
        <v>0.4674666666666667</v>
      </c>
      <c r="BR54" s="14">
        <f t="shared" si="337"/>
        <v>0.4674666666666667</v>
      </c>
      <c r="BS54" s="14">
        <f t="shared" si="337"/>
        <v>0.4674666666666667</v>
      </c>
      <c r="BT54" s="14">
        <f t="shared" si="337"/>
        <v>0.46639999999999987</v>
      </c>
      <c r="BU54" s="14">
        <f t="shared" si="337"/>
        <v>0.46639999999999987</v>
      </c>
      <c r="BV54" s="14">
        <f t="shared" si="337"/>
        <v>0.46639999999999987</v>
      </c>
      <c r="BW54" s="14">
        <f t="shared" si="337"/>
        <v>0.46639999999999987</v>
      </c>
      <c r="BX54" s="14">
        <f t="shared" si="337"/>
        <v>0.46639999999999987</v>
      </c>
      <c r="BY54" s="14">
        <f t="shared" si="337"/>
        <v>0.46639999999999987</v>
      </c>
      <c r="BZ54" s="14">
        <f t="shared" si="337"/>
        <v>0.5423255813953487</v>
      </c>
      <c r="CA54" s="14">
        <f t="shared" si="337"/>
        <v>0.5423255813953487</v>
      </c>
      <c r="CB54" s="14">
        <f t="shared" si="337"/>
        <v>0.5423255813953487</v>
      </c>
      <c r="CC54" s="14">
        <f t="shared" si="337"/>
        <v>0.27906976744186046</v>
      </c>
      <c r="CD54" s="14">
        <f t="shared" si="337"/>
        <v>0.27906976744186046</v>
      </c>
      <c r="CE54" s="14">
        <f t="shared" si="337"/>
        <v>0.27906976744186046</v>
      </c>
      <c r="CF54" s="14">
        <f t="shared" si="337"/>
        <v>0.18118863049095607</v>
      </c>
      <c r="CG54" s="14">
        <f t="shared" si="337"/>
        <v>0.18118863049095607</v>
      </c>
      <c r="CH54" s="14">
        <f t="shared" si="337"/>
        <v>0.18118863049095607</v>
      </c>
      <c r="CI54" s="14">
        <f t="shared" si="337"/>
        <v>0.13558139534883717</v>
      </c>
      <c r="CJ54" s="14">
        <f t="shared" si="337"/>
        <v>0.13558139534883717</v>
      </c>
      <c r="CK54" s="14">
        <f t="shared" si="337"/>
        <v>0.13558139534883717</v>
      </c>
      <c r="CL54" s="14">
        <f t="shared" si="337"/>
        <v>0.8615076923076922</v>
      </c>
      <c r="CM54" s="14">
        <f t="shared" si="337"/>
        <v>0.8615076923076922</v>
      </c>
      <c r="CN54" s="14">
        <f t="shared" si="337"/>
        <v>0.8615076923076922</v>
      </c>
      <c r="CO54" s="412"/>
      <c r="CP54" s="14">
        <f t="shared" ref="CP54:DP54" si="338">CP23/CP22</f>
        <v>0.24999925000374976</v>
      </c>
      <c r="CQ54" s="14">
        <f t="shared" si="338"/>
        <v>0.24999925000374976</v>
      </c>
      <c r="CR54" s="14">
        <f t="shared" si="338"/>
        <v>0.24999925000374976</v>
      </c>
      <c r="CS54" s="14">
        <f t="shared" si="338"/>
        <v>0.33446081704363972</v>
      </c>
      <c r="CT54" s="14">
        <f t="shared" si="338"/>
        <v>0.37111050864331396</v>
      </c>
      <c r="CU54" s="14">
        <f t="shared" si="338"/>
        <v>0.39182557943377477</v>
      </c>
      <c r="CV54" s="14">
        <f t="shared" si="338"/>
        <v>0.4051424212251124</v>
      </c>
      <c r="CW54" s="14">
        <f t="shared" si="338"/>
        <v>0.41442386130441045</v>
      </c>
      <c r="CX54" s="14">
        <f t="shared" si="338"/>
        <v>0.42126281972334756</v>
      </c>
      <c r="CY54" s="14">
        <f t="shared" si="338"/>
        <v>0.4265113241755123</v>
      </c>
      <c r="CZ54" s="14">
        <f t="shared" si="338"/>
        <v>0.43066639111134064</v>
      </c>
      <c r="DA54" s="14">
        <f t="shared" si="338"/>
        <v>0.43403748374529516</v>
      </c>
      <c r="DB54" s="14">
        <f t="shared" si="338"/>
        <v>0.5423255813953487</v>
      </c>
      <c r="DC54" s="14">
        <f t="shared" si="338"/>
        <v>0.5423255813953487</v>
      </c>
      <c r="DD54" s="14">
        <f t="shared" si="338"/>
        <v>0.5423255813953487</v>
      </c>
      <c r="DE54" s="14">
        <f t="shared" si="338"/>
        <v>0.54627906976744178</v>
      </c>
      <c r="DF54" s="14">
        <f t="shared" si="338"/>
        <v>0.54865116279069759</v>
      </c>
      <c r="DG54" s="14">
        <f t="shared" si="338"/>
        <v>0.55023255813953476</v>
      </c>
      <c r="DH54" s="14">
        <f t="shared" si="338"/>
        <v>0.5496345514950165</v>
      </c>
      <c r="DI54" s="14">
        <f t="shared" si="338"/>
        <v>0.54872093023255808</v>
      </c>
      <c r="DJ54" s="14">
        <f t="shared" si="338"/>
        <v>0.54801033591731263</v>
      </c>
      <c r="DK54" s="14">
        <f t="shared" si="338"/>
        <v>0.54744186046511623</v>
      </c>
      <c r="DL54" s="14">
        <f t="shared" si="338"/>
        <v>0.54697674418604647</v>
      </c>
      <c r="DM54" s="14">
        <f t="shared" si="338"/>
        <v>0.54658914728682162</v>
      </c>
      <c r="DN54" s="14">
        <f t="shared" si="338"/>
        <v>0.86150769230769209</v>
      </c>
      <c r="DO54" s="14">
        <f t="shared" si="338"/>
        <v>0.86150769230769209</v>
      </c>
      <c r="DP54" s="14">
        <f t="shared" si="338"/>
        <v>0.8615076923076922</v>
      </c>
      <c r="DQ54" s="14"/>
      <c r="DR54" s="14"/>
      <c r="DS54" s="14"/>
      <c r="DT54" s="14"/>
      <c r="DU54" s="14"/>
      <c r="DV54" s="14"/>
      <c r="DW54" s="14"/>
      <c r="DX54" s="14"/>
      <c r="DY54" s="14"/>
      <c r="DZ54" s="14"/>
      <c r="EA54" s="14">
        <f>EA23/EA22</f>
        <v>0.43403748374529516</v>
      </c>
      <c r="EB54" s="14">
        <f>EB23/EB22</f>
        <v>0.54658914728682162</v>
      </c>
      <c r="EC54" s="14"/>
      <c r="ED54" s="429"/>
      <c r="EE54" s="14">
        <f>EE23/EE22</f>
        <v>0.86150769230769209</v>
      </c>
      <c r="EF54" s="14">
        <f>EF23/EF22</f>
        <v>0.8615076923076922</v>
      </c>
      <c r="EG54" s="14">
        <f>+EF54</f>
        <v>0.8615076923076922</v>
      </c>
      <c r="EK54" s="24"/>
      <c r="EL54" s="47"/>
      <c r="EM54" s="47"/>
      <c r="EN54" s="47"/>
    </row>
    <row r="55" spans="1:149">
      <c r="A55" s="6" t="s">
        <v>23</v>
      </c>
      <c r="B55" s="2" t="s">
        <v>160</v>
      </c>
      <c r="C55" s="3" t="s">
        <v>76</v>
      </c>
      <c r="E55" s="3" t="str">
        <f>C12</f>
        <v>BSatRate</v>
      </c>
      <c r="F55" s="3" t="s">
        <v>32</v>
      </c>
      <c r="G55" s="28" t="str">
        <f>C9</f>
        <v>BAllNew</v>
      </c>
      <c r="H55" s="63" t="s">
        <v>31</v>
      </c>
      <c r="I55" s="28" t="str">
        <f>C11</f>
        <v>BSatResp</v>
      </c>
      <c r="J55" s="62">
        <f t="shared" ref="J55:AJ55" si="339">J12*J11/J9</f>
        <v>0.24000001263157963</v>
      </c>
      <c r="K55" s="62">
        <f t="shared" si="339"/>
        <v>0.12000000631578982</v>
      </c>
      <c r="L55" s="62">
        <f t="shared" si="339"/>
        <v>8.000000421052654E-2</v>
      </c>
      <c r="M55" s="62">
        <f t="shared" si="339"/>
        <v>6.0000003157894909E-2</v>
      </c>
      <c r="N55" s="62">
        <f t="shared" si="339"/>
        <v>4.8000002526315928E-2</v>
      </c>
      <c r="O55" s="62">
        <f t="shared" si="339"/>
        <v>4.000000210526327E-2</v>
      </c>
      <c r="P55" s="62">
        <f t="shared" si="339"/>
        <v>3.4285716090225661E-2</v>
      </c>
      <c r="Q55" s="62">
        <f t="shared" si="339"/>
        <v>3.0000001578947454E-2</v>
      </c>
      <c r="R55" s="62">
        <f t="shared" si="339"/>
        <v>2.6666668070175516E-2</v>
      </c>
      <c r="S55" s="62">
        <f t="shared" si="339"/>
        <v>2.4000001263157964E-2</v>
      </c>
      <c r="T55" s="62">
        <f t="shared" si="339"/>
        <v>2.1818182966507241E-2</v>
      </c>
      <c r="U55" s="62">
        <f t="shared" si="339"/>
        <v>1.7500000921052684E-2</v>
      </c>
      <c r="V55" s="62">
        <f t="shared" si="339"/>
        <v>0.17099999999999999</v>
      </c>
      <c r="W55" s="62">
        <f t="shared" si="339"/>
        <v>0.17099999999999999</v>
      </c>
      <c r="X55" s="62">
        <f t="shared" si="339"/>
        <v>0.17100000000000001</v>
      </c>
      <c r="Y55" s="62">
        <f t="shared" si="339"/>
        <v>0.17099999999999999</v>
      </c>
      <c r="Z55" s="62">
        <f t="shared" si="339"/>
        <v>0.17100000000000001</v>
      </c>
      <c r="AA55" s="62">
        <f t="shared" si="339"/>
        <v>0.17099999999999999</v>
      </c>
      <c r="AB55" s="62">
        <f t="shared" si="339"/>
        <v>0.17099999999999999</v>
      </c>
      <c r="AC55" s="62">
        <f t="shared" si="339"/>
        <v>0.17099999999999999</v>
      </c>
      <c r="AD55" s="62">
        <f t="shared" si="339"/>
        <v>0.17099999999999999</v>
      </c>
      <c r="AE55" s="62">
        <f t="shared" si="339"/>
        <v>0.17099999999999999</v>
      </c>
      <c r="AF55" s="62">
        <f t="shared" si="339"/>
        <v>0.17099999999999999</v>
      </c>
      <c r="AG55" s="62">
        <f t="shared" si="339"/>
        <v>0.17099999999999999</v>
      </c>
      <c r="AH55" s="62">
        <f t="shared" si="339"/>
        <v>0</v>
      </c>
      <c r="AI55" s="62" t="e">
        <f t="shared" si="339"/>
        <v>#DIV/0!</v>
      </c>
      <c r="AJ55" s="62" t="e">
        <f t="shared" si="339"/>
        <v>#DIV/0!</v>
      </c>
      <c r="AK55" s="412"/>
      <c r="AL55" s="14">
        <f t="shared" ref="AL55:BL55" si="340">AL12*AL11/AL9</f>
        <v>0.24000001263157963</v>
      </c>
      <c r="AM55" s="14">
        <f t="shared" si="340"/>
        <v>0.24000001263157963</v>
      </c>
      <c r="AN55" s="14">
        <f t="shared" si="340"/>
        <v>0.24000001263157963</v>
      </c>
      <c r="AO55" s="14">
        <f t="shared" si="340"/>
        <v>0.24000001263157963</v>
      </c>
      <c r="AP55" s="14">
        <f t="shared" si="340"/>
        <v>0.24000001263157963</v>
      </c>
      <c r="AQ55" s="14">
        <f t="shared" si="340"/>
        <v>0.24000001263157963</v>
      </c>
      <c r="AR55" s="14">
        <f t="shared" si="340"/>
        <v>0.2400000126315795</v>
      </c>
      <c r="AS55" s="14">
        <f t="shared" si="340"/>
        <v>0.24000001263157977</v>
      </c>
      <c r="AT55" s="14">
        <f t="shared" si="340"/>
        <v>0.24000001263157977</v>
      </c>
      <c r="AU55" s="14">
        <f t="shared" si="340"/>
        <v>0.24000001263157977</v>
      </c>
      <c r="AV55" s="14">
        <f t="shared" si="340"/>
        <v>0.24000001263157977</v>
      </c>
      <c r="AW55" s="14">
        <f t="shared" si="340"/>
        <v>0.2100000110526323</v>
      </c>
      <c r="AX55" s="14">
        <f t="shared" si="340"/>
        <v>0.17099999999999999</v>
      </c>
      <c r="AY55" s="14">
        <f t="shared" si="340"/>
        <v>0.17099999999999999</v>
      </c>
      <c r="AZ55" s="14">
        <f t="shared" si="340"/>
        <v>0.17100000000000001</v>
      </c>
      <c r="BA55" s="14">
        <f t="shared" si="340"/>
        <v>0.17100000000000001</v>
      </c>
      <c r="BB55" s="14">
        <f t="shared" si="340"/>
        <v>0.17100000000000001</v>
      </c>
      <c r="BC55" s="14">
        <f t="shared" si="340"/>
        <v>0.17099999999999985</v>
      </c>
      <c r="BD55" s="14">
        <f t="shared" si="340"/>
        <v>0.17100000000000001</v>
      </c>
      <c r="BE55" s="14">
        <f t="shared" si="340"/>
        <v>0.17100000000000001</v>
      </c>
      <c r="BF55" s="14">
        <f t="shared" si="340"/>
        <v>0.17100000000000001</v>
      </c>
      <c r="BG55" s="14">
        <f t="shared" si="340"/>
        <v>0.17100000000000001</v>
      </c>
      <c r="BH55" s="14">
        <f t="shared" si="340"/>
        <v>0.17100000000000001</v>
      </c>
      <c r="BI55" s="14">
        <f t="shared" si="340"/>
        <v>0.17100000000000001</v>
      </c>
      <c r="BJ55" s="14">
        <f t="shared" si="340"/>
        <v>0</v>
      </c>
      <c r="BK55" s="14" t="e">
        <f t="shared" si="340"/>
        <v>#DIV/0!</v>
      </c>
      <c r="BL55" s="14" t="e">
        <f t="shared" si="340"/>
        <v>#DIV/0!</v>
      </c>
      <c r="BM55" s="412"/>
      <c r="BN55" s="14">
        <f t="shared" ref="BN55:CN55" si="341">BN12*BN11/BN9</f>
        <v>0.24000001263157966</v>
      </c>
      <c r="BO55" s="14">
        <f t="shared" si="341"/>
        <v>0.24000001263157966</v>
      </c>
      <c r="BP55" s="14">
        <f t="shared" si="341"/>
        <v>0.24000001263157966</v>
      </c>
      <c r="BQ55" s="14">
        <f t="shared" si="341"/>
        <v>0.24000001263157966</v>
      </c>
      <c r="BR55" s="14">
        <f t="shared" si="341"/>
        <v>0.24000001263157966</v>
      </c>
      <c r="BS55" s="14">
        <f t="shared" si="341"/>
        <v>0.24000001263157966</v>
      </c>
      <c r="BT55" s="14">
        <f t="shared" si="341"/>
        <v>0.24000001263157969</v>
      </c>
      <c r="BU55" s="14">
        <f t="shared" si="341"/>
        <v>0.24000001263157969</v>
      </c>
      <c r="BV55" s="14">
        <f t="shared" si="341"/>
        <v>0.24000001263157969</v>
      </c>
      <c r="BW55" s="14">
        <f t="shared" si="341"/>
        <v>0.23000001210526394</v>
      </c>
      <c r="BX55" s="14">
        <f t="shared" si="341"/>
        <v>0.23000001210526394</v>
      </c>
      <c r="BY55" s="14">
        <f t="shared" si="341"/>
        <v>0.23000001210526394</v>
      </c>
      <c r="BZ55" s="14">
        <f t="shared" si="341"/>
        <v>0.17099999999999999</v>
      </c>
      <c r="CA55" s="14">
        <f t="shared" si="341"/>
        <v>0.17099999999999999</v>
      </c>
      <c r="CB55" s="14">
        <f t="shared" si="341"/>
        <v>0.17099999999999999</v>
      </c>
      <c r="CC55" s="14">
        <f t="shared" si="341"/>
        <v>0.17099999999999996</v>
      </c>
      <c r="CD55" s="14">
        <f t="shared" si="341"/>
        <v>0.17099999999999996</v>
      </c>
      <c r="CE55" s="14">
        <f t="shared" si="341"/>
        <v>0.17099999999999996</v>
      </c>
      <c r="CF55" s="14">
        <f t="shared" si="341"/>
        <v>0.17100000000000001</v>
      </c>
      <c r="CG55" s="14">
        <f t="shared" si="341"/>
        <v>0.17100000000000001</v>
      </c>
      <c r="CH55" s="14">
        <f t="shared" si="341"/>
        <v>0.17100000000000001</v>
      </c>
      <c r="CI55" s="14">
        <f t="shared" si="341"/>
        <v>0.17100000000000001</v>
      </c>
      <c r="CJ55" s="14">
        <f t="shared" si="341"/>
        <v>0.17100000000000001</v>
      </c>
      <c r="CK55" s="14">
        <f t="shared" si="341"/>
        <v>0.17100000000000001</v>
      </c>
      <c r="CL55" s="14">
        <f t="shared" si="341"/>
        <v>0</v>
      </c>
      <c r="CM55" s="14">
        <f t="shared" si="341"/>
        <v>0</v>
      </c>
      <c r="CN55" s="14">
        <f t="shared" si="341"/>
        <v>0</v>
      </c>
      <c r="CO55" s="412"/>
      <c r="CP55" s="14">
        <f t="shared" ref="CP55:DP55" si="342">CP12*CP11/CP9</f>
        <v>0.24000001263157963</v>
      </c>
      <c r="CQ55" s="14">
        <f t="shared" si="342"/>
        <v>0.24000001263157963</v>
      </c>
      <c r="CR55" s="14">
        <f t="shared" si="342"/>
        <v>0.24000001263157966</v>
      </c>
      <c r="CS55" s="14">
        <f t="shared" si="342"/>
        <v>0.24000001263157963</v>
      </c>
      <c r="CT55" s="14">
        <f t="shared" si="342"/>
        <v>0.24000001263157961</v>
      </c>
      <c r="CU55" s="14">
        <f t="shared" si="342"/>
        <v>0.24000001263157961</v>
      </c>
      <c r="CV55" s="14">
        <f t="shared" si="342"/>
        <v>0.24000001263157958</v>
      </c>
      <c r="CW55" s="14">
        <f t="shared" si="342"/>
        <v>0.24000001263157961</v>
      </c>
      <c r="CX55" s="14">
        <f t="shared" si="342"/>
        <v>0.24000001263157961</v>
      </c>
      <c r="CY55" s="14">
        <f t="shared" si="342"/>
        <v>0.24000001263157961</v>
      </c>
      <c r="CZ55" s="14">
        <f t="shared" si="342"/>
        <v>0.24000001263157963</v>
      </c>
      <c r="DA55" s="14">
        <f t="shared" si="342"/>
        <v>0.23750001250000069</v>
      </c>
      <c r="DB55" s="14">
        <f t="shared" si="342"/>
        <v>0.17100000000000001</v>
      </c>
      <c r="DC55" s="14">
        <f t="shared" si="342"/>
        <v>0.17100000000000001</v>
      </c>
      <c r="DD55" s="14">
        <f t="shared" si="342"/>
        <v>0.17100000000000001</v>
      </c>
      <c r="DE55" s="14">
        <f t="shared" si="342"/>
        <v>0.17100000000000001</v>
      </c>
      <c r="DF55" s="14">
        <f t="shared" si="342"/>
        <v>0.17100000000000004</v>
      </c>
      <c r="DG55" s="14">
        <f t="shared" si="342"/>
        <v>0.17099999999999999</v>
      </c>
      <c r="DH55" s="14">
        <f t="shared" si="342"/>
        <v>0.17099999999999999</v>
      </c>
      <c r="DI55" s="14">
        <f t="shared" si="342"/>
        <v>0.17099999999999999</v>
      </c>
      <c r="DJ55" s="14">
        <f t="shared" si="342"/>
        <v>0.17100000000000001</v>
      </c>
      <c r="DK55" s="14">
        <f t="shared" si="342"/>
        <v>0.17100000000000001</v>
      </c>
      <c r="DL55" s="14">
        <f t="shared" si="342"/>
        <v>0.17100000000000001</v>
      </c>
      <c r="DM55" s="14">
        <f t="shared" si="342"/>
        <v>0.17100000000000001</v>
      </c>
      <c r="DN55" s="14">
        <f t="shared" si="342"/>
        <v>0</v>
      </c>
      <c r="DO55" s="14" t="e">
        <f t="shared" si="342"/>
        <v>#DIV/0!</v>
      </c>
      <c r="DP55" s="14" t="e">
        <f t="shared" si="342"/>
        <v>#DIV/0!</v>
      </c>
      <c r="DQ55" s="14"/>
      <c r="DR55" s="14"/>
      <c r="DS55" s="14"/>
      <c r="DT55" s="14"/>
      <c r="DU55" s="14"/>
      <c r="DV55" s="14"/>
      <c r="DW55" s="14"/>
      <c r="DX55" s="14"/>
      <c r="DY55" s="14"/>
      <c r="DZ55" s="14"/>
      <c r="EA55" s="14">
        <f>EA12*EA11/EA9</f>
        <v>0.23750001250000069</v>
      </c>
      <c r="EB55" s="14">
        <f>EB12*EB11/EB9</f>
        <v>0.17100000000000001</v>
      </c>
      <c r="EC55" s="14"/>
      <c r="ED55" s="429"/>
      <c r="EE55" s="14" t="e">
        <f>EE11*EE12/EE11</f>
        <v>#DIV/0!</v>
      </c>
      <c r="EF55" s="14" t="e">
        <f>EF12*EF11/EF11</f>
        <v>#DIV/0!</v>
      </c>
      <c r="EG55" s="14">
        <f>EG11*EG12/EG11</f>
        <v>0.95000000000000007</v>
      </c>
      <c r="EK55" s="24"/>
      <c r="EL55" s="47"/>
      <c r="EM55" s="47"/>
      <c r="EN55" s="47"/>
    </row>
    <row r="56" spans="1:149">
      <c r="A56" s="6" t="s">
        <v>23</v>
      </c>
      <c r="B56" s="2" t="s">
        <v>26</v>
      </c>
      <c r="C56" s="3" t="s">
        <v>84</v>
      </c>
      <c r="E56" s="3" t="str">
        <f>C13</f>
        <v>BSpec1</v>
      </c>
      <c r="F56" s="4" t="s">
        <v>31</v>
      </c>
      <c r="G56" s="28" t="str">
        <f>C22</f>
        <v>BSUniq</v>
      </c>
      <c r="H56" s="28"/>
      <c r="I56" s="28"/>
      <c r="J56" s="62">
        <f t="shared" ref="J56:AJ56" si="343">J13/J22</f>
        <v>0.13049934750326236</v>
      </c>
      <c r="K56" s="62">
        <f t="shared" si="343"/>
        <v>0.25499872500637472</v>
      </c>
      <c r="L56" s="62">
        <f t="shared" si="343"/>
        <v>0.37949810250948707</v>
      </c>
      <c r="M56" s="62">
        <f t="shared" si="343"/>
        <v>0.26879999999999998</v>
      </c>
      <c r="N56" s="62">
        <f t="shared" si="343"/>
        <v>0.33519999999999994</v>
      </c>
      <c r="O56" s="62">
        <f t="shared" si="343"/>
        <v>0.40159999999999996</v>
      </c>
      <c r="P56" s="62">
        <f t="shared" si="343"/>
        <v>0.46799999999999997</v>
      </c>
      <c r="Q56" s="62">
        <f t="shared" si="343"/>
        <v>0.53439999999999999</v>
      </c>
      <c r="R56" s="62">
        <f t="shared" si="343"/>
        <v>0.6008</v>
      </c>
      <c r="S56" s="62">
        <f t="shared" si="343"/>
        <v>0.66720000000000002</v>
      </c>
      <c r="T56" s="62">
        <f t="shared" si="343"/>
        <v>0.73360000000000003</v>
      </c>
      <c r="U56" s="62">
        <f t="shared" si="343"/>
        <v>0.8</v>
      </c>
      <c r="V56" s="62">
        <f t="shared" si="343"/>
        <v>0.10852093023255814</v>
      </c>
      <c r="W56" s="62">
        <f t="shared" si="343"/>
        <v>0.10852093023255814</v>
      </c>
      <c r="X56" s="62">
        <f t="shared" si="343"/>
        <v>0.10852093023255815</v>
      </c>
      <c r="Y56" s="62">
        <f t="shared" si="343"/>
        <v>0.10852093023255814</v>
      </c>
      <c r="Z56" s="62">
        <f t="shared" si="343"/>
        <v>0.10852093023255814</v>
      </c>
      <c r="AA56" s="62">
        <f t="shared" si="343"/>
        <v>0.10852093023255814</v>
      </c>
      <c r="AB56" s="62">
        <f t="shared" si="343"/>
        <v>0.10852093023255814</v>
      </c>
      <c r="AC56" s="62">
        <f t="shared" si="343"/>
        <v>0.10852093023255814</v>
      </c>
      <c r="AD56" s="62">
        <f t="shared" si="343"/>
        <v>0.10852093023255815</v>
      </c>
      <c r="AE56" s="62">
        <f t="shared" si="343"/>
        <v>0.10852093023255815</v>
      </c>
      <c r="AF56" s="62">
        <f t="shared" si="343"/>
        <v>0.10852093023255817</v>
      </c>
      <c r="AG56" s="62">
        <f t="shared" si="343"/>
        <v>0.10852093023255817</v>
      </c>
      <c r="AH56" s="62">
        <f t="shared" si="343"/>
        <v>0</v>
      </c>
      <c r="AI56" s="62">
        <f t="shared" si="343"/>
        <v>0</v>
      </c>
      <c r="AJ56" s="62">
        <f t="shared" si="343"/>
        <v>0</v>
      </c>
      <c r="AK56" s="412"/>
      <c r="AL56" s="14">
        <f t="shared" ref="AL56:BL56" si="344">AL13/AL22</f>
        <v>0.13049934750326236</v>
      </c>
      <c r="AM56" s="14">
        <f t="shared" si="344"/>
        <v>0.12449937750311237</v>
      </c>
      <c r="AN56" s="14">
        <f t="shared" si="344"/>
        <v>0.12449937750311235</v>
      </c>
      <c r="AO56" s="14">
        <f t="shared" si="344"/>
        <v>6.6400000000000001E-2</v>
      </c>
      <c r="AP56" s="14">
        <f t="shared" si="344"/>
        <v>6.6399999999999973E-2</v>
      </c>
      <c r="AQ56" s="14">
        <f t="shared" si="344"/>
        <v>6.6400000000000001E-2</v>
      </c>
      <c r="AR56" s="14">
        <f t="shared" si="344"/>
        <v>6.6400000000000001E-2</v>
      </c>
      <c r="AS56" s="14">
        <f t="shared" si="344"/>
        <v>6.6400000000000001E-2</v>
      </c>
      <c r="AT56" s="14">
        <f t="shared" si="344"/>
        <v>6.6400000000000001E-2</v>
      </c>
      <c r="AU56" s="14">
        <f t="shared" si="344"/>
        <v>6.6400000000000001E-2</v>
      </c>
      <c r="AV56" s="14">
        <f t="shared" si="344"/>
        <v>6.6400000000000001E-2</v>
      </c>
      <c r="AW56" s="14">
        <f t="shared" si="344"/>
        <v>6.6400000000000001E-2</v>
      </c>
      <c r="AX56" s="14">
        <f t="shared" si="344"/>
        <v>0.10852093023255814</v>
      </c>
      <c r="AY56" s="14">
        <f t="shared" si="344"/>
        <v>0.10852093023255814</v>
      </c>
      <c r="AZ56" s="14">
        <f t="shared" si="344"/>
        <v>0.10852093023255817</v>
      </c>
      <c r="BA56" s="14">
        <f t="shared" si="344"/>
        <v>0.10852093023255813</v>
      </c>
      <c r="BB56" s="14">
        <f t="shared" si="344"/>
        <v>0.10852093023255813</v>
      </c>
      <c r="BC56" s="14">
        <f t="shared" si="344"/>
        <v>0.10852093023255813</v>
      </c>
      <c r="BD56" s="14">
        <f t="shared" si="344"/>
        <v>0.10852093023255813</v>
      </c>
      <c r="BE56" s="14">
        <f t="shared" si="344"/>
        <v>0.10852093023255821</v>
      </c>
      <c r="BF56" s="14">
        <f t="shared" si="344"/>
        <v>0.10852093023255821</v>
      </c>
      <c r="BG56" s="14">
        <f t="shared" si="344"/>
        <v>0.10852093023255821</v>
      </c>
      <c r="BH56" s="14">
        <f t="shared" si="344"/>
        <v>0.10852093023255821</v>
      </c>
      <c r="BI56" s="14">
        <f t="shared" si="344"/>
        <v>0.10852093023255821</v>
      </c>
      <c r="BJ56" s="14">
        <f t="shared" si="344"/>
        <v>0</v>
      </c>
      <c r="BK56" s="14">
        <f t="shared" si="344"/>
        <v>0</v>
      </c>
      <c r="BL56" s="14">
        <f t="shared" si="344"/>
        <v>0</v>
      </c>
      <c r="BM56" s="412"/>
      <c r="BN56" s="14">
        <f t="shared" ref="BN56:CN56" si="345">BN13/BN22</f>
        <v>0.12649936750316237</v>
      </c>
      <c r="BO56" s="14">
        <f t="shared" si="345"/>
        <v>0.12649936750316237</v>
      </c>
      <c r="BP56" s="14">
        <f t="shared" si="345"/>
        <v>0.12649936750316237</v>
      </c>
      <c r="BQ56" s="14">
        <f t="shared" si="345"/>
        <v>6.6400000000000001E-2</v>
      </c>
      <c r="BR56" s="14">
        <f t="shared" si="345"/>
        <v>6.6400000000000001E-2</v>
      </c>
      <c r="BS56" s="14">
        <f t="shared" si="345"/>
        <v>6.6400000000000001E-2</v>
      </c>
      <c r="BT56" s="14">
        <f t="shared" si="345"/>
        <v>6.6400000000000001E-2</v>
      </c>
      <c r="BU56" s="14">
        <f t="shared" si="345"/>
        <v>6.6400000000000001E-2</v>
      </c>
      <c r="BV56" s="14">
        <f t="shared" si="345"/>
        <v>6.6400000000000001E-2</v>
      </c>
      <c r="BW56" s="14">
        <f t="shared" si="345"/>
        <v>6.6400000000000001E-2</v>
      </c>
      <c r="BX56" s="14">
        <f t="shared" si="345"/>
        <v>6.6400000000000001E-2</v>
      </c>
      <c r="BY56" s="14">
        <f t="shared" si="345"/>
        <v>6.6400000000000001E-2</v>
      </c>
      <c r="BZ56" s="14">
        <f t="shared" si="345"/>
        <v>0.10852093023255814</v>
      </c>
      <c r="CA56" s="14">
        <f t="shared" si="345"/>
        <v>0.10852093023255814</v>
      </c>
      <c r="CB56" s="14">
        <f t="shared" si="345"/>
        <v>0.10852093023255814</v>
      </c>
      <c r="CC56" s="14">
        <f t="shared" si="345"/>
        <v>0.10852093023255814</v>
      </c>
      <c r="CD56" s="14">
        <f t="shared" si="345"/>
        <v>0.10852093023255814</v>
      </c>
      <c r="CE56" s="14">
        <f t="shared" si="345"/>
        <v>0.10852093023255814</v>
      </c>
      <c r="CF56" s="14">
        <f t="shared" si="345"/>
        <v>0.10852093023255814</v>
      </c>
      <c r="CG56" s="14">
        <f t="shared" si="345"/>
        <v>0.10852093023255814</v>
      </c>
      <c r="CH56" s="14">
        <f t="shared" si="345"/>
        <v>0.10852093023255814</v>
      </c>
      <c r="CI56" s="14">
        <f t="shared" si="345"/>
        <v>0.10851937984496124</v>
      </c>
      <c r="CJ56" s="14">
        <f t="shared" si="345"/>
        <v>0.10851937984496124</v>
      </c>
      <c r="CK56" s="14">
        <f t="shared" si="345"/>
        <v>0.10851937984496124</v>
      </c>
      <c r="CL56" s="14">
        <f t="shared" si="345"/>
        <v>0</v>
      </c>
      <c r="CM56" s="14">
        <f t="shared" si="345"/>
        <v>0</v>
      </c>
      <c r="CN56" s="14">
        <f t="shared" si="345"/>
        <v>0</v>
      </c>
      <c r="CO56" s="412"/>
      <c r="CP56" s="14">
        <f t="shared" ref="CP56:DP56" si="346">CP13/CP22</f>
        <v>0.13049934750326236</v>
      </c>
      <c r="CQ56" s="14">
        <f t="shared" si="346"/>
        <v>0.12749936250318736</v>
      </c>
      <c r="CR56" s="14">
        <f t="shared" si="346"/>
        <v>0.12649936750316237</v>
      </c>
      <c r="CS56" s="14">
        <f t="shared" si="346"/>
        <v>0.10338429727908524</v>
      </c>
      <c r="CT56" s="14">
        <f t="shared" si="346"/>
        <v>9.3110904197990618E-2</v>
      </c>
      <c r="CU56" s="14">
        <f t="shared" si="346"/>
        <v>8.7304195992702588E-2</v>
      </c>
      <c r="CV56" s="14">
        <f t="shared" si="346"/>
        <v>8.3571309183843992E-2</v>
      </c>
      <c r="CW56" s="14">
        <f t="shared" si="346"/>
        <v>8.0969598824728678E-2</v>
      </c>
      <c r="CX56" s="14">
        <f t="shared" si="346"/>
        <v>7.9052548365738551E-2</v>
      </c>
      <c r="CY56" s="14">
        <f t="shared" si="346"/>
        <v>7.7581323180164474E-2</v>
      </c>
      <c r="CZ56" s="14">
        <f t="shared" si="346"/>
        <v>7.6416602986164164E-2</v>
      </c>
      <c r="DA56" s="265">
        <f t="shared" si="346"/>
        <v>7.5471641153478361E-2</v>
      </c>
      <c r="DB56" s="14">
        <f t="shared" si="346"/>
        <v>0.10852093023255814</v>
      </c>
      <c r="DC56" s="14">
        <f t="shared" si="346"/>
        <v>0.10852093023255814</v>
      </c>
      <c r="DD56" s="14">
        <f t="shared" si="346"/>
        <v>0.10852093023255815</v>
      </c>
      <c r="DE56" s="14">
        <f t="shared" si="346"/>
        <v>0.10852093023255814</v>
      </c>
      <c r="DF56" s="14">
        <f t="shared" si="346"/>
        <v>0.10852093023255814</v>
      </c>
      <c r="DG56" s="14">
        <f t="shared" si="346"/>
        <v>0.10852093023255814</v>
      </c>
      <c r="DH56" s="14">
        <f t="shared" si="346"/>
        <v>0.10852093023255814</v>
      </c>
      <c r="DI56" s="14">
        <f t="shared" si="346"/>
        <v>0.10852093023255814</v>
      </c>
      <c r="DJ56" s="14">
        <f t="shared" si="346"/>
        <v>0.10852093023255815</v>
      </c>
      <c r="DK56" s="14">
        <f t="shared" si="346"/>
        <v>0.10852093023255815</v>
      </c>
      <c r="DL56" s="14">
        <f t="shared" si="346"/>
        <v>0.10852093023255817</v>
      </c>
      <c r="DM56" s="14">
        <f t="shared" si="346"/>
        <v>0.10852093023255817</v>
      </c>
      <c r="DN56" s="14">
        <f t="shared" si="346"/>
        <v>0</v>
      </c>
      <c r="DO56" s="14">
        <f t="shared" si="346"/>
        <v>0</v>
      </c>
      <c r="DP56" s="14">
        <f t="shared" si="346"/>
        <v>0</v>
      </c>
      <c r="DQ56" s="14"/>
      <c r="DR56" s="14"/>
      <c r="DS56" s="14"/>
      <c r="DT56" s="14"/>
      <c r="DU56" s="14"/>
      <c r="DV56" s="14"/>
      <c r="DW56" s="14"/>
      <c r="DX56" s="14"/>
      <c r="DY56" s="14"/>
      <c r="DZ56" s="14"/>
      <c r="EA56" s="14">
        <f>EA13/EA22</f>
        <v>7.5471641153478361E-2</v>
      </c>
      <c r="EB56" s="14">
        <f>EB13/EB22</f>
        <v>0.10852093023255817</v>
      </c>
      <c r="EC56" s="14"/>
      <c r="ED56" s="429"/>
      <c r="EE56" s="14">
        <f>EE13/EE22</f>
        <v>0</v>
      </c>
      <c r="EF56" s="14">
        <f>EF13/EF22</f>
        <v>0</v>
      </c>
      <c r="EG56" s="14">
        <f>EG13/EG22</f>
        <v>0.10768615384615388</v>
      </c>
      <c r="EK56" s="24"/>
      <c r="EL56" s="47"/>
      <c r="EM56" s="47"/>
      <c r="EN56" s="47"/>
    </row>
    <row r="57" spans="1:149">
      <c r="A57" s="6" t="s">
        <v>23</v>
      </c>
      <c r="B57" s="2" t="s">
        <v>27</v>
      </c>
      <c r="C57" s="3" t="s">
        <v>77</v>
      </c>
      <c r="E57" s="3" t="str">
        <f>C15</f>
        <v>BOnlHrs</v>
      </c>
      <c r="F57" s="4" t="s">
        <v>31</v>
      </c>
      <c r="G57" s="28" t="str">
        <f>C14</f>
        <v>BTotHrs</v>
      </c>
      <c r="H57" s="28"/>
      <c r="I57" s="28"/>
      <c r="J57" s="62">
        <f t="shared" ref="J57:AJ57" si="347">J15/J14</f>
        <v>0.05</v>
      </c>
      <c r="K57" s="62">
        <f t="shared" si="347"/>
        <v>0.05</v>
      </c>
      <c r="L57" s="62">
        <f t="shared" si="347"/>
        <v>0.05</v>
      </c>
      <c r="M57" s="62">
        <f t="shared" si="347"/>
        <v>0.05</v>
      </c>
      <c r="N57" s="62">
        <f t="shared" si="347"/>
        <v>0.05</v>
      </c>
      <c r="O57" s="62">
        <f t="shared" si="347"/>
        <v>0.05</v>
      </c>
      <c r="P57" s="62">
        <f t="shared" si="347"/>
        <v>0.05</v>
      </c>
      <c r="Q57" s="62">
        <f t="shared" si="347"/>
        <v>0.05</v>
      </c>
      <c r="R57" s="62">
        <f t="shared" si="347"/>
        <v>0.05</v>
      </c>
      <c r="S57" s="62">
        <f t="shared" si="347"/>
        <v>0.05</v>
      </c>
      <c r="T57" s="62">
        <f t="shared" si="347"/>
        <v>0.05</v>
      </c>
      <c r="U57" s="62">
        <f t="shared" si="347"/>
        <v>0.05</v>
      </c>
      <c r="V57" s="62">
        <f t="shared" si="347"/>
        <v>0.34965034965034963</v>
      </c>
      <c r="W57" s="62">
        <f t="shared" si="347"/>
        <v>0.34965034965034963</v>
      </c>
      <c r="X57" s="62">
        <f t="shared" si="347"/>
        <v>0.34965034965034963</v>
      </c>
      <c r="Y57" s="62">
        <f t="shared" si="347"/>
        <v>0.34965034965034963</v>
      </c>
      <c r="Z57" s="62">
        <f t="shared" si="347"/>
        <v>0.34965034965034963</v>
      </c>
      <c r="AA57" s="62">
        <f t="shared" si="347"/>
        <v>0.34965034965034963</v>
      </c>
      <c r="AB57" s="62">
        <f t="shared" si="347"/>
        <v>0.34965034965034963</v>
      </c>
      <c r="AC57" s="62">
        <f t="shared" si="347"/>
        <v>0.34965034965034963</v>
      </c>
      <c r="AD57" s="62">
        <f t="shared" si="347"/>
        <v>0.34965034965034963</v>
      </c>
      <c r="AE57" s="62">
        <f t="shared" si="347"/>
        <v>0.34965034965034963</v>
      </c>
      <c r="AF57" s="62">
        <f t="shared" si="347"/>
        <v>0.34965034965034963</v>
      </c>
      <c r="AG57" s="62">
        <f t="shared" si="347"/>
        <v>0.34965034965034963</v>
      </c>
      <c r="AH57" s="62">
        <f t="shared" si="347"/>
        <v>0</v>
      </c>
      <c r="AI57" s="62">
        <f t="shared" si="347"/>
        <v>0</v>
      </c>
      <c r="AJ57" s="62">
        <f t="shared" si="347"/>
        <v>0</v>
      </c>
      <c r="AK57" s="412"/>
      <c r="AL57" s="14">
        <f t="shared" ref="AL57:BL57" si="348">AL15/AL14</f>
        <v>0.05</v>
      </c>
      <c r="AM57" s="14">
        <f t="shared" si="348"/>
        <v>0.05</v>
      </c>
      <c r="AN57" s="14">
        <f t="shared" si="348"/>
        <v>0.05</v>
      </c>
      <c r="AO57" s="14">
        <f t="shared" si="348"/>
        <v>0.05</v>
      </c>
      <c r="AP57" s="14">
        <f t="shared" si="348"/>
        <v>0.05</v>
      </c>
      <c r="AQ57" s="14">
        <f t="shared" si="348"/>
        <v>0.05</v>
      </c>
      <c r="AR57" s="14">
        <f t="shared" si="348"/>
        <v>0.05</v>
      </c>
      <c r="AS57" s="14">
        <f t="shared" si="348"/>
        <v>0.05</v>
      </c>
      <c r="AT57" s="14">
        <f t="shared" si="348"/>
        <v>0.05</v>
      </c>
      <c r="AU57" s="14">
        <f t="shared" si="348"/>
        <v>0.05</v>
      </c>
      <c r="AV57" s="14">
        <f t="shared" si="348"/>
        <v>0.05</v>
      </c>
      <c r="AW57" s="14">
        <f t="shared" si="348"/>
        <v>0.05</v>
      </c>
      <c r="AX57" s="14">
        <f t="shared" si="348"/>
        <v>0.34965034965034963</v>
      </c>
      <c r="AY57" s="14">
        <f t="shared" si="348"/>
        <v>0.34965034965034963</v>
      </c>
      <c r="AZ57" s="14">
        <f t="shared" si="348"/>
        <v>0.34965034965034963</v>
      </c>
      <c r="BA57" s="14">
        <f t="shared" si="348"/>
        <v>0.34965034965034963</v>
      </c>
      <c r="BB57" s="14">
        <f t="shared" si="348"/>
        <v>0.34965034965034963</v>
      </c>
      <c r="BC57" s="14">
        <f t="shared" si="348"/>
        <v>0.34965034965034963</v>
      </c>
      <c r="BD57" s="14">
        <f t="shared" si="348"/>
        <v>0.34965034965034963</v>
      </c>
      <c r="BE57" s="14">
        <f t="shared" si="348"/>
        <v>0.34965034965034963</v>
      </c>
      <c r="BF57" s="14">
        <f t="shared" si="348"/>
        <v>0.34965034965034963</v>
      </c>
      <c r="BG57" s="14">
        <f t="shared" si="348"/>
        <v>0.34965034965034963</v>
      </c>
      <c r="BH57" s="14">
        <f t="shared" si="348"/>
        <v>0.34965034965034963</v>
      </c>
      <c r="BI57" s="14">
        <f t="shared" si="348"/>
        <v>0.34965034965034963</v>
      </c>
      <c r="BJ57" s="14">
        <f t="shared" si="348"/>
        <v>0</v>
      </c>
      <c r="BK57" s="14">
        <f t="shared" si="348"/>
        <v>0</v>
      </c>
      <c r="BL57" s="14">
        <f t="shared" si="348"/>
        <v>0</v>
      </c>
      <c r="BM57" s="412"/>
      <c r="BN57" s="14">
        <f t="shared" ref="BN57:CN57" si="349">BN15/BN14</f>
        <v>0.05</v>
      </c>
      <c r="BO57" s="14">
        <f t="shared" si="349"/>
        <v>0.05</v>
      </c>
      <c r="BP57" s="14">
        <f t="shared" si="349"/>
        <v>0.05</v>
      </c>
      <c r="BQ57" s="14">
        <f t="shared" si="349"/>
        <v>0.05</v>
      </c>
      <c r="BR57" s="14">
        <f t="shared" si="349"/>
        <v>0.05</v>
      </c>
      <c r="BS57" s="14">
        <f t="shared" si="349"/>
        <v>0.05</v>
      </c>
      <c r="BT57" s="14">
        <f t="shared" si="349"/>
        <v>0.05</v>
      </c>
      <c r="BU57" s="14">
        <f t="shared" si="349"/>
        <v>0.05</v>
      </c>
      <c r="BV57" s="14">
        <f t="shared" si="349"/>
        <v>0.05</v>
      </c>
      <c r="BW57" s="14">
        <f t="shared" si="349"/>
        <v>0.05</v>
      </c>
      <c r="BX57" s="14">
        <f t="shared" si="349"/>
        <v>0.05</v>
      </c>
      <c r="BY57" s="14">
        <f t="shared" si="349"/>
        <v>0.05</v>
      </c>
      <c r="BZ57" s="14">
        <f t="shared" si="349"/>
        <v>0.34965034965034963</v>
      </c>
      <c r="CA57" s="14">
        <f t="shared" si="349"/>
        <v>0.34965034965034963</v>
      </c>
      <c r="CB57" s="14">
        <f t="shared" si="349"/>
        <v>0.34965034965034963</v>
      </c>
      <c r="CC57" s="14">
        <f t="shared" si="349"/>
        <v>0.34965034965034963</v>
      </c>
      <c r="CD57" s="14">
        <f t="shared" si="349"/>
        <v>0.34965034965034963</v>
      </c>
      <c r="CE57" s="14">
        <f t="shared" si="349"/>
        <v>0.34965034965034963</v>
      </c>
      <c r="CF57" s="14">
        <f t="shared" si="349"/>
        <v>0.34965034965034963</v>
      </c>
      <c r="CG57" s="14">
        <f t="shared" si="349"/>
        <v>0.34965034965034963</v>
      </c>
      <c r="CH57" s="14">
        <f t="shared" si="349"/>
        <v>0.34965034965034963</v>
      </c>
      <c r="CI57" s="14">
        <f t="shared" si="349"/>
        <v>0.34965034965034963</v>
      </c>
      <c r="CJ57" s="14">
        <f t="shared" si="349"/>
        <v>0.34965034965034963</v>
      </c>
      <c r="CK57" s="14">
        <f t="shared" si="349"/>
        <v>0.34965034965034963</v>
      </c>
      <c r="CL57" s="14">
        <f t="shared" si="349"/>
        <v>0</v>
      </c>
      <c r="CM57" s="14">
        <f t="shared" si="349"/>
        <v>0</v>
      </c>
      <c r="CN57" s="14">
        <f t="shared" si="349"/>
        <v>0</v>
      </c>
      <c r="CO57" s="412"/>
      <c r="CP57" s="14">
        <f t="shared" ref="CP57:DP57" si="350">CP15/CP14</f>
        <v>0.05</v>
      </c>
      <c r="CQ57" s="14">
        <f t="shared" si="350"/>
        <v>0.05</v>
      </c>
      <c r="CR57" s="14">
        <f t="shared" si="350"/>
        <v>0.05</v>
      </c>
      <c r="CS57" s="14">
        <f t="shared" si="350"/>
        <v>0.05</v>
      </c>
      <c r="CT57" s="14">
        <f t="shared" si="350"/>
        <v>0.05</v>
      </c>
      <c r="CU57" s="14">
        <f t="shared" si="350"/>
        <v>0.05</v>
      </c>
      <c r="CV57" s="14">
        <f t="shared" si="350"/>
        <v>0.05</v>
      </c>
      <c r="CW57" s="14">
        <f t="shared" si="350"/>
        <v>0.05</v>
      </c>
      <c r="CX57" s="14">
        <f t="shared" si="350"/>
        <v>0.05</v>
      </c>
      <c r="CY57" s="14">
        <f t="shared" si="350"/>
        <v>0.05</v>
      </c>
      <c r="CZ57" s="14">
        <f t="shared" si="350"/>
        <v>0.05</v>
      </c>
      <c r="DA57" s="14">
        <f t="shared" si="350"/>
        <v>0.05</v>
      </c>
      <c r="DB57" s="14">
        <f t="shared" si="350"/>
        <v>0.34965034965034963</v>
      </c>
      <c r="DC57" s="14">
        <f t="shared" si="350"/>
        <v>0.34965034965034963</v>
      </c>
      <c r="DD57" s="14">
        <f t="shared" si="350"/>
        <v>0.34965034965034963</v>
      </c>
      <c r="DE57" s="14">
        <f t="shared" si="350"/>
        <v>0.34965034965034963</v>
      </c>
      <c r="DF57" s="14">
        <f t="shared" si="350"/>
        <v>0.34965034965034963</v>
      </c>
      <c r="DG57" s="14">
        <f t="shared" si="350"/>
        <v>0.34965034965034963</v>
      </c>
      <c r="DH57" s="14">
        <f t="shared" si="350"/>
        <v>0.34965034965034963</v>
      </c>
      <c r="DI57" s="14">
        <f t="shared" si="350"/>
        <v>0.34965034965034963</v>
      </c>
      <c r="DJ57" s="14">
        <f t="shared" si="350"/>
        <v>0.34965034965034963</v>
      </c>
      <c r="DK57" s="14">
        <f t="shared" si="350"/>
        <v>0.34965034965034963</v>
      </c>
      <c r="DL57" s="14">
        <f t="shared" si="350"/>
        <v>0.34965034965034963</v>
      </c>
      <c r="DM57" s="14">
        <f t="shared" si="350"/>
        <v>0.34965034965034963</v>
      </c>
      <c r="DN57" s="14">
        <f t="shared" si="350"/>
        <v>0</v>
      </c>
      <c r="DO57" s="14">
        <f t="shared" si="350"/>
        <v>0</v>
      </c>
      <c r="DP57" s="14">
        <f t="shared" si="350"/>
        <v>0</v>
      </c>
      <c r="DQ57" s="14"/>
      <c r="DR57" s="14"/>
      <c r="DS57" s="14"/>
      <c r="DT57" s="14"/>
      <c r="DU57" s="14"/>
      <c r="DV57" s="14"/>
      <c r="DW57" s="14"/>
      <c r="DX57" s="14"/>
      <c r="DY57" s="14"/>
      <c r="DZ57" s="14"/>
      <c r="EA57" s="14">
        <f>EA15/EA14</f>
        <v>0.05</v>
      </c>
      <c r="EB57" s="14">
        <f>EB15/EB14</f>
        <v>0.34965034965034963</v>
      </c>
      <c r="EC57" s="14"/>
      <c r="ED57" s="429"/>
      <c r="EE57" s="14">
        <f>EE15/EE14</f>
        <v>0</v>
      </c>
      <c r="EF57" s="14">
        <f>EF15/EF14</f>
        <v>0</v>
      </c>
      <c r="EG57" s="14">
        <f>EG15/EG14</f>
        <v>0.34615384615384615</v>
      </c>
      <c r="EK57" s="24"/>
      <c r="EL57" s="47"/>
      <c r="EM57" s="47"/>
      <c r="EN57" s="47"/>
    </row>
    <row r="58" spans="1:149">
      <c r="A58" s="6" t="s">
        <v>23</v>
      </c>
      <c r="B58" s="2" t="s">
        <v>28</v>
      </c>
      <c r="C58" s="3" t="s">
        <v>78</v>
      </c>
      <c r="E58" s="3" t="str">
        <f>C20</f>
        <v>BColCash</v>
      </c>
      <c r="F58" s="4" t="s">
        <v>31</v>
      </c>
      <c r="G58" s="28" t="str">
        <f>C21</f>
        <v>BFSFunds</v>
      </c>
      <c r="H58" s="28"/>
      <c r="I58" s="28"/>
      <c r="J58" s="62" t="str">
        <f t="shared" ref="J58:AJ58" si="351">IF(J21&lt;&gt;0,J20/J21,"")</f>
        <v/>
      </c>
      <c r="K58" s="62" t="str">
        <f t="shared" si="351"/>
        <v/>
      </c>
      <c r="L58" s="62">
        <f t="shared" si="351"/>
        <v>0.56064930431680338</v>
      </c>
      <c r="M58" s="62">
        <f t="shared" si="351"/>
        <v>0.56064930431680338</v>
      </c>
      <c r="N58" s="62">
        <f t="shared" si="351"/>
        <v>0.56064930431680338</v>
      </c>
      <c r="O58" s="62">
        <f t="shared" si="351"/>
        <v>0.56064930431680338</v>
      </c>
      <c r="P58" s="62">
        <f t="shared" si="351"/>
        <v>0.56064930431680338</v>
      </c>
      <c r="Q58" s="62">
        <f t="shared" si="351"/>
        <v>0.56064930431680338</v>
      </c>
      <c r="R58" s="62">
        <f t="shared" si="351"/>
        <v>0.56064930431680338</v>
      </c>
      <c r="S58" s="62">
        <f t="shared" si="351"/>
        <v>0.56064930431680338</v>
      </c>
      <c r="T58" s="62">
        <f t="shared" si="351"/>
        <v>0.56064930431680338</v>
      </c>
      <c r="U58" s="62">
        <f t="shared" si="351"/>
        <v>0.56069570387988699</v>
      </c>
      <c r="V58" s="62" t="str">
        <f t="shared" si="351"/>
        <v/>
      </c>
      <c r="W58" s="62" t="str">
        <f t="shared" si="351"/>
        <v/>
      </c>
      <c r="X58" s="62" t="str">
        <f t="shared" si="351"/>
        <v/>
      </c>
      <c r="Y58" s="62" t="str">
        <f t="shared" si="351"/>
        <v/>
      </c>
      <c r="Z58" s="62" t="str">
        <f t="shared" si="351"/>
        <v/>
      </c>
      <c r="AA58" s="62">
        <f t="shared" si="351"/>
        <v>0.50483316977428849</v>
      </c>
      <c r="AB58" s="62">
        <f t="shared" si="351"/>
        <v>0.50483316977428849</v>
      </c>
      <c r="AC58" s="62">
        <f t="shared" si="351"/>
        <v>0.50483316977428849</v>
      </c>
      <c r="AD58" s="62">
        <f t="shared" si="351"/>
        <v>0.50483316977428849</v>
      </c>
      <c r="AE58" s="62">
        <f t="shared" si="351"/>
        <v>0.50483316977428849</v>
      </c>
      <c r="AF58" s="62">
        <f t="shared" si="351"/>
        <v>0.50483316977428849</v>
      </c>
      <c r="AG58" s="62">
        <f t="shared" si="351"/>
        <v>0.5048209028459274</v>
      </c>
      <c r="AH58" s="62" t="str">
        <f t="shared" si="351"/>
        <v/>
      </c>
      <c r="AI58" s="62" t="str">
        <f t="shared" si="351"/>
        <v/>
      </c>
      <c r="AJ58" s="62" t="str">
        <f t="shared" si="351"/>
        <v/>
      </c>
      <c r="AK58" s="412"/>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412"/>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412"/>
      <c r="CP58" s="14" t="str">
        <f t="shared" ref="CP58:DP58" si="352">IF(CP21&lt;&gt;0,CP20/CP21,"")</f>
        <v/>
      </c>
      <c r="CQ58" s="14" t="str">
        <f t="shared" si="352"/>
        <v/>
      </c>
      <c r="CR58" s="14">
        <f t="shared" si="352"/>
        <v>0.56064930431680338</v>
      </c>
      <c r="CS58" s="14">
        <f t="shared" si="352"/>
        <v>0.56064930431680338</v>
      </c>
      <c r="CT58" s="14">
        <f t="shared" si="352"/>
        <v>0.56064930431680338</v>
      </c>
      <c r="CU58" s="14">
        <f t="shared" si="352"/>
        <v>0.56064930431680338</v>
      </c>
      <c r="CV58" s="14">
        <f t="shared" si="352"/>
        <v>0.56064930431680338</v>
      </c>
      <c r="CW58" s="14">
        <f t="shared" si="352"/>
        <v>0.56064930431680338</v>
      </c>
      <c r="CX58" s="14">
        <f t="shared" si="352"/>
        <v>0.56064930431680338</v>
      </c>
      <c r="CY58" s="14">
        <f t="shared" si="352"/>
        <v>0.56064930431680338</v>
      </c>
      <c r="CZ58" s="14">
        <f t="shared" si="352"/>
        <v>0.56064930431680338</v>
      </c>
      <c r="DA58" s="14">
        <f t="shared" si="352"/>
        <v>0.56069570387988699</v>
      </c>
      <c r="DB58" s="14" t="str">
        <f t="shared" si="352"/>
        <v/>
      </c>
      <c r="DC58" s="14" t="str">
        <f t="shared" si="352"/>
        <v/>
      </c>
      <c r="DD58" s="14" t="str">
        <f t="shared" si="352"/>
        <v/>
      </c>
      <c r="DE58" s="14" t="str">
        <f t="shared" si="352"/>
        <v/>
      </c>
      <c r="DF58" s="14" t="str">
        <f t="shared" si="352"/>
        <v/>
      </c>
      <c r="DG58" s="14">
        <f t="shared" si="352"/>
        <v>0.50483316977428849</v>
      </c>
      <c r="DH58" s="14">
        <f t="shared" si="352"/>
        <v>0.50483316977428849</v>
      </c>
      <c r="DI58" s="14">
        <f t="shared" si="352"/>
        <v>0.50483316977428849</v>
      </c>
      <c r="DJ58" s="14">
        <f t="shared" si="352"/>
        <v>0.50483316977428849</v>
      </c>
      <c r="DK58" s="14">
        <f t="shared" si="352"/>
        <v>0.50483316977428849</v>
      </c>
      <c r="DL58" s="14">
        <f t="shared" si="352"/>
        <v>0.50483316977428849</v>
      </c>
      <c r="DM58" s="14">
        <f t="shared" si="352"/>
        <v>0.5048209028459274</v>
      </c>
      <c r="DN58" s="14" t="str">
        <f t="shared" si="352"/>
        <v/>
      </c>
      <c r="DO58" s="14" t="str">
        <f t="shared" si="352"/>
        <v/>
      </c>
      <c r="DP58" s="14" t="str">
        <f t="shared" si="352"/>
        <v/>
      </c>
      <c r="DQ58" s="14"/>
      <c r="DR58" s="14"/>
      <c r="DS58" s="14"/>
      <c r="DT58" s="14"/>
      <c r="DU58" s="14"/>
      <c r="DV58" s="14"/>
      <c r="DW58" s="14"/>
      <c r="DX58" s="14"/>
      <c r="DY58" s="14"/>
      <c r="DZ58" s="14"/>
      <c r="EA58" s="14">
        <f>IF(EA21&lt;&gt;0,EA20/EA21,"")</f>
        <v>0.56069570387988699</v>
      </c>
      <c r="EB58" s="14">
        <f>IF(EB21&lt;&gt;0,EB20/EB21,"")</f>
        <v>0.5048209028459274</v>
      </c>
      <c r="EC58" s="14"/>
      <c r="ED58" s="429"/>
      <c r="EE58" s="14"/>
      <c r="EF58" s="14"/>
      <c r="EG58" s="14">
        <f>IF(EG21&lt;&gt;0,EG20/EG21,"")</f>
        <v>0.5048209028459274</v>
      </c>
      <c r="EK58" s="24"/>
      <c r="EL58" s="65"/>
      <c r="EM58" s="65"/>
      <c r="EN58" s="47"/>
    </row>
    <row r="59" spans="1:149">
      <c r="A59" s="6" t="s">
        <v>29</v>
      </c>
      <c r="G59" s="28"/>
      <c r="H59" s="28"/>
      <c r="I59" s="28"/>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ED59" s="429"/>
      <c r="EE59" s="23"/>
      <c r="EF59" s="23"/>
      <c r="EG59" s="23"/>
      <c r="EH59" s="25"/>
      <c r="EI59" s="25"/>
      <c r="EJ59" s="25"/>
      <c r="EK59" s="23"/>
    </row>
    <row r="60" spans="1:149">
      <c r="A60" s="6" t="s">
        <v>23</v>
      </c>
      <c r="B60" s="2" t="s">
        <v>24</v>
      </c>
      <c r="C60" s="3" t="s">
        <v>83</v>
      </c>
      <c r="E60" s="4" t="str">
        <f>C33</f>
        <v>AInBusNew</v>
      </c>
      <c r="F60" s="4" t="s">
        <v>31</v>
      </c>
      <c r="G60" s="28" t="str">
        <f>C32</f>
        <v>AAllNew</v>
      </c>
      <c r="H60" s="28"/>
      <c r="I60" s="28"/>
      <c r="J60" s="62">
        <f t="shared" ref="J60:AJ60" si="353">IF(J32&lt;&gt;0,J33/J32,"")</f>
        <v>0.33333333333333331</v>
      </c>
      <c r="K60" s="62">
        <f t="shared" si="353"/>
        <v>0.5714285714285714</v>
      </c>
      <c r="L60" s="62">
        <f t="shared" si="353"/>
        <v>0.5</v>
      </c>
      <c r="M60" s="62">
        <f t="shared" si="353"/>
        <v>0.5</v>
      </c>
      <c r="N60" s="62">
        <f t="shared" si="353"/>
        <v>0.41666666666666669</v>
      </c>
      <c r="O60" s="62">
        <f t="shared" si="353"/>
        <v>0.4</v>
      </c>
      <c r="P60" s="62">
        <f t="shared" si="353"/>
        <v>0.375</v>
      </c>
      <c r="Q60" s="62">
        <f t="shared" si="353"/>
        <v>0.4</v>
      </c>
      <c r="R60" s="62">
        <f t="shared" si="353"/>
        <v>0.46153846153846156</v>
      </c>
      <c r="S60" s="62">
        <f t="shared" si="353"/>
        <v>0.48148148148148145</v>
      </c>
      <c r="T60" s="62">
        <f t="shared" si="353"/>
        <v>0.4642857142857143</v>
      </c>
      <c r="U60" s="62">
        <f t="shared" si="353"/>
        <v>0.54054054054054057</v>
      </c>
      <c r="V60" s="62">
        <f t="shared" si="353"/>
        <v>0.2</v>
      </c>
      <c r="W60" s="62">
        <f t="shared" si="353"/>
        <v>0.25</v>
      </c>
      <c r="X60" s="62">
        <f t="shared" si="353"/>
        <v>0.2</v>
      </c>
      <c r="Y60" s="62">
        <f t="shared" si="353"/>
        <v>0.15384615384615385</v>
      </c>
      <c r="Z60" s="62">
        <f t="shared" si="353"/>
        <v>0.13333333333333333</v>
      </c>
      <c r="AA60" s="62">
        <f t="shared" si="353"/>
        <v>0.13333333333333333</v>
      </c>
      <c r="AB60" s="62">
        <f t="shared" si="353"/>
        <v>0.22222222222222221</v>
      </c>
      <c r="AC60" s="62">
        <f t="shared" si="353"/>
        <v>0.2857142857142857</v>
      </c>
      <c r="AD60" s="62">
        <f t="shared" si="353"/>
        <v>0.34615384615384615</v>
      </c>
      <c r="AE60" s="62">
        <f t="shared" si="353"/>
        <v>0.34615384615384615</v>
      </c>
      <c r="AF60" s="62">
        <f t="shared" si="353"/>
        <v>0.35714285714285715</v>
      </c>
      <c r="AG60" s="62">
        <f t="shared" si="353"/>
        <v>0.34482758620689657</v>
      </c>
      <c r="AH60" s="62">
        <f t="shared" si="353"/>
        <v>1</v>
      </c>
      <c r="AI60" s="62">
        <f t="shared" si="353"/>
        <v>0.2</v>
      </c>
      <c r="AJ60" s="62" t="str">
        <f t="shared" si="353"/>
        <v/>
      </c>
      <c r="AK60" s="412"/>
      <c r="AL60" s="14">
        <f t="shared" ref="AL60:BL60" si="354">IF(AL32&lt;&gt;0,AL33/AL32,"")</f>
        <v>0.33333333333333331</v>
      </c>
      <c r="AM60" s="14">
        <f t="shared" si="354"/>
        <v>0.75</v>
      </c>
      <c r="AN60" s="14">
        <f t="shared" si="354"/>
        <v>0</v>
      </c>
      <c r="AO60" s="14">
        <f t="shared" si="354"/>
        <v>0.5</v>
      </c>
      <c r="AP60" s="14">
        <f t="shared" si="354"/>
        <v>0</v>
      </c>
      <c r="AQ60" s="14">
        <f t="shared" si="354"/>
        <v>0.33333333333333331</v>
      </c>
      <c r="AR60" s="14">
        <f t="shared" si="354"/>
        <v>0</v>
      </c>
      <c r="AS60" s="14">
        <f t="shared" si="354"/>
        <v>0.5</v>
      </c>
      <c r="AT60" s="14">
        <f t="shared" si="354"/>
        <v>0.66666666666666663</v>
      </c>
      <c r="AU60" s="14">
        <f t="shared" si="354"/>
        <v>1</v>
      </c>
      <c r="AV60" s="14">
        <f t="shared" si="354"/>
        <v>0</v>
      </c>
      <c r="AW60" s="14">
        <f t="shared" si="354"/>
        <v>0.77777777777777779</v>
      </c>
      <c r="AX60" s="14">
        <f t="shared" si="354"/>
        <v>0.2</v>
      </c>
      <c r="AY60" s="14">
        <f t="shared" si="354"/>
        <v>0.33333333333333331</v>
      </c>
      <c r="AZ60" s="14">
        <f t="shared" si="354"/>
        <v>0</v>
      </c>
      <c r="BA60" s="14">
        <f t="shared" si="354"/>
        <v>0</v>
      </c>
      <c r="BB60" s="14">
        <f t="shared" si="354"/>
        <v>0</v>
      </c>
      <c r="BC60" s="14" t="str">
        <f t="shared" si="354"/>
        <v/>
      </c>
      <c r="BD60" s="14">
        <f t="shared" si="354"/>
        <v>0.66666666666666663</v>
      </c>
      <c r="BE60" s="14">
        <f t="shared" si="354"/>
        <v>0.66666666666666663</v>
      </c>
      <c r="BF60" s="14">
        <f t="shared" si="354"/>
        <v>0.6</v>
      </c>
      <c r="BG60" s="14" t="str">
        <f t="shared" si="354"/>
        <v/>
      </c>
      <c r="BH60" s="14">
        <f t="shared" si="354"/>
        <v>0.5</v>
      </c>
      <c r="BI60" s="14">
        <f t="shared" si="354"/>
        <v>0</v>
      </c>
      <c r="BJ60" s="14">
        <f t="shared" si="354"/>
        <v>1</v>
      </c>
      <c r="BK60" s="14">
        <f t="shared" si="354"/>
        <v>0</v>
      </c>
      <c r="BL60" s="14" t="str">
        <f t="shared" si="354"/>
        <v/>
      </c>
      <c r="BM60" s="412"/>
      <c r="BN60" s="14">
        <f t="shared" ref="BN60:CN60" si="355">IF(BN32&lt;&gt;0,BN33/BN32,"")</f>
        <v>0.5</v>
      </c>
      <c r="BO60" s="14">
        <f t="shared" si="355"/>
        <v>0.5</v>
      </c>
      <c r="BP60" s="14">
        <f t="shared" si="355"/>
        <v>0.5</v>
      </c>
      <c r="BQ60" s="14">
        <f t="shared" si="355"/>
        <v>0.2857142857142857</v>
      </c>
      <c r="BR60" s="14">
        <f t="shared" si="355"/>
        <v>0.2857142857142857</v>
      </c>
      <c r="BS60" s="14">
        <f t="shared" si="355"/>
        <v>0.2857142857142857</v>
      </c>
      <c r="BT60" s="14">
        <f t="shared" si="355"/>
        <v>0.54545454545454541</v>
      </c>
      <c r="BU60" s="14">
        <f t="shared" si="355"/>
        <v>0.54545454545454541</v>
      </c>
      <c r="BV60" s="14">
        <f t="shared" si="355"/>
        <v>0.54545454545454541</v>
      </c>
      <c r="BW60" s="14">
        <f t="shared" si="355"/>
        <v>0.72727272727272729</v>
      </c>
      <c r="BX60" s="14">
        <f t="shared" si="355"/>
        <v>0.72727272727272729</v>
      </c>
      <c r="BY60" s="14">
        <f t="shared" si="355"/>
        <v>0.72727272727272729</v>
      </c>
      <c r="BZ60" s="14">
        <f t="shared" si="355"/>
        <v>0.2</v>
      </c>
      <c r="CA60" s="14">
        <f t="shared" si="355"/>
        <v>0.2</v>
      </c>
      <c r="CB60" s="14">
        <f t="shared" si="355"/>
        <v>0.2</v>
      </c>
      <c r="CC60" s="14">
        <f t="shared" si="355"/>
        <v>0</v>
      </c>
      <c r="CD60" s="14">
        <f t="shared" si="355"/>
        <v>0</v>
      </c>
      <c r="CE60" s="14">
        <f t="shared" si="355"/>
        <v>0</v>
      </c>
      <c r="CF60" s="14">
        <f t="shared" si="355"/>
        <v>0.63636363636363635</v>
      </c>
      <c r="CG60" s="14">
        <f t="shared" si="355"/>
        <v>0.63636363636363635</v>
      </c>
      <c r="CH60" s="14">
        <f t="shared" si="355"/>
        <v>0.63636363636363635</v>
      </c>
      <c r="CI60" s="14">
        <f t="shared" si="355"/>
        <v>0.33333333333333331</v>
      </c>
      <c r="CJ60" s="14">
        <f t="shared" si="355"/>
        <v>0.33333333333333331</v>
      </c>
      <c r="CK60" s="14">
        <f t="shared" si="355"/>
        <v>0.33333333333333331</v>
      </c>
      <c r="CL60" s="14">
        <f t="shared" si="355"/>
        <v>0.2</v>
      </c>
      <c r="CM60" s="14">
        <f t="shared" si="355"/>
        <v>0.2</v>
      </c>
      <c r="CN60" s="14">
        <f t="shared" si="355"/>
        <v>0.2</v>
      </c>
      <c r="CO60" s="412"/>
      <c r="CP60" s="14">
        <f t="shared" ref="CP60:DP60" si="356">IF(CP32&lt;&gt;0,CP33/CP32,"")</f>
        <v>0.33333333333333331</v>
      </c>
      <c r="CQ60" s="14">
        <f t="shared" si="356"/>
        <v>0.5714285714285714</v>
      </c>
      <c r="CR60" s="14">
        <f t="shared" si="356"/>
        <v>0.5</v>
      </c>
      <c r="CS60" s="14">
        <f t="shared" si="356"/>
        <v>0.5</v>
      </c>
      <c r="CT60" s="14">
        <f t="shared" si="356"/>
        <v>0.41666666666666669</v>
      </c>
      <c r="CU60" s="14">
        <f t="shared" si="356"/>
        <v>0.4</v>
      </c>
      <c r="CV60" s="14">
        <f t="shared" si="356"/>
        <v>0.375</v>
      </c>
      <c r="CW60" s="14">
        <f t="shared" si="356"/>
        <v>0.4</v>
      </c>
      <c r="CX60" s="14">
        <f t="shared" si="356"/>
        <v>0.46153846153846156</v>
      </c>
      <c r="CY60" s="14">
        <f t="shared" si="356"/>
        <v>0.48148148148148145</v>
      </c>
      <c r="CZ60" s="14">
        <f t="shared" si="356"/>
        <v>0.4642857142857143</v>
      </c>
      <c r="DA60" s="14">
        <f t="shared" si="356"/>
        <v>0.54054054054054057</v>
      </c>
      <c r="DB60" s="14">
        <f t="shared" si="356"/>
        <v>0.2</v>
      </c>
      <c r="DC60" s="14">
        <f t="shared" si="356"/>
        <v>0.25</v>
      </c>
      <c r="DD60" s="14">
        <f t="shared" si="356"/>
        <v>0.2</v>
      </c>
      <c r="DE60" s="14">
        <f t="shared" si="356"/>
        <v>0.15384615384615385</v>
      </c>
      <c r="DF60" s="14">
        <f t="shared" si="356"/>
        <v>0.13333333333333333</v>
      </c>
      <c r="DG60" s="14">
        <f t="shared" si="356"/>
        <v>0.13333333333333333</v>
      </c>
      <c r="DH60" s="14">
        <f t="shared" si="356"/>
        <v>0.22222222222222221</v>
      </c>
      <c r="DI60" s="14">
        <f t="shared" si="356"/>
        <v>0.2857142857142857</v>
      </c>
      <c r="DJ60" s="14">
        <f t="shared" si="356"/>
        <v>0.34615384615384615</v>
      </c>
      <c r="DK60" s="14">
        <f t="shared" si="356"/>
        <v>0.34615384615384615</v>
      </c>
      <c r="DL60" s="14">
        <f t="shared" si="356"/>
        <v>0.35714285714285715</v>
      </c>
      <c r="DM60" s="14">
        <f t="shared" si="356"/>
        <v>0.34482758620689657</v>
      </c>
      <c r="DN60" s="14">
        <f t="shared" si="356"/>
        <v>1</v>
      </c>
      <c r="DO60" s="14">
        <f t="shared" si="356"/>
        <v>0.2</v>
      </c>
      <c r="DP60" s="14" t="str">
        <f t="shared" si="356"/>
        <v/>
      </c>
      <c r="DQ60" s="14"/>
      <c r="DR60" s="14"/>
      <c r="DS60" s="14"/>
      <c r="DT60" s="14"/>
      <c r="DU60" s="14"/>
      <c r="DV60" s="14"/>
      <c r="DW60" s="14"/>
      <c r="DX60" s="14"/>
      <c r="DY60" s="14"/>
      <c r="ED60" s="429"/>
      <c r="EE60" s="23"/>
      <c r="EF60" s="23"/>
      <c r="EG60" s="23"/>
      <c r="EH60" s="14">
        <f>IF(EH32&lt;&gt;0,EH33/EH32,"0%")</f>
        <v>0</v>
      </c>
      <c r="EI60" s="14">
        <f>IF(EI32&lt;&gt;0,EI33/EI32,"0%")</f>
        <v>0.2</v>
      </c>
      <c r="EJ60" s="14">
        <f>IF(EJ32&lt;&gt;0,EJ33/EJ32,"0%")</f>
        <v>0.2</v>
      </c>
      <c r="EK60" s="24"/>
      <c r="EL60" s="47">
        <f t="shared" ref="EL60:EN64" si="357">+EH60-EE53</f>
        <v>-0.1</v>
      </c>
      <c r="EM60" s="47">
        <f t="shared" si="357"/>
        <v>0.1</v>
      </c>
      <c r="EN60" s="47">
        <f t="shared" si="357"/>
        <v>0.1</v>
      </c>
      <c r="EO60" s="46" t="str">
        <f>IF(EH60&lt;0,,IF(EH60&gt;EE53,"È",IF(EH60=EE53,"Æ","Ç")))</f>
        <v>Ç</v>
      </c>
      <c r="EP60" s="46" t="str">
        <f>IF(EI60&lt;0,,IF(EI60&gt;EF53,"È",IF(EI60=EF53,"Æ","Ç")))</f>
        <v>È</v>
      </c>
      <c r="EQ60" s="2">
        <f t="shared" ref="EQ60:ES64" si="358">IF(EH60/EE53&gt;=0.9,1,IF(EH60/EE53&lt;0.75,3,2))</f>
        <v>3</v>
      </c>
      <c r="ER60" s="2">
        <f t="shared" si="358"/>
        <v>1</v>
      </c>
      <c r="ES60" s="2">
        <f t="shared" si="358"/>
        <v>1</v>
      </c>
    </row>
    <row r="61" spans="1:149">
      <c r="A61" s="6" t="s">
        <v>23</v>
      </c>
      <c r="B61" s="2" t="s">
        <v>25</v>
      </c>
      <c r="C61" s="3" t="s">
        <v>79</v>
      </c>
      <c r="E61" s="4" t="str">
        <f>C48</f>
        <v>ASEE</v>
      </c>
      <c r="F61" s="4" t="s">
        <v>31</v>
      </c>
      <c r="G61" s="28" t="str">
        <f>C47</f>
        <v>ASUniq</v>
      </c>
      <c r="H61" s="28"/>
      <c r="I61" s="28"/>
      <c r="J61" s="62">
        <f>IF(J47&lt;&gt;0,J48/J47,"")</f>
        <v>0.8666666666666667</v>
      </c>
      <c r="K61" s="62">
        <f>IF(K47&lt;&gt;0,K48/K47,"")</f>
        <v>0.81481481481481477</v>
      </c>
      <c r="L61" s="62">
        <f>IF(L47&lt;&gt;0,L48/L47,"")</f>
        <v>0.9</v>
      </c>
      <c r="M61" s="62">
        <f>IF(M47&lt;&gt;0,M48/M47,"")</f>
        <v>0.5</v>
      </c>
      <c r="N61" s="62">
        <f>IF(N47&lt;&gt;0,N48/N47,"")</f>
        <v>0.66666666666666663</v>
      </c>
      <c r="O61" s="62">
        <f>IF(O47&lt;&gt;"",O48/O47,"")</f>
        <v>0</v>
      </c>
      <c r="P61" s="62">
        <f t="shared" ref="P61:AJ61" si="359">IF(P47&lt;&gt;"",P48/P47,"")</f>
        <v>0.5</v>
      </c>
      <c r="Q61" s="62">
        <f t="shared" si="359"/>
        <v>0.42857142857142855</v>
      </c>
      <c r="R61" s="62">
        <f t="shared" si="359"/>
        <v>0.5</v>
      </c>
      <c r="S61" s="62">
        <f t="shared" si="359"/>
        <v>3</v>
      </c>
      <c r="T61" s="62">
        <f t="shared" si="359"/>
        <v>0</v>
      </c>
      <c r="U61" s="62">
        <f t="shared" si="359"/>
        <v>0.88888888888888884</v>
      </c>
      <c r="V61" s="62">
        <f t="shared" si="359"/>
        <v>0.84615384615384615</v>
      </c>
      <c r="W61" s="62">
        <f t="shared" si="359"/>
        <v>0.98648648648648651</v>
      </c>
      <c r="X61" s="62">
        <f t="shared" si="359"/>
        <v>0.6</v>
      </c>
      <c r="Y61" s="62">
        <f t="shared" si="359"/>
        <v>0.6</v>
      </c>
      <c r="Z61" s="62">
        <f t="shared" si="359"/>
        <v>0.8571428571428571</v>
      </c>
      <c r="AA61" s="62" t="e">
        <f t="shared" si="359"/>
        <v>#DIV/0!</v>
      </c>
      <c r="AB61" s="62">
        <f t="shared" si="359"/>
        <v>0.25</v>
      </c>
      <c r="AC61" s="62">
        <f t="shared" si="359"/>
        <v>0.33333333333333331</v>
      </c>
      <c r="AD61" s="62">
        <f t="shared" si="359"/>
        <v>0.2</v>
      </c>
      <c r="AE61" s="62">
        <f t="shared" si="359"/>
        <v>1.5</v>
      </c>
      <c r="AF61" s="62">
        <f t="shared" si="359"/>
        <v>1</v>
      </c>
      <c r="AG61" s="62">
        <f t="shared" si="359"/>
        <v>1</v>
      </c>
      <c r="AH61" s="62">
        <f t="shared" si="359"/>
        <v>0.88888888888888884</v>
      </c>
      <c r="AI61" s="62">
        <f t="shared" si="359"/>
        <v>0.93103448275862066</v>
      </c>
      <c r="AJ61" s="62" t="str">
        <f t="shared" si="359"/>
        <v/>
      </c>
      <c r="AK61" s="412"/>
      <c r="AL61" s="14">
        <f t="shared" ref="AL61:BL61" si="360">IF(AL47&lt;&gt;0,AL48/AL47,"")</f>
        <v>0.8666666666666667</v>
      </c>
      <c r="AM61" s="14">
        <f t="shared" si="360"/>
        <v>0.81481481481481477</v>
      </c>
      <c r="AN61" s="14">
        <f t="shared" si="360"/>
        <v>0.9</v>
      </c>
      <c r="AO61" s="14">
        <f t="shared" si="360"/>
        <v>0.5</v>
      </c>
      <c r="AP61" s="14">
        <f t="shared" si="360"/>
        <v>0.66666666666666663</v>
      </c>
      <c r="AQ61" s="14">
        <f t="shared" si="360"/>
        <v>0</v>
      </c>
      <c r="AR61" s="14">
        <f t="shared" si="360"/>
        <v>0.5</v>
      </c>
      <c r="AS61" s="14">
        <f t="shared" si="360"/>
        <v>0.42857142857142855</v>
      </c>
      <c r="AT61" s="14">
        <f t="shared" si="360"/>
        <v>0.5</v>
      </c>
      <c r="AU61" s="14">
        <f t="shared" si="360"/>
        <v>3</v>
      </c>
      <c r="AV61" s="14">
        <f t="shared" si="360"/>
        <v>0</v>
      </c>
      <c r="AW61" s="14">
        <f t="shared" si="360"/>
        <v>0.88888888888888884</v>
      </c>
      <c r="AX61" s="14">
        <f t="shared" si="360"/>
        <v>0.84615384615384615</v>
      </c>
      <c r="AY61" s="14">
        <f t="shared" si="360"/>
        <v>0.98648648648648651</v>
      </c>
      <c r="AZ61" s="14">
        <f t="shared" si="360"/>
        <v>0.6</v>
      </c>
      <c r="BA61" s="14">
        <f t="shared" si="360"/>
        <v>0.6</v>
      </c>
      <c r="BB61" s="14">
        <f t="shared" si="360"/>
        <v>0.8571428571428571</v>
      </c>
      <c r="BC61" s="14" t="str">
        <f t="shared" si="360"/>
        <v/>
      </c>
      <c r="BD61" s="14">
        <f t="shared" si="360"/>
        <v>0.25</v>
      </c>
      <c r="BE61" s="14">
        <f t="shared" si="360"/>
        <v>0.33333333333333331</v>
      </c>
      <c r="BF61" s="14">
        <f t="shared" si="360"/>
        <v>0.2</v>
      </c>
      <c r="BG61" s="14">
        <f t="shared" si="360"/>
        <v>1.5</v>
      </c>
      <c r="BH61" s="14">
        <f t="shared" si="360"/>
        <v>1</v>
      </c>
      <c r="BI61" s="14">
        <f t="shared" si="360"/>
        <v>1</v>
      </c>
      <c r="BJ61" s="14">
        <f t="shared" si="360"/>
        <v>0.88888888888888884</v>
      </c>
      <c r="BK61" s="14">
        <f t="shared" si="360"/>
        <v>0.93103448275862066</v>
      </c>
      <c r="BL61" s="14" t="e">
        <f t="shared" si="360"/>
        <v>#VALUE!</v>
      </c>
      <c r="BM61" s="412"/>
      <c r="BN61" s="14">
        <f t="shared" ref="BN61:CN61" si="361">IF(BN47&lt;&gt;0,BN48/BN47,"")</f>
        <v>0.8666666666666667</v>
      </c>
      <c r="BO61" s="14">
        <f t="shared" si="361"/>
        <v>0.8529411764705882</v>
      </c>
      <c r="BP61" s="14">
        <f t="shared" si="361"/>
        <v>0.8571428571428571</v>
      </c>
      <c r="BQ61" s="14">
        <f t="shared" si="361"/>
        <v>0.5</v>
      </c>
      <c r="BR61" s="14">
        <f t="shared" si="361"/>
        <v>0.6</v>
      </c>
      <c r="BS61" s="14">
        <f t="shared" si="361"/>
        <v>0.375</v>
      </c>
      <c r="BT61" s="14">
        <f t="shared" si="361"/>
        <v>0.5</v>
      </c>
      <c r="BU61" s="14">
        <f t="shared" si="361"/>
        <v>0.44444444444444442</v>
      </c>
      <c r="BV61" s="14">
        <f t="shared" si="361"/>
        <v>0.46666666666666667</v>
      </c>
      <c r="BW61" s="14">
        <f t="shared" si="361"/>
        <v>3</v>
      </c>
      <c r="BX61" s="14">
        <f t="shared" si="361"/>
        <v>1.5</v>
      </c>
      <c r="BY61" s="14">
        <f t="shared" si="361"/>
        <v>1</v>
      </c>
      <c r="BZ61" s="14">
        <f t="shared" si="361"/>
        <v>0.84615384615384615</v>
      </c>
      <c r="CA61" s="14">
        <f t="shared" si="361"/>
        <v>0.96551724137931039</v>
      </c>
      <c r="CB61" s="14">
        <f t="shared" si="361"/>
        <v>0.92783505154639179</v>
      </c>
      <c r="CC61" s="14">
        <f t="shared" si="361"/>
        <v>0.6</v>
      </c>
      <c r="CD61" s="14">
        <f t="shared" si="361"/>
        <v>0.75</v>
      </c>
      <c r="CE61" s="14">
        <f t="shared" si="361"/>
        <v>0.91666666666666663</v>
      </c>
      <c r="CF61" s="14">
        <f t="shared" si="361"/>
        <v>6.25E-2</v>
      </c>
      <c r="CG61" s="14">
        <f t="shared" si="361"/>
        <v>0.10526315789473684</v>
      </c>
      <c r="CH61" s="14">
        <f t="shared" si="361"/>
        <v>0.125</v>
      </c>
      <c r="CI61" s="14">
        <f t="shared" si="361"/>
        <v>0.11538461538461539</v>
      </c>
      <c r="CJ61" s="14">
        <f t="shared" si="361"/>
        <v>0.17857142857142858</v>
      </c>
      <c r="CK61" s="14">
        <f t="shared" si="361"/>
        <v>0.20689655172413793</v>
      </c>
      <c r="CL61" s="14">
        <f t="shared" si="361"/>
        <v>0.88888888888888884</v>
      </c>
      <c r="CM61" s="14">
        <f t="shared" si="361"/>
        <v>3.8888888888888888</v>
      </c>
      <c r="CN61" s="14" t="e">
        <f t="shared" si="361"/>
        <v>#VALUE!</v>
      </c>
      <c r="CO61" s="412"/>
      <c r="CP61" s="14">
        <f t="shared" ref="CP61:DP61" si="362">IF(CP47&lt;&gt;0,CP48/CP47,"")</f>
        <v>0.8666666666666667</v>
      </c>
      <c r="CQ61" s="14">
        <f t="shared" si="362"/>
        <v>0.8529411764705882</v>
      </c>
      <c r="CR61" s="14">
        <f t="shared" si="362"/>
        <v>0.8571428571428571</v>
      </c>
      <c r="CS61" s="14">
        <f t="shared" si="362"/>
        <v>0.85087719298245612</v>
      </c>
      <c r="CT61" s="14">
        <f t="shared" si="362"/>
        <v>0.84615384615384615</v>
      </c>
      <c r="CU61" s="14">
        <f t="shared" si="362"/>
        <v>0.82499999999999996</v>
      </c>
      <c r="CV61" s="14">
        <f t="shared" si="362"/>
        <v>0.81967213114754101</v>
      </c>
      <c r="CW61" s="14">
        <f t="shared" si="362"/>
        <v>0.79844961240310075</v>
      </c>
      <c r="CX61" s="14">
        <f t="shared" si="362"/>
        <v>0.78518518518518521</v>
      </c>
      <c r="CY61" s="14">
        <f t="shared" si="362"/>
        <v>0.80147058823529416</v>
      </c>
      <c r="CZ61" s="14">
        <f t="shared" si="362"/>
        <v>0.79562043795620441</v>
      </c>
      <c r="DA61" s="14">
        <f t="shared" si="362"/>
        <v>0.80136986301369861</v>
      </c>
      <c r="DB61" s="14">
        <f t="shared" si="362"/>
        <v>0.84615384615384615</v>
      </c>
      <c r="DC61" s="14">
        <f t="shared" si="362"/>
        <v>0.96551724137931039</v>
      </c>
      <c r="DD61" s="14">
        <f t="shared" si="362"/>
        <v>0.92783505154639179</v>
      </c>
      <c r="DE61" s="14">
        <f t="shared" si="362"/>
        <v>0.91176470588235292</v>
      </c>
      <c r="DF61" s="14">
        <f t="shared" si="362"/>
        <v>0.90825688073394495</v>
      </c>
      <c r="DG61" s="14">
        <f t="shared" si="362"/>
        <v>0.92660550458715596</v>
      </c>
      <c r="DH61" s="14">
        <f t="shared" si="362"/>
        <v>0.90265486725663713</v>
      </c>
      <c r="DI61" s="14">
        <f t="shared" si="362"/>
        <v>0.88793103448275867</v>
      </c>
      <c r="DJ61" s="14">
        <f t="shared" si="362"/>
        <v>0.85950413223140498</v>
      </c>
      <c r="DK61" s="14">
        <f t="shared" si="362"/>
        <v>0.86991869918699183</v>
      </c>
      <c r="DL61" s="14">
        <f t="shared" si="362"/>
        <v>0.872</v>
      </c>
      <c r="DM61" s="14">
        <f t="shared" si="362"/>
        <v>0.87301587301587302</v>
      </c>
      <c r="DN61" s="14">
        <f t="shared" si="362"/>
        <v>0.88888888888888884</v>
      </c>
      <c r="DO61" s="14">
        <f t="shared" si="362"/>
        <v>0.92105263157894735</v>
      </c>
      <c r="DP61" s="14" t="str">
        <f t="shared" si="362"/>
        <v/>
      </c>
      <c r="DQ61" s="14"/>
      <c r="DR61" s="14"/>
      <c r="DS61" s="14"/>
      <c r="DT61" s="14"/>
      <c r="DU61" s="14"/>
      <c r="DV61" s="14"/>
      <c r="DW61" s="14"/>
      <c r="DX61" s="14"/>
      <c r="DY61" s="14"/>
      <c r="ED61" s="429"/>
      <c r="EE61" s="23"/>
      <c r="EF61" s="23"/>
      <c r="EG61" s="23"/>
      <c r="EH61" s="14">
        <f>IF(EH47&lt;&gt;0,EH48/EH47,"0%")</f>
        <v>0.93103448275862066</v>
      </c>
      <c r="EI61" s="14">
        <f>IF(EI47&lt;&gt;0,EI48/EI47,"0%")</f>
        <v>3.8888888888888888</v>
      </c>
      <c r="EJ61" s="14">
        <f>IF(EJ47&lt;&gt;0,EJ48/EJ47,"0%")</f>
        <v>0.92105263157894735</v>
      </c>
      <c r="EK61" s="24"/>
      <c r="EL61" s="47">
        <f t="shared" si="357"/>
        <v>6.9526790450928577E-2</v>
      </c>
      <c r="EM61" s="47">
        <f t="shared" si="357"/>
        <v>3.0273811965811968</v>
      </c>
      <c r="EN61" s="47">
        <f t="shared" si="357"/>
        <v>5.9544939271255148E-2</v>
      </c>
      <c r="EO61" s="46" t="str">
        <f>IF(EH61&lt;0,,IF(EH61&gt;EE54,"È",IF(EH61=EE54,"Æ","Ç")))</f>
        <v>È</v>
      </c>
      <c r="EP61" s="46" t="str">
        <f t="shared" ref="EO61:EP64" si="363">IF(EI61&lt;0,,IF(EI61&lt;EF54,"È",IF(EI61=EF54,"Æ","Ç")))</f>
        <v>Ç</v>
      </c>
      <c r="EQ61" s="2">
        <f t="shared" si="358"/>
        <v>1</v>
      </c>
      <c r="ER61" s="2">
        <f t="shared" si="358"/>
        <v>1</v>
      </c>
      <c r="ES61" s="2">
        <f t="shared" si="358"/>
        <v>1</v>
      </c>
    </row>
    <row r="62" spans="1:149">
      <c r="A62" s="6" t="s">
        <v>23</v>
      </c>
      <c r="B62" s="2" t="s">
        <v>160</v>
      </c>
      <c r="C62" s="3" t="s">
        <v>80</v>
      </c>
      <c r="E62" s="3" t="str">
        <f>C37</f>
        <v>ASatRate</v>
      </c>
      <c r="F62" s="3" t="s">
        <v>32</v>
      </c>
      <c r="G62" s="28" t="str">
        <f>C32</f>
        <v>AAllNew</v>
      </c>
      <c r="H62" s="63" t="s">
        <v>31</v>
      </c>
      <c r="I62" s="28" t="str">
        <f>C36</f>
        <v>ASatResp</v>
      </c>
      <c r="J62" s="62">
        <f t="shared" ref="J62:AJ62" si="364">IF(J32&lt;&gt;0,J37*J36/J32,"")</f>
        <v>0</v>
      </c>
      <c r="K62" s="62">
        <f t="shared" si="364"/>
        <v>0.14285714285714285</v>
      </c>
      <c r="L62" s="62">
        <f t="shared" si="364"/>
        <v>0</v>
      </c>
      <c r="M62" s="62">
        <f t="shared" si="364"/>
        <v>0.1</v>
      </c>
      <c r="N62" s="62">
        <f t="shared" si="364"/>
        <v>0</v>
      </c>
      <c r="O62" s="62">
        <f t="shared" si="364"/>
        <v>0</v>
      </c>
      <c r="P62" s="62">
        <f t="shared" si="364"/>
        <v>0</v>
      </c>
      <c r="Q62" s="62">
        <f t="shared" si="364"/>
        <v>0</v>
      </c>
      <c r="R62" s="62">
        <f t="shared" si="364"/>
        <v>0</v>
      </c>
      <c r="S62" s="62">
        <f t="shared" si="364"/>
        <v>3.7037037037037035E-2</v>
      </c>
      <c r="T62" s="62">
        <f t="shared" si="364"/>
        <v>0</v>
      </c>
      <c r="U62" s="62">
        <f t="shared" si="364"/>
        <v>0</v>
      </c>
      <c r="V62" s="62">
        <f t="shared" si="364"/>
        <v>0</v>
      </c>
      <c r="W62" s="62">
        <f t="shared" si="364"/>
        <v>0.25</v>
      </c>
      <c r="X62" s="62">
        <f t="shared" si="364"/>
        <v>0</v>
      </c>
      <c r="Y62" s="62">
        <f t="shared" si="364"/>
        <v>0</v>
      </c>
      <c r="Z62" s="62">
        <f t="shared" si="364"/>
        <v>6.6666666666666666E-2</v>
      </c>
      <c r="AA62" s="62">
        <f t="shared" si="364"/>
        <v>0</v>
      </c>
      <c r="AB62" s="62">
        <f t="shared" si="364"/>
        <v>0</v>
      </c>
      <c r="AC62" s="62">
        <f t="shared" si="364"/>
        <v>0</v>
      </c>
      <c r="AD62" s="62">
        <f t="shared" si="364"/>
        <v>0</v>
      </c>
      <c r="AE62" s="62">
        <f t="shared" si="364"/>
        <v>0</v>
      </c>
      <c r="AF62" s="62">
        <f t="shared" si="364"/>
        <v>0</v>
      </c>
      <c r="AG62" s="62">
        <f t="shared" si="364"/>
        <v>0</v>
      </c>
      <c r="AH62" s="62">
        <f t="shared" si="364"/>
        <v>0</v>
      </c>
      <c r="AI62" s="62">
        <f t="shared" si="364"/>
        <v>0</v>
      </c>
      <c r="AJ62" s="62" t="str">
        <f t="shared" si="364"/>
        <v/>
      </c>
      <c r="AK62" s="412"/>
      <c r="AL62" s="14">
        <f t="shared" ref="AL62:BL62" si="365">IF(AL32&lt;&gt;0,AL37*AL36/AL32,"")</f>
        <v>0</v>
      </c>
      <c r="AM62" s="14">
        <f t="shared" si="365"/>
        <v>0.25</v>
      </c>
      <c r="AN62" s="14">
        <f t="shared" si="365"/>
        <v>0</v>
      </c>
      <c r="AO62" s="14">
        <f t="shared" si="365"/>
        <v>0.5</v>
      </c>
      <c r="AP62" s="14">
        <f t="shared" si="365"/>
        <v>0</v>
      </c>
      <c r="AQ62" s="14">
        <f t="shared" si="365"/>
        <v>0</v>
      </c>
      <c r="AR62" s="14">
        <f t="shared" si="365"/>
        <v>0</v>
      </c>
      <c r="AS62" s="14">
        <f t="shared" si="365"/>
        <v>0</v>
      </c>
      <c r="AT62" s="14">
        <f t="shared" si="365"/>
        <v>0</v>
      </c>
      <c r="AU62" s="14">
        <f t="shared" si="365"/>
        <v>1</v>
      </c>
      <c r="AV62" s="14">
        <f t="shared" si="365"/>
        <v>0</v>
      </c>
      <c r="AW62" s="14">
        <f t="shared" si="365"/>
        <v>0</v>
      </c>
      <c r="AX62" s="14">
        <f t="shared" si="365"/>
        <v>0</v>
      </c>
      <c r="AY62" s="14">
        <f t="shared" si="365"/>
        <v>0.66666666666666663</v>
      </c>
      <c r="AZ62" s="14">
        <f t="shared" si="365"/>
        <v>0</v>
      </c>
      <c r="BA62" s="14">
        <f t="shared" si="365"/>
        <v>0</v>
      </c>
      <c r="BB62" s="14">
        <f t="shared" si="365"/>
        <v>0.5</v>
      </c>
      <c r="BC62" s="14" t="str">
        <f t="shared" si="365"/>
        <v/>
      </c>
      <c r="BD62" s="14">
        <f t="shared" si="365"/>
        <v>0</v>
      </c>
      <c r="BE62" s="14">
        <f t="shared" si="365"/>
        <v>0</v>
      </c>
      <c r="BF62" s="14">
        <f t="shared" si="365"/>
        <v>0</v>
      </c>
      <c r="BG62" s="14" t="str">
        <f t="shared" si="365"/>
        <v/>
      </c>
      <c r="BH62" s="14">
        <f t="shared" si="365"/>
        <v>0</v>
      </c>
      <c r="BI62" s="14">
        <f t="shared" si="365"/>
        <v>0</v>
      </c>
      <c r="BJ62" s="14">
        <f t="shared" si="365"/>
        <v>0</v>
      </c>
      <c r="BK62" s="14">
        <f t="shared" si="365"/>
        <v>0</v>
      </c>
      <c r="BL62" s="14" t="str">
        <f t="shared" si="365"/>
        <v/>
      </c>
      <c r="BM62" s="412"/>
      <c r="BN62" s="14">
        <f t="shared" ref="BN62:CN62" si="366">IF(BN32&lt;&gt;0,BN37*BN36/BN32,"")</f>
        <v>0.125</v>
      </c>
      <c r="BO62" s="14">
        <f t="shared" si="366"/>
        <v>0.125</v>
      </c>
      <c r="BP62" s="14">
        <f t="shared" si="366"/>
        <v>0.125</v>
      </c>
      <c r="BQ62" s="14">
        <f t="shared" si="366"/>
        <v>0.14285714285714285</v>
      </c>
      <c r="BR62" s="14">
        <f t="shared" si="366"/>
        <v>0.14285714285714285</v>
      </c>
      <c r="BS62" s="14">
        <f t="shared" si="366"/>
        <v>0.14285714285714285</v>
      </c>
      <c r="BT62" s="14">
        <f t="shared" si="366"/>
        <v>0</v>
      </c>
      <c r="BU62" s="14">
        <f t="shared" si="366"/>
        <v>0</v>
      </c>
      <c r="BV62" s="14">
        <f t="shared" si="366"/>
        <v>0</v>
      </c>
      <c r="BW62" s="14">
        <f t="shared" si="366"/>
        <v>9.0909090909090912E-2</v>
      </c>
      <c r="BX62" s="14">
        <f t="shared" si="366"/>
        <v>9.0909090909090912E-2</v>
      </c>
      <c r="BY62" s="14">
        <f t="shared" si="366"/>
        <v>9.0909090909090912E-2</v>
      </c>
      <c r="BZ62" s="14">
        <f t="shared" si="366"/>
        <v>0.2</v>
      </c>
      <c r="CA62" s="14">
        <f t="shared" si="366"/>
        <v>0.2</v>
      </c>
      <c r="CB62" s="14">
        <f t="shared" si="366"/>
        <v>0.2</v>
      </c>
      <c r="CC62" s="14">
        <f t="shared" si="366"/>
        <v>0.4</v>
      </c>
      <c r="CD62" s="14">
        <f t="shared" si="366"/>
        <v>0.2</v>
      </c>
      <c r="CE62" s="14">
        <f t="shared" si="366"/>
        <v>0.2</v>
      </c>
      <c r="CF62" s="14">
        <f t="shared" si="366"/>
        <v>0</v>
      </c>
      <c r="CG62" s="14">
        <f t="shared" si="366"/>
        <v>0</v>
      </c>
      <c r="CH62" s="14">
        <f t="shared" si="366"/>
        <v>0</v>
      </c>
      <c r="CI62" s="14">
        <f t="shared" si="366"/>
        <v>0</v>
      </c>
      <c r="CJ62" s="14">
        <f t="shared" si="366"/>
        <v>0</v>
      </c>
      <c r="CK62" s="14">
        <f t="shared" si="366"/>
        <v>0</v>
      </c>
      <c r="CL62" s="14">
        <f t="shared" si="366"/>
        <v>0</v>
      </c>
      <c r="CM62" s="14">
        <f t="shared" si="366"/>
        <v>0</v>
      </c>
      <c r="CN62" s="14">
        <f t="shared" si="366"/>
        <v>0</v>
      </c>
      <c r="CO62" s="412"/>
      <c r="CP62" s="14">
        <f t="shared" ref="CP62:DP62" si="367">IF(CP32&lt;&gt;0,CP37*CP36/CP32,"")</f>
        <v>0</v>
      </c>
      <c r="CQ62" s="14">
        <f t="shared" si="367"/>
        <v>0.14285714285714285</v>
      </c>
      <c r="CR62" s="14">
        <f t="shared" si="367"/>
        <v>0.125</v>
      </c>
      <c r="CS62" s="14">
        <f t="shared" si="367"/>
        <v>0.2</v>
      </c>
      <c r="CT62" s="14">
        <f t="shared" si="367"/>
        <v>0.16666666666666666</v>
      </c>
      <c r="CU62" s="14">
        <f t="shared" si="367"/>
        <v>0.13333333333333333</v>
      </c>
      <c r="CV62" s="14">
        <f t="shared" si="367"/>
        <v>0.125</v>
      </c>
      <c r="CW62" s="14">
        <f t="shared" si="367"/>
        <v>0.1</v>
      </c>
      <c r="CX62" s="14">
        <f t="shared" si="367"/>
        <v>7.6923076923076927E-2</v>
      </c>
      <c r="CY62" s="14">
        <f t="shared" si="367"/>
        <v>0.1111111111111111</v>
      </c>
      <c r="CZ62" s="14">
        <f t="shared" si="367"/>
        <v>0.10714285714285714</v>
      </c>
      <c r="DA62" s="14">
        <f t="shared" si="367"/>
        <v>8.1081081081081086E-2</v>
      </c>
      <c r="DB62" s="14">
        <f t="shared" si="367"/>
        <v>0</v>
      </c>
      <c r="DC62" s="14">
        <f t="shared" si="367"/>
        <v>0.25</v>
      </c>
      <c r="DD62" s="14">
        <f t="shared" si="367"/>
        <v>0.2</v>
      </c>
      <c r="DE62" s="14">
        <f t="shared" si="367"/>
        <v>0.15384615384615385</v>
      </c>
      <c r="DF62" s="14">
        <f t="shared" si="367"/>
        <v>0.2</v>
      </c>
      <c r="DG62" s="14">
        <f t="shared" si="367"/>
        <v>0.2</v>
      </c>
      <c r="DH62" s="14">
        <f t="shared" si="367"/>
        <v>0.16666666666666666</v>
      </c>
      <c r="DI62" s="14">
        <f t="shared" si="367"/>
        <v>0.14285714285714285</v>
      </c>
      <c r="DJ62" s="14">
        <f t="shared" si="367"/>
        <v>0.11538461538461539</v>
      </c>
      <c r="DK62" s="14">
        <f t="shared" si="367"/>
        <v>0.11538461538461539</v>
      </c>
      <c r="DL62" s="14">
        <f t="shared" si="367"/>
        <v>0.10714285714285714</v>
      </c>
      <c r="DM62" s="14">
        <f t="shared" si="367"/>
        <v>0.10344827586206896</v>
      </c>
      <c r="DN62" s="14">
        <f t="shared" si="367"/>
        <v>0</v>
      </c>
      <c r="DO62" s="14">
        <f t="shared" si="367"/>
        <v>0</v>
      </c>
      <c r="DP62" s="14" t="str">
        <f t="shared" si="367"/>
        <v/>
      </c>
      <c r="DQ62" s="14"/>
      <c r="DR62" s="14"/>
      <c r="DS62" s="14"/>
      <c r="DT62" s="14"/>
      <c r="DU62" s="14"/>
      <c r="DV62" s="14"/>
      <c r="DW62" s="14"/>
      <c r="DX62" s="14"/>
      <c r="DY62" s="14"/>
      <c r="ED62" s="429"/>
      <c r="EE62" s="23"/>
      <c r="EF62" s="23"/>
      <c r="EG62" s="23"/>
      <c r="EH62" s="14" t="str">
        <f>IF(EH36&lt;&gt;0,EH37*EH36/EH32,"0%")</f>
        <v>0%</v>
      </c>
      <c r="EI62" s="14" t="str">
        <f>IF(EI36&lt;&gt;0,EI37*EI36/EI32,"0%")</f>
        <v>0%</v>
      </c>
      <c r="EJ62" s="14" t="str">
        <f>IF(EJ36&lt;&gt;0,EJ37*EJ36/EJ36,"0%")</f>
        <v>0%</v>
      </c>
      <c r="EK62" s="24"/>
      <c r="EL62" s="47" t="e">
        <f t="shared" si="357"/>
        <v>#DIV/0!</v>
      </c>
      <c r="EM62" s="47" t="e">
        <f t="shared" si="357"/>
        <v>#DIV/0!</v>
      </c>
      <c r="EN62" s="47">
        <f t="shared" si="357"/>
        <v>-0.95000000000000007</v>
      </c>
      <c r="EO62" s="46" t="e">
        <f t="shared" si="363"/>
        <v>#DIV/0!</v>
      </c>
      <c r="EP62" s="46" t="e">
        <f>IF(EI62&lt;0,,IF(EI62&gt;EF55,"È",IF(EI62=EF55,"Æ","Ç")))</f>
        <v>#DIV/0!</v>
      </c>
      <c r="EQ62" s="2" t="e">
        <f t="shared" si="358"/>
        <v>#DIV/0!</v>
      </c>
      <c r="ER62" s="2" t="e">
        <f t="shared" si="358"/>
        <v>#DIV/0!</v>
      </c>
      <c r="ES62" s="2">
        <f t="shared" si="358"/>
        <v>3</v>
      </c>
    </row>
    <row r="63" spans="1:149">
      <c r="A63" s="6" t="s">
        <v>23</v>
      </c>
      <c r="B63" s="2" t="s">
        <v>26</v>
      </c>
      <c r="C63" s="3" t="s">
        <v>85</v>
      </c>
      <c r="E63" s="3" t="str">
        <f>C38</f>
        <v>ASpec1</v>
      </c>
      <c r="F63" s="4" t="s">
        <v>31</v>
      </c>
      <c r="G63" s="28" t="str">
        <f>C47</f>
        <v>ASUniq</v>
      </c>
      <c r="H63" s="28"/>
      <c r="I63" s="28"/>
      <c r="J63" s="62">
        <f>IF(J47&lt;&gt;0,J38/J47,"")</f>
        <v>0</v>
      </c>
      <c r="K63" s="62">
        <f>IF(K47&lt;&gt;0,K38/K47,"")</f>
        <v>0</v>
      </c>
      <c r="L63" s="62">
        <f>IF(L47&lt;&gt;0,L38/L47,"")</f>
        <v>0</v>
      </c>
      <c r="M63" s="62">
        <f>IF(M47&lt;&gt;0,M38/M47,"")</f>
        <v>0</v>
      </c>
      <c r="N63" s="62">
        <f>IF(N47&lt;&gt;0,N38/N47,"")</f>
        <v>0</v>
      </c>
      <c r="O63" s="62">
        <f>IF(O47&lt;&gt;"",O38/O47,"")</f>
        <v>0</v>
      </c>
      <c r="P63" s="62">
        <f t="shared" ref="P63:AJ63" si="368">IF(P47&lt;&gt;"",P38/P47,"")</f>
        <v>0</v>
      </c>
      <c r="Q63" s="62">
        <f t="shared" si="368"/>
        <v>0.2857142857142857</v>
      </c>
      <c r="R63" s="62">
        <f t="shared" si="368"/>
        <v>0.33333333333333331</v>
      </c>
      <c r="S63" s="62">
        <f t="shared" si="368"/>
        <v>2</v>
      </c>
      <c r="T63" s="62">
        <f t="shared" si="368"/>
        <v>2</v>
      </c>
      <c r="U63" s="62">
        <f t="shared" si="368"/>
        <v>0.22222222222222221</v>
      </c>
      <c r="V63" s="62">
        <f t="shared" si="368"/>
        <v>1.1538461538461537</v>
      </c>
      <c r="W63" s="62">
        <f t="shared" si="368"/>
        <v>0.22972972972972974</v>
      </c>
      <c r="X63" s="62">
        <f t="shared" si="368"/>
        <v>1.8</v>
      </c>
      <c r="Y63" s="62">
        <f t="shared" si="368"/>
        <v>3.6</v>
      </c>
      <c r="Z63" s="62">
        <f t="shared" si="368"/>
        <v>2.7142857142857144</v>
      </c>
      <c r="AA63" s="62" t="e">
        <f t="shared" si="368"/>
        <v>#DIV/0!</v>
      </c>
      <c r="AB63" s="62">
        <f t="shared" si="368"/>
        <v>4.75</v>
      </c>
      <c r="AC63" s="62">
        <f t="shared" si="368"/>
        <v>7</v>
      </c>
      <c r="AD63" s="62">
        <f t="shared" si="368"/>
        <v>4.2</v>
      </c>
      <c r="AE63" s="62">
        <f t="shared" si="368"/>
        <v>10.5</v>
      </c>
      <c r="AF63" s="62">
        <f t="shared" si="368"/>
        <v>10.5</v>
      </c>
      <c r="AG63" s="62">
        <f t="shared" si="368"/>
        <v>21</v>
      </c>
      <c r="AH63" s="62">
        <f t="shared" si="368"/>
        <v>0</v>
      </c>
      <c r="AI63" s="62">
        <f t="shared" si="368"/>
        <v>0</v>
      </c>
      <c r="AJ63" s="62" t="str">
        <f t="shared" si="368"/>
        <v/>
      </c>
      <c r="AK63" s="412"/>
      <c r="AL63" s="14">
        <f t="shared" ref="AL63:BL63" si="369">IF(AL47&lt;&gt;0,AL38/AL47,"")</f>
        <v>0</v>
      </c>
      <c r="AM63" s="14">
        <f t="shared" si="369"/>
        <v>0</v>
      </c>
      <c r="AN63" s="14">
        <f t="shared" si="369"/>
        <v>0</v>
      </c>
      <c r="AO63" s="14">
        <f t="shared" si="369"/>
        <v>0</v>
      </c>
      <c r="AP63" s="14">
        <f t="shared" si="369"/>
        <v>0</v>
      </c>
      <c r="AQ63" s="14">
        <f t="shared" si="369"/>
        <v>0</v>
      </c>
      <c r="AR63" s="14">
        <f t="shared" si="369"/>
        <v>0</v>
      </c>
      <c r="AS63" s="14">
        <f t="shared" si="369"/>
        <v>0.2857142857142857</v>
      </c>
      <c r="AT63" s="14">
        <f t="shared" si="369"/>
        <v>0</v>
      </c>
      <c r="AU63" s="14">
        <f t="shared" si="369"/>
        <v>0</v>
      </c>
      <c r="AV63" s="14">
        <f t="shared" si="369"/>
        <v>0</v>
      </c>
      <c r="AW63" s="14">
        <f t="shared" si="369"/>
        <v>0</v>
      </c>
      <c r="AX63" s="14">
        <f t="shared" si="369"/>
        <v>1.1538461538461537</v>
      </c>
      <c r="AY63" s="14">
        <f t="shared" si="369"/>
        <v>2.7027027027027029E-2</v>
      </c>
      <c r="AZ63" s="14">
        <f t="shared" si="369"/>
        <v>0.1</v>
      </c>
      <c r="BA63" s="14">
        <f t="shared" si="369"/>
        <v>0</v>
      </c>
      <c r="BB63" s="14">
        <f t="shared" si="369"/>
        <v>0.14285714285714285</v>
      </c>
      <c r="BC63" s="14" t="str">
        <f t="shared" si="369"/>
        <v/>
      </c>
      <c r="BD63" s="14">
        <f t="shared" si="369"/>
        <v>0</v>
      </c>
      <c r="BE63" s="14">
        <f t="shared" si="369"/>
        <v>0.66666666666666663</v>
      </c>
      <c r="BF63" s="14">
        <f t="shared" si="369"/>
        <v>0</v>
      </c>
      <c r="BG63" s="14">
        <f t="shared" si="369"/>
        <v>0</v>
      </c>
      <c r="BH63" s="14">
        <f t="shared" si="369"/>
        <v>0</v>
      </c>
      <c r="BI63" s="14">
        <f t="shared" si="369"/>
        <v>0</v>
      </c>
      <c r="BJ63" s="14">
        <f t="shared" si="369"/>
        <v>0</v>
      </c>
      <c r="BK63" s="14">
        <f t="shared" si="369"/>
        <v>0</v>
      </c>
      <c r="BL63" s="14" t="e">
        <f t="shared" si="369"/>
        <v>#VALUE!</v>
      </c>
      <c r="BM63" s="412"/>
      <c r="BN63" s="14">
        <f t="shared" ref="BN63:CN63" si="370">IF(BN47&lt;&gt;0,BN38/BN47,"")</f>
        <v>0</v>
      </c>
      <c r="BO63" s="14">
        <f t="shared" si="370"/>
        <v>0</v>
      </c>
      <c r="BP63" s="14">
        <f t="shared" si="370"/>
        <v>0</v>
      </c>
      <c r="BQ63" s="14">
        <f t="shared" si="370"/>
        <v>0</v>
      </c>
      <c r="BR63" s="14">
        <f t="shared" si="370"/>
        <v>0</v>
      </c>
      <c r="BS63" s="14">
        <f t="shared" si="370"/>
        <v>0</v>
      </c>
      <c r="BT63" s="14">
        <f t="shared" si="370"/>
        <v>1</v>
      </c>
      <c r="BU63" s="14">
        <f t="shared" si="370"/>
        <v>0.22222222222222221</v>
      </c>
      <c r="BV63" s="14">
        <f t="shared" si="370"/>
        <v>0.13333333333333333</v>
      </c>
      <c r="BW63" s="14">
        <f t="shared" si="370"/>
        <v>0</v>
      </c>
      <c r="BX63" s="14">
        <f t="shared" si="370"/>
        <v>0</v>
      </c>
      <c r="BY63" s="14">
        <f t="shared" si="370"/>
        <v>0</v>
      </c>
      <c r="BZ63" s="14">
        <f t="shared" si="370"/>
        <v>1.3846153846153846</v>
      </c>
      <c r="CA63" s="14">
        <f t="shared" si="370"/>
        <v>0.20689655172413793</v>
      </c>
      <c r="CB63" s="14">
        <f t="shared" si="370"/>
        <v>0.18556701030927836</v>
      </c>
      <c r="CC63" s="14">
        <f t="shared" si="370"/>
        <v>0.2</v>
      </c>
      <c r="CD63" s="14">
        <f t="shared" si="370"/>
        <v>8.3333333333333329E-2</v>
      </c>
      <c r="CE63" s="14">
        <f t="shared" si="370"/>
        <v>8.3333333333333329E-2</v>
      </c>
      <c r="CF63" s="14">
        <f t="shared" si="370"/>
        <v>0.125</v>
      </c>
      <c r="CG63" s="14">
        <f t="shared" si="370"/>
        <v>0.10526315789473684</v>
      </c>
      <c r="CH63" s="14">
        <f t="shared" si="370"/>
        <v>8.3333333333333329E-2</v>
      </c>
      <c r="CI63" s="14">
        <f t="shared" si="370"/>
        <v>0</v>
      </c>
      <c r="CJ63" s="14">
        <f t="shared" si="370"/>
        <v>0</v>
      </c>
      <c r="CK63" s="14">
        <f t="shared" si="370"/>
        <v>0</v>
      </c>
      <c r="CL63" s="14">
        <f t="shared" si="370"/>
        <v>0</v>
      </c>
      <c r="CM63" s="14">
        <f t="shared" si="370"/>
        <v>0</v>
      </c>
      <c r="CN63" s="14">
        <f t="shared" si="370"/>
        <v>0</v>
      </c>
      <c r="CO63" s="412"/>
      <c r="CP63" s="14">
        <f t="shared" ref="CP63:DP63" si="371">IF(CP47&lt;&gt;0,CP38/CP47,"")</f>
        <v>0</v>
      </c>
      <c r="CQ63" s="14">
        <f t="shared" si="371"/>
        <v>0</v>
      </c>
      <c r="CR63" s="14">
        <f t="shared" si="371"/>
        <v>0</v>
      </c>
      <c r="CS63" s="14">
        <f t="shared" si="371"/>
        <v>0</v>
      </c>
      <c r="CT63" s="14">
        <f t="shared" si="371"/>
        <v>0</v>
      </c>
      <c r="CU63" s="14">
        <f t="shared" si="371"/>
        <v>0</v>
      </c>
      <c r="CV63" s="14">
        <f t="shared" si="371"/>
        <v>0</v>
      </c>
      <c r="CW63" s="14">
        <f t="shared" si="371"/>
        <v>1.5503875968992248E-2</v>
      </c>
      <c r="CX63" s="14">
        <f t="shared" si="371"/>
        <v>1.4814814814814815E-2</v>
      </c>
      <c r="CY63" s="14">
        <f t="shared" si="371"/>
        <v>1.4705882352941176E-2</v>
      </c>
      <c r="CZ63" s="14">
        <f t="shared" si="371"/>
        <v>1.4598540145985401E-2</v>
      </c>
      <c r="DA63" s="14">
        <f t="shared" si="371"/>
        <v>1.3698630136986301E-2</v>
      </c>
      <c r="DB63" s="14">
        <f t="shared" si="371"/>
        <v>1.1538461538461537</v>
      </c>
      <c r="DC63" s="14">
        <f t="shared" si="371"/>
        <v>0.19540229885057472</v>
      </c>
      <c r="DD63" s="14">
        <f t="shared" si="371"/>
        <v>0.18556701030927836</v>
      </c>
      <c r="DE63" s="14">
        <f t="shared" si="371"/>
        <v>0.17647058823529413</v>
      </c>
      <c r="DF63" s="14">
        <f t="shared" si="371"/>
        <v>0.1743119266055046</v>
      </c>
      <c r="DG63" s="14">
        <f t="shared" si="371"/>
        <v>0.1743119266055046</v>
      </c>
      <c r="DH63" s="14">
        <f t="shared" si="371"/>
        <v>0.16814159292035399</v>
      </c>
      <c r="DI63" s="14">
        <f t="shared" si="371"/>
        <v>0.18103448275862069</v>
      </c>
      <c r="DJ63" s="14">
        <f t="shared" si="371"/>
        <v>0.17355371900826447</v>
      </c>
      <c r="DK63" s="14">
        <f t="shared" si="371"/>
        <v>0.17073170731707318</v>
      </c>
      <c r="DL63" s="14">
        <f t="shared" si="371"/>
        <v>0.16800000000000001</v>
      </c>
      <c r="DM63" s="14">
        <f t="shared" si="371"/>
        <v>0.16666666666666666</v>
      </c>
      <c r="DN63" s="14">
        <f t="shared" si="371"/>
        <v>0</v>
      </c>
      <c r="DO63" s="14">
        <f t="shared" si="371"/>
        <v>0</v>
      </c>
      <c r="DP63" s="14" t="str">
        <f t="shared" si="371"/>
        <v/>
      </c>
      <c r="DQ63" s="14"/>
      <c r="DR63" s="14"/>
      <c r="DS63" s="14"/>
      <c r="DT63" s="14"/>
      <c r="DU63" s="14"/>
      <c r="DV63" s="14"/>
      <c r="DW63" s="14"/>
      <c r="DX63" s="14"/>
      <c r="DY63" s="14"/>
      <c r="ED63" s="429"/>
      <c r="EE63" s="23"/>
      <c r="EF63" s="23"/>
      <c r="EG63" s="23"/>
      <c r="EH63" s="14">
        <f>IF(EH34&lt;&gt;0,EH38/EH34,"0%")</f>
        <v>0</v>
      </c>
      <c r="EI63" s="14">
        <f>IF(EI34&lt;&gt;0,EI38/EI34,"0%")</f>
        <v>0</v>
      </c>
      <c r="EJ63" s="14">
        <f>IF(EJ34&lt;&gt;0,EJ38/EJ34,"0%")</f>
        <v>0</v>
      </c>
      <c r="EK63" s="24"/>
      <c r="EL63" s="47">
        <f t="shared" si="357"/>
        <v>0</v>
      </c>
      <c r="EM63" s="47">
        <f t="shared" si="357"/>
        <v>0</v>
      </c>
      <c r="EN63" s="47">
        <f t="shared" si="357"/>
        <v>-0.10768615384615388</v>
      </c>
      <c r="EO63" s="46" t="str">
        <f t="shared" si="363"/>
        <v>Æ</v>
      </c>
      <c r="EP63" s="46" t="str">
        <f>IF(EI63&lt;0,,IF(EI63&gt;EF56,"È",IF(EI63=EF56,"Æ","Ç")))</f>
        <v>Æ</v>
      </c>
      <c r="EQ63" s="2" t="e">
        <f t="shared" si="358"/>
        <v>#DIV/0!</v>
      </c>
      <c r="ER63" s="2" t="e">
        <f t="shared" si="358"/>
        <v>#DIV/0!</v>
      </c>
      <c r="ES63" s="2">
        <f t="shared" si="358"/>
        <v>3</v>
      </c>
    </row>
    <row r="64" spans="1:149">
      <c r="A64" s="6" t="s">
        <v>23</v>
      </c>
      <c r="B64" s="2" t="s">
        <v>27</v>
      </c>
      <c r="C64" s="3" t="s">
        <v>81</v>
      </c>
      <c r="E64" s="3" t="str">
        <f>C40</f>
        <v>AOnlHrs</v>
      </c>
      <c r="F64" s="4" t="s">
        <v>31</v>
      </c>
      <c r="G64" s="28" t="str">
        <f>C39</f>
        <v>ATotHrs</v>
      </c>
      <c r="H64" s="28"/>
      <c r="I64" s="28"/>
      <c r="J64" s="62">
        <f t="shared" ref="J64:AJ64" si="372">IF(J39&lt;&gt;0,J40/J39,"")</f>
        <v>0.55325652480601928</v>
      </c>
      <c r="K64" s="62">
        <f t="shared" si="372"/>
        <v>0.44207622868605811</v>
      </c>
      <c r="L64" s="62">
        <f t="shared" si="372"/>
        <v>0.50252881187297904</v>
      </c>
      <c r="M64" s="62">
        <f t="shared" si="372"/>
        <v>0.54300525202919303</v>
      </c>
      <c r="N64" s="62">
        <f t="shared" si="372"/>
        <v>0.5581551927284969</v>
      </c>
      <c r="O64" s="62">
        <f t="shared" si="372"/>
        <v>0.57057079881431938</v>
      </c>
      <c r="P64" s="62">
        <f t="shared" si="372"/>
        <v>0.57197553457907924</v>
      </c>
      <c r="Q64" s="62">
        <f t="shared" si="372"/>
        <v>0.52057946874726047</v>
      </c>
      <c r="R64" s="62">
        <f t="shared" si="372"/>
        <v>0.52923290301931081</v>
      </c>
      <c r="S64" s="62">
        <f t="shared" si="372"/>
        <v>0.53016936901417711</v>
      </c>
      <c r="T64" s="62">
        <f t="shared" si="372"/>
        <v>0.5260431935893678</v>
      </c>
      <c r="U64" s="62">
        <f t="shared" si="372"/>
        <v>0.45523387595301879</v>
      </c>
      <c r="V64" s="62">
        <f t="shared" si="372"/>
        <v>3.8461538461538464E-2</v>
      </c>
      <c r="W64" s="62">
        <f t="shared" si="372"/>
        <v>0.42662164063599273</v>
      </c>
      <c r="X64" s="62">
        <f t="shared" si="372"/>
        <v>0.50314913075363443</v>
      </c>
      <c r="Y64" s="62">
        <f t="shared" si="372"/>
        <v>0.53945438545027868</v>
      </c>
      <c r="Z64" s="62">
        <f t="shared" si="372"/>
        <v>0.54363276866349597</v>
      </c>
      <c r="AA64" s="62">
        <f t="shared" si="372"/>
        <v>0.56197994686027308</v>
      </c>
      <c r="AB64" s="62">
        <f t="shared" si="372"/>
        <v>0.59415718385798255</v>
      </c>
      <c r="AC64" s="62">
        <f t="shared" si="372"/>
        <v>0.61599105440562485</v>
      </c>
      <c r="AD64" s="62">
        <f t="shared" si="372"/>
        <v>0.62398338327240066</v>
      </c>
      <c r="AE64" s="62">
        <f t="shared" si="372"/>
        <v>0.62630397884391675</v>
      </c>
      <c r="AF64" s="62">
        <f t="shared" si="372"/>
        <v>0.61221565466595029</v>
      </c>
      <c r="AG64" s="62">
        <f t="shared" si="372"/>
        <v>0.63104520205880854</v>
      </c>
      <c r="AH64" s="62">
        <f t="shared" si="372"/>
        <v>0.14545454545454545</v>
      </c>
      <c r="AI64" s="62">
        <f t="shared" si="372"/>
        <v>0.48</v>
      </c>
      <c r="AJ64" s="62" t="str">
        <f t="shared" si="372"/>
        <v/>
      </c>
      <c r="AK64" s="412"/>
      <c r="AL64" s="14">
        <f t="shared" ref="AL64:BL64" si="373">IF(AL39&lt;&gt;0,AL40/AL39,"")</f>
        <v>0.55325652480601928</v>
      </c>
      <c r="AM64" s="14">
        <f t="shared" si="373"/>
        <v>0.3150684931506848</v>
      </c>
      <c r="AN64" s="14">
        <f t="shared" si="373"/>
        <v>0.62056303549571612</v>
      </c>
      <c r="AO64" s="14">
        <f t="shared" si="373"/>
        <v>0.73076923076923039</v>
      </c>
      <c r="AP64" s="14">
        <f t="shared" si="373"/>
        <v>0.62839974699557299</v>
      </c>
      <c r="AQ64" s="14">
        <f t="shared" si="373"/>
        <v>0.68627450980392157</v>
      </c>
      <c r="AR64" s="14">
        <f t="shared" si="373"/>
        <v>0.5989304812834223</v>
      </c>
      <c r="AS64" s="14">
        <f t="shared" si="373"/>
        <v>0</v>
      </c>
      <c r="AT64" s="14">
        <f t="shared" si="373"/>
        <v>0.56644674835061248</v>
      </c>
      <c r="AU64" s="14">
        <f t="shared" si="373"/>
        <v>0.54153182308522141</v>
      </c>
      <c r="AV64" s="14">
        <f t="shared" si="373"/>
        <v>4.7619047619047616E-2</v>
      </c>
      <c r="AW64" s="14">
        <f t="shared" si="373"/>
        <v>0.18769230769230769</v>
      </c>
      <c r="AX64" s="14">
        <f t="shared" si="373"/>
        <v>3.8461538461538464E-2</v>
      </c>
      <c r="AY64" s="14">
        <f t="shared" si="373"/>
        <v>0.57339538491370956</v>
      </c>
      <c r="AZ64" s="14">
        <f t="shared" si="373"/>
        <v>0.6244563399130143</v>
      </c>
      <c r="BA64" s="14">
        <f t="shared" si="373"/>
        <v>0.65166666666666651</v>
      </c>
      <c r="BB64" s="14">
        <f t="shared" si="373"/>
        <v>0.56263899184581201</v>
      </c>
      <c r="BC64" s="14">
        <f t="shared" si="373"/>
        <v>0.64468533574224607</v>
      </c>
      <c r="BD64" s="14">
        <f t="shared" si="373"/>
        <v>0.76136363636363691</v>
      </c>
      <c r="BE64" s="14">
        <f t="shared" si="373"/>
        <v>0.77213114754098355</v>
      </c>
      <c r="BF64" s="14">
        <f t="shared" si="373"/>
        <v>0.6785714285714286</v>
      </c>
      <c r="BG64" s="14">
        <f t="shared" si="373"/>
        <v>0.64864864864864868</v>
      </c>
      <c r="BH64" s="14">
        <f t="shared" si="373"/>
        <v>0.13043478260869565</v>
      </c>
      <c r="BI64" s="14">
        <f t="shared" si="373"/>
        <v>0.83843537414965985</v>
      </c>
      <c r="BJ64" s="14">
        <f t="shared" si="373"/>
        <v>0.14545454545454545</v>
      </c>
      <c r="BK64" s="14">
        <f t="shared" si="373"/>
        <v>0.6333333333333333</v>
      </c>
      <c r="BL64" s="14" t="str">
        <f t="shared" si="373"/>
        <v/>
      </c>
      <c r="BM64" s="412"/>
      <c r="BN64" s="14">
        <f t="shared" ref="BN64:CN64" si="374">IF(BN39&lt;&gt;0,BN40/BN39,"")</f>
        <v>0.50252881187297904</v>
      </c>
      <c r="BO64" s="14">
        <f t="shared" si="374"/>
        <v>0.50252881187297904</v>
      </c>
      <c r="BP64" s="14">
        <f t="shared" si="374"/>
        <v>0.50252881187297904</v>
      </c>
      <c r="BQ64" s="14">
        <f t="shared" si="374"/>
        <v>0.67750342041826839</v>
      </c>
      <c r="BR64" s="14">
        <f t="shared" si="374"/>
        <v>0.67750342041826839</v>
      </c>
      <c r="BS64" s="14">
        <f t="shared" si="374"/>
        <v>0.67750342041826839</v>
      </c>
      <c r="BT64" s="14">
        <f t="shared" si="374"/>
        <v>0.43191984254786175</v>
      </c>
      <c r="BU64" s="14">
        <f t="shared" si="374"/>
        <v>0.43191984254786175</v>
      </c>
      <c r="BV64" s="14">
        <f t="shared" si="374"/>
        <v>0.43191984254786175</v>
      </c>
      <c r="BW64" s="14">
        <f t="shared" si="374"/>
        <v>0.26085941148995806</v>
      </c>
      <c r="BX64" s="14">
        <f t="shared" si="374"/>
        <v>0.26085941148995806</v>
      </c>
      <c r="BY64" s="14">
        <f t="shared" si="374"/>
        <v>0.26085941148995806</v>
      </c>
      <c r="BZ64" s="14">
        <f t="shared" si="374"/>
        <v>0.50314913075363443</v>
      </c>
      <c r="CA64" s="14">
        <f t="shared" si="374"/>
        <v>0.50314913075363443</v>
      </c>
      <c r="CB64" s="14">
        <f t="shared" si="374"/>
        <v>0.50314913075363443</v>
      </c>
      <c r="CC64" s="14">
        <f t="shared" si="374"/>
        <v>0.62246368777026284</v>
      </c>
      <c r="CD64" s="14">
        <f t="shared" si="374"/>
        <v>0.62246368777026284</v>
      </c>
      <c r="CE64" s="14">
        <f t="shared" si="374"/>
        <v>0.62246368777026284</v>
      </c>
      <c r="CF64" s="14">
        <f t="shared" si="374"/>
        <v>0.73506366307541637</v>
      </c>
      <c r="CG64" s="14">
        <f t="shared" si="374"/>
        <v>0.73506366307541637</v>
      </c>
      <c r="CH64" s="14">
        <f t="shared" si="374"/>
        <v>0.73506366307541637</v>
      </c>
      <c r="CI64" s="14">
        <f t="shared" si="374"/>
        <v>0.66055718475073311</v>
      </c>
      <c r="CJ64" s="14">
        <f t="shared" si="374"/>
        <v>0.66055718475073311</v>
      </c>
      <c r="CK64" s="14">
        <f t="shared" si="374"/>
        <v>0.66055718475073311</v>
      </c>
      <c r="CL64" s="14">
        <f t="shared" si="374"/>
        <v>0.48</v>
      </c>
      <c r="CM64" s="14">
        <f t="shared" si="374"/>
        <v>0.48</v>
      </c>
      <c r="CN64" s="14">
        <f t="shared" si="374"/>
        <v>0.48</v>
      </c>
      <c r="CO64" s="412"/>
      <c r="CP64" s="14">
        <f t="shared" ref="CP64:DP64" si="375">IF(CP39&lt;&gt;0,CP40/CP39,"")</f>
        <v>0.55325652480601928</v>
      </c>
      <c r="CQ64" s="14">
        <f t="shared" si="375"/>
        <v>0.44207622868605811</v>
      </c>
      <c r="CR64" s="14">
        <f t="shared" si="375"/>
        <v>0.50252881187297904</v>
      </c>
      <c r="CS64" s="14">
        <f t="shared" si="375"/>
        <v>0.54300525202919303</v>
      </c>
      <c r="CT64" s="14">
        <f t="shared" si="375"/>
        <v>0.5581551927284969</v>
      </c>
      <c r="CU64" s="14">
        <f t="shared" si="375"/>
        <v>0.57057079881431938</v>
      </c>
      <c r="CV64" s="14">
        <f t="shared" si="375"/>
        <v>0.57197553457907924</v>
      </c>
      <c r="CW64" s="14">
        <f t="shared" si="375"/>
        <v>0.52057946874726047</v>
      </c>
      <c r="CX64" s="14">
        <f t="shared" si="375"/>
        <v>0.52923290301931081</v>
      </c>
      <c r="CY64" s="14">
        <f t="shared" si="375"/>
        <v>0.53016936901417711</v>
      </c>
      <c r="CZ64" s="14">
        <f t="shared" si="375"/>
        <v>0.5260431935893678</v>
      </c>
      <c r="DA64" s="14">
        <f t="shared" si="375"/>
        <v>0.45523387595301879</v>
      </c>
      <c r="DB64" s="14">
        <f t="shared" si="375"/>
        <v>3.8461538461538464E-2</v>
      </c>
      <c r="DC64" s="14">
        <f t="shared" si="375"/>
        <v>0.42662164063599273</v>
      </c>
      <c r="DD64" s="14">
        <f t="shared" si="375"/>
        <v>0.50314913075363443</v>
      </c>
      <c r="DE64" s="14">
        <f t="shared" si="375"/>
        <v>0.53945438545027868</v>
      </c>
      <c r="DF64" s="14">
        <f t="shared" si="375"/>
        <v>0.54363276866349597</v>
      </c>
      <c r="DG64" s="14">
        <f t="shared" si="375"/>
        <v>0.56197994686027308</v>
      </c>
      <c r="DH64" s="14">
        <f t="shared" si="375"/>
        <v>0.59415718385798255</v>
      </c>
      <c r="DI64" s="14">
        <f t="shared" si="375"/>
        <v>0.61599105440562485</v>
      </c>
      <c r="DJ64" s="14">
        <f t="shared" si="375"/>
        <v>0.62398338327240066</v>
      </c>
      <c r="DK64" s="14">
        <f t="shared" si="375"/>
        <v>0.62630397884391675</v>
      </c>
      <c r="DL64" s="14">
        <f t="shared" si="375"/>
        <v>0.61221565466595029</v>
      </c>
      <c r="DM64" s="14">
        <f t="shared" si="375"/>
        <v>0.63104520205880854</v>
      </c>
      <c r="DN64" s="14">
        <f t="shared" si="375"/>
        <v>0.14545454545454545</v>
      </c>
      <c r="DO64" s="14">
        <f t="shared" si="375"/>
        <v>0.48</v>
      </c>
      <c r="DP64" s="14" t="str">
        <f t="shared" si="375"/>
        <v/>
      </c>
      <c r="DQ64" s="14"/>
      <c r="DR64" s="14"/>
      <c r="DS64" s="14"/>
      <c r="DT64" s="14"/>
      <c r="DU64" s="14"/>
      <c r="DV64" s="14"/>
      <c r="DW64" s="14"/>
      <c r="DX64" s="14"/>
      <c r="DY64" s="14"/>
      <c r="ED64" s="429"/>
      <c r="EE64" s="23"/>
      <c r="EF64" s="23"/>
      <c r="EG64" s="23"/>
      <c r="EH64" s="14">
        <f>IF(EH39&lt;&gt;0,EH40/EH39,"0%")</f>
        <v>0.6333333333333333</v>
      </c>
      <c r="EI64" s="14">
        <f>IF(EI39&lt;&gt;0,EI40/EI39,"0%")</f>
        <v>0.48</v>
      </c>
      <c r="EJ64" s="14">
        <f>IF(EJ39&lt;&gt;0,EJ40/EJ39,"0%")</f>
        <v>0.48</v>
      </c>
      <c r="EK64" s="24"/>
      <c r="EL64" s="47">
        <f t="shared" si="357"/>
        <v>0.6333333333333333</v>
      </c>
      <c r="EM64" s="47">
        <f t="shared" si="357"/>
        <v>0.48</v>
      </c>
      <c r="EN64" s="47">
        <f t="shared" si="357"/>
        <v>0.13384615384615384</v>
      </c>
      <c r="EO64" s="46" t="str">
        <f t="shared" si="363"/>
        <v>Ç</v>
      </c>
      <c r="EP64" s="46" t="str">
        <f t="shared" si="363"/>
        <v>Ç</v>
      </c>
      <c r="EQ64" s="2" t="e">
        <f t="shared" si="358"/>
        <v>#DIV/0!</v>
      </c>
      <c r="ER64" s="2" t="e">
        <f t="shared" si="358"/>
        <v>#DIV/0!</v>
      </c>
      <c r="ES64" s="2">
        <f t="shared" si="358"/>
        <v>1</v>
      </c>
    </row>
    <row r="65" spans="1:162">
      <c r="A65" s="6" t="s">
        <v>23</v>
      </c>
      <c r="B65" s="2" t="s">
        <v>28</v>
      </c>
      <c r="C65" s="3" t="s">
        <v>82</v>
      </c>
      <c r="E65" s="3" t="str">
        <f>C45</f>
        <v>AColCash</v>
      </c>
      <c r="F65" s="4" t="s">
        <v>31</v>
      </c>
      <c r="G65" s="28" t="str">
        <f>C46</f>
        <v>AFSFunds</v>
      </c>
      <c r="H65" s="28"/>
      <c r="I65" s="28"/>
      <c r="J65" s="62" t="str">
        <f t="shared" ref="J65:AJ65" si="376">IF(J46&lt;&gt;0,J45/J46,"")</f>
        <v/>
      </c>
      <c r="K65" s="62" t="str">
        <f t="shared" si="376"/>
        <v/>
      </c>
      <c r="L65" s="62">
        <f t="shared" si="376"/>
        <v>0.42964784678980694</v>
      </c>
      <c r="M65" s="62">
        <f t="shared" si="376"/>
        <v>0.42964784678980694</v>
      </c>
      <c r="N65" s="62">
        <f t="shared" si="376"/>
        <v>0.42964784678980694</v>
      </c>
      <c r="O65" s="62">
        <f t="shared" si="376"/>
        <v>0.4296505446112372</v>
      </c>
      <c r="P65" s="62">
        <f t="shared" si="376"/>
        <v>0.61573527452586552</v>
      </c>
      <c r="Q65" s="62">
        <f t="shared" si="376"/>
        <v>0.61572091099754822</v>
      </c>
      <c r="R65" s="62">
        <f t="shared" si="376"/>
        <v>0.61572091099754822</v>
      </c>
      <c r="S65" s="62">
        <f t="shared" si="376"/>
        <v>0.61572091099754822</v>
      </c>
      <c r="T65" s="62">
        <f t="shared" si="376"/>
        <v>0.61572091099754822</v>
      </c>
      <c r="U65" s="62">
        <f t="shared" si="376"/>
        <v>0.61572091099754822</v>
      </c>
      <c r="V65" s="62" t="str">
        <f t="shared" si="376"/>
        <v/>
      </c>
      <c r="W65" s="62" t="str">
        <f t="shared" si="376"/>
        <v/>
      </c>
      <c r="X65" s="62" t="str">
        <f t="shared" si="376"/>
        <v/>
      </c>
      <c r="Y65" s="62" t="str">
        <f t="shared" si="376"/>
        <v/>
      </c>
      <c r="Z65" s="62" t="str">
        <f t="shared" si="376"/>
        <v/>
      </c>
      <c r="AA65" s="62" t="str">
        <f t="shared" si="376"/>
        <v/>
      </c>
      <c r="AB65" s="62">
        <f t="shared" si="376"/>
        <v>0.45754698233562319</v>
      </c>
      <c r="AC65" s="62" t="str">
        <f t="shared" si="376"/>
        <v/>
      </c>
      <c r="AD65" s="62" t="str">
        <f t="shared" si="376"/>
        <v/>
      </c>
      <c r="AE65" s="62" t="str">
        <f t="shared" si="376"/>
        <v/>
      </c>
      <c r="AF65" s="62" t="str">
        <f t="shared" si="376"/>
        <v/>
      </c>
      <c r="AG65" s="62">
        <f t="shared" si="376"/>
        <v>1.4783110720893273</v>
      </c>
      <c r="AH65" s="62">
        <f t="shared" si="376"/>
        <v>0.47831107208932722</v>
      </c>
      <c r="AI65" s="62" t="str">
        <f t="shared" si="376"/>
        <v/>
      </c>
      <c r="AJ65" s="62" t="str">
        <f t="shared" si="376"/>
        <v/>
      </c>
      <c r="AK65" s="412"/>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412"/>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412"/>
      <c r="CP65" s="14" t="str">
        <f t="shared" ref="CP65:DP65" si="377">IF(CP46&lt;&gt;0,CP45/CP46,"")</f>
        <v/>
      </c>
      <c r="CQ65" s="14" t="str">
        <f t="shared" si="377"/>
        <v/>
      </c>
      <c r="CR65" s="14">
        <f t="shared" si="377"/>
        <v>0.42964784678980694</v>
      </c>
      <c r="CS65" s="14">
        <f t="shared" si="377"/>
        <v>0.42964784678980694</v>
      </c>
      <c r="CT65" s="14">
        <f t="shared" si="377"/>
        <v>0.42964784678980694</v>
      </c>
      <c r="CU65" s="14">
        <f t="shared" si="377"/>
        <v>0.4296505446112372</v>
      </c>
      <c r="CV65" s="14">
        <f t="shared" si="377"/>
        <v>0.61573527452586552</v>
      </c>
      <c r="CW65" s="14">
        <f t="shared" si="377"/>
        <v>0.61572091099754822</v>
      </c>
      <c r="CX65" s="14">
        <f t="shared" si="377"/>
        <v>0.61572091099754822</v>
      </c>
      <c r="CY65" s="14">
        <f t="shared" si="377"/>
        <v>0.61572091099754822</v>
      </c>
      <c r="CZ65" s="14">
        <f t="shared" si="377"/>
        <v>0.61572091099754822</v>
      </c>
      <c r="DA65" s="14">
        <f t="shared" si="377"/>
        <v>0.61572091099754822</v>
      </c>
      <c r="DB65" s="14" t="str">
        <f t="shared" si="377"/>
        <v/>
      </c>
      <c r="DC65" s="14" t="str">
        <f t="shared" si="377"/>
        <v/>
      </c>
      <c r="DD65" s="14" t="str">
        <f t="shared" si="377"/>
        <v/>
      </c>
      <c r="DE65" s="14" t="str">
        <f t="shared" si="377"/>
        <v/>
      </c>
      <c r="DF65" s="14" t="str">
        <f t="shared" si="377"/>
        <v/>
      </c>
      <c r="DG65" s="14" t="str">
        <f t="shared" si="377"/>
        <v/>
      </c>
      <c r="DH65" s="14">
        <f t="shared" si="377"/>
        <v>0.45754698233562319</v>
      </c>
      <c r="DI65" s="14" t="str">
        <f t="shared" si="377"/>
        <v/>
      </c>
      <c r="DJ65" s="14" t="str">
        <f t="shared" si="377"/>
        <v/>
      </c>
      <c r="DK65" s="14" t="str">
        <f t="shared" si="377"/>
        <v/>
      </c>
      <c r="DL65" s="14" t="str">
        <f t="shared" si="377"/>
        <v/>
      </c>
      <c r="DM65" s="14">
        <f t="shared" si="377"/>
        <v>1.4783110720893273</v>
      </c>
      <c r="DN65" s="14">
        <f t="shared" si="377"/>
        <v>0.47831107208932722</v>
      </c>
      <c r="DO65" s="14" t="str">
        <f t="shared" si="377"/>
        <v/>
      </c>
      <c r="DP65" s="14" t="str">
        <f t="shared" si="377"/>
        <v/>
      </c>
      <c r="DQ65" s="14"/>
      <c r="DR65" s="14"/>
      <c r="DS65" s="14"/>
      <c r="DT65" s="14"/>
      <c r="DU65" s="14"/>
      <c r="DV65" s="14"/>
      <c r="DW65" s="14"/>
      <c r="DX65" s="14"/>
      <c r="DY65" s="14"/>
      <c r="ED65" s="429"/>
      <c r="EE65" s="23"/>
      <c r="EF65" s="23"/>
      <c r="EG65" s="23"/>
      <c r="EH65" s="24" t="s">
        <v>97</v>
      </c>
      <c r="EI65" s="24" t="s">
        <v>97</v>
      </c>
      <c r="EJ65" s="14" t="str">
        <f>IF(EJ46&lt;&gt;0,EJ45/EJ46,"0%")</f>
        <v>0%</v>
      </c>
      <c r="EK65" s="24"/>
      <c r="EL65" s="24" t="s">
        <v>97</v>
      </c>
      <c r="EM65" s="24" t="s">
        <v>97</v>
      </c>
      <c r="EN65" s="47">
        <f>IF(EJ65="","",+EJ65-EG58)</f>
        <v>-0.5048209028459274</v>
      </c>
      <c r="EO65" s="100" t="s">
        <v>97</v>
      </c>
      <c r="EP65" s="100" t="s">
        <v>97</v>
      </c>
      <c r="EQ65" s="24" t="s">
        <v>97</v>
      </c>
      <c r="ER65" s="24" t="s">
        <v>97</v>
      </c>
      <c r="ES65" s="2">
        <f>IF(EJ65/EG58&gt;=0.9,1,IF(EJ65/EG58&lt;0.75,3,2))</f>
        <v>3</v>
      </c>
    </row>
    <row r="66" spans="1:162">
      <c r="ED66" s="429"/>
      <c r="EE66" s="23"/>
      <c r="EF66" s="23"/>
      <c r="EG66" s="23"/>
      <c r="EH66" s="23"/>
      <c r="EI66" s="23"/>
      <c r="EJ66" s="23"/>
      <c r="EK66" s="23"/>
    </row>
    <row r="67" spans="1:162" ht="13.5" thickBot="1">
      <c r="A67" s="6" t="s">
        <v>167</v>
      </c>
      <c r="C67" s="3" t="s">
        <v>168</v>
      </c>
      <c r="E67" s="107">
        <f>I67</f>
        <v>40391</v>
      </c>
      <c r="G67" s="132" t="s">
        <v>161</v>
      </c>
      <c r="I67" s="107">
        <f>$I$1</f>
        <v>40391</v>
      </c>
      <c r="J67" s="669" t="s">
        <v>95</v>
      </c>
      <c r="K67" s="669"/>
      <c r="L67" s="669"/>
      <c r="M67" s="669"/>
      <c r="N67" s="669"/>
      <c r="O67" s="669"/>
      <c r="P67" s="669"/>
      <c r="Q67" s="669"/>
      <c r="R67" s="669"/>
      <c r="S67" s="669"/>
      <c r="T67" s="669"/>
      <c r="U67" s="669"/>
      <c r="V67" s="669"/>
      <c r="W67" s="669"/>
      <c r="X67" s="669"/>
      <c r="Y67" s="669"/>
      <c r="Z67" s="669"/>
      <c r="AA67" s="669"/>
      <c r="AB67" s="669"/>
      <c r="AC67" s="669"/>
      <c r="AD67" s="669"/>
      <c r="AE67" s="669"/>
      <c r="AF67" s="669"/>
      <c r="AG67" s="669"/>
      <c r="AH67" s="669"/>
      <c r="AI67" s="669"/>
      <c r="AJ67" s="669"/>
      <c r="AL67" s="669" t="s">
        <v>115</v>
      </c>
      <c r="AM67" s="669"/>
      <c r="AN67" s="669"/>
      <c r="AO67" s="669"/>
      <c r="AP67" s="669"/>
      <c r="AQ67" s="669"/>
      <c r="AR67" s="669"/>
      <c r="AS67" s="669"/>
      <c r="AT67" s="669"/>
      <c r="AU67" s="669"/>
      <c r="AV67" s="669"/>
      <c r="AW67" s="669"/>
      <c r="AX67" s="669"/>
      <c r="AY67" s="669"/>
      <c r="AZ67" s="669"/>
      <c r="BA67" s="669"/>
      <c r="BB67" s="669"/>
      <c r="BC67" s="669"/>
      <c r="BD67" s="669"/>
      <c r="BE67" s="669"/>
      <c r="BF67" s="669"/>
      <c r="BG67" s="669"/>
      <c r="BH67" s="669"/>
      <c r="BI67" s="669"/>
      <c r="BJ67" s="669"/>
      <c r="BK67" s="669"/>
      <c r="BL67" s="669"/>
      <c r="BN67" s="669" t="s">
        <v>116</v>
      </c>
      <c r="BO67" s="669"/>
      <c r="BP67" s="669"/>
      <c r="BQ67" s="669"/>
      <c r="BR67" s="669"/>
      <c r="BS67" s="669"/>
      <c r="BT67" s="669"/>
      <c r="BU67" s="669"/>
      <c r="BV67" s="669"/>
      <c r="BW67" s="669"/>
      <c r="BX67" s="669"/>
      <c r="BY67" s="669"/>
      <c r="BZ67" s="669"/>
      <c r="CA67" s="669"/>
      <c r="CB67" s="669"/>
      <c r="CC67" s="669"/>
      <c r="CD67" s="669"/>
      <c r="CE67" s="669"/>
      <c r="CF67" s="669"/>
      <c r="CG67" s="669"/>
      <c r="CH67" s="669"/>
      <c r="CI67" s="669"/>
      <c r="CJ67" s="669"/>
      <c r="CK67" s="669"/>
      <c r="CL67" s="669"/>
      <c r="CM67" s="669"/>
      <c r="CN67" s="669"/>
      <c r="CP67" s="669" t="s">
        <v>117</v>
      </c>
      <c r="CQ67" s="669"/>
      <c r="CR67" s="669"/>
      <c r="CS67" s="669"/>
      <c r="CT67" s="669"/>
      <c r="CU67" s="669"/>
      <c r="CV67" s="669"/>
      <c r="CW67" s="669"/>
      <c r="CX67" s="669"/>
      <c r="CY67" s="669"/>
      <c r="CZ67" s="669"/>
      <c r="DA67" s="669"/>
      <c r="DB67" s="669"/>
      <c r="DC67" s="669"/>
      <c r="DD67" s="669"/>
      <c r="DE67" s="669"/>
      <c r="DF67" s="669"/>
      <c r="DG67" s="669"/>
      <c r="DH67" s="669"/>
      <c r="DI67" s="669"/>
      <c r="DJ67" s="669"/>
      <c r="DK67" s="669"/>
      <c r="DL67" s="669"/>
      <c r="DM67" s="669"/>
      <c r="DN67" s="669"/>
      <c r="DO67" s="669"/>
      <c r="DP67" s="669"/>
      <c r="DQ67" s="578"/>
      <c r="DR67" s="578"/>
      <c r="DS67" s="578"/>
      <c r="DT67" s="578"/>
      <c r="DU67" s="578"/>
      <c r="DV67" s="578"/>
      <c r="DW67" s="578"/>
      <c r="DX67" s="578"/>
      <c r="DY67" s="578"/>
      <c r="DZ67" s="670" t="s">
        <v>118</v>
      </c>
      <c r="EA67" s="671"/>
      <c r="EB67" s="672"/>
      <c r="EC67" s="579"/>
      <c r="ED67" s="427"/>
      <c r="EE67" s="669" t="s">
        <v>112</v>
      </c>
      <c r="EF67" s="669"/>
      <c r="EG67" s="669"/>
      <c r="EH67" s="669" t="s">
        <v>111</v>
      </c>
      <c r="EI67" s="669"/>
      <c r="EJ67" s="669"/>
      <c r="EK67" s="45">
        <f>IF(MONTH(I67)&gt;9,MONTH(I67)-9,MONTH(I67)+3)</f>
        <v>11</v>
      </c>
      <c r="EL67" s="673" t="s">
        <v>119</v>
      </c>
      <c r="EM67" s="674"/>
      <c r="EN67" s="674"/>
      <c r="EO67" s="674"/>
      <c r="EP67" s="674"/>
      <c r="EQ67" s="674"/>
      <c r="ER67" s="674"/>
      <c r="ES67" s="674"/>
    </row>
    <row r="68" spans="1:162" ht="26.25" thickBot="1">
      <c r="A68" s="665" t="s">
        <v>19</v>
      </c>
      <c r="B68" s="665"/>
      <c r="C68" s="8" t="s">
        <v>34</v>
      </c>
      <c r="D68" s="9"/>
      <c r="E68" s="10" t="s">
        <v>93</v>
      </c>
      <c r="F68" s="1"/>
      <c r="G68" s="17" t="s">
        <v>90</v>
      </c>
      <c r="H68" s="1"/>
      <c r="I68" s="1" t="s">
        <v>96</v>
      </c>
      <c r="J68" s="13">
        <v>39630</v>
      </c>
      <c r="K68" s="13">
        <v>39661</v>
      </c>
      <c r="L68" s="13">
        <v>39692</v>
      </c>
      <c r="M68" s="13">
        <v>39722</v>
      </c>
      <c r="N68" s="13">
        <v>39753</v>
      </c>
      <c r="O68" s="13">
        <v>39783</v>
      </c>
      <c r="P68" s="13">
        <v>39814</v>
      </c>
      <c r="Q68" s="13">
        <v>39845</v>
      </c>
      <c r="R68" s="13">
        <v>39873</v>
      </c>
      <c r="S68" s="13">
        <v>39904</v>
      </c>
      <c r="T68" s="13">
        <v>39934</v>
      </c>
      <c r="U68" s="13">
        <v>39965</v>
      </c>
      <c r="V68" s="13">
        <v>39995</v>
      </c>
      <c r="W68" s="13">
        <v>40026</v>
      </c>
      <c r="X68" s="13">
        <v>40057</v>
      </c>
      <c r="Y68" s="13">
        <v>40087</v>
      </c>
      <c r="Z68" s="13">
        <v>40118</v>
      </c>
      <c r="AA68" s="13">
        <v>40148</v>
      </c>
      <c r="AB68" s="13">
        <v>40179</v>
      </c>
      <c r="AC68" s="13">
        <v>40210</v>
      </c>
      <c r="AD68" s="13">
        <v>40238</v>
      </c>
      <c r="AE68" s="13">
        <v>40269</v>
      </c>
      <c r="AF68" s="13">
        <v>40299</v>
      </c>
      <c r="AG68" s="13">
        <v>40330</v>
      </c>
      <c r="AH68" s="13">
        <v>40360</v>
      </c>
      <c r="AI68" s="13">
        <v>40391</v>
      </c>
      <c r="AJ68" s="13">
        <v>40422</v>
      </c>
      <c r="AK68" s="406"/>
      <c r="AL68" s="13">
        <v>39630</v>
      </c>
      <c r="AM68" s="13">
        <v>39661</v>
      </c>
      <c r="AN68" s="13">
        <v>39692</v>
      </c>
      <c r="AO68" s="13">
        <v>39722</v>
      </c>
      <c r="AP68" s="13">
        <v>39753</v>
      </c>
      <c r="AQ68" s="13">
        <v>39783</v>
      </c>
      <c r="AR68" s="13">
        <v>39814</v>
      </c>
      <c r="AS68" s="13">
        <v>39845</v>
      </c>
      <c r="AT68" s="13">
        <v>39873</v>
      </c>
      <c r="AU68" s="13">
        <v>39904</v>
      </c>
      <c r="AV68" s="13">
        <v>39934</v>
      </c>
      <c r="AW68" s="13">
        <v>39965</v>
      </c>
      <c r="AX68" s="13">
        <v>39995</v>
      </c>
      <c r="AY68" s="13">
        <v>40026</v>
      </c>
      <c r="AZ68" s="13">
        <v>40057</v>
      </c>
      <c r="BA68" s="13">
        <v>40087</v>
      </c>
      <c r="BB68" s="13">
        <v>40118</v>
      </c>
      <c r="BC68" s="13">
        <v>40148</v>
      </c>
      <c r="BD68" s="13">
        <v>40179</v>
      </c>
      <c r="BE68" s="13">
        <v>40210</v>
      </c>
      <c r="BF68" s="13">
        <v>40238</v>
      </c>
      <c r="BG68" s="13">
        <v>40269</v>
      </c>
      <c r="BH68" s="13">
        <v>40299</v>
      </c>
      <c r="BI68" s="13">
        <v>40330</v>
      </c>
      <c r="BJ68" s="13">
        <v>40360</v>
      </c>
      <c r="BK68" s="13">
        <v>40391</v>
      </c>
      <c r="BL68" s="13">
        <v>40422</v>
      </c>
      <c r="BM68" s="406"/>
      <c r="BN68" s="13">
        <v>39630</v>
      </c>
      <c r="BO68" s="13">
        <v>39661</v>
      </c>
      <c r="BP68" s="13">
        <v>39692</v>
      </c>
      <c r="BQ68" s="13">
        <v>39722</v>
      </c>
      <c r="BR68" s="13">
        <v>39753</v>
      </c>
      <c r="BS68" s="13">
        <v>39783</v>
      </c>
      <c r="BT68" s="13">
        <v>39814</v>
      </c>
      <c r="BU68" s="13">
        <v>39845</v>
      </c>
      <c r="BV68" s="13">
        <v>39873</v>
      </c>
      <c r="BW68" s="13">
        <v>39904</v>
      </c>
      <c r="BX68" s="13">
        <v>39934</v>
      </c>
      <c r="BY68" s="13">
        <v>39965</v>
      </c>
      <c r="BZ68" s="13">
        <v>39995</v>
      </c>
      <c r="CA68" s="13">
        <v>40026</v>
      </c>
      <c r="CB68" s="13">
        <v>40057</v>
      </c>
      <c r="CC68" s="13">
        <v>40087</v>
      </c>
      <c r="CD68" s="13">
        <v>40118</v>
      </c>
      <c r="CE68" s="13">
        <v>40148</v>
      </c>
      <c r="CF68" s="13">
        <v>40179</v>
      </c>
      <c r="CG68" s="13">
        <v>40210</v>
      </c>
      <c r="CH68" s="13">
        <v>40238</v>
      </c>
      <c r="CI68" s="13">
        <v>40269</v>
      </c>
      <c r="CJ68" s="13">
        <v>40299</v>
      </c>
      <c r="CK68" s="13">
        <v>40330</v>
      </c>
      <c r="CL68" s="13">
        <v>40360</v>
      </c>
      <c r="CM68" s="13">
        <v>40391</v>
      </c>
      <c r="CN68" s="13">
        <v>40422</v>
      </c>
      <c r="CO68" s="420"/>
      <c r="CP68" s="13">
        <v>39630</v>
      </c>
      <c r="CQ68" s="13">
        <v>39661</v>
      </c>
      <c r="CR68" s="13">
        <v>39692</v>
      </c>
      <c r="CS68" s="13">
        <v>39722</v>
      </c>
      <c r="CT68" s="13">
        <v>39753</v>
      </c>
      <c r="CU68" s="13">
        <v>39783</v>
      </c>
      <c r="CV68" s="13">
        <v>39814</v>
      </c>
      <c r="CW68" s="13">
        <v>39845</v>
      </c>
      <c r="CX68" s="13">
        <v>39873</v>
      </c>
      <c r="CY68" s="13">
        <v>39904</v>
      </c>
      <c r="CZ68" s="13">
        <v>39934</v>
      </c>
      <c r="DA68" s="13">
        <v>39965</v>
      </c>
      <c r="DB68" s="13">
        <v>39995</v>
      </c>
      <c r="DC68" s="13">
        <v>40026</v>
      </c>
      <c r="DD68" s="13">
        <v>40057</v>
      </c>
      <c r="DE68" s="13">
        <v>40087</v>
      </c>
      <c r="DF68" s="13">
        <v>40118</v>
      </c>
      <c r="DG68" s="13">
        <v>40148</v>
      </c>
      <c r="DH68" s="13">
        <v>40179</v>
      </c>
      <c r="DI68" s="13">
        <v>40210</v>
      </c>
      <c r="DJ68" s="13">
        <v>40238</v>
      </c>
      <c r="DK68" s="13">
        <v>40269</v>
      </c>
      <c r="DL68" s="13">
        <v>40299</v>
      </c>
      <c r="DM68" s="13">
        <v>40330</v>
      </c>
      <c r="DN68" s="13">
        <v>40360</v>
      </c>
      <c r="DO68" s="13">
        <v>40391</v>
      </c>
      <c r="DP68" s="13">
        <v>40422</v>
      </c>
      <c r="DQ68" s="580"/>
      <c r="DR68" s="580"/>
      <c r="DS68" s="580"/>
      <c r="DT68" s="580"/>
      <c r="DU68" s="580"/>
      <c r="DV68" s="580"/>
      <c r="DW68" s="580"/>
      <c r="DX68" s="580"/>
      <c r="DY68" s="580"/>
      <c r="DZ68" s="1">
        <v>2008</v>
      </c>
      <c r="EA68" s="135">
        <v>2009</v>
      </c>
      <c r="EB68" s="135">
        <v>2010</v>
      </c>
      <c r="EC68" s="577"/>
      <c r="ED68" s="428"/>
      <c r="EE68" s="115" t="s">
        <v>89</v>
      </c>
      <c r="EF68" s="115" t="s">
        <v>110</v>
      </c>
      <c r="EG68" s="115" t="s">
        <v>128</v>
      </c>
      <c r="EH68" s="115" t="s">
        <v>89</v>
      </c>
      <c r="EI68" s="115" t="s">
        <v>110</v>
      </c>
      <c r="EJ68" s="115" t="s">
        <v>91</v>
      </c>
      <c r="EK68" s="45">
        <f>IF(MONTH(I67)&gt;6,MONTH(I67)-6,MONTH(I67)+6)</f>
        <v>2</v>
      </c>
      <c r="EL68" s="115" t="s">
        <v>124</v>
      </c>
      <c r="EM68" s="115" t="s">
        <v>125</v>
      </c>
      <c r="EN68" s="115" t="s">
        <v>126</v>
      </c>
      <c r="EO68" s="115" t="s">
        <v>122</v>
      </c>
      <c r="EP68" s="115" t="s">
        <v>123</v>
      </c>
      <c r="EQ68" s="115" t="s">
        <v>120</v>
      </c>
      <c r="ER68" s="115" t="s">
        <v>127</v>
      </c>
      <c r="ES68" s="115" t="s">
        <v>121</v>
      </c>
    </row>
    <row r="69" spans="1:162">
      <c r="A69" s="36" t="s">
        <v>20</v>
      </c>
      <c r="B69" s="36"/>
      <c r="C69" s="37"/>
      <c r="D69" s="37"/>
      <c r="E69" s="37"/>
      <c r="F69" s="37"/>
      <c r="G69" s="37"/>
      <c r="H69" s="37"/>
      <c r="I69" s="37"/>
      <c r="J69" s="38"/>
      <c r="K69" s="38"/>
      <c r="L69" s="10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407"/>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407"/>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407"/>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7"/>
      <c r="EA69" s="37"/>
      <c r="EB69" s="37"/>
      <c r="EC69" s="37"/>
      <c r="ED69" s="408"/>
      <c r="EE69" s="40"/>
      <c r="EF69" s="37"/>
      <c r="EG69" s="37"/>
      <c r="EH69" s="37"/>
      <c r="EI69" s="110" t="s">
        <v>155</v>
      </c>
      <c r="EJ69" s="110">
        <f>IF(I67&lt;M68,2008,IF(AND(I67&gt;=M68,I67&lt;=X68),2009,2010))</f>
        <v>2010</v>
      </c>
      <c r="EK69" s="40"/>
      <c r="EL69" s="37"/>
      <c r="EM69" s="37"/>
      <c r="EN69" s="37"/>
      <c r="EO69" s="37"/>
      <c r="EP69" s="37"/>
      <c r="EQ69" s="37"/>
      <c r="ER69" s="37"/>
      <c r="ES69" s="37"/>
    </row>
    <row r="70" spans="1:162">
      <c r="A70" s="134" t="s">
        <v>22</v>
      </c>
      <c r="B70" s="2" t="s">
        <v>0</v>
      </c>
      <c r="C70" s="3" t="s">
        <v>35</v>
      </c>
      <c r="E70" s="3" t="s">
        <v>16</v>
      </c>
      <c r="F70" s="1"/>
      <c r="G70" s="1" t="s">
        <v>91</v>
      </c>
      <c r="H70" s="1"/>
      <c r="I70" s="18">
        <v>90</v>
      </c>
      <c r="J70" s="21">
        <f>I70+10</f>
        <v>100</v>
      </c>
      <c r="K70" s="21">
        <f>J70+10</f>
        <v>110</v>
      </c>
      <c r="L70" s="21">
        <f>K70+10</f>
        <v>120</v>
      </c>
      <c r="M70" s="20">
        <v>6.0833300000000001</v>
      </c>
      <c r="N70" s="19">
        <f t="shared" ref="N70:X70" si="378">+M70+12.5</f>
        <v>18.58333</v>
      </c>
      <c r="O70" s="19">
        <f t="shared" si="378"/>
        <v>31.08333</v>
      </c>
      <c r="P70" s="19">
        <f t="shared" si="378"/>
        <v>43.583330000000004</v>
      </c>
      <c r="Q70" s="19">
        <f t="shared" si="378"/>
        <v>56.083330000000004</v>
      </c>
      <c r="R70" s="19">
        <f t="shared" si="378"/>
        <v>68.583330000000004</v>
      </c>
      <c r="S70" s="19">
        <f t="shared" si="378"/>
        <v>81.083330000000004</v>
      </c>
      <c r="T70" s="19">
        <f t="shared" si="378"/>
        <v>93.583330000000004</v>
      </c>
      <c r="U70" s="19">
        <f t="shared" si="378"/>
        <v>106.08333</v>
      </c>
      <c r="V70" s="19">
        <f t="shared" si="378"/>
        <v>118.58333</v>
      </c>
      <c r="W70" s="19">
        <f t="shared" si="378"/>
        <v>131.08332999999999</v>
      </c>
      <c r="X70" s="19">
        <f t="shared" si="378"/>
        <v>143.58332999999999</v>
      </c>
      <c r="Y70" s="219">
        <f>ROUND(Z70/2,0)</f>
        <v>11</v>
      </c>
      <c r="Z70" s="246">
        <f>AA70-(AB70-AA70)</f>
        <v>21</v>
      </c>
      <c r="AA70" s="246">
        <f>AB70-(AC70-AB70)</f>
        <v>31</v>
      </c>
      <c r="AB70" s="246">
        <f>AC70-(AD70-AC70)</f>
        <v>41</v>
      </c>
      <c r="AC70" s="246">
        <f>AD70-(AE70-AD70)</f>
        <v>51</v>
      </c>
      <c r="AD70" s="246">
        <f>AE70-(AF70-AE70)</f>
        <v>61</v>
      </c>
      <c r="AE70" s="246">
        <f t="shared" ref="AE70:AH74" si="379">AF70-(AG70-AF70)</f>
        <v>71</v>
      </c>
      <c r="AF70" s="246">
        <f t="shared" si="379"/>
        <v>81</v>
      </c>
      <c r="AG70" s="246">
        <f t="shared" si="379"/>
        <v>91</v>
      </c>
      <c r="AH70" s="246">
        <f t="shared" si="379"/>
        <v>101</v>
      </c>
      <c r="AI70" s="246">
        <f>-ROUND(AJ70/12,0)+AJ70</f>
        <v>111</v>
      </c>
      <c r="AJ70" s="246">
        <v>121</v>
      </c>
      <c r="AK70" s="408"/>
      <c r="AL70" s="48">
        <f>J70-I70</f>
        <v>10</v>
      </c>
      <c r="AM70" s="48">
        <f t="shared" ref="AM70:AM76" si="380">K70-J70</f>
        <v>10</v>
      </c>
      <c r="AN70" s="48">
        <f t="shared" ref="AN70:AN76" si="381">L70-K70</f>
        <v>10</v>
      </c>
      <c r="AO70" s="48">
        <f>M70</f>
        <v>6.0833300000000001</v>
      </c>
      <c r="AP70" s="48">
        <f t="shared" ref="AP70:AP76" si="382">N70-M70</f>
        <v>12.5</v>
      </c>
      <c r="AQ70" s="48">
        <f t="shared" ref="AQ70:AQ76" si="383">O70-N70</f>
        <v>12.5</v>
      </c>
      <c r="AR70" s="48">
        <f t="shared" ref="AR70:AR76" si="384">P70-O70</f>
        <v>12.500000000000004</v>
      </c>
      <c r="AS70" s="48">
        <f t="shared" ref="AS70:AS76" si="385">Q70-P70</f>
        <v>12.5</v>
      </c>
      <c r="AT70" s="48">
        <f t="shared" ref="AT70:AT76" si="386">R70-Q70</f>
        <v>12.5</v>
      </c>
      <c r="AU70" s="48">
        <f t="shared" ref="AU70:AU76" si="387">S70-R70</f>
        <v>12.5</v>
      </c>
      <c r="AV70" s="48">
        <f t="shared" ref="AV70:AV76" si="388">T70-S70</f>
        <v>12.5</v>
      </c>
      <c r="AW70" s="48">
        <f t="shared" ref="AW70:AW76" si="389">U70-T70</f>
        <v>12.5</v>
      </c>
      <c r="AX70" s="48">
        <f>V70-U70</f>
        <v>12.5</v>
      </c>
      <c r="AY70" s="48">
        <f t="shared" ref="AY70:AY76" si="390">W70-V70</f>
        <v>12.499999999999986</v>
      </c>
      <c r="AZ70" s="48">
        <f t="shared" ref="AZ70:AZ76" si="391">X70-W70</f>
        <v>12.5</v>
      </c>
      <c r="BA70" s="48">
        <f>Y70</f>
        <v>11</v>
      </c>
      <c r="BB70" s="48">
        <f t="shared" ref="BB70:BB76" si="392">Z70-Y70</f>
        <v>10</v>
      </c>
      <c r="BC70" s="48">
        <f t="shared" ref="BC70:BC76" si="393">AA70-Z70</f>
        <v>10</v>
      </c>
      <c r="BD70" s="48">
        <f t="shared" ref="BD70:BD76" si="394">AB70-AA70</f>
        <v>10</v>
      </c>
      <c r="BE70" s="48">
        <f t="shared" ref="BE70:BE76" si="395">AC70-AB70</f>
        <v>10</v>
      </c>
      <c r="BF70" s="48">
        <f t="shared" ref="BF70:BF76" si="396">AD70-AC70</f>
        <v>10</v>
      </c>
      <c r="BG70" s="48">
        <f t="shared" ref="BG70:BG76" si="397">AE70-AD70</f>
        <v>10</v>
      </c>
      <c r="BH70" s="48">
        <f t="shared" ref="BH70:BH76" si="398">AF70-AE70</f>
        <v>10</v>
      </c>
      <c r="BI70" s="48">
        <f t="shared" ref="BI70:BI76" si="399">AG70-AF70</f>
        <v>10</v>
      </c>
      <c r="BJ70" s="48">
        <f t="shared" ref="BJ70:BL74" si="400">AH70-AG70</f>
        <v>10</v>
      </c>
      <c r="BK70" s="48">
        <f t="shared" si="400"/>
        <v>10</v>
      </c>
      <c r="BL70" s="48">
        <f t="shared" si="400"/>
        <v>10</v>
      </c>
      <c r="BM70" s="408"/>
      <c r="BN70" s="48">
        <f>BP70</f>
        <v>30</v>
      </c>
      <c r="BO70" s="48">
        <f>BP70</f>
        <v>30</v>
      </c>
      <c r="BP70" s="48">
        <f>SUM(AL70:AN70)</f>
        <v>30</v>
      </c>
      <c r="BQ70" s="48">
        <f>BS70</f>
        <v>31.08333</v>
      </c>
      <c r="BR70" s="48">
        <f>BS70</f>
        <v>31.08333</v>
      </c>
      <c r="BS70" s="48">
        <f>SUM(AO70:AQ70)</f>
        <v>31.08333</v>
      </c>
      <c r="BT70" s="48">
        <f>BV70</f>
        <v>37.5</v>
      </c>
      <c r="BU70" s="48">
        <f>BV70</f>
        <v>37.5</v>
      </c>
      <c r="BV70" s="48">
        <f>SUM(AR70:AT70)</f>
        <v>37.5</v>
      </c>
      <c r="BW70" s="48">
        <f>BY70</f>
        <v>37.5</v>
      </c>
      <c r="BX70" s="48">
        <f>BY70</f>
        <v>37.5</v>
      </c>
      <c r="BY70" s="48">
        <f>SUM(AU70:AW70)</f>
        <v>37.5</v>
      </c>
      <c r="BZ70" s="48">
        <f>CB70</f>
        <v>37.499999999999986</v>
      </c>
      <c r="CA70" s="48">
        <f>CB70</f>
        <v>37.499999999999986</v>
      </c>
      <c r="CB70" s="48">
        <f>SUM(AX70:AZ70)</f>
        <v>37.499999999999986</v>
      </c>
      <c r="CC70" s="48">
        <f>CE70</f>
        <v>31</v>
      </c>
      <c r="CD70" s="48">
        <f>CE70</f>
        <v>31</v>
      </c>
      <c r="CE70" s="48">
        <f>SUM(BA70:BC70)</f>
        <v>31</v>
      </c>
      <c r="CF70" s="48">
        <f>CH70</f>
        <v>30</v>
      </c>
      <c r="CG70" s="48">
        <f>CH70</f>
        <v>30</v>
      </c>
      <c r="CH70" s="48">
        <f>SUM(BD70:BF70)</f>
        <v>30</v>
      </c>
      <c r="CI70" s="48">
        <f>CK70</f>
        <v>30</v>
      </c>
      <c r="CJ70" s="48">
        <f>CK70</f>
        <v>30</v>
      </c>
      <c r="CK70" s="48">
        <f>SUM(BG70:BI70)</f>
        <v>30</v>
      </c>
      <c r="CL70" s="48">
        <f>CN70</f>
        <v>30</v>
      </c>
      <c r="CM70" s="48">
        <f>CN70</f>
        <v>30</v>
      </c>
      <c r="CN70" s="48">
        <f>SUM(BJ70:BL70)</f>
        <v>30</v>
      </c>
      <c r="CO70" s="406"/>
      <c r="CP70" s="48">
        <f t="shared" ref="CP70:CR74" si="401">I70+AL70</f>
        <v>100</v>
      </c>
      <c r="CQ70" s="48">
        <f t="shared" si="401"/>
        <v>110</v>
      </c>
      <c r="CR70" s="48">
        <f t="shared" si="401"/>
        <v>120</v>
      </c>
      <c r="CS70" s="48">
        <f>AO70</f>
        <v>6.0833300000000001</v>
      </c>
      <c r="CT70" s="48">
        <f t="shared" ref="CT70:DD74" si="402">M70+AP70</f>
        <v>18.58333</v>
      </c>
      <c r="CU70" s="48">
        <f t="shared" si="402"/>
        <v>31.08333</v>
      </c>
      <c r="CV70" s="48">
        <f t="shared" si="402"/>
        <v>43.583330000000004</v>
      </c>
      <c r="CW70" s="48">
        <f t="shared" si="402"/>
        <v>56.083330000000004</v>
      </c>
      <c r="CX70" s="48">
        <f t="shared" si="402"/>
        <v>68.583330000000004</v>
      </c>
      <c r="CY70" s="48">
        <f t="shared" si="402"/>
        <v>81.083330000000004</v>
      </c>
      <c r="CZ70" s="48">
        <f t="shared" si="402"/>
        <v>93.583330000000004</v>
      </c>
      <c r="DA70" s="48">
        <f t="shared" si="402"/>
        <v>106.08333</v>
      </c>
      <c r="DB70" s="48">
        <f t="shared" si="402"/>
        <v>118.58333</v>
      </c>
      <c r="DC70" s="48">
        <f t="shared" si="402"/>
        <v>131.08332999999999</v>
      </c>
      <c r="DD70" s="48">
        <f t="shared" si="402"/>
        <v>143.58332999999999</v>
      </c>
      <c r="DE70" s="48">
        <f>+BA70</f>
        <v>11</v>
      </c>
      <c r="DF70" s="48">
        <f t="shared" ref="DF70:DP74" si="403">Y70+BB70</f>
        <v>21</v>
      </c>
      <c r="DG70" s="48">
        <f t="shared" si="403"/>
        <v>31</v>
      </c>
      <c r="DH70" s="48">
        <f t="shared" si="403"/>
        <v>41</v>
      </c>
      <c r="DI70" s="48">
        <f t="shared" si="403"/>
        <v>51</v>
      </c>
      <c r="DJ70" s="48">
        <f t="shared" si="403"/>
        <v>61</v>
      </c>
      <c r="DK70" s="48">
        <f t="shared" si="403"/>
        <v>71</v>
      </c>
      <c r="DL70" s="48">
        <f t="shared" si="403"/>
        <v>81</v>
      </c>
      <c r="DM70" s="48">
        <f t="shared" si="403"/>
        <v>91</v>
      </c>
      <c r="DN70" s="48">
        <f t="shared" si="403"/>
        <v>101</v>
      </c>
      <c r="DO70" s="48">
        <f t="shared" si="403"/>
        <v>111</v>
      </c>
      <c r="DP70" s="48">
        <f t="shared" si="403"/>
        <v>121</v>
      </c>
      <c r="DQ70" s="48"/>
      <c r="DR70" s="48"/>
      <c r="DS70" s="48"/>
      <c r="DT70" s="48"/>
      <c r="DU70" s="48"/>
      <c r="DV70" s="48"/>
      <c r="DW70" s="48"/>
      <c r="DX70" s="48"/>
      <c r="DY70" s="48"/>
      <c r="DZ70" s="1">
        <f>'Input &amp; Calc'!L70</f>
        <v>120</v>
      </c>
      <c r="EA70" s="49">
        <f>DD70</f>
        <v>143.58332999999999</v>
      </c>
      <c r="EB70" s="50">
        <f>DP70</f>
        <v>121</v>
      </c>
      <c r="EC70" s="50"/>
      <c r="ED70" s="408"/>
      <c r="EE70" s="51">
        <f t="shared" ref="EE70:EE85" si="404">HLOOKUP($I$1,Month,ROW()-1)</f>
        <v>10</v>
      </c>
      <c r="EF70" s="51">
        <f t="shared" ref="EF70:EF85" si="405">HLOOKUP($I$1,Qtr,ROW()-1)</f>
        <v>30</v>
      </c>
      <c r="EG70" s="51">
        <f>HLOOKUP($EJ$3,Budget,ROW()-1)</f>
        <v>121</v>
      </c>
      <c r="EH70" s="40"/>
      <c r="EI70" s="110" t="s">
        <v>154</v>
      </c>
      <c r="EJ70" s="110">
        <f>IF(AND(I67&gt;=J68,I67&lt;=U68),2009,2010)</f>
        <v>2010</v>
      </c>
      <c r="EK70" s="675" t="s">
        <v>129</v>
      </c>
      <c r="EL70" s="37"/>
      <c r="EM70" s="37"/>
      <c r="EN70" s="37"/>
      <c r="EO70" s="49"/>
      <c r="EP70" s="49"/>
      <c r="EQ70" s="49"/>
      <c r="ER70" s="1"/>
      <c r="ES70" s="1"/>
      <c r="FC70" s="568">
        <f>DD70</f>
        <v>143.58332999999999</v>
      </c>
      <c r="FD70" s="568">
        <f>DP70</f>
        <v>121</v>
      </c>
      <c r="FE70" s="568">
        <f t="shared" ref="FE70:FE75" si="406">DK93</f>
        <v>131</v>
      </c>
      <c r="FF70" s="568">
        <f>ROUND(FE70/7*12,0)</f>
        <v>225</v>
      </c>
    </row>
    <row r="71" spans="1:162">
      <c r="A71" s="134" t="s">
        <v>22</v>
      </c>
      <c r="B71" s="2" t="s">
        <v>1</v>
      </c>
      <c r="C71" s="3" t="s">
        <v>36</v>
      </c>
      <c r="E71" s="3" t="s">
        <v>16</v>
      </c>
      <c r="F71" s="1"/>
      <c r="G71" s="1" t="s">
        <v>91</v>
      </c>
      <c r="H71" s="1"/>
      <c r="I71" s="18">
        <v>3.78</v>
      </c>
      <c r="J71" s="21">
        <f>I71+0.42</f>
        <v>4.2</v>
      </c>
      <c r="K71" s="21">
        <f>J71+0.42</f>
        <v>4.62</v>
      </c>
      <c r="L71" s="21">
        <f>K71+0.42</f>
        <v>5.04</v>
      </c>
      <c r="M71" s="20">
        <v>2.0833333333300001</v>
      </c>
      <c r="N71" s="19">
        <f>M71+2.08333333333</f>
        <v>4.1666666666600003</v>
      </c>
      <c r="O71" s="246">
        <f t="shared" ref="O71:X71" si="407">N71+2.08333333333</f>
        <v>6.2499999999900009</v>
      </c>
      <c r="P71" s="246">
        <f t="shared" si="407"/>
        <v>8.3333333333200006</v>
      </c>
      <c r="Q71" s="246">
        <f t="shared" si="407"/>
        <v>10.41666666665</v>
      </c>
      <c r="R71" s="246">
        <f t="shared" si="407"/>
        <v>12.49999999998</v>
      </c>
      <c r="S71" s="246">
        <f t="shared" si="407"/>
        <v>14.58333333331</v>
      </c>
      <c r="T71" s="246">
        <f t="shared" si="407"/>
        <v>16.666666666640001</v>
      </c>
      <c r="U71" s="246">
        <f t="shared" si="407"/>
        <v>18.749999999970001</v>
      </c>
      <c r="V71" s="246">
        <f t="shared" si="407"/>
        <v>20.833333333300001</v>
      </c>
      <c r="W71" s="246">
        <f t="shared" si="407"/>
        <v>22.91666666663</v>
      </c>
      <c r="X71" s="246">
        <f t="shared" si="407"/>
        <v>24.99999999996</v>
      </c>
      <c r="Y71" s="219">
        <v>1.25</v>
      </c>
      <c r="Z71" s="246">
        <f>Y71+1.25</f>
        <v>2.5</v>
      </c>
      <c r="AA71" s="376">
        <f t="shared" ref="AA71:AJ71" si="408">Z71+1.25</f>
        <v>3.75</v>
      </c>
      <c r="AB71" s="376">
        <f t="shared" si="408"/>
        <v>5</v>
      </c>
      <c r="AC71" s="376">
        <f t="shared" si="408"/>
        <v>6.25</v>
      </c>
      <c r="AD71" s="376">
        <f t="shared" si="408"/>
        <v>7.5</v>
      </c>
      <c r="AE71" s="376">
        <f t="shared" si="408"/>
        <v>8.75</v>
      </c>
      <c r="AF71" s="376">
        <f t="shared" si="408"/>
        <v>10</v>
      </c>
      <c r="AG71" s="376">
        <f t="shared" si="408"/>
        <v>11.25</v>
      </c>
      <c r="AH71" s="376">
        <f t="shared" si="408"/>
        <v>12.5</v>
      </c>
      <c r="AI71" s="376">
        <f t="shared" si="408"/>
        <v>13.75</v>
      </c>
      <c r="AJ71" s="376">
        <f t="shared" si="408"/>
        <v>15</v>
      </c>
      <c r="AK71" s="408"/>
      <c r="AL71" s="48">
        <f>J71-I71</f>
        <v>0.42000000000000037</v>
      </c>
      <c r="AM71" s="48">
        <f t="shared" si="380"/>
        <v>0.41999999999999993</v>
      </c>
      <c r="AN71" s="48">
        <f t="shared" si="381"/>
        <v>0.41999999999999993</v>
      </c>
      <c r="AO71" s="48">
        <f>M71</f>
        <v>2.0833333333300001</v>
      </c>
      <c r="AP71" s="48">
        <f t="shared" si="382"/>
        <v>2.0833333333300001</v>
      </c>
      <c r="AQ71" s="48">
        <f t="shared" si="383"/>
        <v>2.0833333333300006</v>
      </c>
      <c r="AR71" s="48">
        <f t="shared" si="384"/>
        <v>2.0833333333299997</v>
      </c>
      <c r="AS71" s="48">
        <f t="shared" si="385"/>
        <v>2.0833333333299997</v>
      </c>
      <c r="AT71" s="48">
        <f t="shared" si="386"/>
        <v>2.0833333333299997</v>
      </c>
      <c r="AU71" s="48">
        <f t="shared" si="387"/>
        <v>2.0833333333299997</v>
      </c>
      <c r="AV71" s="48">
        <f t="shared" si="388"/>
        <v>2.0833333333300015</v>
      </c>
      <c r="AW71" s="48">
        <f t="shared" si="389"/>
        <v>2.0833333333299997</v>
      </c>
      <c r="AX71" s="48">
        <f>V71-U71</f>
        <v>2.0833333333299997</v>
      </c>
      <c r="AY71" s="48">
        <f t="shared" si="390"/>
        <v>2.0833333333299997</v>
      </c>
      <c r="AZ71" s="48">
        <f t="shared" si="391"/>
        <v>2.0833333333299997</v>
      </c>
      <c r="BA71" s="48">
        <f>Y71</f>
        <v>1.25</v>
      </c>
      <c r="BB71" s="48">
        <f t="shared" si="392"/>
        <v>1.25</v>
      </c>
      <c r="BC71" s="48">
        <f t="shared" si="393"/>
        <v>1.25</v>
      </c>
      <c r="BD71" s="48">
        <f t="shared" si="394"/>
        <v>1.25</v>
      </c>
      <c r="BE71" s="48">
        <f t="shared" si="395"/>
        <v>1.25</v>
      </c>
      <c r="BF71" s="48">
        <f t="shared" si="396"/>
        <v>1.25</v>
      </c>
      <c r="BG71" s="48">
        <f t="shared" si="397"/>
        <v>1.25</v>
      </c>
      <c r="BH71" s="48">
        <f t="shared" si="398"/>
        <v>1.25</v>
      </c>
      <c r="BI71" s="48">
        <f t="shared" si="399"/>
        <v>1.25</v>
      </c>
      <c r="BJ71" s="48">
        <f t="shared" si="400"/>
        <v>1.25</v>
      </c>
      <c r="BK71" s="48">
        <f t="shared" si="400"/>
        <v>1.25</v>
      </c>
      <c r="BL71" s="48">
        <f t="shared" si="400"/>
        <v>1.25</v>
      </c>
      <c r="BM71" s="408"/>
      <c r="BN71" s="48">
        <f t="shared" ref="BN71:BN85" si="409">BP71</f>
        <v>1.2600000000000002</v>
      </c>
      <c r="BO71" s="48">
        <f t="shared" ref="BO71:BO85" si="410">BP71</f>
        <v>1.2600000000000002</v>
      </c>
      <c r="BP71" s="48">
        <f t="shared" ref="BP71:BP77" si="411">SUM(AL71:AN71)</f>
        <v>1.2600000000000002</v>
      </c>
      <c r="BQ71" s="48">
        <f t="shared" ref="BQ71:BQ85" si="412">BS71</f>
        <v>6.2499999999900009</v>
      </c>
      <c r="BR71" s="48">
        <f t="shared" ref="BR71:BR85" si="413">BS71</f>
        <v>6.2499999999900009</v>
      </c>
      <c r="BS71" s="48">
        <f t="shared" ref="BS71:BS77" si="414">SUM(AO71:AQ71)</f>
        <v>6.2499999999900009</v>
      </c>
      <c r="BT71" s="48">
        <f t="shared" ref="BT71:BT85" si="415">BV71</f>
        <v>6.2499999999899991</v>
      </c>
      <c r="BU71" s="48">
        <f t="shared" ref="BU71:BU85" si="416">BV71</f>
        <v>6.2499999999899991</v>
      </c>
      <c r="BV71" s="48">
        <f t="shared" ref="BV71:BV77" si="417">SUM(AR71:AT71)</f>
        <v>6.2499999999899991</v>
      </c>
      <c r="BW71" s="48">
        <f t="shared" ref="BW71:BW85" si="418">BY71</f>
        <v>6.2499999999900009</v>
      </c>
      <c r="BX71" s="48">
        <f t="shared" ref="BX71:BX85" si="419">BY71</f>
        <v>6.2499999999900009</v>
      </c>
      <c r="BY71" s="48">
        <f t="shared" ref="BY71:BY77" si="420">SUM(AU71:AW71)</f>
        <v>6.2499999999900009</v>
      </c>
      <c r="BZ71" s="48">
        <f t="shared" ref="BZ71:BZ85" si="421">CB71</f>
        <v>6.2499999999899991</v>
      </c>
      <c r="CA71" s="48">
        <f t="shared" ref="CA71:CA85" si="422">CB71</f>
        <v>6.2499999999899991</v>
      </c>
      <c r="CB71" s="48">
        <f>SUM(AX71:AZ71)</f>
        <v>6.2499999999899991</v>
      </c>
      <c r="CC71" s="276">
        <f>CE71</f>
        <v>3.75</v>
      </c>
      <c r="CD71" s="276">
        <f>CE71</f>
        <v>3.75</v>
      </c>
      <c r="CE71" s="276">
        <f>AA71</f>
        <v>3.75</v>
      </c>
      <c r="CF71" s="276">
        <f t="shared" ref="CF71:CF84" si="423">CH71</f>
        <v>7.5</v>
      </c>
      <c r="CG71" s="276">
        <f t="shared" ref="CG71:CG84" si="424">CH71</f>
        <v>7.5</v>
      </c>
      <c r="CH71" s="276">
        <f>BF71*6</f>
        <v>7.5</v>
      </c>
      <c r="CI71" s="276">
        <f t="shared" ref="CI71:CI84" si="425">CK71</f>
        <v>11.25</v>
      </c>
      <c r="CJ71" s="276">
        <f t="shared" ref="CJ71:CJ84" si="426">CK71</f>
        <v>11.25</v>
      </c>
      <c r="CK71" s="276">
        <f>AG71</f>
        <v>11.25</v>
      </c>
      <c r="CL71" s="276">
        <f t="shared" ref="CL71:CL85" si="427">CN71</f>
        <v>15</v>
      </c>
      <c r="CM71" s="276">
        <f t="shared" ref="CM71:CM85" si="428">CN71</f>
        <v>15</v>
      </c>
      <c r="CN71" s="276">
        <f>AJ71</f>
        <v>15</v>
      </c>
      <c r="CO71" s="406"/>
      <c r="CP71" s="48">
        <f t="shared" si="401"/>
        <v>4.2</v>
      </c>
      <c r="CQ71" s="48">
        <f t="shared" si="401"/>
        <v>4.62</v>
      </c>
      <c r="CR71" s="48">
        <f t="shared" si="401"/>
        <v>5.04</v>
      </c>
      <c r="CS71" s="48">
        <f>AO71</f>
        <v>2.0833333333300001</v>
      </c>
      <c r="CT71" s="48">
        <f t="shared" si="402"/>
        <v>4.1666666666600003</v>
      </c>
      <c r="CU71" s="48">
        <f t="shared" si="402"/>
        <v>6.2499999999900009</v>
      </c>
      <c r="CV71" s="48">
        <f t="shared" si="402"/>
        <v>8.3333333333200006</v>
      </c>
      <c r="CW71" s="48">
        <f t="shared" si="402"/>
        <v>10.41666666665</v>
      </c>
      <c r="CX71" s="48">
        <f t="shared" si="402"/>
        <v>12.49999999998</v>
      </c>
      <c r="CY71" s="48">
        <f t="shared" si="402"/>
        <v>14.58333333331</v>
      </c>
      <c r="CZ71" s="48">
        <f t="shared" si="402"/>
        <v>16.666666666640001</v>
      </c>
      <c r="DA71" s="48">
        <f t="shared" si="402"/>
        <v>18.749999999970001</v>
      </c>
      <c r="DB71" s="48">
        <f t="shared" si="402"/>
        <v>20.833333333300001</v>
      </c>
      <c r="DC71" s="48">
        <f t="shared" si="402"/>
        <v>22.91666666663</v>
      </c>
      <c r="DD71" s="48">
        <f t="shared" si="402"/>
        <v>24.99999999996</v>
      </c>
      <c r="DE71" s="48">
        <f>+BA71</f>
        <v>1.25</v>
      </c>
      <c r="DF71" s="48">
        <f t="shared" si="403"/>
        <v>2.5</v>
      </c>
      <c r="DG71" s="48">
        <f t="shared" si="403"/>
        <v>3.75</v>
      </c>
      <c r="DH71" s="48">
        <f t="shared" si="403"/>
        <v>5</v>
      </c>
      <c r="DI71" s="48">
        <f t="shared" si="403"/>
        <v>6.25</v>
      </c>
      <c r="DJ71" s="48">
        <f t="shared" si="403"/>
        <v>7.5</v>
      </c>
      <c r="DK71" s="48">
        <f t="shared" si="403"/>
        <v>8.75</v>
      </c>
      <c r="DL71" s="48">
        <f t="shared" si="403"/>
        <v>10</v>
      </c>
      <c r="DM71" s="48">
        <f t="shared" si="403"/>
        <v>11.25</v>
      </c>
      <c r="DN71" s="48">
        <f t="shared" si="403"/>
        <v>12.5</v>
      </c>
      <c r="DO71" s="48">
        <f t="shared" si="403"/>
        <v>13.75</v>
      </c>
      <c r="DP71" s="48">
        <f t="shared" si="403"/>
        <v>15</v>
      </c>
      <c r="DQ71" s="48"/>
      <c r="DR71" s="48"/>
      <c r="DS71" s="48"/>
      <c r="DT71" s="48"/>
      <c r="DU71" s="48"/>
      <c r="DV71" s="48"/>
      <c r="DW71" s="48"/>
      <c r="DX71" s="48"/>
      <c r="DY71" s="48"/>
      <c r="DZ71" s="1">
        <f>'Input &amp; Calc'!L71</f>
        <v>5.04</v>
      </c>
      <c r="EA71" s="49">
        <f>DD71</f>
        <v>24.99999999996</v>
      </c>
      <c r="EB71" s="50">
        <f>DP71</f>
        <v>15</v>
      </c>
      <c r="EC71" s="50"/>
      <c r="ED71" s="408"/>
      <c r="EE71" s="51">
        <f t="shared" si="404"/>
        <v>1.25</v>
      </c>
      <c r="EF71" s="51">
        <f t="shared" si="405"/>
        <v>15</v>
      </c>
      <c r="EG71" s="51">
        <f>HLOOKUP($EJ$3,Budget,ROW()-1)</f>
        <v>15</v>
      </c>
      <c r="EH71" s="40"/>
      <c r="EI71" s="111" t="s">
        <v>157</v>
      </c>
      <c r="EJ71" s="113">
        <f>HLOOKUP($I$1,YTD,47)</f>
        <v>70</v>
      </c>
      <c r="EK71" s="675"/>
      <c r="EL71" s="37"/>
      <c r="EM71" s="37"/>
      <c r="EN71" s="37"/>
      <c r="EO71" s="49"/>
      <c r="EP71" s="49"/>
      <c r="EQ71" s="49"/>
      <c r="ER71" s="1"/>
      <c r="ES71" s="1"/>
      <c r="FC71" s="568">
        <f>DD71</f>
        <v>24.99999999996</v>
      </c>
      <c r="FD71" s="568">
        <f>DP71</f>
        <v>15</v>
      </c>
      <c r="FE71" s="568">
        <f t="shared" si="406"/>
        <v>23</v>
      </c>
      <c r="FF71" s="568">
        <f>ROUND(FE71/7*12,0)</f>
        <v>39</v>
      </c>
    </row>
    <row r="72" spans="1:162">
      <c r="A72" s="134" t="s">
        <v>22</v>
      </c>
      <c r="B72" s="2" t="s">
        <v>2</v>
      </c>
      <c r="C72" s="3" t="s">
        <v>37</v>
      </c>
      <c r="E72" s="3" t="s">
        <v>16</v>
      </c>
      <c r="F72" s="1"/>
      <c r="G72" s="1" t="s">
        <v>91</v>
      </c>
      <c r="H72" s="1"/>
      <c r="I72" s="18">
        <v>7.47</v>
      </c>
      <c r="J72" s="21">
        <f>I72+0.83</f>
        <v>8.2999999999999989</v>
      </c>
      <c r="K72" s="21">
        <f>J72+0.83</f>
        <v>9.129999999999999</v>
      </c>
      <c r="L72" s="21">
        <f>K72+0.83</f>
        <v>9.9599999999999991</v>
      </c>
      <c r="M72" s="20">
        <v>1</v>
      </c>
      <c r="N72" s="246">
        <f>+M72+1</f>
        <v>2</v>
      </c>
      <c r="O72" s="246">
        <f t="shared" ref="O72:X72" si="429">+N72+1</f>
        <v>3</v>
      </c>
      <c r="P72" s="246">
        <f t="shared" si="429"/>
        <v>4</v>
      </c>
      <c r="Q72" s="246">
        <f t="shared" si="429"/>
        <v>5</v>
      </c>
      <c r="R72" s="246">
        <f t="shared" si="429"/>
        <v>6</v>
      </c>
      <c r="S72" s="246">
        <f t="shared" si="429"/>
        <v>7</v>
      </c>
      <c r="T72" s="246">
        <f t="shared" si="429"/>
        <v>8</v>
      </c>
      <c r="U72" s="246">
        <f t="shared" si="429"/>
        <v>9</v>
      </c>
      <c r="V72" s="246">
        <f t="shared" si="429"/>
        <v>10</v>
      </c>
      <c r="W72" s="246">
        <f t="shared" si="429"/>
        <v>11</v>
      </c>
      <c r="X72" s="246">
        <f t="shared" si="429"/>
        <v>12</v>
      </c>
      <c r="Y72" s="219">
        <f>ROUND(Z72/2,0)</f>
        <v>1</v>
      </c>
      <c r="Z72" s="246">
        <f>AA72-(AB72-AA72)</f>
        <v>1</v>
      </c>
      <c r="AA72" s="246">
        <f>AB72-(AC72-AB72)</f>
        <v>3</v>
      </c>
      <c r="AB72" s="246">
        <f>AC72-(AD72-AC72)</f>
        <v>5</v>
      </c>
      <c r="AC72" s="246">
        <f>AD72-(AE72-AD72)</f>
        <v>7</v>
      </c>
      <c r="AD72" s="246">
        <f>AE72-(AF72-AE72)</f>
        <v>9</v>
      </c>
      <c r="AE72" s="246">
        <f t="shared" si="379"/>
        <v>11</v>
      </c>
      <c r="AF72" s="246">
        <f t="shared" si="379"/>
        <v>13</v>
      </c>
      <c r="AG72" s="246">
        <f t="shared" si="379"/>
        <v>15</v>
      </c>
      <c r="AH72" s="246">
        <f t="shared" si="379"/>
        <v>17</v>
      </c>
      <c r="AI72" s="246">
        <f>-ROUND(AJ72/12,0)+AJ72</f>
        <v>19</v>
      </c>
      <c r="AJ72" s="246">
        <v>21</v>
      </c>
      <c r="AK72" s="408"/>
      <c r="AL72" s="48">
        <f>J72-I72</f>
        <v>0.82999999999999918</v>
      </c>
      <c r="AM72" s="48">
        <f t="shared" si="380"/>
        <v>0.83000000000000007</v>
      </c>
      <c r="AN72" s="48">
        <f t="shared" si="381"/>
        <v>0.83000000000000007</v>
      </c>
      <c r="AO72" s="48">
        <f>M72</f>
        <v>1</v>
      </c>
      <c r="AP72" s="48">
        <f t="shared" si="382"/>
        <v>1</v>
      </c>
      <c r="AQ72" s="48">
        <f t="shared" si="383"/>
        <v>1</v>
      </c>
      <c r="AR72" s="48">
        <f t="shared" si="384"/>
        <v>1</v>
      </c>
      <c r="AS72" s="48">
        <f t="shared" si="385"/>
        <v>1</v>
      </c>
      <c r="AT72" s="48">
        <f t="shared" si="386"/>
        <v>1</v>
      </c>
      <c r="AU72" s="48">
        <f t="shared" si="387"/>
        <v>1</v>
      </c>
      <c r="AV72" s="48">
        <f t="shared" si="388"/>
        <v>1</v>
      </c>
      <c r="AW72" s="48">
        <f t="shared" si="389"/>
        <v>1</v>
      </c>
      <c r="AX72" s="48">
        <f>V72-U72</f>
        <v>1</v>
      </c>
      <c r="AY72" s="48">
        <f t="shared" si="390"/>
        <v>1</v>
      </c>
      <c r="AZ72" s="48">
        <f t="shared" si="391"/>
        <v>1</v>
      </c>
      <c r="BA72" s="48">
        <f>Y72</f>
        <v>1</v>
      </c>
      <c r="BB72" s="48">
        <f t="shared" si="392"/>
        <v>0</v>
      </c>
      <c r="BC72" s="48">
        <f t="shared" si="393"/>
        <v>2</v>
      </c>
      <c r="BD72" s="48">
        <f t="shared" si="394"/>
        <v>2</v>
      </c>
      <c r="BE72" s="48">
        <f t="shared" si="395"/>
        <v>2</v>
      </c>
      <c r="BF72" s="48">
        <f t="shared" si="396"/>
        <v>2</v>
      </c>
      <c r="BG72" s="48">
        <f t="shared" si="397"/>
        <v>2</v>
      </c>
      <c r="BH72" s="48">
        <f t="shared" si="398"/>
        <v>2</v>
      </c>
      <c r="BI72" s="48">
        <f t="shared" si="399"/>
        <v>2</v>
      </c>
      <c r="BJ72" s="48">
        <f t="shared" si="400"/>
        <v>2</v>
      </c>
      <c r="BK72" s="48">
        <f t="shared" si="400"/>
        <v>2</v>
      </c>
      <c r="BL72" s="48">
        <f t="shared" si="400"/>
        <v>2</v>
      </c>
      <c r="BM72" s="408"/>
      <c r="BN72" s="48">
        <f t="shared" si="409"/>
        <v>2.4899999999999993</v>
      </c>
      <c r="BO72" s="48">
        <f t="shared" si="410"/>
        <v>2.4899999999999993</v>
      </c>
      <c r="BP72" s="48">
        <f t="shared" si="411"/>
        <v>2.4899999999999993</v>
      </c>
      <c r="BQ72" s="48">
        <f t="shared" si="412"/>
        <v>3</v>
      </c>
      <c r="BR72" s="48">
        <f t="shared" si="413"/>
        <v>3</v>
      </c>
      <c r="BS72" s="48">
        <f t="shared" si="414"/>
        <v>3</v>
      </c>
      <c r="BT72" s="48">
        <f t="shared" si="415"/>
        <v>3</v>
      </c>
      <c r="BU72" s="48">
        <f t="shared" si="416"/>
        <v>3</v>
      </c>
      <c r="BV72" s="48">
        <f t="shared" si="417"/>
        <v>3</v>
      </c>
      <c r="BW72" s="48">
        <f t="shared" si="418"/>
        <v>3</v>
      </c>
      <c r="BX72" s="48">
        <f t="shared" si="419"/>
        <v>3</v>
      </c>
      <c r="BY72" s="48">
        <f t="shared" si="420"/>
        <v>3</v>
      </c>
      <c r="BZ72" s="48">
        <f t="shared" si="421"/>
        <v>3</v>
      </c>
      <c r="CA72" s="48">
        <f t="shared" si="422"/>
        <v>3</v>
      </c>
      <c r="CB72" s="48">
        <f>SUM(AX72:AZ72)</f>
        <v>3</v>
      </c>
      <c r="CC72" s="48">
        <f t="shared" ref="CC72:CC84" si="430">CE72</f>
        <v>3</v>
      </c>
      <c r="CD72" s="48">
        <f t="shared" ref="CD72:CD84" si="431">CE72</f>
        <v>3</v>
      </c>
      <c r="CE72" s="48">
        <f>SUM(BA72:BC72)</f>
        <v>3</v>
      </c>
      <c r="CF72" s="48">
        <f t="shared" si="423"/>
        <v>7.5</v>
      </c>
      <c r="CG72" s="48">
        <f t="shared" si="424"/>
        <v>7.5</v>
      </c>
      <c r="CH72" s="48">
        <f>AD71</f>
        <v>7.5</v>
      </c>
      <c r="CI72" s="48">
        <f t="shared" si="425"/>
        <v>11.25</v>
      </c>
      <c r="CJ72" s="48">
        <f t="shared" si="426"/>
        <v>11.25</v>
      </c>
      <c r="CK72" s="48">
        <f>BI71*9</f>
        <v>11.25</v>
      </c>
      <c r="CL72" s="48">
        <f t="shared" si="427"/>
        <v>15</v>
      </c>
      <c r="CM72" s="48">
        <f t="shared" si="428"/>
        <v>15</v>
      </c>
      <c r="CN72" s="48">
        <f>BL71*12</f>
        <v>15</v>
      </c>
      <c r="CO72" s="406"/>
      <c r="CP72" s="48">
        <f t="shared" si="401"/>
        <v>8.2999999999999989</v>
      </c>
      <c r="CQ72" s="48">
        <f t="shared" si="401"/>
        <v>9.129999999999999</v>
      </c>
      <c r="CR72" s="48">
        <f t="shared" si="401"/>
        <v>9.9599999999999991</v>
      </c>
      <c r="CS72" s="48">
        <f>AO72</f>
        <v>1</v>
      </c>
      <c r="CT72" s="48">
        <f t="shared" si="402"/>
        <v>2</v>
      </c>
      <c r="CU72" s="48">
        <f t="shared" si="402"/>
        <v>3</v>
      </c>
      <c r="CV72" s="48">
        <f t="shared" si="402"/>
        <v>4</v>
      </c>
      <c r="CW72" s="48">
        <f t="shared" si="402"/>
        <v>5</v>
      </c>
      <c r="CX72" s="48">
        <f t="shared" si="402"/>
        <v>6</v>
      </c>
      <c r="CY72" s="48">
        <f t="shared" si="402"/>
        <v>7</v>
      </c>
      <c r="CZ72" s="48">
        <f t="shared" si="402"/>
        <v>8</v>
      </c>
      <c r="DA72" s="48">
        <f t="shared" si="402"/>
        <v>9</v>
      </c>
      <c r="DB72" s="48">
        <f t="shared" si="402"/>
        <v>10</v>
      </c>
      <c r="DC72" s="48">
        <f t="shared" si="402"/>
        <v>11</v>
      </c>
      <c r="DD72" s="48">
        <f t="shared" si="402"/>
        <v>12</v>
      </c>
      <c r="DE72" s="48">
        <f>+BA72</f>
        <v>1</v>
      </c>
      <c r="DF72" s="48">
        <f t="shared" si="403"/>
        <v>1</v>
      </c>
      <c r="DG72" s="48">
        <f t="shared" si="403"/>
        <v>3</v>
      </c>
      <c r="DH72" s="48">
        <f t="shared" si="403"/>
        <v>5</v>
      </c>
      <c r="DI72" s="48">
        <f t="shared" si="403"/>
        <v>7</v>
      </c>
      <c r="DJ72" s="48">
        <f t="shared" si="403"/>
        <v>9</v>
      </c>
      <c r="DK72" s="48">
        <f t="shared" si="403"/>
        <v>11</v>
      </c>
      <c r="DL72" s="48">
        <f t="shared" si="403"/>
        <v>13</v>
      </c>
      <c r="DM72" s="48">
        <f t="shared" si="403"/>
        <v>15</v>
      </c>
      <c r="DN72" s="48">
        <f t="shared" si="403"/>
        <v>17</v>
      </c>
      <c r="DO72" s="48">
        <f t="shared" si="403"/>
        <v>19</v>
      </c>
      <c r="DP72" s="48">
        <f t="shared" si="403"/>
        <v>21</v>
      </c>
      <c r="DQ72" s="48"/>
      <c r="DR72" s="48"/>
      <c r="DS72" s="48"/>
      <c r="DT72" s="48"/>
      <c r="DU72" s="48"/>
      <c r="DV72" s="48"/>
      <c r="DW72" s="48"/>
      <c r="DX72" s="48"/>
      <c r="DY72" s="48"/>
      <c r="DZ72" s="1">
        <f>'Input &amp; Calc'!L72</f>
        <v>9.9599999999999991</v>
      </c>
      <c r="EA72" s="49">
        <f>DD72</f>
        <v>12</v>
      </c>
      <c r="EB72" s="50">
        <f>DP72</f>
        <v>21</v>
      </c>
      <c r="EC72" s="50"/>
      <c r="ED72" s="408"/>
      <c r="EE72" s="51">
        <f t="shared" si="404"/>
        <v>2</v>
      </c>
      <c r="EF72" s="51">
        <f t="shared" si="405"/>
        <v>15</v>
      </c>
      <c r="EG72" s="51">
        <f>HLOOKUP($EJ$3,Budget,ROW()-1)</f>
        <v>21</v>
      </c>
      <c r="EH72" s="40"/>
      <c r="EI72" s="112" t="s">
        <v>156</v>
      </c>
      <c r="EJ72" s="113">
        <f>HLOOKUP($I$1,YTD,48)</f>
        <v>0</v>
      </c>
      <c r="EK72" s="675"/>
      <c r="EL72" s="37"/>
      <c r="EM72" s="37"/>
      <c r="EN72" s="37"/>
      <c r="EO72" s="49"/>
      <c r="EP72" s="49"/>
      <c r="EQ72" s="49"/>
      <c r="ER72" s="1"/>
      <c r="ES72" s="1"/>
      <c r="FC72" s="568">
        <f>DD72</f>
        <v>12</v>
      </c>
      <c r="FD72" s="568">
        <f>DP72</f>
        <v>21</v>
      </c>
      <c r="FE72" s="568">
        <f t="shared" si="406"/>
        <v>20</v>
      </c>
      <c r="FF72" s="568">
        <f>ROUND(FE72/7*12,0)</f>
        <v>34</v>
      </c>
    </row>
    <row r="73" spans="1:162">
      <c r="A73" s="134" t="s">
        <v>22</v>
      </c>
      <c r="B73" s="2" t="s">
        <v>3</v>
      </c>
      <c r="C73" s="3" t="s">
        <v>38</v>
      </c>
      <c r="E73" s="3" t="s">
        <v>16</v>
      </c>
      <c r="F73" s="1"/>
      <c r="G73" s="1" t="s">
        <v>91</v>
      </c>
      <c r="H73" s="1"/>
      <c r="I73" s="18">
        <v>11.25</v>
      </c>
      <c r="J73" s="159">
        <f>I73+1.25</f>
        <v>12.5</v>
      </c>
      <c r="K73" s="159">
        <f>J73+1.25</f>
        <v>13.75</v>
      </c>
      <c r="L73" s="159">
        <f>K73+1.25</f>
        <v>15</v>
      </c>
      <c r="M73" s="20">
        <f>10/12</f>
        <v>0.83333333333333337</v>
      </c>
      <c r="N73" s="19">
        <f>+M73+0.83333333</f>
        <v>1.6666666633333334</v>
      </c>
      <c r="O73" s="246">
        <f t="shared" ref="O73:X73" si="432">+N73+0.83333333</f>
        <v>2.4999999933333332</v>
      </c>
      <c r="P73" s="246">
        <f t="shared" si="432"/>
        <v>3.3333333233333331</v>
      </c>
      <c r="Q73" s="246">
        <f t="shared" si="432"/>
        <v>4.1666666533333334</v>
      </c>
      <c r="R73" s="246">
        <f t="shared" si="432"/>
        <v>4.9999999833333337</v>
      </c>
      <c r="S73" s="246">
        <f t="shared" si="432"/>
        <v>5.833333313333334</v>
      </c>
      <c r="T73" s="246">
        <f t="shared" si="432"/>
        <v>6.6666666433333344</v>
      </c>
      <c r="U73" s="246">
        <f t="shared" si="432"/>
        <v>7.4999999733333347</v>
      </c>
      <c r="V73" s="246">
        <f t="shared" si="432"/>
        <v>8.333333303333335</v>
      </c>
      <c r="W73" s="246">
        <f t="shared" si="432"/>
        <v>9.1666666333333353</v>
      </c>
      <c r="X73" s="246">
        <f t="shared" si="432"/>
        <v>9.9999999633333356</v>
      </c>
      <c r="Y73" s="219">
        <v>0.75</v>
      </c>
      <c r="Z73" s="246">
        <f>Y73+0.75</f>
        <v>1.5</v>
      </c>
      <c r="AA73" s="376">
        <f t="shared" ref="AA73:AJ73" si="433">Z73+0.75</f>
        <v>2.25</v>
      </c>
      <c r="AB73" s="376">
        <f t="shared" si="433"/>
        <v>3</v>
      </c>
      <c r="AC73" s="376">
        <f t="shared" si="433"/>
        <v>3.75</v>
      </c>
      <c r="AD73" s="376">
        <f t="shared" si="433"/>
        <v>4.5</v>
      </c>
      <c r="AE73" s="376">
        <f t="shared" si="433"/>
        <v>5.25</v>
      </c>
      <c r="AF73" s="376">
        <f t="shared" si="433"/>
        <v>6</v>
      </c>
      <c r="AG73" s="376">
        <f t="shared" si="433"/>
        <v>6.75</v>
      </c>
      <c r="AH73" s="376">
        <f t="shared" si="433"/>
        <v>7.5</v>
      </c>
      <c r="AI73" s="376">
        <f t="shared" si="433"/>
        <v>8.25</v>
      </c>
      <c r="AJ73" s="376">
        <f t="shared" si="433"/>
        <v>9</v>
      </c>
      <c r="AK73" s="408"/>
      <c r="AL73" s="48">
        <f>J73-I73</f>
        <v>1.25</v>
      </c>
      <c r="AM73" s="48">
        <f t="shared" si="380"/>
        <v>1.25</v>
      </c>
      <c r="AN73" s="48">
        <f t="shared" si="381"/>
        <v>1.25</v>
      </c>
      <c r="AO73" s="48">
        <f>M73</f>
        <v>0.83333333333333337</v>
      </c>
      <c r="AP73" s="48">
        <f t="shared" si="382"/>
        <v>0.83333332999999998</v>
      </c>
      <c r="AQ73" s="48">
        <f t="shared" si="383"/>
        <v>0.83333332999999987</v>
      </c>
      <c r="AR73" s="48">
        <f t="shared" si="384"/>
        <v>0.83333332999999987</v>
      </c>
      <c r="AS73" s="48">
        <f t="shared" si="385"/>
        <v>0.83333333000000032</v>
      </c>
      <c r="AT73" s="48">
        <f t="shared" si="386"/>
        <v>0.83333333000000032</v>
      </c>
      <c r="AU73" s="48">
        <f t="shared" si="387"/>
        <v>0.83333333000000032</v>
      </c>
      <c r="AV73" s="48">
        <f t="shared" si="388"/>
        <v>0.83333333000000032</v>
      </c>
      <c r="AW73" s="48">
        <f t="shared" si="389"/>
        <v>0.83333333000000032</v>
      </c>
      <c r="AX73" s="48">
        <f>V73-U73</f>
        <v>0.83333333000000032</v>
      </c>
      <c r="AY73" s="48">
        <f t="shared" si="390"/>
        <v>0.83333333000000032</v>
      </c>
      <c r="AZ73" s="48">
        <f t="shared" si="391"/>
        <v>0.83333333000000032</v>
      </c>
      <c r="BA73" s="48">
        <f>Y73</f>
        <v>0.75</v>
      </c>
      <c r="BB73" s="48">
        <f t="shared" si="392"/>
        <v>0.75</v>
      </c>
      <c r="BC73" s="48">
        <f t="shared" si="393"/>
        <v>0.75</v>
      </c>
      <c r="BD73" s="48">
        <f t="shared" si="394"/>
        <v>0.75</v>
      </c>
      <c r="BE73" s="48">
        <f t="shared" si="395"/>
        <v>0.75</v>
      </c>
      <c r="BF73" s="48">
        <f t="shared" si="396"/>
        <v>0.75</v>
      </c>
      <c r="BG73" s="48">
        <f t="shared" si="397"/>
        <v>0.75</v>
      </c>
      <c r="BH73" s="48">
        <f t="shared" si="398"/>
        <v>0.75</v>
      </c>
      <c r="BI73" s="48">
        <f t="shared" si="399"/>
        <v>0.75</v>
      </c>
      <c r="BJ73" s="48">
        <f t="shared" si="400"/>
        <v>0.75</v>
      </c>
      <c r="BK73" s="48">
        <f t="shared" si="400"/>
        <v>0.75</v>
      </c>
      <c r="BL73" s="48">
        <f t="shared" si="400"/>
        <v>0.75</v>
      </c>
      <c r="BM73" s="408"/>
      <c r="BN73" s="48">
        <f t="shared" si="409"/>
        <v>3.75</v>
      </c>
      <c r="BO73" s="48">
        <f t="shared" si="410"/>
        <v>3.75</v>
      </c>
      <c r="BP73" s="48">
        <f t="shared" si="411"/>
        <v>3.75</v>
      </c>
      <c r="BQ73" s="48">
        <f t="shared" si="412"/>
        <v>2.4999999933333332</v>
      </c>
      <c r="BR73" s="48">
        <f t="shared" si="413"/>
        <v>2.4999999933333332</v>
      </c>
      <c r="BS73" s="48">
        <f t="shared" si="414"/>
        <v>2.4999999933333332</v>
      </c>
      <c r="BT73" s="48">
        <f t="shared" si="415"/>
        <v>2.4999999900000005</v>
      </c>
      <c r="BU73" s="48">
        <f t="shared" si="416"/>
        <v>2.4999999900000005</v>
      </c>
      <c r="BV73" s="48">
        <f t="shared" si="417"/>
        <v>2.4999999900000005</v>
      </c>
      <c r="BW73" s="48">
        <f t="shared" si="418"/>
        <v>2.4999999900000009</v>
      </c>
      <c r="BX73" s="48">
        <f t="shared" si="419"/>
        <v>2.4999999900000009</v>
      </c>
      <c r="BY73" s="48">
        <f t="shared" si="420"/>
        <v>2.4999999900000009</v>
      </c>
      <c r="BZ73" s="48">
        <f t="shared" si="421"/>
        <v>2.4999999900000009</v>
      </c>
      <c r="CA73" s="48">
        <f t="shared" si="422"/>
        <v>2.4999999900000009</v>
      </c>
      <c r="CB73" s="48">
        <f>SUM(AX73:AZ73)</f>
        <v>2.4999999900000009</v>
      </c>
      <c r="CC73" s="276">
        <f t="shared" si="430"/>
        <v>2.25</v>
      </c>
      <c r="CD73" s="276">
        <f t="shared" si="431"/>
        <v>2.25</v>
      </c>
      <c r="CE73" s="276">
        <f>AA73</f>
        <v>2.25</v>
      </c>
      <c r="CF73" s="276">
        <f t="shared" si="423"/>
        <v>4.5</v>
      </c>
      <c r="CG73" s="276">
        <f t="shared" si="424"/>
        <v>4.5</v>
      </c>
      <c r="CH73" s="276">
        <f>AD73</f>
        <v>4.5</v>
      </c>
      <c r="CI73" s="276">
        <f t="shared" si="425"/>
        <v>6.75</v>
      </c>
      <c r="CJ73" s="276">
        <f t="shared" si="426"/>
        <v>6.75</v>
      </c>
      <c r="CK73" s="276">
        <f>AG73</f>
        <v>6.75</v>
      </c>
      <c r="CL73" s="276">
        <f t="shared" si="427"/>
        <v>9</v>
      </c>
      <c r="CM73" s="276">
        <f t="shared" si="428"/>
        <v>9</v>
      </c>
      <c r="CN73" s="276">
        <f>AJ73</f>
        <v>9</v>
      </c>
      <c r="CO73" s="406"/>
      <c r="CP73" s="48">
        <f t="shared" si="401"/>
        <v>12.5</v>
      </c>
      <c r="CQ73" s="48">
        <f t="shared" si="401"/>
        <v>13.75</v>
      </c>
      <c r="CR73" s="48">
        <f t="shared" si="401"/>
        <v>15</v>
      </c>
      <c r="CS73" s="48">
        <f>AO73</f>
        <v>0.83333333333333337</v>
      </c>
      <c r="CT73" s="48">
        <f t="shared" si="402"/>
        <v>1.6666666633333334</v>
      </c>
      <c r="CU73" s="48">
        <f t="shared" si="402"/>
        <v>2.4999999933333332</v>
      </c>
      <c r="CV73" s="48">
        <f t="shared" si="402"/>
        <v>3.3333333233333331</v>
      </c>
      <c r="CW73" s="48">
        <f t="shared" si="402"/>
        <v>4.1666666533333334</v>
      </c>
      <c r="CX73" s="48">
        <f t="shared" si="402"/>
        <v>4.9999999833333337</v>
      </c>
      <c r="CY73" s="48">
        <f t="shared" si="402"/>
        <v>5.833333313333334</v>
      </c>
      <c r="CZ73" s="48">
        <f t="shared" si="402"/>
        <v>6.6666666433333344</v>
      </c>
      <c r="DA73" s="48">
        <f t="shared" si="402"/>
        <v>7.4999999733333347</v>
      </c>
      <c r="DB73" s="48">
        <f t="shared" si="402"/>
        <v>8.333333303333335</v>
      </c>
      <c r="DC73" s="48">
        <f t="shared" si="402"/>
        <v>9.1666666333333353</v>
      </c>
      <c r="DD73" s="48">
        <f t="shared" si="402"/>
        <v>9.9999999633333356</v>
      </c>
      <c r="DE73" s="48">
        <f>+BA73</f>
        <v>0.75</v>
      </c>
      <c r="DF73" s="48">
        <f t="shared" si="403"/>
        <v>1.5</v>
      </c>
      <c r="DG73" s="402">
        <f t="shared" si="403"/>
        <v>2.25</v>
      </c>
      <c r="DH73" s="48">
        <f t="shared" si="403"/>
        <v>3</v>
      </c>
      <c r="DI73" s="48">
        <f t="shared" si="403"/>
        <v>3.75</v>
      </c>
      <c r="DJ73" s="48">
        <f t="shared" si="403"/>
        <v>4.5</v>
      </c>
      <c r="DK73" s="48">
        <f t="shared" si="403"/>
        <v>5.25</v>
      </c>
      <c r="DL73" s="48">
        <f t="shared" si="403"/>
        <v>6</v>
      </c>
      <c r="DM73" s="48">
        <f t="shared" si="403"/>
        <v>6.75</v>
      </c>
      <c r="DN73" s="48">
        <f t="shared" si="403"/>
        <v>7.5</v>
      </c>
      <c r="DO73" s="48">
        <f t="shared" si="403"/>
        <v>8.25</v>
      </c>
      <c r="DP73" s="48">
        <f t="shared" si="403"/>
        <v>9</v>
      </c>
      <c r="DQ73" s="48"/>
      <c r="DR73" s="48"/>
      <c r="DS73" s="48"/>
      <c r="DT73" s="48"/>
      <c r="DU73" s="48"/>
      <c r="DV73" s="48"/>
      <c r="DW73" s="48"/>
      <c r="DX73" s="48"/>
      <c r="DY73" s="48"/>
      <c r="DZ73" s="1">
        <f>'Input &amp; Calc'!L73</f>
        <v>15</v>
      </c>
      <c r="EA73" s="49">
        <f>DD73</f>
        <v>9.9999999633333356</v>
      </c>
      <c r="EB73" s="50">
        <f>DP73</f>
        <v>9</v>
      </c>
      <c r="EC73" s="50"/>
      <c r="ED73" s="408"/>
      <c r="EE73" s="51">
        <f t="shared" si="404"/>
        <v>0.75</v>
      </c>
      <c r="EF73" s="51">
        <f t="shared" si="405"/>
        <v>9</v>
      </c>
      <c r="EG73" s="51">
        <f>HLOOKUP($EJ$3,Budget,ROW()-1)</f>
        <v>9</v>
      </c>
      <c r="EH73" s="40"/>
      <c r="EI73" s="114" t="s">
        <v>158</v>
      </c>
      <c r="EJ73" s="133">
        <f>I67</f>
        <v>40391</v>
      </c>
      <c r="EK73" s="675"/>
      <c r="EL73" s="37"/>
      <c r="EM73" s="37"/>
      <c r="EN73" s="37"/>
      <c r="EO73" s="49"/>
      <c r="EP73" s="49"/>
      <c r="EQ73" s="49"/>
      <c r="ER73" s="1"/>
      <c r="ES73" s="1"/>
      <c r="FC73" s="568">
        <f>DD73</f>
        <v>9.9999999633333356</v>
      </c>
      <c r="FD73" s="568">
        <f>DP73</f>
        <v>9</v>
      </c>
      <c r="FE73" s="568">
        <f t="shared" si="406"/>
        <v>8</v>
      </c>
      <c r="FF73" s="568">
        <f>ROUND(FE73/7*12,0)</f>
        <v>14</v>
      </c>
    </row>
    <row r="74" spans="1:162" ht="13.5" thickBot="1">
      <c r="A74" s="134" t="s">
        <v>22</v>
      </c>
      <c r="B74" s="2" t="s">
        <v>94</v>
      </c>
      <c r="C74" s="3" t="s">
        <v>39</v>
      </c>
      <c r="E74" s="3" t="s">
        <v>16</v>
      </c>
      <c r="F74" s="1"/>
      <c r="G74" s="1" t="s">
        <v>91</v>
      </c>
      <c r="H74" s="1"/>
      <c r="I74" s="116">
        <v>0.52499700000000005</v>
      </c>
      <c r="J74" s="116">
        <f>I74+0.058333</f>
        <v>0.58333000000000002</v>
      </c>
      <c r="K74" s="116">
        <f>J74+0.058333</f>
        <v>0.64166299999999998</v>
      </c>
      <c r="L74" s="116">
        <f>K74+0.058333</f>
        <v>0.69999599999999995</v>
      </c>
      <c r="M74" s="244">
        <v>0.02</v>
      </c>
      <c r="N74" s="201">
        <f>M74+0.02083333</f>
        <v>4.0833330000000001E-2</v>
      </c>
      <c r="O74" s="201">
        <f t="shared" ref="O74:W74" si="434">N74+0.02083333</f>
        <v>6.1666659999999998E-2</v>
      </c>
      <c r="P74" s="201">
        <f t="shared" si="434"/>
        <v>8.2499989999999995E-2</v>
      </c>
      <c r="Q74" s="201">
        <f t="shared" si="434"/>
        <v>0.10333331999999999</v>
      </c>
      <c r="R74" s="201">
        <f t="shared" si="434"/>
        <v>0.12416664999999999</v>
      </c>
      <c r="S74" s="201">
        <f t="shared" si="434"/>
        <v>0.14499998</v>
      </c>
      <c r="T74" s="201">
        <f t="shared" si="434"/>
        <v>0.16583331000000001</v>
      </c>
      <c r="U74" s="201">
        <f t="shared" si="434"/>
        <v>0.18666664000000002</v>
      </c>
      <c r="V74" s="201">
        <f t="shared" si="434"/>
        <v>0.20749997000000003</v>
      </c>
      <c r="W74" s="201">
        <f t="shared" si="434"/>
        <v>0.22833330000000004</v>
      </c>
      <c r="X74" s="201">
        <v>0.25</v>
      </c>
      <c r="Y74" s="221">
        <f>ROUND(Z74/2,2)</f>
        <v>0.03</v>
      </c>
      <c r="Z74" s="246">
        <f>AA74-(AB74-AA74)</f>
        <v>6.4999999999999725E-2</v>
      </c>
      <c r="AA74" s="246">
        <f>AB74-(AC74-AB74)</f>
        <v>9.5999999999999752E-2</v>
      </c>
      <c r="AB74" s="246">
        <f>AC74-(AD74-AC74)</f>
        <v>0.12699999999999978</v>
      </c>
      <c r="AC74" s="246">
        <f>AD74-(AE74-AD74)</f>
        <v>0.15799999999999981</v>
      </c>
      <c r="AD74" s="246">
        <f>AE74-(AF74-AE74)</f>
        <v>0.18899999999999983</v>
      </c>
      <c r="AE74" s="246">
        <f t="shared" si="379"/>
        <v>0.21999999999999986</v>
      </c>
      <c r="AF74" s="246">
        <f t="shared" si="379"/>
        <v>0.25099999999999989</v>
      </c>
      <c r="AG74" s="246">
        <f t="shared" si="379"/>
        <v>0.28199999999999992</v>
      </c>
      <c r="AH74" s="246">
        <f t="shared" si="379"/>
        <v>0.31299999999999994</v>
      </c>
      <c r="AI74" s="246">
        <f>-ROUND(AJ74/12,3)+AJ74</f>
        <v>0.34399999999999997</v>
      </c>
      <c r="AJ74" s="246">
        <v>0.375</v>
      </c>
      <c r="AK74" s="416"/>
      <c r="AL74" s="118">
        <f>J74-I74</f>
        <v>5.8332999999999968E-2</v>
      </c>
      <c r="AM74" s="118">
        <f t="shared" si="380"/>
        <v>5.8332999999999968E-2</v>
      </c>
      <c r="AN74" s="118">
        <f t="shared" si="381"/>
        <v>5.8332999999999968E-2</v>
      </c>
      <c r="AO74" s="119">
        <f>M74</f>
        <v>0.02</v>
      </c>
      <c r="AP74" s="118">
        <f t="shared" si="382"/>
        <v>2.0833330000000001E-2</v>
      </c>
      <c r="AQ74" s="118">
        <f t="shared" si="383"/>
        <v>2.0833329999999997E-2</v>
      </c>
      <c r="AR74" s="118">
        <f t="shared" si="384"/>
        <v>2.0833329999999997E-2</v>
      </c>
      <c r="AS74" s="118">
        <f t="shared" si="385"/>
        <v>2.0833329999999997E-2</v>
      </c>
      <c r="AT74" s="118">
        <f t="shared" si="386"/>
        <v>2.0833329999999997E-2</v>
      </c>
      <c r="AU74" s="118">
        <f t="shared" si="387"/>
        <v>2.0833330000000011E-2</v>
      </c>
      <c r="AV74" s="118">
        <f t="shared" si="388"/>
        <v>2.0833330000000011E-2</v>
      </c>
      <c r="AW74" s="118">
        <f t="shared" si="389"/>
        <v>2.0833330000000011E-2</v>
      </c>
      <c r="AX74" s="118">
        <f>V74-U74</f>
        <v>2.0833330000000011E-2</v>
      </c>
      <c r="AY74" s="118">
        <f t="shared" si="390"/>
        <v>2.0833330000000011E-2</v>
      </c>
      <c r="AZ74" s="118">
        <f t="shared" si="391"/>
        <v>2.1666699999999955E-2</v>
      </c>
      <c r="BA74" s="118">
        <f>Y74</f>
        <v>0.03</v>
      </c>
      <c r="BB74" s="118">
        <f t="shared" si="392"/>
        <v>3.4999999999999726E-2</v>
      </c>
      <c r="BC74" s="118">
        <f t="shared" si="393"/>
        <v>3.1000000000000028E-2</v>
      </c>
      <c r="BD74" s="118">
        <f t="shared" si="394"/>
        <v>3.1000000000000028E-2</v>
      </c>
      <c r="BE74" s="118">
        <f t="shared" si="395"/>
        <v>3.1000000000000028E-2</v>
      </c>
      <c r="BF74" s="118">
        <f t="shared" si="396"/>
        <v>3.1000000000000028E-2</v>
      </c>
      <c r="BG74" s="118">
        <f t="shared" si="397"/>
        <v>3.1000000000000028E-2</v>
      </c>
      <c r="BH74" s="118">
        <f t="shared" si="398"/>
        <v>3.1000000000000028E-2</v>
      </c>
      <c r="BI74" s="118">
        <f t="shared" si="399"/>
        <v>3.1000000000000028E-2</v>
      </c>
      <c r="BJ74" s="118">
        <f t="shared" si="400"/>
        <v>3.1000000000000028E-2</v>
      </c>
      <c r="BK74" s="118">
        <f t="shared" si="400"/>
        <v>3.1000000000000028E-2</v>
      </c>
      <c r="BL74" s="118">
        <f t="shared" si="400"/>
        <v>3.1000000000000028E-2</v>
      </c>
      <c r="BM74" s="409"/>
      <c r="BN74" s="119">
        <f t="shared" si="409"/>
        <v>0.1749989999999999</v>
      </c>
      <c r="BO74" s="119">
        <f t="shared" si="410"/>
        <v>0.1749989999999999</v>
      </c>
      <c r="BP74" s="119">
        <f t="shared" si="411"/>
        <v>0.1749989999999999</v>
      </c>
      <c r="BQ74" s="119">
        <f t="shared" si="412"/>
        <v>6.1666659999999998E-2</v>
      </c>
      <c r="BR74" s="119">
        <f t="shared" si="413"/>
        <v>6.1666659999999998E-2</v>
      </c>
      <c r="BS74" s="119">
        <f t="shared" si="414"/>
        <v>6.1666659999999998E-2</v>
      </c>
      <c r="BT74" s="119">
        <f t="shared" si="415"/>
        <v>6.2499989999999991E-2</v>
      </c>
      <c r="BU74" s="119">
        <f t="shared" si="416"/>
        <v>6.2499989999999991E-2</v>
      </c>
      <c r="BV74" s="119">
        <f t="shared" si="417"/>
        <v>6.2499989999999991E-2</v>
      </c>
      <c r="BW74" s="119">
        <f t="shared" si="418"/>
        <v>6.2499990000000033E-2</v>
      </c>
      <c r="BX74" s="119">
        <f t="shared" si="419"/>
        <v>6.2499990000000033E-2</v>
      </c>
      <c r="BY74" s="119">
        <f t="shared" si="420"/>
        <v>6.2499990000000033E-2</v>
      </c>
      <c r="BZ74" s="119">
        <f t="shared" si="421"/>
        <v>6.3333359999999977E-2</v>
      </c>
      <c r="CA74" s="119">
        <f t="shared" si="422"/>
        <v>6.3333359999999977E-2</v>
      </c>
      <c r="CB74" s="119">
        <f>SUM(AX74:AZ74)</f>
        <v>6.3333359999999977E-2</v>
      </c>
      <c r="CC74" s="119">
        <f t="shared" si="430"/>
        <v>9.5999999999999752E-2</v>
      </c>
      <c r="CD74" s="119">
        <f t="shared" si="431"/>
        <v>9.5999999999999752E-2</v>
      </c>
      <c r="CE74" s="119">
        <f>SUM(BA74:BC74)</f>
        <v>9.5999999999999752E-2</v>
      </c>
      <c r="CF74" s="119">
        <f t="shared" si="423"/>
        <v>9.3000000000000083E-2</v>
      </c>
      <c r="CG74" s="119">
        <f t="shared" si="424"/>
        <v>9.3000000000000083E-2</v>
      </c>
      <c r="CH74" s="119">
        <f>SUM(BD74:BF74)</f>
        <v>9.3000000000000083E-2</v>
      </c>
      <c r="CI74" s="119">
        <f t="shared" si="425"/>
        <v>9.3000000000000083E-2</v>
      </c>
      <c r="CJ74" s="119">
        <f t="shared" si="426"/>
        <v>9.3000000000000083E-2</v>
      </c>
      <c r="CK74" s="119">
        <f>SUM(BG74:BI74)</f>
        <v>9.3000000000000083E-2</v>
      </c>
      <c r="CL74" s="119">
        <f t="shared" si="427"/>
        <v>9.3000000000000083E-2</v>
      </c>
      <c r="CM74" s="119">
        <f t="shared" si="428"/>
        <v>9.3000000000000083E-2</v>
      </c>
      <c r="CN74" s="119">
        <f>SUM(BJ74:BL74)</f>
        <v>9.3000000000000083E-2</v>
      </c>
      <c r="CO74" s="421"/>
      <c r="CP74" s="118">
        <f t="shared" si="401"/>
        <v>0.58333000000000002</v>
      </c>
      <c r="CQ74" s="118">
        <f t="shared" si="401"/>
        <v>0.64166299999999998</v>
      </c>
      <c r="CR74" s="118">
        <f t="shared" si="401"/>
        <v>0.69999599999999995</v>
      </c>
      <c r="CS74" s="118">
        <f>AO74</f>
        <v>0.02</v>
      </c>
      <c r="CT74" s="118">
        <f t="shared" si="402"/>
        <v>4.0833330000000001E-2</v>
      </c>
      <c r="CU74" s="118">
        <f t="shared" si="402"/>
        <v>6.1666659999999998E-2</v>
      </c>
      <c r="CV74" s="118">
        <f t="shared" si="402"/>
        <v>8.2499989999999995E-2</v>
      </c>
      <c r="CW74" s="118">
        <f t="shared" si="402"/>
        <v>0.10333331999999999</v>
      </c>
      <c r="CX74" s="118">
        <f t="shared" si="402"/>
        <v>0.12416664999999999</v>
      </c>
      <c r="CY74" s="118">
        <f t="shared" si="402"/>
        <v>0.14499998</v>
      </c>
      <c r="CZ74" s="118">
        <f t="shared" si="402"/>
        <v>0.16583331000000001</v>
      </c>
      <c r="DA74" s="118">
        <f t="shared" si="402"/>
        <v>0.18666664000000002</v>
      </c>
      <c r="DB74" s="118">
        <f t="shared" si="402"/>
        <v>0.20749997000000003</v>
      </c>
      <c r="DC74" s="118">
        <f t="shared" si="402"/>
        <v>0.22833330000000004</v>
      </c>
      <c r="DD74" s="118">
        <f t="shared" si="402"/>
        <v>0.25</v>
      </c>
      <c r="DE74" s="118">
        <f>+BA74</f>
        <v>0.03</v>
      </c>
      <c r="DF74" s="118">
        <f t="shared" si="403"/>
        <v>6.4999999999999725E-2</v>
      </c>
      <c r="DG74" s="118">
        <f t="shared" si="403"/>
        <v>9.5999999999999752E-2</v>
      </c>
      <c r="DH74" s="118">
        <f t="shared" si="403"/>
        <v>0.12699999999999978</v>
      </c>
      <c r="DI74" s="118">
        <f t="shared" si="403"/>
        <v>0.15799999999999981</v>
      </c>
      <c r="DJ74" s="118">
        <f t="shared" si="403"/>
        <v>0.18899999999999983</v>
      </c>
      <c r="DK74" s="118">
        <f t="shared" si="403"/>
        <v>0.21999999999999986</v>
      </c>
      <c r="DL74" s="118">
        <f t="shared" si="403"/>
        <v>0.25099999999999989</v>
      </c>
      <c r="DM74" s="118">
        <f t="shared" si="403"/>
        <v>0.28199999999999992</v>
      </c>
      <c r="DN74" s="118">
        <f t="shared" si="403"/>
        <v>0.31299999999999994</v>
      </c>
      <c r="DO74" s="118">
        <f t="shared" si="403"/>
        <v>0.34399999999999997</v>
      </c>
      <c r="DP74" s="118">
        <f t="shared" si="403"/>
        <v>0.375</v>
      </c>
      <c r="DQ74" s="118"/>
      <c r="DR74" s="118"/>
      <c r="DS74" s="118"/>
      <c r="DT74" s="118"/>
      <c r="DU74" s="118"/>
      <c r="DV74" s="118"/>
      <c r="DW74" s="118"/>
      <c r="DX74" s="118"/>
      <c r="DY74" s="118"/>
      <c r="DZ74" s="121">
        <f>'Input &amp; Calc'!L74</f>
        <v>0.69999599999999995</v>
      </c>
      <c r="EA74" s="122">
        <f>DD74</f>
        <v>0.25</v>
      </c>
      <c r="EB74" s="120">
        <f>DP74</f>
        <v>0.375</v>
      </c>
      <c r="EC74" s="120"/>
      <c r="ED74" s="409"/>
      <c r="EE74" s="118">
        <f t="shared" si="404"/>
        <v>3.1000000000000028E-2</v>
      </c>
      <c r="EF74" s="118">
        <f t="shared" si="405"/>
        <v>9.3000000000000083E-2</v>
      </c>
      <c r="EG74" s="118">
        <f>HLOOKUP($EJ$3,Budget,ROW()-1)</f>
        <v>0.375</v>
      </c>
      <c r="EH74" s="40"/>
      <c r="EI74" s="1"/>
      <c r="EJ74" s="1"/>
      <c r="EK74" s="675"/>
      <c r="EL74" s="37"/>
      <c r="EM74" s="37"/>
      <c r="EN74" s="37"/>
      <c r="EO74" s="49"/>
      <c r="EP74" s="49"/>
      <c r="EQ74" s="49"/>
      <c r="ER74" s="1"/>
      <c r="ES74" s="1"/>
      <c r="FC74" s="568">
        <f>DD74</f>
        <v>0.25</v>
      </c>
      <c r="FD74" s="568">
        <f>DP74</f>
        <v>0.375</v>
      </c>
      <c r="FE74" s="568">
        <f t="shared" si="406"/>
        <v>0.30759999999999998</v>
      </c>
      <c r="FF74" s="568">
        <f>ROUND(FE74/7*12,0)</f>
        <v>1</v>
      </c>
    </row>
    <row r="75" spans="1:162">
      <c r="A75" s="6" t="s">
        <v>23</v>
      </c>
      <c r="B75" s="2" t="s">
        <v>5</v>
      </c>
      <c r="C75" s="3" t="s">
        <v>42</v>
      </c>
      <c r="E75" s="3" t="s">
        <v>16</v>
      </c>
      <c r="G75" s="3" t="s">
        <v>91</v>
      </c>
      <c r="I75" s="23"/>
      <c r="J75" s="19">
        <v>5.5833300000000001</v>
      </c>
      <c r="K75" s="19">
        <f>+J75+5.58333</f>
        <v>11.16666</v>
      </c>
      <c r="L75" s="19">
        <f t="shared" ref="L75:U75" si="435">+K75+5.58333</f>
        <v>16.74999</v>
      </c>
      <c r="M75" s="19">
        <f t="shared" si="435"/>
        <v>22.333320000000001</v>
      </c>
      <c r="N75" s="19">
        <f t="shared" si="435"/>
        <v>27.916650000000001</v>
      </c>
      <c r="O75" s="19">
        <f t="shared" si="435"/>
        <v>33.499980000000001</v>
      </c>
      <c r="P75" s="19">
        <f t="shared" si="435"/>
        <v>39.083309999999997</v>
      </c>
      <c r="Q75" s="19">
        <f t="shared" si="435"/>
        <v>44.666640000000001</v>
      </c>
      <c r="R75" s="19">
        <f t="shared" si="435"/>
        <v>50.249970000000005</v>
      </c>
      <c r="S75" s="19">
        <f t="shared" si="435"/>
        <v>55.833300000000008</v>
      </c>
      <c r="T75" s="19">
        <f t="shared" si="435"/>
        <v>61.416630000000012</v>
      </c>
      <c r="U75" s="19">
        <f t="shared" si="435"/>
        <v>66.999960000000016</v>
      </c>
      <c r="V75" s="219">
        <v>5.5833000000000004</v>
      </c>
      <c r="W75" s="436">
        <f>V75+5.5833</f>
        <v>11.166600000000001</v>
      </c>
      <c r="X75" s="436">
        <f t="shared" ref="X75:AG75" si="436">W75+5.5833</f>
        <v>16.7499</v>
      </c>
      <c r="Y75" s="436">
        <f t="shared" si="436"/>
        <v>22.333200000000001</v>
      </c>
      <c r="Z75" s="436">
        <f t="shared" si="436"/>
        <v>27.916500000000003</v>
      </c>
      <c r="AA75" s="436">
        <f t="shared" si="436"/>
        <v>33.4998</v>
      </c>
      <c r="AB75" s="436">
        <f t="shared" si="436"/>
        <v>39.083100000000002</v>
      </c>
      <c r="AC75" s="436">
        <f t="shared" si="436"/>
        <v>44.666400000000003</v>
      </c>
      <c r="AD75" s="436">
        <f t="shared" si="436"/>
        <v>50.249700000000004</v>
      </c>
      <c r="AE75" s="436">
        <f t="shared" si="436"/>
        <v>55.833000000000006</v>
      </c>
      <c r="AF75" s="436">
        <f t="shared" si="436"/>
        <v>61.416300000000007</v>
      </c>
      <c r="AG75" s="263">
        <f t="shared" si="436"/>
        <v>66.999600000000001</v>
      </c>
      <c r="AH75" s="31">
        <f>110/12</f>
        <v>9.1666666666666661</v>
      </c>
      <c r="AI75" s="19"/>
      <c r="AJ75" s="19"/>
      <c r="AK75" s="408"/>
      <c r="AL75" s="40">
        <f>J75</f>
        <v>5.5833300000000001</v>
      </c>
      <c r="AM75" s="40">
        <f t="shared" si="380"/>
        <v>5.5833300000000001</v>
      </c>
      <c r="AN75" s="40">
        <f t="shared" si="381"/>
        <v>5.5833300000000001</v>
      </c>
      <c r="AO75" s="40">
        <f>M75-L75</f>
        <v>5.5833300000000001</v>
      </c>
      <c r="AP75" s="40">
        <f t="shared" si="382"/>
        <v>5.5833300000000001</v>
      </c>
      <c r="AQ75" s="40">
        <f t="shared" si="383"/>
        <v>5.5833300000000001</v>
      </c>
      <c r="AR75" s="40">
        <f t="shared" si="384"/>
        <v>5.5833299999999966</v>
      </c>
      <c r="AS75" s="40">
        <f t="shared" si="385"/>
        <v>5.5833300000000037</v>
      </c>
      <c r="AT75" s="40">
        <f t="shared" si="386"/>
        <v>5.5833300000000037</v>
      </c>
      <c r="AU75" s="40">
        <f t="shared" si="387"/>
        <v>5.5833300000000037</v>
      </c>
      <c r="AV75" s="40">
        <f t="shared" si="388"/>
        <v>5.5833300000000037</v>
      </c>
      <c r="AW75" s="40">
        <f t="shared" si="389"/>
        <v>5.5833300000000037</v>
      </c>
      <c r="AX75" s="40">
        <f>V75</f>
        <v>5.5833000000000004</v>
      </c>
      <c r="AY75" s="40">
        <f t="shared" si="390"/>
        <v>5.5833000000000004</v>
      </c>
      <c r="AZ75" s="40">
        <f t="shared" si="391"/>
        <v>5.5832999999999995</v>
      </c>
      <c r="BA75" s="40">
        <f>Y75-X75</f>
        <v>5.5833000000000013</v>
      </c>
      <c r="BB75" s="40">
        <f t="shared" si="392"/>
        <v>5.5833000000000013</v>
      </c>
      <c r="BC75" s="40">
        <f t="shared" si="393"/>
        <v>5.5832999999999977</v>
      </c>
      <c r="BD75" s="40">
        <f t="shared" si="394"/>
        <v>5.5833000000000013</v>
      </c>
      <c r="BE75" s="40">
        <f t="shared" si="395"/>
        <v>5.5833000000000013</v>
      </c>
      <c r="BF75" s="40">
        <f t="shared" si="396"/>
        <v>5.5833000000000013</v>
      </c>
      <c r="BG75" s="40">
        <f t="shared" si="397"/>
        <v>5.5833000000000013</v>
      </c>
      <c r="BH75" s="40">
        <f t="shared" si="398"/>
        <v>5.5833000000000013</v>
      </c>
      <c r="BI75" s="40">
        <f t="shared" si="399"/>
        <v>5.5832999999999942</v>
      </c>
      <c r="BJ75" s="40">
        <f>AH75</f>
        <v>9.1666666666666661</v>
      </c>
      <c r="BK75" s="40">
        <f t="shared" ref="BK75:BL76" si="437">AI75</f>
        <v>0</v>
      </c>
      <c r="BL75" s="40">
        <f t="shared" si="437"/>
        <v>0</v>
      </c>
      <c r="BM75" s="408"/>
      <c r="BN75" s="48">
        <f t="shared" si="409"/>
        <v>16.74999</v>
      </c>
      <c r="BO75" s="48">
        <f t="shared" si="410"/>
        <v>16.74999</v>
      </c>
      <c r="BP75" s="48">
        <f t="shared" si="411"/>
        <v>16.74999</v>
      </c>
      <c r="BQ75" s="48">
        <f t="shared" si="412"/>
        <v>16.74999</v>
      </c>
      <c r="BR75" s="48">
        <f t="shared" si="413"/>
        <v>16.74999</v>
      </c>
      <c r="BS75" s="48">
        <f t="shared" si="414"/>
        <v>16.74999</v>
      </c>
      <c r="BT75" s="48">
        <f t="shared" si="415"/>
        <v>16.749990000000004</v>
      </c>
      <c r="BU75" s="48">
        <f t="shared" si="416"/>
        <v>16.749990000000004</v>
      </c>
      <c r="BV75" s="48">
        <f t="shared" si="417"/>
        <v>16.749990000000004</v>
      </c>
      <c r="BW75" s="48">
        <f t="shared" si="418"/>
        <v>16.749990000000011</v>
      </c>
      <c r="BX75" s="48">
        <f t="shared" si="419"/>
        <v>16.749990000000011</v>
      </c>
      <c r="BY75" s="48">
        <f t="shared" si="420"/>
        <v>16.749990000000011</v>
      </c>
      <c r="BZ75" s="119">
        <f t="shared" si="421"/>
        <v>16.7499</v>
      </c>
      <c r="CA75" s="119">
        <f t="shared" si="422"/>
        <v>16.7499</v>
      </c>
      <c r="CB75" s="119">
        <f>X75</f>
        <v>16.7499</v>
      </c>
      <c r="CC75" s="48">
        <f t="shared" si="430"/>
        <v>33.4998</v>
      </c>
      <c r="CD75" s="48">
        <f t="shared" si="431"/>
        <v>33.4998</v>
      </c>
      <c r="CE75" s="48">
        <f t="shared" ref="CE75:CE81" si="438">AA75</f>
        <v>33.4998</v>
      </c>
      <c r="CF75" s="48">
        <f t="shared" si="423"/>
        <v>50.249700000000004</v>
      </c>
      <c r="CG75" s="48">
        <f t="shared" si="424"/>
        <v>50.249700000000004</v>
      </c>
      <c r="CH75" s="48">
        <f>AD75</f>
        <v>50.249700000000004</v>
      </c>
      <c r="CI75" s="48">
        <f t="shared" si="425"/>
        <v>66.999600000000001</v>
      </c>
      <c r="CJ75" s="48">
        <f t="shared" si="426"/>
        <v>66.999600000000001</v>
      </c>
      <c r="CK75" s="48">
        <f t="shared" ref="CK75:CK81" si="439">AG75</f>
        <v>66.999600000000001</v>
      </c>
      <c r="CL75" s="48">
        <f t="shared" si="427"/>
        <v>27.5</v>
      </c>
      <c r="CM75" s="48">
        <f t="shared" si="428"/>
        <v>27.5</v>
      </c>
      <c r="CN75" s="48">
        <f>110/4</f>
        <v>27.5</v>
      </c>
      <c r="CO75" s="406"/>
      <c r="CP75" s="48">
        <f>+AL75</f>
        <v>5.5833300000000001</v>
      </c>
      <c r="CQ75" s="48">
        <f t="shared" ref="CQ75:DA75" si="440">+CP75+AM75</f>
        <v>11.16666</v>
      </c>
      <c r="CR75" s="48">
        <f t="shared" si="440"/>
        <v>16.74999</v>
      </c>
      <c r="CS75" s="48">
        <f t="shared" si="440"/>
        <v>22.333320000000001</v>
      </c>
      <c r="CT75" s="48">
        <f t="shared" si="440"/>
        <v>27.916650000000001</v>
      </c>
      <c r="CU75" s="48">
        <f t="shared" si="440"/>
        <v>33.499980000000001</v>
      </c>
      <c r="CV75" s="48">
        <f t="shared" si="440"/>
        <v>39.083309999999997</v>
      </c>
      <c r="CW75" s="48">
        <f t="shared" si="440"/>
        <v>44.666640000000001</v>
      </c>
      <c r="CX75" s="48">
        <f t="shared" si="440"/>
        <v>50.249970000000005</v>
      </c>
      <c r="CY75" s="48">
        <f t="shared" si="440"/>
        <v>55.833300000000008</v>
      </c>
      <c r="CZ75" s="48">
        <f t="shared" si="440"/>
        <v>61.416630000000012</v>
      </c>
      <c r="DA75" s="48">
        <f t="shared" si="440"/>
        <v>66.999960000000016</v>
      </c>
      <c r="DB75" s="48">
        <f>AX75</f>
        <v>5.5833000000000004</v>
      </c>
      <c r="DC75" s="48">
        <f t="shared" ref="DC75:DM75" si="441">+DB75+AY75</f>
        <v>11.166600000000001</v>
      </c>
      <c r="DD75" s="48">
        <f t="shared" si="441"/>
        <v>16.7499</v>
      </c>
      <c r="DE75" s="48">
        <f t="shared" si="441"/>
        <v>22.333200000000001</v>
      </c>
      <c r="DF75" s="48">
        <f t="shared" si="441"/>
        <v>27.916500000000003</v>
      </c>
      <c r="DG75" s="48">
        <f t="shared" si="441"/>
        <v>33.4998</v>
      </c>
      <c r="DH75" s="48">
        <f t="shared" si="441"/>
        <v>39.083100000000002</v>
      </c>
      <c r="DI75" s="48">
        <f t="shared" si="441"/>
        <v>44.666400000000003</v>
      </c>
      <c r="DJ75" s="48">
        <f t="shared" si="441"/>
        <v>50.249700000000004</v>
      </c>
      <c r="DK75" s="48">
        <f t="shared" si="441"/>
        <v>55.833000000000006</v>
      </c>
      <c r="DL75" s="48">
        <f t="shared" si="441"/>
        <v>61.416300000000007</v>
      </c>
      <c r="DM75" s="48">
        <f t="shared" si="441"/>
        <v>66.999600000000001</v>
      </c>
      <c r="DN75" s="48">
        <f>+BJ75</f>
        <v>9.1666666666666661</v>
      </c>
      <c r="DO75" s="48">
        <f t="shared" ref="DO75:DP75" si="442">+BK75</f>
        <v>0</v>
      </c>
      <c r="DP75" s="48">
        <f t="shared" si="442"/>
        <v>0</v>
      </c>
      <c r="DQ75" s="48"/>
      <c r="DR75" s="48"/>
      <c r="DS75" s="48"/>
      <c r="DT75" s="48"/>
      <c r="DU75" s="48"/>
      <c r="DV75" s="48"/>
      <c r="DW75" s="48"/>
      <c r="DX75" s="48"/>
      <c r="DY75" s="48"/>
      <c r="EA75" s="52">
        <f t="shared" ref="EA75:EA89" si="443">DA75</f>
        <v>66.999960000000016</v>
      </c>
      <c r="EB75" s="52">
        <f t="shared" ref="EB75:EB88" si="444">DM75</f>
        <v>66.999600000000001</v>
      </c>
      <c r="EC75" s="52">
        <v>67</v>
      </c>
      <c r="ED75" s="429"/>
      <c r="EE75" s="51">
        <f t="shared" si="404"/>
        <v>0</v>
      </c>
      <c r="EF75" s="51">
        <f t="shared" si="405"/>
        <v>27.5</v>
      </c>
      <c r="EG75" s="51">
        <f t="shared" ref="EG75:EG85" si="445">HLOOKUP($EJ$4,Budget,ROW()-1)</f>
        <v>66.999600000000001</v>
      </c>
      <c r="EH75" s="54"/>
      <c r="EI75" s="54"/>
      <c r="EJ75" s="54"/>
      <c r="EK75" s="675"/>
      <c r="EL75" s="53"/>
      <c r="EM75" s="53"/>
      <c r="EN75" s="53"/>
      <c r="EO75" s="49"/>
      <c r="EP75" s="49"/>
      <c r="EQ75" s="49"/>
      <c r="FC75" s="568">
        <f>DA75</f>
        <v>66.999960000000016</v>
      </c>
      <c r="FD75" s="568">
        <f>DM75</f>
        <v>66.999600000000001</v>
      </c>
      <c r="FE75" s="568">
        <f t="shared" si="406"/>
        <v>118</v>
      </c>
      <c r="FF75" s="568">
        <f>ROUND(FE75/10*12,0)</f>
        <v>142</v>
      </c>
    </row>
    <row r="76" spans="1:162">
      <c r="A76" s="6" t="s">
        <v>23</v>
      </c>
      <c r="B76" s="2" t="s">
        <v>4</v>
      </c>
      <c r="C76" s="3" t="s">
        <v>43</v>
      </c>
      <c r="E76" s="3" t="s">
        <v>16</v>
      </c>
      <c r="F76" s="44"/>
      <c r="G76" s="3" t="s">
        <v>91</v>
      </c>
      <c r="I76" s="23"/>
      <c r="J76" s="19">
        <f>20.16/12</f>
        <v>1.68</v>
      </c>
      <c r="K76" s="19">
        <f>J76+1.68</f>
        <v>3.36</v>
      </c>
      <c r="L76" s="19">
        <f t="shared" ref="L76:U76" si="446">K76+1.68</f>
        <v>5.04</v>
      </c>
      <c r="M76" s="19">
        <f t="shared" si="446"/>
        <v>6.72</v>
      </c>
      <c r="N76" s="19">
        <f t="shared" si="446"/>
        <v>8.4</v>
      </c>
      <c r="O76" s="19">
        <f t="shared" si="446"/>
        <v>10.08</v>
      </c>
      <c r="P76" s="19">
        <f t="shared" si="446"/>
        <v>11.76</v>
      </c>
      <c r="Q76" s="19">
        <f t="shared" si="446"/>
        <v>13.44</v>
      </c>
      <c r="R76" s="19">
        <f t="shared" si="446"/>
        <v>15.12</v>
      </c>
      <c r="S76" s="19">
        <f t="shared" si="446"/>
        <v>16.8</v>
      </c>
      <c r="T76" s="19">
        <f t="shared" si="446"/>
        <v>18.48</v>
      </c>
      <c r="U76" s="19">
        <f t="shared" si="446"/>
        <v>20.16</v>
      </c>
      <c r="V76" s="437">
        <v>2.75</v>
      </c>
      <c r="W76" s="189">
        <f>V76+2.75</f>
        <v>5.5</v>
      </c>
      <c r="X76" s="189">
        <f t="shared" ref="X76:AG76" si="447">W76+2.75</f>
        <v>8.25</v>
      </c>
      <c r="Y76" s="189">
        <f t="shared" si="447"/>
        <v>11</v>
      </c>
      <c r="Z76" s="189">
        <f t="shared" si="447"/>
        <v>13.75</v>
      </c>
      <c r="AA76" s="189">
        <f t="shared" si="447"/>
        <v>16.5</v>
      </c>
      <c r="AB76" s="189">
        <f t="shared" si="447"/>
        <v>19.25</v>
      </c>
      <c r="AC76" s="189">
        <f t="shared" si="447"/>
        <v>22</v>
      </c>
      <c r="AD76" s="189">
        <f t="shared" si="447"/>
        <v>24.75</v>
      </c>
      <c r="AE76" s="189">
        <f t="shared" si="447"/>
        <v>27.5</v>
      </c>
      <c r="AF76" s="189">
        <f t="shared" si="447"/>
        <v>30.25</v>
      </c>
      <c r="AG76" s="189">
        <f t="shared" si="447"/>
        <v>33</v>
      </c>
      <c r="AH76" s="31">
        <f>54/12</f>
        <v>4.5</v>
      </c>
      <c r="AI76" s="19"/>
      <c r="AJ76" s="19"/>
      <c r="AK76" s="408"/>
      <c r="AL76" s="40">
        <f>J76</f>
        <v>1.68</v>
      </c>
      <c r="AM76" s="40">
        <f t="shared" si="380"/>
        <v>1.68</v>
      </c>
      <c r="AN76" s="40">
        <f t="shared" si="381"/>
        <v>1.6800000000000002</v>
      </c>
      <c r="AO76" s="40">
        <f>M76-L76</f>
        <v>1.6799999999999997</v>
      </c>
      <c r="AP76" s="40">
        <f t="shared" si="382"/>
        <v>1.6800000000000006</v>
      </c>
      <c r="AQ76" s="40">
        <f t="shared" si="383"/>
        <v>1.6799999999999997</v>
      </c>
      <c r="AR76" s="40">
        <f t="shared" si="384"/>
        <v>1.6799999999999997</v>
      </c>
      <c r="AS76" s="40">
        <f t="shared" si="385"/>
        <v>1.6799999999999997</v>
      </c>
      <c r="AT76" s="40">
        <f t="shared" si="386"/>
        <v>1.6799999999999997</v>
      </c>
      <c r="AU76" s="40">
        <f t="shared" si="387"/>
        <v>1.6800000000000015</v>
      </c>
      <c r="AV76" s="40">
        <f t="shared" si="388"/>
        <v>1.6799999999999997</v>
      </c>
      <c r="AW76" s="40">
        <f t="shared" si="389"/>
        <v>1.6799999999999997</v>
      </c>
      <c r="AX76" s="399">
        <f>V76</f>
        <v>2.75</v>
      </c>
      <c r="AY76" s="399">
        <f t="shared" si="390"/>
        <v>2.75</v>
      </c>
      <c r="AZ76" s="399">
        <f t="shared" si="391"/>
        <v>2.75</v>
      </c>
      <c r="BA76" s="399">
        <f>Y76-X76</f>
        <v>2.75</v>
      </c>
      <c r="BB76" s="399">
        <f t="shared" si="392"/>
        <v>2.75</v>
      </c>
      <c r="BC76" s="399">
        <f t="shared" si="393"/>
        <v>2.75</v>
      </c>
      <c r="BD76" s="399">
        <f t="shared" si="394"/>
        <v>2.75</v>
      </c>
      <c r="BE76" s="399">
        <f t="shared" si="395"/>
        <v>2.75</v>
      </c>
      <c r="BF76" s="399">
        <f t="shared" si="396"/>
        <v>2.75</v>
      </c>
      <c r="BG76" s="399">
        <f t="shared" si="397"/>
        <v>2.75</v>
      </c>
      <c r="BH76" s="399">
        <f t="shared" si="398"/>
        <v>2.75</v>
      </c>
      <c r="BI76" s="399">
        <f t="shared" si="399"/>
        <v>2.75</v>
      </c>
      <c r="BJ76" s="40">
        <f>AH76</f>
        <v>4.5</v>
      </c>
      <c r="BK76" s="40">
        <f t="shared" si="437"/>
        <v>0</v>
      </c>
      <c r="BL76" s="40">
        <f t="shared" si="437"/>
        <v>0</v>
      </c>
      <c r="BM76" s="40">
        <f t="shared" ref="BM76" si="448">AK76</f>
        <v>0</v>
      </c>
      <c r="BN76" s="48">
        <f t="shared" si="409"/>
        <v>5.04</v>
      </c>
      <c r="BO76" s="48">
        <f t="shared" si="410"/>
        <v>5.04</v>
      </c>
      <c r="BP76" s="48">
        <f t="shared" si="411"/>
        <v>5.04</v>
      </c>
      <c r="BQ76" s="48">
        <f t="shared" si="412"/>
        <v>5.04</v>
      </c>
      <c r="BR76" s="48">
        <f t="shared" si="413"/>
        <v>5.04</v>
      </c>
      <c r="BS76" s="48">
        <f t="shared" si="414"/>
        <v>5.04</v>
      </c>
      <c r="BT76" s="48">
        <f t="shared" si="415"/>
        <v>5.0399999999999991</v>
      </c>
      <c r="BU76" s="48">
        <f t="shared" si="416"/>
        <v>5.0399999999999991</v>
      </c>
      <c r="BV76" s="48">
        <f t="shared" si="417"/>
        <v>5.0399999999999991</v>
      </c>
      <c r="BW76" s="48">
        <f t="shared" si="418"/>
        <v>5.0400000000000009</v>
      </c>
      <c r="BX76" s="48">
        <f t="shared" si="419"/>
        <v>5.0400000000000009</v>
      </c>
      <c r="BY76" s="48">
        <f t="shared" si="420"/>
        <v>5.0400000000000009</v>
      </c>
      <c r="BZ76" s="48">
        <f t="shared" si="421"/>
        <v>8.25</v>
      </c>
      <c r="CA76" s="48">
        <f t="shared" si="422"/>
        <v>8.25</v>
      </c>
      <c r="CB76" s="48">
        <f>X76</f>
        <v>8.25</v>
      </c>
      <c r="CC76" s="48">
        <f t="shared" si="430"/>
        <v>16.5</v>
      </c>
      <c r="CD76" s="48">
        <f t="shared" si="431"/>
        <v>16.5</v>
      </c>
      <c r="CE76" s="48">
        <f t="shared" si="438"/>
        <v>16.5</v>
      </c>
      <c r="CF76" s="48">
        <f t="shared" si="423"/>
        <v>24.75</v>
      </c>
      <c r="CG76" s="48">
        <f t="shared" si="424"/>
        <v>24.75</v>
      </c>
      <c r="CH76" s="48">
        <f>AD76</f>
        <v>24.75</v>
      </c>
      <c r="CI76" s="48">
        <f t="shared" si="425"/>
        <v>33</v>
      </c>
      <c r="CJ76" s="48">
        <f t="shared" si="426"/>
        <v>33</v>
      </c>
      <c r="CK76" s="48">
        <f t="shared" si="439"/>
        <v>33</v>
      </c>
      <c r="CL76" s="48">
        <f t="shared" si="427"/>
        <v>13.5</v>
      </c>
      <c r="CM76" s="48">
        <f t="shared" si="428"/>
        <v>13.5</v>
      </c>
      <c r="CN76" s="48">
        <f>54/4</f>
        <v>13.5</v>
      </c>
      <c r="CO76" s="406"/>
      <c r="CP76" s="48">
        <f t="shared" ref="CP76:DA76" si="449">I76+AL76</f>
        <v>1.68</v>
      </c>
      <c r="CQ76" s="48">
        <f t="shared" si="449"/>
        <v>3.36</v>
      </c>
      <c r="CR76" s="48">
        <f t="shared" si="449"/>
        <v>5.04</v>
      </c>
      <c r="CS76" s="48">
        <f t="shared" si="449"/>
        <v>6.72</v>
      </c>
      <c r="CT76" s="48">
        <f t="shared" si="449"/>
        <v>8.4</v>
      </c>
      <c r="CU76" s="48">
        <f t="shared" si="449"/>
        <v>10.08</v>
      </c>
      <c r="CV76" s="48">
        <f t="shared" si="449"/>
        <v>11.76</v>
      </c>
      <c r="CW76" s="48">
        <f t="shared" si="449"/>
        <v>13.44</v>
      </c>
      <c r="CX76" s="48">
        <f t="shared" si="449"/>
        <v>15.12</v>
      </c>
      <c r="CY76" s="48">
        <f t="shared" si="449"/>
        <v>16.8</v>
      </c>
      <c r="CZ76" s="48">
        <f t="shared" si="449"/>
        <v>18.48</v>
      </c>
      <c r="DA76" s="48">
        <f t="shared" si="449"/>
        <v>20.16</v>
      </c>
      <c r="DB76" s="48">
        <f>AX76</f>
        <v>2.75</v>
      </c>
      <c r="DC76" s="48">
        <f t="shared" ref="DC76:DM76" si="450">V76+AY76</f>
        <v>5.5</v>
      </c>
      <c r="DD76" s="48">
        <f t="shared" si="450"/>
        <v>8.25</v>
      </c>
      <c r="DE76" s="48">
        <f t="shared" si="450"/>
        <v>11</v>
      </c>
      <c r="DF76" s="48">
        <f t="shared" si="450"/>
        <v>13.75</v>
      </c>
      <c r="DG76" s="48">
        <f t="shared" si="450"/>
        <v>16.5</v>
      </c>
      <c r="DH76" s="48">
        <f t="shared" si="450"/>
        <v>19.25</v>
      </c>
      <c r="DI76" s="48">
        <f t="shared" si="450"/>
        <v>22</v>
      </c>
      <c r="DJ76" s="48">
        <f t="shared" si="450"/>
        <v>24.75</v>
      </c>
      <c r="DK76" s="48">
        <f t="shared" si="450"/>
        <v>27.5</v>
      </c>
      <c r="DL76" s="48">
        <f t="shared" si="450"/>
        <v>30.25</v>
      </c>
      <c r="DM76" s="48">
        <f t="shared" si="450"/>
        <v>33</v>
      </c>
      <c r="DN76" s="48">
        <f>BJ76</f>
        <v>4.5</v>
      </c>
      <c r="DO76" s="48">
        <f t="shared" ref="DO76:DP76" si="451">BK76</f>
        <v>0</v>
      </c>
      <c r="DP76" s="48">
        <f t="shared" si="451"/>
        <v>0</v>
      </c>
      <c r="DQ76" s="48"/>
      <c r="DR76" s="48"/>
      <c r="DS76" s="48"/>
      <c r="DT76" s="48"/>
      <c r="DU76" s="48"/>
      <c r="DV76" s="48"/>
      <c r="DW76" s="48"/>
      <c r="DX76" s="48"/>
      <c r="DY76" s="48"/>
      <c r="EA76" s="52">
        <f t="shared" si="443"/>
        <v>20.16</v>
      </c>
      <c r="EB76" s="52">
        <f t="shared" si="444"/>
        <v>33</v>
      </c>
      <c r="EC76" s="52">
        <v>34</v>
      </c>
      <c r="ED76" s="429"/>
      <c r="EE76" s="51">
        <f t="shared" si="404"/>
        <v>0</v>
      </c>
      <c r="EF76" s="51">
        <f t="shared" si="405"/>
        <v>13.5</v>
      </c>
      <c r="EG76" s="51">
        <v>34</v>
      </c>
      <c r="EH76" s="54"/>
      <c r="EI76" s="54"/>
      <c r="EJ76" s="126"/>
      <c r="EK76" s="675"/>
      <c r="EL76" s="53"/>
      <c r="EM76" s="53"/>
      <c r="EN76" s="53"/>
      <c r="EO76" s="49"/>
      <c r="EP76" s="49"/>
      <c r="EQ76" s="49"/>
      <c r="FC76" s="568">
        <f t="shared" ref="FC76:FC87" si="452">DA76</f>
        <v>20.16</v>
      </c>
      <c r="FD76" s="568">
        <f t="shared" ref="FD76:FD87" si="453">DM76</f>
        <v>33</v>
      </c>
      <c r="FE76" s="568">
        <f t="shared" ref="FE76:FE87" si="454">DK99</f>
        <v>52</v>
      </c>
      <c r="FF76" s="568">
        <f t="shared" ref="FF76:FF87" si="455">ROUND(FE76/10*12,0)</f>
        <v>62</v>
      </c>
    </row>
    <row r="77" spans="1:162">
      <c r="A77" s="6" t="s">
        <v>23</v>
      </c>
      <c r="B77" s="2" t="s">
        <v>6</v>
      </c>
      <c r="C77" s="3" t="s">
        <v>44</v>
      </c>
      <c r="E77" s="3" t="s">
        <v>16</v>
      </c>
      <c r="G77" s="3" t="s">
        <v>89</v>
      </c>
      <c r="I77" s="23"/>
      <c r="J77" s="19">
        <v>1.1000000000000001</v>
      </c>
      <c r="K77" s="19">
        <v>1.1000000000000001</v>
      </c>
      <c r="L77" s="19">
        <v>1.1000000000000001</v>
      </c>
      <c r="M77" s="19">
        <v>1.1000000000000001</v>
      </c>
      <c r="N77" s="19">
        <v>1.1000000000000001</v>
      </c>
      <c r="O77" s="19">
        <v>1.1000000000000001</v>
      </c>
      <c r="P77" s="19">
        <v>1.1000000000000001</v>
      </c>
      <c r="Q77" s="19">
        <v>1.1000000000000001</v>
      </c>
      <c r="R77" s="19">
        <v>1.1000000000000001</v>
      </c>
      <c r="S77" s="19">
        <v>1.1000000000000001</v>
      </c>
      <c r="T77" s="19">
        <v>1.1000000000000001</v>
      </c>
      <c r="U77" s="19">
        <v>1.1000000000000001</v>
      </c>
      <c r="V77" s="246">
        <v>1.4</v>
      </c>
      <c r="W77" s="246">
        <f>V77+1.4</f>
        <v>2.8</v>
      </c>
      <c r="X77" s="376">
        <f t="shared" ref="X77:AG77" si="456">W77+1.4</f>
        <v>4.1999999999999993</v>
      </c>
      <c r="Y77" s="376">
        <f t="shared" si="456"/>
        <v>5.6</v>
      </c>
      <c r="Z77" s="376">
        <f t="shared" si="456"/>
        <v>7</v>
      </c>
      <c r="AA77" s="376">
        <f t="shared" si="456"/>
        <v>8.4</v>
      </c>
      <c r="AB77" s="376">
        <f t="shared" si="456"/>
        <v>9.8000000000000007</v>
      </c>
      <c r="AC77" s="376">
        <f t="shared" si="456"/>
        <v>11.200000000000001</v>
      </c>
      <c r="AD77" s="376">
        <f t="shared" si="456"/>
        <v>12.600000000000001</v>
      </c>
      <c r="AE77" s="376">
        <f t="shared" si="456"/>
        <v>14.000000000000002</v>
      </c>
      <c r="AF77" s="376">
        <f t="shared" si="456"/>
        <v>15.400000000000002</v>
      </c>
      <c r="AG77" s="263">
        <f t="shared" si="456"/>
        <v>16.8</v>
      </c>
      <c r="AH77" s="31"/>
      <c r="AI77" s="19"/>
      <c r="AJ77" s="19"/>
      <c r="AK77" s="408"/>
      <c r="AL77" s="40">
        <f>J77</f>
        <v>1.1000000000000001</v>
      </c>
      <c r="AM77" s="40">
        <f t="shared" ref="AM77:AW77" si="457">K77</f>
        <v>1.1000000000000001</v>
      </c>
      <c r="AN77" s="40">
        <f t="shared" si="457"/>
        <v>1.1000000000000001</v>
      </c>
      <c r="AO77" s="40">
        <f t="shared" si="457"/>
        <v>1.1000000000000001</v>
      </c>
      <c r="AP77" s="40">
        <f t="shared" si="457"/>
        <v>1.1000000000000001</v>
      </c>
      <c r="AQ77" s="40">
        <f t="shared" si="457"/>
        <v>1.1000000000000001</v>
      </c>
      <c r="AR77" s="40">
        <f t="shared" si="457"/>
        <v>1.1000000000000001</v>
      </c>
      <c r="AS77" s="40">
        <f t="shared" si="457"/>
        <v>1.1000000000000001</v>
      </c>
      <c r="AT77" s="40">
        <f t="shared" si="457"/>
        <v>1.1000000000000001</v>
      </c>
      <c r="AU77" s="40">
        <f t="shared" si="457"/>
        <v>1.1000000000000001</v>
      </c>
      <c r="AV77" s="40">
        <f t="shared" si="457"/>
        <v>1.1000000000000001</v>
      </c>
      <c r="AW77" s="40">
        <f t="shared" si="457"/>
        <v>1.1000000000000001</v>
      </c>
      <c r="AX77" s="40">
        <f>V77</f>
        <v>1.4</v>
      </c>
      <c r="AY77" s="40">
        <f>W77-SUM($AX77:AX77)</f>
        <v>1.4</v>
      </c>
      <c r="AZ77" s="40">
        <f>X77-SUM($AX77:AY77)</f>
        <v>1.3999999999999995</v>
      </c>
      <c r="BA77" s="40">
        <f>Y77-SUM($AX77:AZ77)</f>
        <v>1.4000000000000004</v>
      </c>
      <c r="BB77" s="40">
        <f>Z77-SUM($AX77:BA77)</f>
        <v>1.4000000000000004</v>
      </c>
      <c r="BC77" s="40">
        <f>AA77-SUM($AX77:BB77)</f>
        <v>1.4000000000000004</v>
      </c>
      <c r="BD77" s="40">
        <f>AB77-SUM($AX77:BC77)</f>
        <v>1.4000000000000004</v>
      </c>
      <c r="BE77" s="40">
        <f>AC77-SUM($AX77:BD77)</f>
        <v>1.4000000000000004</v>
      </c>
      <c r="BF77" s="40">
        <f>AD77-SUM($AX77:BE77)</f>
        <v>1.4000000000000004</v>
      </c>
      <c r="BG77" s="40">
        <f>AE77-SUM($AX77:BF77)</f>
        <v>1.4000000000000004</v>
      </c>
      <c r="BH77" s="40">
        <f>AF77-SUM($AX77:BG77)</f>
        <v>1.4000000000000004</v>
      </c>
      <c r="BI77" s="40">
        <f>AG77-SUM($AX77:BH77)</f>
        <v>1.3999999999999986</v>
      </c>
      <c r="BJ77" s="40">
        <v>0</v>
      </c>
      <c r="BK77" s="40">
        <v>0</v>
      </c>
      <c r="BL77" s="40">
        <v>0</v>
      </c>
      <c r="BM77" s="408"/>
      <c r="BN77" s="48">
        <f t="shared" si="409"/>
        <v>3.3000000000000003</v>
      </c>
      <c r="BO77" s="48">
        <f t="shared" si="410"/>
        <v>3.3000000000000003</v>
      </c>
      <c r="BP77" s="48">
        <f t="shared" si="411"/>
        <v>3.3000000000000003</v>
      </c>
      <c r="BQ77" s="48">
        <f t="shared" si="412"/>
        <v>3.3000000000000003</v>
      </c>
      <c r="BR77" s="48">
        <f t="shared" si="413"/>
        <v>3.3000000000000003</v>
      </c>
      <c r="BS77" s="48">
        <f t="shared" si="414"/>
        <v>3.3000000000000003</v>
      </c>
      <c r="BT77" s="48">
        <f t="shared" si="415"/>
        <v>3.3000000000000003</v>
      </c>
      <c r="BU77" s="48">
        <f t="shared" si="416"/>
        <v>3.3000000000000003</v>
      </c>
      <c r="BV77" s="48">
        <f t="shared" si="417"/>
        <v>3.3000000000000003</v>
      </c>
      <c r="BW77" s="48">
        <f t="shared" si="418"/>
        <v>3.3000000000000003</v>
      </c>
      <c r="BX77" s="48">
        <f t="shared" si="419"/>
        <v>3.3000000000000003</v>
      </c>
      <c r="BY77" s="48">
        <f t="shared" si="420"/>
        <v>3.3000000000000003</v>
      </c>
      <c r="BZ77" s="48">
        <f t="shared" si="421"/>
        <v>4.1999999999999993</v>
      </c>
      <c r="CA77" s="48">
        <f t="shared" si="422"/>
        <v>4.1999999999999993</v>
      </c>
      <c r="CB77" s="48">
        <f>X77</f>
        <v>4.1999999999999993</v>
      </c>
      <c r="CC77" s="48">
        <f t="shared" si="430"/>
        <v>8.4</v>
      </c>
      <c r="CD77" s="48">
        <f t="shared" si="431"/>
        <v>8.4</v>
      </c>
      <c r="CE77" s="48">
        <f t="shared" si="438"/>
        <v>8.4</v>
      </c>
      <c r="CF77" s="48">
        <f t="shared" si="423"/>
        <v>12.600000000000001</v>
      </c>
      <c r="CG77" s="48">
        <f t="shared" si="424"/>
        <v>12.600000000000001</v>
      </c>
      <c r="CH77" s="48">
        <f>AD77</f>
        <v>12.600000000000001</v>
      </c>
      <c r="CI77" s="48">
        <f t="shared" si="425"/>
        <v>16.8</v>
      </c>
      <c r="CJ77" s="48">
        <f t="shared" si="426"/>
        <v>16.8</v>
      </c>
      <c r="CK77" s="48">
        <f t="shared" si="439"/>
        <v>16.8</v>
      </c>
      <c r="CL77" s="48">
        <f t="shared" si="427"/>
        <v>0</v>
      </c>
      <c r="CM77" s="48">
        <f t="shared" si="428"/>
        <v>0</v>
      </c>
      <c r="CN77" s="48">
        <f>SUM(BJ77:BL77)</f>
        <v>0</v>
      </c>
      <c r="CO77" s="406"/>
      <c r="CP77" s="48">
        <f>AL77</f>
        <v>1.1000000000000001</v>
      </c>
      <c r="CQ77" s="48">
        <f t="shared" ref="CQ77:DA77" si="458">CP77+AM77</f>
        <v>2.2000000000000002</v>
      </c>
      <c r="CR77" s="48">
        <f t="shared" si="458"/>
        <v>3.3000000000000003</v>
      </c>
      <c r="CS77" s="48">
        <f t="shared" si="458"/>
        <v>4.4000000000000004</v>
      </c>
      <c r="CT77" s="48">
        <f t="shared" si="458"/>
        <v>5.5</v>
      </c>
      <c r="CU77" s="48">
        <f t="shared" si="458"/>
        <v>6.6</v>
      </c>
      <c r="CV77" s="48">
        <f t="shared" si="458"/>
        <v>7.6999999999999993</v>
      </c>
      <c r="CW77" s="48">
        <f t="shared" si="458"/>
        <v>8.7999999999999989</v>
      </c>
      <c r="CX77" s="48">
        <f t="shared" si="458"/>
        <v>9.8999999999999986</v>
      </c>
      <c r="CY77" s="48">
        <f t="shared" si="458"/>
        <v>10.999999999999998</v>
      </c>
      <c r="CZ77" s="48">
        <f t="shared" si="458"/>
        <v>12.099999999999998</v>
      </c>
      <c r="DA77" s="48">
        <f t="shared" si="458"/>
        <v>13.199999999999998</v>
      </c>
      <c r="DB77" s="48">
        <f>AX77</f>
        <v>1.4</v>
      </c>
      <c r="DC77" s="48">
        <f t="shared" ref="DC77:DM77" si="459">DB77+AY77</f>
        <v>2.8</v>
      </c>
      <c r="DD77" s="48">
        <f t="shared" si="459"/>
        <v>4.1999999999999993</v>
      </c>
      <c r="DE77" s="48">
        <f t="shared" si="459"/>
        <v>5.6</v>
      </c>
      <c r="DF77" s="48">
        <f t="shared" si="459"/>
        <v>7</v>
      </c>
      <c r="DG77" s="48">
        <f t="shared" si="459"/>
        <v>8.4</v>
      </c>
      <c r="DH77" s="48">
        <f t="shared" si="459"/>
        <v>9.8000000000000007</v>
      </c>
      <c r="DI77" s="48">
        <f t="shared" si="459"/>
        <v>11.200000000000001</v>
      </c>
      <c r="DJ77" s="48">
        <f t="shared" si="459"/>
        <v>12.600000000000001</v>
      </c>
      <c r="DK77" s="48">
        <f t="shared" si="459"/>
        <v>14.000000000000002</v>
      </c>
      <c r="DL77" s="48">
        <f t="shared" si="459"/>
        <v>15.400000000000002</v>
      </c>
      <c r="DM77" s="48">
        <f t="shared" si="459"/>
        <v>16.8</v>
      </c>
      <c r="DN77" s="48">
        <f>BJ77</f>
        <v>0</v>
      </c>
      <c r="DO77" s="48">
        <f>DN77+BK77</f>
        <v>0</v>
      </c>
      <c r="DP77" s="48">
        <f>DO77+BL77</f>
        <v>0</v>
      </c>
      <c r="DQ77" s="48"/>
      <c r="DR77" s="48"/>
      <c r="DS77" s="48"/>
      <c r="DT77" s="48"/>
      <c r="DU77" s="48"/>
      <c r="DV77" s="48"/>
      <c r="DW77" s="48"/>
      <c r="DX77" s="48"/>
      <c r="DY77" s="48"/>
      <c r="EA77" s="52">
        <f t="shared" si="443"/>
        <v>13.199999999999998</v>
      </c>
      <c r="EB77" s="52">
        <f t="shared" si="444"/>
        <v>16.8</v>
      </c>
      <c r="EC77" s="52"/>
      <c r="ED77" s="429"/>
      <c r="EE77" s="51">
        <f t="shared" si="404"/>
        <v>0</v>
      </c>
      <c r="EF77" s="51">
        <f t="shared" si="405"/>
        <v>0</v>
      </c>
      <c r="EG77" s="51">
        <f t="shared" si="445"/>
        <v>16.8</v>
      </c>
      <c r="EH77" s="54"/>
      <c r="EI77" s="54"/>
      <c r="EJ77" s="54"/>
      <c r="EK77" s="675"/>
      <c r="EL77" s="53"/>
      <c r="EM77" s="53"/>
      <c r="EN77" s="53"/>
      <c r="EO77" s="49"/>
      <c r="EP77" s="49"/>
      <c r="EQ77" s="49"/>
      <c r="FC77" s="568">
        <f t="shared" si="452"/>
        <v>13.199999999999998</v>
      </c>
      <c r="FD77" s="568">
        <f t="shared" si="453"/>
        <v>16.8</v>
      </c>
      <c r="FE77" s="568">
        <f t="shared" si="454"/>
        <v>167</v>
      </c>
      <c r="FF77" s="568">
        <f t="shared" si="455"/>
        <v>200</v>
      </c>
    </row>
    <row r="78" spans="1:162">
      <c r="A78" s="15" t="s">
        <v>23</v>
      </c>
      <c r="B78" s="14" t="s">
        <v>7</v>
      </c>
      <c r="C78" s="16" t="s">
        <v>45</v>
      </c>
      <c r="D78" s="16"/>
      <c r="E78" s="16" t="s">
        <v>16</v>
      </c>
      <c r="F78" s="16"/>
      <c r="G78" s="16" t="s">
        <v>89</v>
      </c>
      <c r="H78" s="16"/>
      <c r="I78" s="24"/>
      <c r="J78" s="25">
        <v>0.95</v>
      </c>
      <c r="K78" s="25">
        <v>0.95</v>
      </c>
      <c r="L78" s="25">
        <v>0.95</v>
      </c>
      <c r="M78" s="25">
        <v>0.95</v>
      </c>
      <c r="N78" s="25">
        <v>0.95</v>
      </c>
      <c r="O78" s="25">
        <v>0.95</v>
      </c>
      <c r="P78" s="25">
        <v>0.95</v>
      </c>
      <c r="Q78" s="25">
        <v>0.95</v>
      </c>
      <c r="R78" s="25">
        <v>0.95</v>
      </c>
      <c r="S78" s="25">
        <v>0.95</v>
      </c>
      <c r="T78" s="25">
        <v>0.95</v>
      </c>
      <c r="U78" s="25">
        <v>0.95</v>
      </c>
      <c r="V78" s="220">
        <f>$AG78</f>
        <v>0.95</v>
      </c>
      <c r="W78" s="250">
        <f t="shared" ref="W78:AF78" si="460">$AG78</f>
        <v>0.95</v>
      </c>
      <c r="X78" s="250">
        <f t="shared" si="460"/>
        <v>0.95</v>
      </c>
      <c r="Y78" s="250">
        <f t="shared" si="460"/>
        <v>0.95</v>
      </c>
      <c r="Z78" s="250">
        <f t="shared" si="460"/>
        <v>0.95</v>
      </c>
      <c r="AA78" s="250">
        <f t="shared" si="460"/>
        <v>0.95</v>
      </c>
      <c r="AB78" s="250">
        <f t="shared" si="460"/>
        <v>0.95</v>
      </c>
      <c r="AC78" s="250">
        <f t="shared" si="460"/>
        <v>0.95</v>
      </c>
      <c r="AD78" s="250">
        <f t="shared" si="460"/>
        <v>0.95</v>
      </c>
      <c r="AE78" s="250">
        <f t="shared" si="460"/>
        <v>0.95</v>
      </c>
      <c r="AF78" s="250">
        <f t="shared" si="460"/>
        <v>0.95</v>
      </c>
      <c r="AG78" s="250">
        <v>0.95</v>
      </c>
      <c r="AH78" s="33">
        <v>0.95</v>
      </c>
      <c r="AI78" s="220">
        <v>0.95</v>
      </c>
      <c r="AJ78" s="220">
        <v>0.95</v>
      </c>
      <c r="AK78" s="412"/>
      <c r="AL78" s="55">
        <f>J78</f>
        <v>0.95</v>
      </c>
      <c r="AM78" s="55">
        <f t="shared" ref="AM78:AW78" si="461">K78</f>
        <v>0.95</v>
      </c>
      <c r="AN78" s="55">
        <f t="shared" si="461"/>
        <v>0.95</v>
      </c>
      <c r="AO78" s="55">
        <f t="shared" si="461"/>
        <v>0.95</v>
      </c>
      <c r="AP78" s="55">
        <f t="shared" si="461"/>
        <v>0.95</v>
      </c>
      <c r="AQ78" s="55">
        <f t="shared" si="461"/>
        <v>0.95</v>
      </c>
      <c r="AR78" s="55">
        <f t="shared" si="461"/>
        <v>0.95</v>
      </c>
      <c r="AS78" s="55">
        <f t="shared" si="461"/>
        <v>0.95</v>
      </c>
      <c r="AT78" s="55">
        <f t="shared" si="461"/>
        <v>0.95</v>
      </c>
      <c r="AU78" s="55">
        <f t="shared" si="461"/>
        <v>0.95</v>
      </c>
      <c r="AV78" s="55">
        <f t="shared" si="461"/>
        <v>0.95</v>
      </c>
      <c r="AW78" s="55">
        <f t="shared" si="461"/>
        <v>0.95</v>
      </c>
      <c r="AX78" s="55">
        <f>V78</f>
        <v>0.95</v>
      </c>
      <c r="AY78" s="55">
        <f t="shared" ref="AY78:BI78" si="462">W78</f>
        <v>0.95</v>
      </c>
      <c r="AZ78" s="55">
        <f t="shared" si="462"/>
        <v>0.95</v>
      </c>
      <c r="BA78" s="55">
        <f t="shared" si="462"/>
        <v>0.95</v>
      </c>
      <c r="BB78" s="55">
        <f t="shared" si="462"/>
        <v>0.95</v>
      </c>
      <c r="BC78" s="55">
        <f t="shared" si="462"/>
        <v>0.95</v>
      </c>
      <c r="BD78" s="55">
        <f t="shared" si="462"/>
        <v>0.95</v>
      </c>
      <c r="BE78" s="55">
        <f t="shared" si="462"/>
        <v>0.95</v>
      </c>
      <c r="BF78" s="55">
        <f t="shared" si="462"/>
        <v>0.95</v>
      </c>
      <c r="BG78" s="55">
        <f t="shared" si="462"/>
        <v>0.95</v>
      </c>
      <c r="BH78" s="55">
        <f t="shared" si="462"/>
        <v>0.95</v>
      </c>
      <c r="BI78" s="55">
        <f t="shared" si="462"/>
        <v>0.95</v>
      </c>
      <c r="BJ78" s="55">
        <f>AH78</f>
        <v>0.95</v>
      </c>
      <c r="BK78" s="55">
        <f t="shared" ref="BK78:BL78" si="463">AI78</f>
        <v>0.95</v>
      </c>
      <c r="BL78" s="55">
        <f t="shared" si="463"/>
        <v>0.95</v>
      </c>
      <c r="BM78" s="410"/>
      <c r="BN78" s="56">
        <f t="shared" si="409"/>
        <v>0.94999999999999984</v>
      </c>
      <c r="BO78" s="56">
        <f t="shared" si="410"/>
        <v>0.94999999999999984</v>
      </c>
      <c r="BP78" s="56">
        <f>(AL78*AL77+AM78*AM77+AN78*AN77)/BP77</f>
        <v>0.94999999999999984</v>
      </c>
      <c r="BQ78" s="56">
        <f t="shared" si="412"/>
        <v>0.94999999999999984</v>
      </c>
      <c r="BR78" s="56">
        <f t="shared" si="413"/>
        <v>0.94999999999999984</v>
      </c>
      <c r="BS78" s="56">
        <f>(AO78*AO77+AP78*AP77+AQ78*AQ77)/BS77</f>
        <v>0.94999999999999984</v>
      </c>
      <c r="BT78" s="56">
        <f t="shared" si="415"/>
        <v>0.94999999999999984</v>
      </c>
      <c r="BU78" s="56">
        <f t="shared" si="416"/>
        <v>0.94999999999999984</v>
      </c>
      <c r="BV78" s="56">
        <f>(AR78*AR77+AS78*AS77+AT78*AT77)/BV77</f>
        <v>0.94999999999999984</v>
      </c>
      <c r="BW78" s="56">
        <f t="shared" si="418"/>
        <v>0.94999999999999984</v>
      </c>
      <c r="BX78" s="56">
        <f t="shared" si="419"/>
        <v>0.94999999999999984</v>
      </c>
      <c r="BY78" s="56">
        <f>(AU78*AU77+AV78*AV77+AW78*AW77)/BY77</f>
        <v>0.94999999999999984</v>
      </c>
      <c r="BZ78" s="56">
        <f t="shared" si="421"/>
        <v>0.95</v>
      </c>
      <c r="CA78" s="56">
        <f t="shared" si="422"/>
        <v>0.95</v>
      </c>
      <c r="CB78" s="56">
        <f>(AX78*AX77+AY78*AY77+AZ78*AZ77)/CB77</f>
        <v>0.95</v>
      </c>
      <c r="CC78" s="56">
        <f t="shared" si="430"/>
        <v>0.95</v>
      </c>
      <c r="CD78" s="56">
        <f t="shared" si="431"/>
        <v>0.95</v>
      </c>
      <c r="CE78" s="56">
        <f t="shared" si="438"/>
        <v>0.95</v>
      </c>
      <c r="CF78" s="56">
        <f t="shared" si="423"/>
        <v>0.95</v>
      </c>
      <c r="CG78" s="56">
        <f t="shared" si="424"/>
        <v>0.95</v>
      </c>
      <c r="CH78" s="56">
        <f>AD78</f>
        <v>0.95</v>
      </c>
      <c r="CI78" s="56">
        <f t="shared" si="425"/>
        <v>0.95</v>
      </c>
      <c r="CJ78" s="56">
        <f t="shared" si="426"/>
        <v>0.95</v>
      </c>
      <c r="CK78" s="56">
        <f t="shared" si="439"/>
        <v>0.95</v>
      </c>
      <c r="CL78" s="56">
        <f t="shared" ref="CL78" si="464">AH78</f>
        <v>0.95</v>
      </c>
      <c r="CM78" s="56">
        <f t="shared" ref="CM78" si="465">AI78</f>
        <v>0.95</v>
      </c>
      <c r="CN78" s="56">
        <f t="shared" ref="CN78" si="466">AJ78</f>
        <v>0.95</v>
      </c>
      <c r="CO78" s="422"/>
      <c r="CP78" s="56">
        <f t="shared" ref="CP78:DA78" si="467">CP91/CP77</f>
        <v>0.94999999999999984</v>
      </c>
      <c r="CQ78" s="56">
        <f t="shared" si="467"/>
        <v>0.94999999999999984</v>
      </c>
      <c r="CR78" s="56">
        <f t="shared" si="467"/>
        <v>0.94999999999999984</v>
      </c>
      <c r="CS78" s="56">
        <f t="shared" si="467"/>
        <v>0.94999999999999984</v>
      </c>
      <c r="CT78" s="56">
        <f t="shared" si="467"/>
        <v>0.95</v>
      </c>
      <c r="CU78" s="56">
        <f t="shared" si="467"/>
        <v>0.95</v>
      </c>
      <c r="CV78" s="56">
        <f t="shared" si="467"/>
        <v>0.95000000000000007</v>
      </c>
      <c r="CW78" s="56">
        <f t="shared" si="467"/>
        <v>0.95000000000000007</v>
      </c>
      <c r="CX78" s="56">
        <f t="shared" si="467"/>
        <v>0.95000000000000007</v>
      </c>
      <c r="CY78" s="56">
        <f t="shared" si="467"/>
        <v>0.95000000000000007</v>
      </c>
      <c r="CZ78" s="56">
        <f t="shared" si="467"/>
        <v>0.95000000000000007</v>
      </c>
      <c r="DA78" s="56">
        <f t="shared" si="467"/>
        <v>0.95000000000000007</v>
      </c>
      <c r="DB78" s="56">
        <f t="shared" ref="DB78:DP78" si="468">DA78</f>
        <v>0.95000000000000007</v>
      </c>
      <c r="DC78" s="56">
        <f t="shared" si="468"/>
        <v>0.95000000000000007</v>
      </c>
      <c r="DD78" s="56">
        <f t="shared" si="468"/>
        <v>0.95000000000000007</v>
      </c>
      <c r="DE78" s="56">
        <f t="shared" si="468"/>
        <v>0.95000000000000007</v>
      </c>
      <c r="DF78" s="56">
        <f t="shared" si="468"/>
        <v>0.95000000000000007</v>
      </c>
      <c r="DG78" s="56">
        <f t="shared" si="468"/>
        <v>0.95000000000000007</v>
      </c>
      <c r="DH78" s="56">
        <f t="shared" si="468"/>
        <v>0.95000000000000007</v>
      </c>
      <c r="DI78" s="56">
        <f t="shared" si="468"/>
        <v>0.95000000000000007</v>
      </c>
      <c r="DJ78" s="56">
        <f t="shared" si="468"/>
        <v>0.95000000000000007</v>
      </c>
      <c r="DK78" s="56">
        <f t="shared" si="468"/>
        <v>0.95000000000000007</v>
      </c>
      <c r="DL78" s="56">
        <f t="shared" si="468"/>
        <v>0.95000000000000007</v>
      </c>
      <c r="DM78" s="56">
        <f t="shared" si="468"/>
        <v>0.95000000000000007</v>
      </c>
      <c r="DN78" s="56">
        <f t="shared" si="468"/>
        <v>0.95000000000000007</v>
      </c>
      <c r="DO78" s="56">
        <f t="shared" si="468"/>
        <v>0.95000000000000007</v>
      </c>
      <c r="DP78" s="56">
        <f t="shared" si="468"/>
        <v>0.95000000000000007</v>
      </c>
      <c r="DQ78" s="56"/>
      <c r="DR78" s="56"/>
      <c r="DS78" s="56"/>
      <c r="DT78" s="56"/>
      <c r="DU78" s="56"/>
      <c r="DV78" s="56"/>
      <c r="DW78" s="56"/>
      <c r="DX78" s="56"/>
      <c r="DY78" s="56"/>
      <c r="DZ78" s="14"/>
      <c r="EA78" s="55">
        <f t="shared" si="443"/>
        <v>0.95000000000000007</v>
      </c>
      <c r="EB78" s="55">
        <f t="shared" si="444"/>
        <v>0.95000000000000007</v>
      </c>
      <c r="EC78" s="55"/>
      <c r="ED78" s="430"/>
      <c r="EE78" s="56">
        <f t="shared" si="404"/>
        <v>0.95</v>
      </c>
      <c r="EF78" s="56">
        <f t="shared" si="405"/>
        <v>0.95</v>
      </c>
      <c r="EG78" s="56">
        <f t="shared" si="445"/>
        <v>0.95000000000000007</v>
      </c>
      <c r="EH78" s="57"/>
      <c r="EI78" s="57"/>
      <c r="EJ78" s="57"/>
      <c r="EK78" s="675"/>
      <c r="EL78" s="55"/>
      <c r="EM78" s="55"/>
      <c r="EN78" s="55"/>
      <c r="EO78" s="49"/>
      <c r="EP78" s="49"/>
      <c r="EQ78" s="49"/>
      <c r="ER78" s="14"/>
      <c r="ES78" s="14"/>
      <c r="FC78" s="568">
        <f t="shared" si="452"/>
        <v>0.95000000000000007</v>
      </c>
      <c r="FD78" s="568">
        <f t="shared" si="453"/>
        <v>0.95000000000000007</v>
      </c>
      <c r="FE78" s="568">
        <f t="shared" si="454"/>
        <v>24</v>
      </c>
      <c r="FF78" s="568">
        <f t="shared" si="455"/>
        <v>29</v>
      </c>
    </row>
    <row r="79" spans="1:162">
      <c r="A79" s="6" t="s">
        <v>23</v>
      </c>
      <c r="B79" s="2" t="s">
        <v>8</v>
      </c>
      <c r="C79" s="3" t="s">
        <v>86</v>
      </c>
      <c r="E79" s="3" t="s">
        <v>16</v>
      </c>
      <c r="G79" s="3" t="s">
        <v>91</v>
      </c>
      <c r="I79" s="23"/>
      <c r="J79" s="19">
        <v>1.25</v>
      </c>
      <c r="K79" s="19">
        <f>+J79+1.25</f>
        <v>2.5</v>
      </c>
      <c r="L79" s="19">
        <f t="shared" ref="L79:U79" si="469">+K79+1.25</f>
        <v>3.75</v>
      </c>
      <c r="M79" s="19">
        <f t="shared" si="469"/>
        <v>5</v>
      </c>
      <c r="N79" s="19">
        <f t="shared" si="469"/>
        <v>6.25</v>
      </c>
      <c r="O79" s="246">
        <f t="shared" si="469"/>
        <v>7.5</v>
      </c>
      <c r="P79" s="246">
        <f t="shared" si="469"/>
        <v>8.75</v>
      </c>
      <c r="Q79" s="246">
        <f t="shared" si="469"/>
        <v>10</v>
      </c>
      <c r="R79" s="246">
        <f t="shared" si="469"/>
        <v>11.25</v>
      </c>
      <c r="S79" s="246">
        <f t="shared" si="469"/>
        <v>12.5</v>
      </c>
      <c r="T79" s="246">
        <f t="shared" si="469"/>
        <v>13.75</v>
      </c>
      <c r="U79" s="246">
        <f t="shared" si="469"/>
        <v>15</v>
      </c>
      <c r="V79" s="219">
        <v>1.1659999999999999</v>
      </c>
      <c r="W79" s="189">
        <f>V79+1.166</f>
        <v>2.3319999999999999</v>
      </c>
      <c r="X79" s="189">
        <f t="shared" ref="X79:AG79" si="470">W79+1.166</f>
        <v>3.4979999999999998</v>
      </c>
      <c r="Y79" s="189">
        <f t="shared" si="470"/>
        <v>4.6639999999999997</v>
      </c>
      <c r="Z79" s="189">
        <f t="shared" si="470"/>
        <v>5.83</v>
      </c>
      <c r="AA79" s="189">
        <f t="shared" si="470"/>
        <v>6.9960000000000004</v>
      </c>
      <c r="AB79" s="189">
        <f t="shared" si="470"/>
        <v>8.1620000000000008</v>
      </c>
      <c r="AC79" s="189">
        <f t="shared" si="470"/>
        <v>9.3280000000000012</v>
      </c>
      <c r="AD79" s="189">
        <f t="shared" si="470"/>
        <v>10.494000000000002</v>
      </c>
      <c r="AE79" s="189">
        <f t="shared" si="470"/>
        <v>11.660000000000002</v>
      </c>
      <c r="AF79" s="189">
        <f t="shared" si="470"/>
        <v>12.826000000000002</v>
      </c>
      <c r="AG79" s="189">
        <f t="shared" si="470"/>
        <v>13.992000000000003</v>
      </c>
      <c r="AH79" s="31"/>
      <c r="AI79" s="19"/>
      <c r="AJ79" s="19"/>
      <c r="AK79" s="408"/>
      <c r="AL79" s="40">
        <f>J79</f>
        <v>1.25</v>
      </c>
      <c r="AM79" s="40">
        <f>K79-J79</f>
        <v>1.25</v>
      </c>
      <c r="AN79" s="40">
        <f t="shared" ref="AN79:AN85" si="471">L79-K79</f>
        <v>1.25</v>
      </c>
      <c r="AO79" s="40">
        <f t="shared" ref="AO79:AO85" si="472">M79-L79</f>
        <v>1.25</v>
      </c>
      <c r="AP79" s="40">
        <f t="shared" ref="AP79:AP85" si="473">N79-M79</f>
        <v>1.25</v>
      </c>
      <c r="AQ79" s="40">
        <f t="shared" ref="AQ79:AQ85" si="474">O79-N79</f>
        <v>1.25</v>
      </c>
      <c r="AR79" s="40">
        <f t="shared" ref="AR79:AR85" si="475">P79-O79</f>
        <v>1.25</v>
      </c>
      <c r="AS79" s="40">
        <f t="shared" ref="AS79:AS85" si="476">Q79-P79</f>
        <v>1.25</v>
      </c>
      <c r="AT79" s="40">
        <f t="shared" ref="AT79:AT85" si="477">R79-Q79</f>
        <v>1.25</v>
      </c>
      <c r="AU79" s="40">
        <f t="shared" ref="AU79:AU85" si="478">S79-R79</f>
        <v>1.25</v>
      </c>
      <c r="AV79" s="40">
        <f t="shared" ref="AV79:AV85" si="479">T79-S79</f>
        <v>1.25</v>
      </c>
      <c r="AW79" s="40">
        <f t="shared" ref="AW79:AW85" si="480">U79-T79</f>
        <v>1.25</v>
      </c>
      <c r="AX79" s="40">
        <f>V79</f>
        <v>1.1659999999999999</v>
      </c>
      <c r="AY79" s="40">
        <f t="shared" ref="AY79:AY85" si="481">W79-V79</f>
        <v>1.1659999999999999</v>
      </c>
      <c r="AZ79" s="40">
        <f t="shared" ref="AZ79:AZ85" si="482">X79-W79</f>
        <v>1.1659999999999999</v>
      </c>
      <c r="BA79" s="40">
        <f t="shared" ref="BA79:BA85" si="483">Y79-X79</f>
        <v>1.1659999999999999</v>
      </c>
      <c r="BB79" s="40">
        <f t="shared" ref="BB79:BB85" si="484">Z79-Y79</f>
        <v>1.1660000000000004</v>
      </c>
      <c r="BC79" s="40">
        <f t="shared" ref="BC79:BC85" si="485">AA79-Z79</f>
        <v>1.1660000000000004</v>
      </c>
      <c r="BD79" s="40">
        <f t="shared" ref="BD79:BD85" si="486">AB79-AA79</f>
        <v>1.1660000000000004</v>
      </c>
      <c r="BE79" s="40">
        <f t="shared" ref="BE79:BE85" si="487">AC79-AB79</f>
        <v>1.1660000000000004</v>
      </c>
      <c r="BF79" s="40">
        <f t="shared" ref="BF79:BF85" si="488">AD79-AC79</f>
        <v>1.1660000000000004</v>
      </c>
      <c r="BG79" s="40">
        <f t="shared" ref="BG79:BG85" si="489">AE79-AD79</f>
        <v>1.1660000000000004</v>
      </c>
      <c r="BH79" s="40">
        <f t="shared" ref="BH79:BH85" si="490">AF79-AE79</f>
        <v>1.1660000000000004</v>
      </c>
      <c r="BI79" s="40">
        <f t="shared" ref="BI79:BI85" si="491">AG79-AF79</f>
        <v>1.1660000000000004</v>
      </c>
      <c r="BJ79" s="40">
        <f t="shared" ref="BJ79:BJ84" si="492">AH79</f>
        <v>0</v>
      </c>
      <c r="BK79" s="40">
        <f t="shared" ref="BK79:BK85" si="493">AI79-AH79</f>
        <v>0</v>
      </c>
      <c r="BL79" s="40">
        <f t="shared" ref="BL79:BL85" si="494">AJ79-AI79</f>
        <v>0</v>
      </c>
      <c r="BM79" s="408"/>
      <c r="BN79" s="48">
        <f t="shared" si="409"/>
        <v>3.75</v>
      </c>
      <c r="BO79" s="48">
        <f t="shared" si="410"/>
        <v>3.75</v>
      </c>
      <c r="BP79" s="48">
        <f t="shared" ref="BP79:BP84" si="495">SUM(AL79:AN79)</f>
        <v>3.75</v>
      </c>
      <c r="BQ79" s="48">
        <f t="shared" si="412"/>
        <v>3.75</v>
      </c>
      <c r="BR79" s="48">
        <f t="shared" si="413"/>
        <v>3.75</v>
      </c>
      <c r="BS79" s="48">
        <f t="shared" ref="BS79:BS85" si="496">SUM(AO79:AQ79)</f>
        <v>3.75</v>
      </c>
      <c r="BT79" s="48">
        <f t="shared" si="415"/>
        <v>3.75</v>
      </c>
      <c r="BU79" s="48">
        <f t="shared" si="416"/>
        <v>3.75</v>
      </c>
      <c r="BV79" s="48">
        <f t="shared" ref="BV79:BV85" si="497">SUM(AR79:AT79)</f>
        <v>3.75</v>
      </c>
      <c r="BW79" s="48">
        <f t="shared" si="418"/>
        <v>3.75</v>
      </c>
      <c r="BX79" s="48">
        <f t="shared" si="419"/>
        <v>3.75</v>
      </c>
      <c r="BY79" s="48">
        <f t="shared" ref="BY79:BY85" si="498">SUM(AU79:AW79)</f>
        <v>3.75</v>
      </c>
      <c r="BZ79" s="48">
        <f t="shared" si="421"/>
        <v>3.4979999999999998</v>
      </c>
      <c r="CA79" s="48">
        <f t="shared" si="422"/>
        <v>3.4979999999999998</v>
      </c>
      <c r="CB79" s="48">
        <f>X79</f>
        <v>3.4979999999999998</v>
      </c>
      <c r="CC79" s="48">
        <f t="shared" si="430"/>
        <v>6.9960000000000004</v>
      </c>
      <c r="CD79" s="48">
        <f t="shared" si="431"/>
        <v>6.9960000000000004</v>
      </c>
      <c r="CE79" s="48">
        <f t="shared" si="438"/>
        <v>6.9960000000000004</v>
      </c>
      <c r="CF79" s="48">
        <f t="shared" si="423"/>
        <v>12.600000000000001</v>
      </c>
      <c r="CG79" s="48">
        <f t="shared" si="424"/>
        <v>12.600000000000001</v>
      </c>
      <c r="CH79" s="48">
        <f>AD77</f>
        <v>12.600000000000001</v>
      </c>
      <c r="CI79" s="48">
        <f t="shared" si="425"/>
        <v>13.992000000000003</v>
      </c>
      <c r="CJ79" s="48">
        <f t="shared" si="426"/>
        <v>13.992000000000003</v>
      </c>
      <c r="CK79" s="48">
        <f t="shared" si="439"/>
        <v>13.992000000000003</v>
      </c>
      <c r="CL79" s="48">
        <f t="shared" si="427"/>
        <v>0</v>
      </c>
      <c r="CM79" s="48">
        <f t="shared" si="428"/>
        <v>0</v>
      </c>
      <c r="CN79" s="48">
        <f t="shared" ref="CN79:CN85" si="499">SUM(BJ79:BL79)</f>
        <v>0</v>
      </c>
      <c r="CO79" s="406"/>
      <c r="CP79" s="48">
        <f>AL79</f>
        <v>1.25</v>
      </c>
      <c r="CQ79" s="48">
        <f t="shared" ref="CQ79:CQ85" si="500">CP79+AM79</f>
        <v>2.5</v>
      </c>
      <c r="CR79" s="48">
        <f t="shared" ref="CR79:CR85" si="501">CQ79+AN79</f>
        <v>3.75</v>
      </c>
      <c r="CS79" s="48">
        <f t="shared" ref="CS79:CS85" si="502">CR79+AO79</f>
        <v>5</v>
      </c>
      <c r="CT79" s="48">
        <f t="shared" ref="CT79:CT85" si="503">CS79+AP79</f>
        <v>6.25</v>
      </c>
      <c r="CU79" s="48">
        <f t="shared" ref="CU79:CU85" si="504">CT79+AQ79</f>
        <v>7.5</v>
      </c>
      <c r="CV79" s="48">
        <f t="shared" ref="CV79:CV85" si="505">CU79+AR79</f>
        <v>8.75</v>
      </c>
      <c r="CW79" s="48">
        <f t="shared" ref="CW79:CW85" si="506">CV79+AS79</f>
        <v>10</v>
      </c>
      <c r="CX79" s="48">
        <f t="shared" ref="CX79:CX85" si="507">CW79+AT79</f>
        <v>11.25</v>
      </c>
      <c r="CY79" s="48">
        <f t="shared" ref="CY79:CY85" si="508">CX79+AU79</f>
        <v>12.5</v>
      </c>
      <c r="CZ79" s="48">
        <f t="shared" ref="CZ79:CZ85" si="509">CY79+AV79</f>
        <v>13.75</v>
      </c>
      <c r="DA79" s="48">
        <f t="shared" ref="DA79:DA85" si="510">CZ79+AW79</f>
        <v>15</v>
      </c>
      <c r="DB79" s="48">
        <f>AX79</f>
        <v>1.1659999999999999</v>
      </c>
      <c r="DC79" s="48">
        <f t="shared" ref="DC79:DC85" si="511">DB79+AY79</f>
        <v>2.3319999999999999</v>
      </c>
      <c r="DD79" s="48">
        <f t="shared" ref="DD79:DD85" si="512">DC79+AZ79</f>
        <v>3.4979999999999998</v>
      </c>
      <c r="DE79" s="48">
        <f t="shared" ref="DE79:DE85" si="513">DD79+BA79</f>
        <v>4.6639999999999997</v>
      </c>
      <c r="DF79" s="48">
        <f t="shared" ref="DF79:DF85" si="514">DE79+BB79</f>
        <v>5.83</v>
      </c>
      <c r="DG79" s="48">
        <f t="shared" ref="DG79:DG84" si="515">DF79+BC79</f>
        <v>6.9960000000000004</v>
      </c>
      <c r="DH79" s="48">
        <f t="shared" ref="DH79:DH84" si="516">DG79+BD79</f>
        <v>8.1620000000000008</v>
      </c>
      <c r="DI79" s="48">
        <f t="shared" ref="DI79:DI85" si="517">DH79+BE79</f>
        <v>9.3280000000000012</v>
      </c>
      <c r="DJ79" s="48">
        <f t="shared" ref="DJ79:DJ85" si="518">DI79+BF79</f>
        <v>10.494000000000002</v>
      </c>
      <c r="DK79" s="48">
        <f t="shared" ref="DK79:DK85" si="519">DJ79+BG79</f>
        <v>11.660000000000002</v>
      </c>
      <c r="DL79" s="48">
        <f t="shared" ref="DL79:DL85" si="520">DK79+BH79</f>
        <v>12.826000000000002</v>
      </c>
      <c r="DM79" s="48">
        <f t="shared" ref="DM79:DM85" si="521">DL79+BI79</f>
        <v>13.992000000000003</v>
      </c>
      <c r="DN79" s="48">
        <f t="shared" ref="DN79:DN84" si="522">BJ79</f>
        <v>0</v>
      </c>
      <c r="DO79" s="48">
        <f>DN79+BK79</f>
        <v>0</v>
      </c>
      <c r="DP79" s="48">
        <f>DO79+BL79</f>
        <v>0</v>
      </c>
      <c r="DQ79" s="48"/>
      <c r="DR79" s="48"/>
      <c r="DS79" s="48"/>
      <c r="DT79" s="48"/>
      <c r="DU79" s="48"/>
      <c r="DV79" s="48"/>
      <c r="DW79" s="48"/>
      <c r="DX79" s="48"/>
      <c r="DY79" s="48"/>
      <c r="EA79" s="52">
        <f t="shared" si="443"/>
        <v>15</v>
      </c>
      <c r="EB79" s="52">
        <f t="shared" si="444"/>
        <v>13.992000000000003</v>
      </c>
      <c r="EC79" s="52"/>
      <c r="ED79" s="429"/>
      <c r="EE79" s="40">
        <f t="shared" si="404"/>
        <v>0</v>
      </c>
      <c r="EF79" s="40">
        <f t="shared" si="405"/>
        <v>0</v>
      </c>
      <c r="EG79" s="51">
        <f t="shared" si="445"/>
        <v>13.992000000000003</v>
      </c>
      <c r="EH79" s="54"/>
      <c r="EI79" s="54"/>
      <c r="EJ79" s="54"/>
      <c r="EK79" s="675"/>
      <c r="EL79" s="53"/>
      <c r="EM79" s="53"/>
      <c r="EN79" s="53"/>
      <c r="EO79" s="49"/>
      <c r="EP79" s="49"/>
      <c r="EQ79" s="49"/>
      <c r="FC79" s="568">
        <f t="shared" si="452"/>
        <v>15</v>
      </c>
      <c r="FD79" s="568">
        <f t="shared" si="453"/>
        <v>13.992000000000003</v>
      </c>
      <c r="FE79" s="568">
        <f t="shared" si="454"/>
        <v>40</v>
      </c>
      <c r="FF79" s="568">
        <f t="shared" si="455"/>
        <v>48</v>
      </c>
    </row>
    <row r="80" spans="1:162">
      <c r="A80" s="6" t="s">
        <v>23</v>
      </c>
      <c r="B80" s="2" t="s">
        <v>9</v>
      </c>
      <c r="C80" s="3" t="s">
        <v>46</v>
      </c>
      <c r="E80" s="3" t="s">
        <v>16</v>
      </c>
      <c r="G80" s="3" t="s">
        <v>91</v>
      </c>
      <c r="I80" s="23"/>
      <c r="J80" s="19">
        <v>36.5</v>
      </c>
      <c r="K80" s="19">
        <f>+J80+36.5</f>
        <v>73</v>
      </c>
      <c r="L80" s="19">
        <f t="shared" ref="L80:U80" si="523">+K80+36.5</f>
        <v>109.5</v>
      </c>
      <c r="M80" s="19">
        <f t="shared" si="523"/>
        <v>146</v>
      </c>
      <c r="N80" s="19">
        <f t="shared" si="523"/>
        <v>182.5</v>
      </c>
      <c r="O80" s="19">
        <f t="shared" si="523"/>
        <v>219</v>
      </c>
      <c r="P80" s="19">
        <f t="shared" si="523"/>
        <v>255.5</v>
      </c>
      <c r="Q80" s="19">
        <f t="shared" si="523"/>
        <v>292</v>
      </c>
      <c r="R80" s="19">
        <f t="shared" si="523"/>
        <v>328.5</v>
      </c>
      <c r="S80" s="19">
        <f t="shared" si="523"/>
        <v>365</v>
      </c>
      <c r="T80" s="19">
        <f t="shared" si="523"/>
        <v>401.5</v>
      </c>
      <c r="U80" s="19">
        <f t="shared" si="523"/>
        <v>438</v>
      </c>
      <c r="V80" s="219">
        <v>60.583300000000001</v>
      </c>
      <c r="W80" s="246">
        <f>V80+60.5833</f>
        <v>121.1666</v>
      </c>
      <c r="X80" s="376">
        <f t="shared" ref="X80:AG80" si="524">W80+60.5833</f>
        <v>181.7499</v>
      </c>
      <c r="Y80" s="376">
        <f t="shared" si="524"/>
        <v>242.33320000000001</v>
      </c>
      <c r="Z80" s="376">
        <f t="shared" si="524"/>
        <v>302.91649999999998</v>
      </c>
      <c r="AA80" s="376">
        <f t="shared" si="524"/>
        <v>363.49979999999999</v>
      </c>
      <c r="AB80" s="376">
        <f t="shared" si="524"/>
        <v>424.0831</v>
      </c>
      <c r="AC80" s="376">
        <f t="shared" si="524"/>
        <v>484.66640000000001</v>
      </c>
      <c r="AD80" s="376">
        <f t="shared" si="524"/>
        <v>545.24969999999996</v>
      </c>
      <c r="AE80" s="376">
        <f t="shared" si="524"/>
        <v>605.83299999999997</v>
      </c>
      <c r="AF80" s="376">
        <f t="shared" si="524"/>
        <v>666.41629999999998</v>
      </c>
      <c r="AG80" s="263">
        <f t="shared" si="524"/>
        <v>726.99959999999999</v>
      </c>
      <c r="AH80" s="31">
        <f>705/12</f>
        <v>58.75</v>
      </c>
      <c r="AI80" s="19">
        <f>+AH80+AH80</f>
        <v>117.5</v>
      </c>
      <c r="AJ80" s="19">
        <f>+AI80+AI80</f>
        <v>235</v>
      </c>
      <c r="AK80" s="408"/>
      <c r="AL80" s="40">
        <f t="shared" ref="AL80:AL85" si="525">J80</f>
        <v>36.5</v>
      </c>
      <c r="AM80" s="40">
        <f t="shared" ref="AM80:AM85" si="526">K80-J80</f>
        <v>36.5</v>
      </c>
      <c r="AN80" s="40">
        <f t="shared" si="471"/>
        <v>36.5</v>
      </c>
      <c r="AO80" s="40">
        <f t="shared" si="472"/>
        <v>36.5</v>
      </c>
      <c r="AP80" s="40">
        <f t="shared" si="473"/>
        <v>36.5</v>
      </c>
      <c r="AQ80" s="40">
        <f t="shared" si="474"/>
        <v>36.5</v>
      </c>
      <c r="AR80" s="40">
        <f t="shared" si="475"/>
        <v>36.5</v>
      </c>
      <c r="AS80" s="40">
        <f t="shared" si="476"/>
        <v>36.5</v>
      </c>
      <c r="AT80" s="40">
        <f t="shared" si="477"/>
        <v>36.5</v>
      </c>
      <c r="AU80" s="40">
        <f t="shared" si="478"/>
        <v>36.5</v>
      </c>
      <c r="AV80" s="40">
        <f t="shared" si="479"/>
        <v>36.5</v>
      </c>
      <c r="AW80" s="40">
        <f t="shared" si="480"/>
        <v>36.5</v>
      </c>
      <c r="AX80" s="40">
        <f t="shared" ref="AX80:AX85" si="527">V80</f>
        <v>60.583300000000001</v>
      </c>
      <c r="AY80" s="40">
        <f t="shared" si="481"/>
        <v>60.583300000000001</v>
      </c>
      <c r="AZ80" s="40">
        <f t="shared" si="482"/>
        <v>60.583299999999994</v>
      </c>
      <c r="BA80" s="40">
        <f t="shared" si="483"/>
        <v>60.583300000000008</v>
      </c>
      <c r="BB80" s="40">
        <f t="shared" si="484"/>
        <v>60.58329999999998</v>
      </c>
      <c r="BC80" s="40">
        <f t="shared" si="485"/>
        <v>60.583300000000008</v>
      </c>
      <c r="BD80" s="40">
        <f t="shared" si="486"/>
        <v>60.583300000000008</v>
      </c>
      <c r="BE80" s="40">
        <f t="shared" si="487"/>
        <v>60.583300000000008</v>
      </c>
      <c r="BF80" s="40">
        <f t="shared" si="488"/>
        <v>60.583299999999952</v>
      </c>
      <c r="BG80" s="40">
        <f t="shared" si="489"/>
        <v>60.583300000000008</v>
      </c>
      <c r="BH80" s="40">
        <f t="shared" si="490"/>
        <v>60.583300000000008</v>
      </c>
      <c r="BI80" s="40">
        <f t="shared" si="491"/>
        <v>60.583300000000008</v>
      </c>
      <c r="BJ80" s="40">
        <f t="shared" si="492"/>
        <v>58.75</v>
      </c>
      <c r="BK80" s="40">
        <f t="shared" ref="BK80" si="528">AI80</f>
        <v>117.5</v>
      </c>
      <c r="BL80" s="40">
        <f t="shared" ref="BL80" si="529">AJ80</f>
        <v>235</v>
      </c>
      <c r="BM80" s="408"/>
      <c r="BN80" s="48">
        <f t="shared" si="409"/>
        <v>109.5</v>
      </c>
      <c r="BO80" s="48">
        <f t="shared" si="410"/>
        <v>109.5</v>
      </c>
      <c r="BP80" s="48">
        <f t="shared" si="495"/>
        <v>109.5</v>
      </c>
      <c r="BQ80" s="48">
        <f t="shared" si="412"/>
        <v>109.5</v>
      </c>
      <c r="BR80" s="48">
        <f t="shared" si="413"/>
        <v>109.5</v>
      </c>
      <c r="BS80" s="48">
        <f t="shared" si="496"/>
        <v>109.5</v>
      </c>
      <c r="BT80" s="48">
        <f t="shared" si="415"/>
        <v>109.5</v>
      </c>
      <c r="BU80" s="48">
        <f t="shared" si="416"/>
        <v>109.5</v>
      </c>
      <c r="BV80" s="48">
        <f t="shared" si="497"/>
        <v>109.5</v>
      </c>
      <c r="BW80" s="48">
        <f t="shared" si="418"/>
        <v>109.5</v>
      </c>
      <c r="BX80" s="48">
        <f t="shared" si="419"/>
        <v>109.5</v>
      </c>
      <c r="BY80" s="48">
        <f t="shared" si="498"/>
        <v>109.5</v>
      </c>
      <c r="BZ80" s="48">
        <f t="shared" si="421"/>
        <v>181.7499</v>
      </c>
      <c r="CA80" s="48">
        <f t="shared" si="422"/>
        <v>181.7499</v>
      </c>
      <c r="CB80" s="48">
        <f>X80</f>
        <v>181.7499</v>
      </c>
      <c r="CC80" s="48">
        <f t="shared" si="430"/>
        <v>363.49979999999999</v>
      </c>
      <c r="CD80" s="48">
        <f t="shared" si="431"/>
        <v>363.49979999999999</v>
      </c>
      <c r="CE80" s="48">
        <f t="shared" si="438"/>
        <v>363.49979999999999</v>
      </c>
      <c r="CF80" s="48">
        <f t="shared" si="423"/>
        <v>545.24969999999996</v>
      </c>
      <c r="CG80" s="48">
        <f t="shared" si="424"/>
        <v>545.24969999999996</v>
      </c>
      <c r="CH80" s="48">
        <f>AD80</f>
        <v>545.24969999999996</v>
      </c>
      <c r="CI80" s="48">
        <f t="shared" si="425"/>
        <v>726.99959999999999</v>
      </c>
      <c r="CJ80" s="48">
        <f t="shared" si="426"/>
        <v>726.99959999999999</v>
      </c>
      <c r="CK80" s="48">
        <f t="shared" si="439"/>
        <v>726.99959999999999</v>
      </c>
      <c r="CL80" s="48">
        <f t="shared" si="427"/>
        <v>251.25</v>
      </c>
      <c r="CM80" s="48">
        <f t="shared" si="428"/>
        <v>251.25</v>
      </c>
      <c r="CN80" s="48">
        <f>1005/4</f>
        <v>251.25</v>
      </c>
      <c r="CO80" s="406"/>
      <c r="CP80" s="48">
        <f t="shared" ref="CP80:CP85" si="530">AL80</f>
        <v>36.5</v>
      </c>
      <c r="CQ80" s="48">
        <f t="shared" si="500"/>
        <v>73</v>
      </c>
      <c r="CR80" s="48">
        <f t="shared" si="501"/>
        <v>109.5</v>
      </c>
      <c r="CS80" s="48">
        <f t="shared" si="502"/>
        <v>146</v>
      </c>
      <c r="CT80" s="48">
        <f t="shared" si="503"/>
        <v>182.5</v>
      </c>
      <c r="CU80" s="48">
        <f t="shared" si="504"/>
        <v>219</v>
      </c>
      <c r="CV80" s="48">
        <f t="shared" si="505"/>
        <v>255.5</v>
      </c>
      <c r="CW80" s="48">
        <f t="shared" si="506"/>
        <v>292</v>
      </c>
      <c r="CX80" s="48">
        <f t="shared" si="507"/>
        <v>328.5</v>
      </c>
      <c r="CY80" s="48">
        <f t="shared" si="508"/>
        <v>365</v>
      </c>
      <c r="CZ80" s="48">
        <f t="shared" si="509"/>
        <v>401.5</v>
      </c>
      <c r="DA80" s="48">
        <f t="shared" si="510"/>
        <v>438</v>
      </c>
      <c r="DB80" s="48">
        <f t="shared" ref="DB80:DB85" si="531">AX80</f>
        <v>60.583300000000001</v>
      </c>
      <c r="DC80" s="48">
        <f t="shared" si="511"/>
        <v>121.1666</v>
      </c>
      <c r="DD80" s="48">
        <f t="shared" si="512"/>
        <v>181.7499</v>
      </c>
      <c r="DE80" s="48">
        <f t="shared" si="513"/>
        <v>242.33320000000001</v>
      </c>
      <c r="DF80" s="48">
        <f t="shared" si="514"/>
        <v>302.91649999999998</v>
      </c>
      <c r="DG80" s="48">
        <f t="shared" si="515"/>
        <v>363.49979999999999</v>
      </c>
      <c r="DH80" s="48">
        <f t="shared" si="516"/>
        <v>424.0831</v>
      </c>
      <c r="DI80" s="48">
        <f t="shared" si="517"/>
        <v>484.66640000000001</v>
      </c>
      <c r="DJ80" s="48">
        <f t="shared" si="518"/>
        <v>545.24969999999996</v>
      </c>
      <c r="DK80" s="48">
        <f t="shared" si="519"/>
        <v>605.83299999999997</v>
      </c>
      <c r="DL80" s="48">
        <f t="shared" si="520"/>
        <v>666.41629999999998</v>
      </c>
      <c r="DM80" s="48">
        <f t="shared" si="521"/>
        <v>726.99959999999999</v>
      </c>
      <c r="DN80" s="48">
        <f t="shared" si="522"/>
        <v>58.75</v>
      </c>
      <c r="DO80" s="48">
        <f t="shared" ref="DO80" si="532">BK80</f>
        <v>117.5</v>
      </c>
      <c r="DP80" s="48">
        <f t="shared" ref="DP80" si="533">BL80</f>
        <v>235</v>
      </c>
      <c r="DQ80" s="48"/>
      <c r="DR80" s="48"/>
      <c r="DS80" s="48"/>
      <c r="DT80" s="48"/>
      <c r="DU80" s="48"/>
      <c r="DV80" s="48"/>
      <c r="DW80" s="48"/>
      <c r="DX80" s="48"/>
      <c r="DY80" s="48"/>
      <c r="EA80" s="52">
        <f t="shared" si="443"/>
        <v>438</v>
      </c>
      <c r="EB80" s="52">
        <f t="shared" si="444"/>
        <v>726.99959999999999</v>
      </c>
      <c r="EC80" s="52"/>
      <c r="ED80" s="429"/>
      <c r="EE80" s="40">
        <f t="shared" si="404"/>
        <v>117.5</v>
      </c>
      <c r="EF80" s="40">
        <f t="shared" si="405"/>
        <v>251.25</v>
      </c>
      <c r="EG80" s="51">
        <f t="shared" si="445"/>
        <v>726.99959999999999</v>
      </c>
      <c r="EH80" s="54"/>
      <c r="EI80" s="54"/>
      <c r="EJ80" s="54"/>
      <c r="EK80" s="675"/>
      <c r="EL80" s="53"/>
      <c r="EM80" s="53"/>
      <c r="EN80" s="53"/>
      <c r="EO80" s="49"/>
      <c r="EP80" s="49"/>
      <c r="EQ80" s="49"/>
      <c r="FC80" s="568">
        <f t="shared" si="452"/>
        <v>438</v>
      </c>
      <c r="FD80" s="568">
        <f t="shared" si="453"/>
        <v>726.99959999999999</v>
      </c>
      <c r="FE80" s="568">
        <f t="shared" si="454"/>
        <v>0.98499999999999999</v>
      </c>
      <c r="FF80" s="568">
        <f t="shared" si="455"/>
        <v>1</v>
      </c>
    </row>
    <row r="81" spans="1:162">
      <c r="A81" s="6" t="s">
        <v>23</v>
      </c>
      <c r="B81" s="2" t="s">
        <v>10</v>
      </c>
      <c r="C81" s="3" t="s">
        <v>47</v>
      </c>
      <c r="E81" s="3" t="s">
        <v>16</v>
      </c>
      <c r="G81" s="3" t="s">
        <v>91</v>
      </c>
      <c r="I81" s="23"/>
      <c r="J81" s="19">
        <f>J80*0.1</f>
        <v>3.6500000000000004</v>
      </c>
      <c r="K81" s="19">
        <f t="shared" ref="K81:U81" si="534">K80*0.1</f>
        <v>7.3000000000000007</v>
      </c>
      <c r="L81" s="19">
        <f t="shared" si="534"/>
        <v>10.950000000000001</v>
      </c>
      <c r="M81" s="19">
        <f t="shared" si="534"/>
        <v>14.600000000000001</v>
      </c>
      <c r="N81" s="19">
        <f t="shared" si="534"/>
        <v>18.25</v>
      </c>
      <c r="O81" s="19">
        <f t="shared" si="534"/>
        <v>21.900000000000002</v>
      </c>
      <c r="P81" s="19">
        <f t="shared" si="534"/>
        <v>25.55</v>
      </c>
      <c r="Q81" s="19">
        <f t="shared" si="534"/>
        <v>29.200000000000003</v>
      </c>
      <c r="R81" s="19">
        <f t="shared" si="534"/>
        <v>32.85</v>
      </c>
      <c r="S81" s="19">
        <f t="shared" si="534"/>
        <v>36.5</v>
      </c>
      <c r="T81" s="19">
        <f t="shared" si="534"/>
        <v>40.150000000000006</v>
      </c>
      <c r="U81" s="19">
        <f t="shared" si="534"/>
        <v>43.800000000000004</v>
      </c>
      <c r="V81" s="219">
        <v>9.0832999999999995</v>
      </c>
      <c r="W81" s="246">
        <f>V81+9.0833</f>
        <v>18.166599999999999</v>
      </c>
      <c r="X81" s="376">
        <f t="shared" ref="X81:AG81" si="535">W81+9.0833</f>
        <v>27.249899999999997</v>
      </c>
      <c r="Y81" s="376">
        <f t="shared" si="535"/>
        <v>36.333199999999998</v>
      </c>
      <c r="Z81" s="376">
        <f t="shared" si="535"/>
        <v>45.416499999999999</v>
      </c>
      <c r="AA81" s="376">
        <f t="shared" si="535"/>
        <v>54.4998</v>
      </c>
      <c r="AB81" s="376">
        <f t="shared" si="535"/>
        <v>63.583100000000002</v>
      </c>
      <c r="AC81" s="376">
        <f t="shared" si="535"/>
        <v>72.666399999999996</v>
      </c>
      <c r="AD81" s="376">
        <f t="shared" si="535"/>
        <v>81.74969999999999</v>
      </c>
      <c r="AE81" s="376">
        <f t="shared" si="535"/>
        <v>90.832999999999984</v>
      </c>
      <c r="AF81" s="376">
        <f t="shared" si="535"/>
        <v>99.916299999999978</v>
      </c>
      <c r="AG81" s="263">
        <f t="shared" si="535"/>
        <v>108.99959999999997</v>
      </c>
      <c r="AH81" s="31"/>
      <c r="AI81" s="19"/>
      <c r="AJ81" s="19"/>
      <c r="AK81" s="408"/>
      <c r="AL81" s="40">
        <f t="shared" si="525"/>
        <v>3.6500000000000004</v>
      </c>
      <c r="AM81" s="40">
        <f t="shared" si="526"/>
        <v>3.6500000000000004</v>
      </c>
      <c r="AN81" s="40">
        <f t="shared" si="471"/>
        <v>3.6500000000000004</v>
      </c>
      <c r="AO81" s="40">
        <f t="shared" si="472"/>
        <v>3.6500000000000004</v>
      </c>
      <c r="AP81" s="40">
        <f t="shared" si="473"/>
        <v>3.6499999999999986</v>
      </c>
      <c r="AQ81" s="40">
        <f t="shared" si="474"/>
        <v>3.6500000000000021</v>
      </c>
      <c r="AR81" s="40">
        <f t="shared" si="475"/>
        <v>3.6499999999999986</v>
      </c>
      <c r="AS81" s="40">
        <f t="shared" si="476"/>
        <v>3.6500000000000021</v>
      </c>
      <c r="AT81" s="40">
        <f t="shared" si="477"/>
        <v>3.6499999999999986</v>
      </c>
      <c r="AU81" s="40">
        <f t="shared" si="478"/>
        <v>3.6499999999999986</v>
      </c>
      <c r="AV81" s="40">
        <f t="shared" si="479"/>
        <v>3.6500000000000057</v>
      </c>
      <c r="AW81" s="40">
        <f t="shared" si="480"/>
        <v>3.6499999999999986</v>
      </c>
      <c r="AX81" s="40">
        <f t="shared" si="527"/>
        <v>9.0832999999999995</v>
      </c>
      <c r="AY81" s="40">
        <f t="shared" si="481"/>
        <v>9.0832999999999995</v>
      </c>
      <c r="AZ81" s="40">
        <f t="shared" si="482"/>
        <v>9.0832999999999977</v>
      </c>
      <c r="BA81" s="40">
        <f t="shared" si="483"/>
        <v>9.0833000000000013</v>
      </c>
      <c r="BB81" s="40">
        <f t="shared" si="484"/>
        <v>9.0833000000000013</v>
      </c>
      <c r="BC81" s="40">
        <f t="shared" si="485"/>
        <v>9.0833000000000013</v>
      </c>
      <c r="BD81" s="40">
        <f t="shared" si="486"/>
        <v>9.0833000000000013</v>
      </c>
      <c r="BE81" s="40">
        <f t="shared" si="487"/>
        <v>9.0832999999999942</v>
      </c>
      <c r="BF81" s="40">
        <f t="shared" si="488"/>
        <v>9.0832999999999942</v>
      </c>
      <c r="BG81" s="40">
        <f t="shared" si="489"/>
        <v>9.0832999999999942</v>
      </c>
      <c r="BH81" s="40">
        <f t="shared" si="490"/>
        <v>9.0832999999999942</v>
      </c>
      <c r="BI81" s="40">
        <f t="shared" si="491"/>
        <v>9.0832999999999942</v>
      </c>
      <c r="BJ81" s="40">
        <f t="shared" si="492"/>
        <v>0</v>
      </c>
      <c r="BK81" s="40">
        <f t="shared" si="493"/>
        <v>0</v>
      </c>
      <c r="BL81" s="40">
        <f t="shared" si="494"/>
        <v>0</v>
      </c>
      <c r="BM81" s="408"/>
      <c r="BN81" s="48">
        <f t="shared" si="409"/>
        <v>10.950000000000001</v>
      </c>
      <c r="BO81" s="48">
        <f t="shared" si="410"/>
        <v>10.950000000000001</v>
      </c>
      <c r="BP81" s="48">
        <f t="shared" si="495"/>
        <v>10.950000000000001</v>
      </c>
      <c r="BQ81" s="48">
        <f t="shared" si="412"/>
        <v>10.950000000000001</v>
      </c>
      <c r="BR81" s="48">
        <f t="shared" si="413"/>
        <v>10.950000000000001</v>
      </c>
      <c r="BS81" s="48">
        <f t="shared" si="496"/>
        <v>10.950000000000001</v>
      </c>
      <c r="BT81" s="48">
        <f t="shared" si="415"/>
        <v>10.95</v>
      </c>
      <c r="BU81" s="48">
        <f t="shared" si="416"/>
        <v>10.95</v>
      </c>
      <c r="BV81" s="48">
        <f t="shared" si="497"/>
        <v>10.95</v>
      </c>
      <c r="BW81" s="48">
        <f t="shared" si="418"/>
        <v>10.950000000000003</v>
      </c>
      <c r="BX81" s="48">
        <f t="shared" si="419"/>
        <v>10.950000000000003</v>
      </c>
      <c r="BY81" s="48">
        <f t="shared" si="498"/>
        <v>10.950000000000003</v>
      </c>
      <c r="BZ81" s="48">
        <f t="shared" si="421"/>
        <v>27.249899999999997</v>
      </c>
      <c r="CA81" s="48">
        <f t="shared" si="422"/>
        <v>27.249899999999997</v>
      </c>
      <c r="CB81" s="48">
        <f>X81</f>
        <v>27.249899999999997</v>
      </c>
      <c r="CC81" s="48">
        <f t="shared" si="430"/>
        <v>54.4998</v>
      </c>
      <c r="CD81" s="48">
        <f t="shared" si="431"/>
        <v>54.4998</v>
      </c>
      <c r="CE81" s="48">
        <f t="shared" si="438"/>
        <v>54.4998</v>
      </c>
      <c r="CF81" s="48">
        <f t="shared" si="423"/>
        <v>81.74969999999999</v>
      </c>
      <c r="CG81" s="48">
        <f t="shared" si="424"/>
        <v>81.74969999999999</v>
      </c>
      <c r="CH81" s="48">
        <f>AD81</f>
        <v>81.74969999999999</v>
      </c>
      <c r="CI81" s="48">
        <f t="shared" si="425"/>
        <v>108.99959999999997</v>
      </c>
      <c r="CJ81" s="48">
        <f t="shared" si="426"/>
        <v>108.99959999999997</v>
      </c>
      <c r="CK81" s="48">
        <f t="shared" si="439"/>
        <v>108.99959999999997</v>
      </c>
      <c r="CL81" s="48">
        <f t="shared" si="427"/>
        <v>0</v>
      </c>
      <c r="CM81" s="48">
        <f t="shared" si="428"/>
        <v>0</v>
      </c>
      <c r="CN81" s="48">
        <f t="shared" si="499"/>
        <v>0</v>
      </c>
      <c r="CO81" s="406"/>
      <c r="CP81" s="48">
        <f t="shared" si="530"/>
        <v>3.6500000000000004</v>
      </c>
      <c r="CQ81" s="48">
        <f t="shared" si="500"/>
        <v>7.3000000000000007</v>
      </c>
      <c r="CR81" s="48">
        <f t="shared" si="501"/>
        <v>10.950000000000001</v>
      </c>
      <c r="CS81" s="48">
        <f t="shared" si="502"/>
        <v>14.600000000000001</v>
      </c>
      <c r="CT81" s="48">
        <f t="shared" si="503"/>
        <v>18.25</v>
      </c>
      <c r="CU81" s="48">
        <f t="shared" si="504"/>
        <v>21.900000000000002</v>
      </c>
      <c r="CV81" s="48">
        <f t="shared" si="505"/>
        <v>25.55</v>
      </c>
      <c r="CW81" s="48">
        <f t="shared" si="506"/>
        <v>29.200000000000003</v>
      </c>
      <c r="CX81" s="48">
        <f t="shared" si="507"/>
        <v>32.85</v>
      </c>
      <c r="CY81" s="48">
        <f t="shared" si="508"/>
        <v>36.5</v>
      </c>
      <c r="CZ81" s="48">
        <f t="shared" si="509"/>
        <v>40.150000000000006</v>
      </c>
      <c r="DA81" s="48">
        <f t="shared" si="510"/>
        <v>43.800000000000004</v>
      </c>
      <c r="DB81" s="48">
        <f t="shared" si="531"/>
        <v>9.0832999999999995</v>
      </c>
      <c r="DC81" s="48">
        <f t="shared" si="511"/>
        <v>18.166599999999999</v>
      </c>
      <c r="DD81" s="48">
        <f t="shared" si="512"/>
        <v>27.249899999999997</v>
      </c>
      <c r="DE81" s="48">
        <f t="shared" si="513"/>
        <v>36.333199999999998</v>
      </c>
      <c r="DF81" s="48">
        <f t="shared" si="514"/>
        <v>45.416499999999999</v>
      </c>
      <c r="DG81" s="48">
        <f t="shared" si="515"/>
        <v>54.4998</v>
      </c>
      <c r="DH81" s="48">
        <f t="shared" si="516"/>
        <v>63.583100000000002</v>
      </c>
      <c r="DI81" s="48">
        <f t="shared" si="517"/>
        <v>72.666399999999996</v>
      </c>
      <c r="DJ81" s="48">
        <f t="shared" si="518"/>
        <v>81.74969999999999</v>
      </c>
      <c r="DK81" s="48">
        <f t="shared" si="519"/>
        <v>90.832999999999984</v>
      </c>
      <c r="DL81" s="48">
        <f t="shared" si="520"/>
        <v>99.916299999999978</v>
      </c>
      <c r="DM81" s="48">
        <f t="shared" si="521"/>
        <v>108.99959999999997</v>
      </c>
      <c r="DN81" s="48">
        <f t="shared" si="522"/>
        <v>0</v>
      </c>
      <c r="DO81" s="48">
        <f t="shared" ref="DO81:DO85" si="536">DN81+BK81</f>
        <v>0</v>
      </c>
      <c r="DP81" s="48">
        <f t="shared" ref="DP81:DP85" si="537">DO81+BL81</f>
        <v>0</v>
      </c>
      <c r="DQ81" s="48"/>
      <c r="DR81" s="48"/>
      <c r="DS81" s="48"/>
      <c r="DT81" s="48"/>
      <c r="DU81" s="48"/>
      <c r="DV81" s="48"/>
      <c r="DW81" s="48"/>
      <c r="DX81" s="48"/>
      <c r="DY81" s="48"/>
      <c r="EA81" s="52">
        <f t="shared" si="443"/>
        <v>43.800000000000004</v>
      </c>
      <c r="EB81" s="52">
        <f t="shared" si="444"/>
        <v>108.99959999999997</v>
      </c>
      <c r="EC81" s="52"/>
      <c r="ED81" s="429"/>
      <c r="EE81" s="40">
        <f t="shared" si="404"/>
        <v>0</v>
      </c>
      <c r="EF81" s="40">
        <f t="shared" si="405"/>
        <v>0</v>
      </c>
      <c r="EG81" s="51">
        <f t="shared" si="445"/>
        <v>108.99959999999997</v>
      </c>
      <c r="EH81" s="54"/>
      <c r="EI81" s="54"/>
      <c r="EJ81" s="54"/>
      <c r="EK81" s="675"/>
      <c r="EL81" s="53"/>
      <c r="EM81" s="53"/>
      <c r="EN81" s="53"/>
      <c r="EO81" s="49"/>
      <c r="EP81" s="49"/>
      <c r="EQ81" s="49"/>
      <c r="FC81" s="568">
        <f t="shared" si="452"/>
        <v>43.800000000000004</v>
      </c>
      <c r="FD81" s="568">
        <f t="shared" si="453"/>
        <v>108.99959999999997</v>
      </c>
      <c r="FE81" s="568">
        <f t="shared" si="454"/>
        <v>38</v>
      </c>
      <c r="FF81" s="568">
        <f t="shared" si="455"/>
        <v>46</v>
      </c>
    </row>
    <row r="82" spans="1:162">
      <c r="A82" s="6" t="s">
        <v>23</v>
      </c>
      <c r="B82" s="2" t="s">
        <v>11</v>
      </c>
      <c r="C82" s="3" t="s">
        <v>48</v>
      </c>
      <c r="E82" s="3" t="s">
        <v>16</v>
      </c>
      <c r="G82" s="3" t="s">
        <v>91</v>
      </c>
      <c r="I82" s="23"/>
      <c r="J82" s="19">
        <f>72/12</f>
        <v>6</v>
      </c>
      <c r="K82" s="19">
        <f>J82+6</f>
        <v>12</v>
      </c>
      <c r="L82" s="19">
        <f t="shared" ref="L82:U82" si="538">K82+6</f>
        <v>18</v>
      </c>
      <c r="M82" s="19">
        <f t="shared" si="538"/>
        <v>24</v>
      </c>
      <c r="N82" s="19">
        <f t="shared" si="538"/>
        <v>30</v>
      </c>
      <c r="O82" s="19">
        <f t="shared" si="538"/>
        <v>36</v>
      </c>
      <c r="P82" s="19">
        <f t="shared" si="538"/>
        <v>42</v>
      </c>
      <c r="Q82" s="19">
        <f t="shared" si="538"/>
        <v>48</v>
      </c>
      <c r="R82" s="19">
        <f t="shared" si="538"/>
        <v>54</v>
      </c>
      <c r="S82" s="19">
        <f t="shared" si="538"/>
        <v>60</v>
      </c>
      <c r="T82" s="19">
        <f t="shared" si="538"/>
        <v>66</v>
      </c>
      <c r="U82" s="19">
        <f t="shared" si="538"/>
        <v>72</v>
      </c>
      <c r="V82" s="219">
        <f>ROUND(W82/2,0)</f>
        <v>5</v>
      </c>
      <c r="W82" s="246">
        <f t="shared" ref="W82:AE83" si="539">X82-(Y82-X82)</f>
        <v>10</v>
      </c>
      <c r="X82" s="246">
        <f t="shared" si="539"/>
        <v>15</v>
      </c>
      <c r="Y82" s="246">
        <f t="shared" si="539"/>
        <v>20</v>
      </c>
      <c r="Z82" s="246">
        <f t="shared" si="539"/>
        <v>25</v>
      </c>
      <c r="AA82" s="246">
        <f t="shared" si="539"/>
        <v>30</v>
      </c>
      <c r="AB82" s="246">
        <f t="shared" si="539"/>
        <v>35</v>
      </c>
      <c r="AC82" s="246">
        <f t="shared" si="539"/>
        <v>40</v>
      </c>
      <c r="AD82" s="246">
        <f t="shared" si="539"/>
        <v>45</v>
      </c>
      <c r="AE82" s="246">
        <f t="shared" si="539"/>
        <v>50</v>
      </c>
      <c r="AF82" s="246">
        <f>-ROUND(AG82/12,1)+AG82</f>
        <v>55</v>
      </c>
      <c r="AG82" s="246">
        <v>60</v>
      </c>
      <c r="AH82" s="31"/>
      <c r="AI82" s="19"/>
      <c r="AJ82" s="19"/>
      <c r="AK82" s="408"/>
      <c r="AL82" s="40">
        <f t="shared" si="525"/>
        <v>6</v>
      </c>
      <c r="AM82" s="40">
        <f t="shared" si="526"/>
        <v>6</v>
      </c>
      <c r="AN82" s="40">
        <f t="shared" si="471"/>
        <v>6</v>
      </c>
      <c r="AO82" s="40">
        <f t="shared" si="472"/>
        <v>6</v>
      </c>
      <c r="AP82" s="40">
        <f t="shared" si="473"/>
        <v>6</v>
      </c>
      <c r="AQ82" s="40">
        <f t="shared" si="474"/>
        <v>6</v>
      </c>
      <c r="AR82" s="40">
        <f t="shared" si="475"/>
        <v>6</v>
      </c>
      <c r="AS82" s="40">
        <f t="shared" si="476"/>
        <v>6</v>
      </c>
      <c r="AT82" s="40">
        <f t="shared" si="477"/>
        <v>6</v>
      </c>
      <c r="AU82" s="40">
        <f t="shared" si="478"/>
        <v>6</v>
      </c>
      <c r="AV82" s="40">
        <f t="shared" si="479"/>
        <v>6</v>
      </c>
      <c r="AW82" s="40">
        <f t="shared" si="480"/>
        <v>6</v>
      </c>
      <c r="AX82" s="40">
        <f t="shared" si="527"/>
        <v>5</v>
      </c>
      <c r="AY82" s="40">
        <f t="shared" si="481"/>
        <v>5</v>
      </c>
      <c r="AZ82" s="40">
        <f t="shared" si="482"/>
        <v>5</v>
      </c>
      <c r="BA82" s="40">
        <f t="shared" si="483"/>
        <v>5</v>
      </c>
      <c r="BB82" s="40">
        <f t="shared" si="484"/>
        <v>5</v>
      </c>
      <c r="BC82" s="40">
        <f t="shared" si="485"/>
        <v>5</v>
      </c>
      <c r="BD82" s="40">
        <f t="shared" si="486"/>
        <v>5</v>
      </c>
      <c r="BE82" s="40">
        <f t="shared" si="487"/>
        <v>5</v>
      </c>
      <c r="BF82" s="40">
        <f t="shared" si="488"/>
        <v>5</v>
      </c>
      <c r="BG82" s="40">
        <f t="shared" si="489"/>
        <v>5</v>
      </c>
      <c r="BH82" s="40">
        <f t="shared" si="490"/>
        <v>5</v>
      </c>
      <c r="BI82" s="40">
        <f t="shared" si="491"/>
        <v>5</v>
      </c>
      <c r="BJ82" s="40">
        <f t="shared" si="492"/>
        <v>0</v>
      </c>
      <c r="BK82" s="40">
        <f t="shared" si="493"/>
        <v>0</v>
      </c>
      <c r="BL82" s="40">
        <f t="shared" si="494"/>
        <v>0</v>
      </c>
      <c r="BM82" s="408"/>
      <c r="BN82" s="48">
        <f t="shared" si="409"/>
        <v>18</v>
      </c>
      <c r="BO82" s="48">
        <f t="shared" si="410"/>
        <v>18</v>
      </c>
      <c r="BP82" s="48">
        <f t="shared" si="495"/>
        <v>18</v>
      </c>
      <c r="BQ82" s="48">
        <f t="shared" si="412"/>
        <v>18</v>
      </c>
      <c r="BR82" s="48">
        <f t="shared" si="413"/>
        <v>18</v>
      </c>
      <c r="BS82" s="48">
        <f t="shared" si="496"/>
        <v>18</v>
      </c>
      <c r="BT82" s="48">
        <f t="shared" si="415"/>
        <v>18</v>
      </c>
      <c r="BU82" s="48">
        <f t="shared" si="416"/>
        <v>18</v>
      </c>
      <c r="BV82" s="48">
        <f t="shared" si="497"/>
        <v>18</v>
      </c>
      <c r="BW82" s="48">
        <f t="shared" si="418"/>
        <v>18</v>
      </c>
      <c r="BX82" s="48">
        <f t="shared" si="419"/>
        <v>18</v>
      </c>
      <c r="BY82" s="48">
        <f t="shared" si="498"/>
        <v>18</v>
      </c>
      <c r="BZ82" s="48">
        <f t="shared" si="421"/>
        <v>15</v>
      </c>
      <c r="CA82" s="48">
        <f t="shared" si="422"/>
        <v>15</v>
      </c>
      <c r="CB82" s="48">
        <f>SUM(AX82:AZ82)</f>
        <v>15</v>
      </c>
      <c r="CC82" s="48">
        <f t="shared" si="430"/>
        <v>15</v>
      </c>
      <c r="CD82" s="48">
        <f t="shared" si="431"/>
        <v>15</v>
      </c>
      <c r="CE82" s="48">
        <f>SUM(BA82:BC82)</f>
        <v>15</v>
      </c>
      <c r="CF82" s="48">
        <f t="shared" si="423"/>
        <v>15</v>
      </c>
      <c r="CG82" s="48">
        <f t="shared" si="424"/>
        <v>15</v>
      </c>
      <c r="CH82" s="48">
        <f>SUM(BD82:BF82)</f>
        <v>15</v>
      </c>
      <c r="CI82" s="48">
        <f t="shared" si="425"/>
        <v>15</v>
      </c>
      <c r="CJ82" s="48">
        <f t="shared" si="426"/>
        <v>15</v>
      </c>
      <c r="CK82" s="48">
        <f>SUM(BG82:BI82)</f>
        <v>15</v>
      </c>
      <c r="CL82" s="48">
        <f t="shared" si="427"/>
        <v>0</v>
      </c>
      <c r="CM82" s="48">
        <f t="shared" si="428"/>
        <v>0</v>
      </c>
      <c r="CN82" s="48">
        <f t="shared" si="499"/>
        <v>0</v>
      </c>
      <c r="CO82" s="406"/>
      <c r="CP82" s="48">
        <f t="shared" si="530"/>
        <v>6</v>
      </c>
      <c r="CQ82" s="48">
        <f t="shared" si="500"/>
        <v>12</v>
      </c>
      <c r="CR82" s="48">
        <f t="shared" si="501"/>
        <v>18</v>
      </c>
      <c r="CS82" s="48">
        <f t="shared" si="502"/>
        <v>24</v>
      </c>
      <c r="CT82" s="48">
        <f t="shared" si="503"/>
        <v>30</v>
      </c>
      <c r="CU82" s="48">
        <f t="shared" si="504"/>
        <v>36</v>
      </c>
      <c r="CV82" s="48">
        <f t="shared" si="505"/>
        <v>42</v>
      </c>
      <c r="CW82" s="48">
        <f t="shared" si="506"/>
        <v>48</v>
      </c>
      <c r="CX82" s="48">
        <f t="shared" si="507"/>
        <v>54</v>
      </c>
      <c r="CY82" s="48">
        <f t="shared" si="508"/>
        <v>60</v>
      </c>
      <c r="CZ82" s="48">
        <f t="shared" si="509"/>
        <v>66</v>
      </c>
      <c r="DA82" s="48">
        <f t="shared" si="510"/>
        <v>72</v>
      </c>
      <c r="DB82" s="48">
        <f t="shared" si="531"/>
        <v>5</v>
      </c>
      <c r="DC82" s="48">
        <f t="shared" si="511"/>
        <v>10</v>
      </c>
      <c r="DD82" s="48">
        <f t="shared" si="512"/>
        <v>15</v>
      </c>
      <c r="DE82" s="48">
        <f t="shared" si="513"/>
        <v>20</v>
      </c>
      <c r="DF82" s="48">
        <f t="shared" si="514"/>
        <v>25</v>
      </c>
      <c r="DG82" s="48">
        <f t="shared" si="515"/>
        <v>30</v>
      </c>
      <c r="DH82" s="48">
        <f t="shared" si="516"/>
        <v>35</v>
      </c>
      <c r="DI82" s="48">
        <f t="shared" si="517"/>
        <v>40</v>
      </c>
      <c r="DJ82" s="48">
        <f t="shared" si="518"/>
        <v>45</v>
      </c>
      <c r="DK82" s="48">
        <f t="shared" si="519"/>
        <v>50</v>
      </c>
      <c r="DL82" s="48">
        <f t="shared" si="520"/>
        <v>55</v>
      </c>
      <c r="DM82" s="48">
        <f t="shared" si="521"/>
        <v>60</v>
      </c>
      <c r="DN82" s="48">
        <f t="shared" si="522"/>
        <v>0</v>
      </c>
      <c r="DO82" s="48">
        <f t="shared" si="536"/>
        <v>0</v>
      </c>
      <c r="DP82" s="48">
        <f t="shared" si="537"/>
        <v>0</v>
      </c>
      <c r="DQ82" s="48"/>
      <c r="DR82" s="48"/>
      <c r="DS82" s="48"/>
      <c r="DT82" s="48"/>
      <c r="DU82" s="48"/>
      <c r="DV82" s="48"/>
      <c r="DW82" s="48"/>
      <c r="DX82" s="48"/>
      <c r="DY82" s="48"/>
      <c r="EA82" s="52">
        <f t="shared" si="443"/>
        <v>72</v>
      </c>
      <c r="EB82" s="52">
        <f t="shared" si="444"/>
        <v>60</v>
      </c>
      <c r="EC82" s="52"/>
      <c r="ED82" s="429"/>
      <c r="EE82" s="40">
        <f t="shared" si="404"/>
        <v>0</v>
      </c>
      <c r="EF82" s="40">
        <f t="shared" si="405"/>
        <v>0</v>
      </c>
      <c r="EG82" s="51">
        <f t="shared" si="445"/>
        <v>60</v>
      </c>
      <c r="EH82" s="54"/>
      <c r="EI82" s="54"/>
      <c r="EJ82" s="54"/>
      <c r="EK82" s="675"/>
      <c r="EL82" s="53"/>
      <c r="EM82" s="53"/>
      <c r="EN82" s="53"/>
      <c r="EO82" s="49"/>
      <c r="EP82" s="49"/>
      <c r="EQ82" s="49"/>
      <c r="FC82" s="568">
        <f t="shared" si="452"/>
        <v>72</v>
      </c>
      <c r="FD82" s="568">
        <f t="shared" si="453"/>
        <v>60</v>
      </c>
      <c r="FE82" s="568">
        <f t="shared" si="454"/>
        <v>1254.05</v>
      </c>
      <c r="FF82" s="568">
        <f t="shared" si="455"/>
        <v>1505</v>
      </c>
    </row>
    <row r="83" spans="1:162">
      <c r="A83" s="6" t="s">
        <v>23</v>
      </c>
      <c r="B83" s="2" t="s">
        <v>12</v>
      </c>
      <c r="C83" s="3" t="s">
        <v>49</v>
      </c>
      <c r="E83" s="3" t="s">
        <v>16</v>
      </c>
      <c r="G83" s="3" t="s">
        <v>91</v>
      </c>
      <c r="I83" s="23"/>
      <c r="J83" s="19">
        <f>65/12</f>
        <v>5.416666666666667</v>
      </c>
      <c r="K83" s="19">
        <f>J83+5.4166667</f>
        <v>10.833333366666668</v>
      </c>
      <c r="L83" s="19">
        <f t="shared" ref="L83:U83" si="540">K83+5.4166667</f>
        <v>16.250000066666669</v>
      </c>
      <c r="M83" s="19">
        <f t="shared" si="540"/>
        <v>21.666666766666669</v>
      </c>
      <c r="N83" s="19">
        <f t="shared" si="540"/>
        <v>27.083333466666669</v>
      </c>
      <c r="O83" s="19">
        <f t="shared" si="540"/>
        <v>32.500000166666666</v>
      </c>
      <c r="P83" s="19">
        <f t="shared" si="540"/>
        <v>37.916666866666667</v>
      </c>
      <c r="Q83" s="19">
        <f t="shared" si="540"/>
        <v>43.333333566666667</v>
      </c>
      <c r="R83" s="19">
        <f t="shared" si="540"/>
        <v>48.750000266666667</v>
      </c>
      <c r="S83" s="19">
        <f t="shared" si="540"/>
        <v>54.166666966666668</v>
      </c>
      <c r="T83" s="19">
        <f t="shared" si="540"/>
        <v>59.583333666666668</v>
      </c>
      <c r="U83" s="19">
        <f t="shared" si="540"/>
        <v>65.000000366666669</v>
      </c>
      <c r="V83" s="219">
        <f>ROUND(W83/2,0)</f>
        <v>6</v>
      </c>
      <c r="W83" s="246">
        <f t="shared" si="539"/>
        <v>12.000000000000057</v>
      </c>
      <c r="X83" s="246">
        <f t="shared" si="539"/>
        <v>18.100000000000051</v>
      </c>
      <c r="Y83" s="246">
        <f t="shared" si="539"/>
        <v>24.200000000000045</v>
      </c>
      <c r="Z83" s="246">
        <f t="shared" si="539"/>
        <v>30.30000000000004</v>
      </c>
      <c r="AA83" s="246">
        <f t="shared" si="539"/>
        <v>36.400000000000034</v>
      </c>
      <c r="AB83" s="246">
        <f t="shared" si="539"/>
        <v>42.500000000000028</v>
      </c>
      <c r="AC83" s="246">
        <f t="shared" si="539"/>
        <v>48.600000000000023</v>
      </c>
      <c r="AD83" s="246">
        <f t="shared" si="539"/>
        <v>54.700000000000017</v>
      </c>
      <c r="AE83" s="246">
        <f t="shared" si="539"/>
        <v>60.800000000000011</v>
      </c>
      <c r="AF83" s="246">
        <f>-ROUND(AG83/12,1)+AG83</f>
        <v>66.900000000000006</v>
      </c>
      <c r="AG83" s="246">
        <v>73</v>
      </c>
      <c r="AH83" s="31"/>
      <c r="AI83" s="19"/>
      <c r="AJ83" s="19"/>
      <c r="AK83" s="408"/>
      <c r="AL83" s="40">
        <f t="shared" si="525"/>
        <v>5.416666666666667</v>
      </c>
      <c r="AM83" s="40">
        <f t="shared" si="526"/>
        <v>5.4166667000000013</v>
      </c>
      <c r="AN83" s="40">
        <f t="shared" si="471"/>
        <v>5.4166667000000004</v>
      </c>
      <c r="AO83" s="40">
        <f t="shared" si="472"/>
        <v>5.4166667000000004</v>
      </c>
      <c r="AP83" s="40">
        <f t="shared" si="473"/>
        <v>5.4166667000000004</v>
      </c>
      <c r="AQ83" s="40">
        <f t="shared" si="474"/>
        <v>5.4166666999999968</v>
      </c>
      <c r="AR83" s="40">
        <f t="shared" si="475"/>
        <v>5.4166667000000004</v>
      </c>
      <c r="AS83" s="40">
        <f t="shared" si="476"/>
        <v>5.4166667000000004</v>
      </c>
      <c r="AT83" s="40">
        <f t="shared" si="477"/>
        <v>5.4166667000000004</v>
      </c>
      <c r="AU83" s="40">
        <f t="shared" si="478"/>
        <v>5.4166667000000004</v>
      </c>
      <c r="AV83" s="40">
        <f t="shared" si="479"/>
        <v>5.4166667000000004</v>
      </c>
      <c r="AW83" s="40">
        <f t="shared" si="480"/>
        <v>5.4166667000000004</v>
      </c>
      <c r="AX83" s="40">
        <f t="shared" si="527"/>
        <v>6</v>
      </c>
      <c r="AY83" s="40">
        <f t="shared" si="481"/>
        <v>6.0000000000000568</v>
      </c>
      <c r="AZ83" s="40">
        <f t="shared" si="482"/>
        <v>6.0999999999999943</v>
      </c>
      <c r="BA83" s="40">
        <f t="shared" si="483"/>
        <v>6.0999999999999943</v>
      </c>
      <c r="BB83" s="40">
        <f t="shared" si="484"/>
        <v>6.0999999999999943</v>
      </c>
      <c r="BC83" s="40">
        <f t="shared" si="485"/>
        <v>6.0999999999999943</v>
      </c>
      <c r="BD83" s="40">
        <f t="shared" si="486"/>
        <v>6.0999999999999943</v>
      </c>
      <c r="BE83" s="40">
        <f t="shared" si="487"/>
        <v>6.0999999999999943</v>
      </c>
      <c r="BF83" s="40">
        <f t="shared" si="488"/>
        <v>6.0999999999999943</v>
      </c>
      <c r="BG83" s="40">
        <f t="shared" si="489"/>
        <v>6.0999999999999943</v>
      </c>
      <c r="BH83" s="40">
        <f t="shared" si="490"/>
        <v>6.0999999999999943</v>
      </c>
      <c r="BI83" s="40">
        <f t="shared" si="491"/>
        <v>6.0999999999999943</v>
      </c>
      <c r="BJ83" s="40">
        <f t="shared" si="492"/>
        <v>0</v>
      </c>
      <c r="BK83" s="40">
        <f t="shared" si="493"/>
        <v>0</v>
      </c>
      <c r="BL83" s="40">
        <f t="shared" si="494"/>
        <v>0</v>
      </c>
      <c r="BM83" s="408"/>
      <c r="BN83" s="48">
        <f t="shared" si="409"/>
        <v>16.250000066666669</v>
      </c>
      <c r="BO83" s="48">
        <f t="shared" si="410"/>
        <v>16.250000066666669</v>
      </c>
      <c r="BP83" s="48">
        <f t="shared" si="495"/>
        <v>16.250000066666669</v>
      </c>
      <c r="BQ83" s="48">
        <f t="shared" si="412"/>
        <v>16.250000099999998</v>
      </c>
      <c r="BR83" s="48">
        <f t="shared" si="413"/>
        <v>16.250000099999998</v>
      </c>
      <c r="BS83" s="48">
        <f t="shared" si="496"/>
        <v>16.250000099999998</v>
      </c>
      <c r="BT83" s="48">
        <f t="shared" si="415"/>
        <v>16.250000100000001</v>
      </c>
      <c r="BU83" s="48">
        <f t="shared" si="416"/>
        <v>16.250000100000001</v>
      </c>
      <c r="BV83" s="48">
        <f t="shared" si="497"/>
        <v>16.250000100000001</v>
      </c>
      <c r="BW83" s="48">
        <f t="shared" si="418"/>
        <v>16.250000100000001</v>
      </c>
      <c r="BX83" s="48">
        <f t="shared" si="419"/>
        <v>16.250000100000001</v>
      </c>
      <c r="BY83" s="48">
        <f t="shared" si="498"/>
        <v>16.250000100000001</v>
      </c>
      <c r="BZ83" s="48">
        <f t="shared" si="421"/>
        <v>18.100000000000051</v>
      </c>
      <c r="CA83" s="48">
        <f t="shared" si="422"/>
        <v>18.100000000000051</v>
      </c>
      <c r="CB83" s="48">
        <f>SUM(AX83:AZ83)</f>
        <v>18.100000000000051</v>
      </c>
      <c r="CC83" s="48">
        <f t="shared" si="430"/>
        <v>18.299999999999983</v>
      </c>
      <c r="CD83" s="48">
        <f t="shared" si="431"/>
        <v>18.299999999999983</v>
      </c>
      <c r="CE83" s="48">
        <f>SUM(BA83:BC83)</f>
        <v>18.299999999999983</v>
      </c>
      <c r="CF83" s="48">
        <f t="shared" si="423"/>
        <v>18.299999999999983</v>
      </c>
      <c r="CG83" s="48">
        <f t="shared" si="424"/>
        <v>18.299999999999983</v>
      </c>
      <c r="CH83" s="48">
        <f>SUM(BD83:BF83)</f>
        <v>18.299999999999983</v>
      </c>
      <c r="CI83" s="48">
        <f t="shared" si="425"/>
        <v>18.299999999999983</v>
      </c>
      <c r="CJ83" s="48">
        <f t="shared" si="426"/>
        <v>18.299999999999983</v>
      </c>
      <c r="CK83" s="48">
        <f>SUM(BG83:BI83)</f>
        <v>18.299999999999983</v>
      </c>
      <c r="CL83" s="48">
        <f t="shared" si="427"/>
        <v>0</v>
      </c>
      <c r="CM83" s="48">
        <f t="shared" si="428"/>
        <v>0</v>
      </c>
      <c r="CN83" s="48">
        <f t="shared" si="499"/>
        <v>0</v>
      </c>
      <c r="CO83" s="406"/>
      <c r="CP83" s="48">
        <f t="shared" si="530"/>
        <v>5.416666666666667</v>
      </c>
      <c r="CQ83" s="48">
        <f t="shared" si="500"/>
        <v>10.833333366666668</v>
      </c>
      <c r="CR83" s="48">
        <f t="shared" si="501"/>
        <v>16.250000066666669</v>
      </c>
      <c r="CS83" s="48">
        <f t="shared" si="502"/>
        <v>21.666666766666669</v>
      </c>
      <c r="CT83" s="48">
        <f t="shared" si="503"/>
        <v>27.083333466666669</v>
      </c>
      <c r="CU83" s="48">
        <f t="shared" si="504"/>
        <v>32.500000166666666</v>
      </c>
      <c r="CV83" s="48">
        <f t="shared" si="505"/>
        <v>37.916666866666667</v>
      </c>
      <c r="CW83" s="48">
        <f t="shared" si="506"/>
        <v>43.333333566666667</v>
      </c>
      <c r="CX83" s="48">
        <f t="shared" si="507"/>
        <v>48.750000266666667</v>
      </c>
      <c r="CY83" s="48">
        <f t="shared" si="508"/>
        <v>54.166666966666668</v>
      </c>
      <c r="CZ83" s="48">
        <f t="shared" si="509"/>
        <v>59.583333666666668</v>
      </c>
      <c r="DA83" s="48">
        <f t="shared" si="510"/>
        <v>65.000000366666669</v>
      </c>
      <c r="DB83" s="48">
        <f t="shared" si="531"/>
        <v>6</v>
      </c>
      <c r="DC83" s="48">
        <f t="shared" si="511"/>
        <v>12.000000000000057</v>
      </c>
      <c r="DD83" s="48">
        <f t="shared" si="512"/>
        <v>18.100000000000051</v>
      </c>
      <c r="DE83" s="48">
        <f t="shared" si="513"/>
        <v>24.200000000000045</v>
      </c>
      <c r="DF83" s="48">
        <f t="shared" si="514"/>
        <v>30.30000000000004</v>
      </c>
      <c r="DG83" s="48">
        <f t="shared" si="515"/>
        <v>36.400000000000034</v>
      </c>
      <c r="DH83" s="48">
        <f t="shared" si="516"/>
        <v>42.500000000000028</v>
      </c>
      <c r="DI83" s="48">
        <f t="shared" si="517"/>
        <v>48.600000000000023</v>
      </c>
      <c r="DJ83" s="48">
        <f t="shared" si="518"/>
        <v>54.700000000000017</v>
      </c>
      <c r="DK83" s="48">
        <f t="shared" si="519"/>
        <v>60.800000000000011</v>
      </c>
      <c r="DL83" s="48">
        <f t="shared" si="520"/>
        <v>66.900000000000006</v>
      </c>
      <c r="DM83" s="48">
        <f t="shared" si="521"/>
        <v>73</v>
      </c>
      <c r="DN83" s="48">
        <f t="shared" si="522"/>
        <v>0</v>
      </c>
      <c r="DO83" s="48">
        <f t="shared" si="536"/>
        <v>0</v>
      </c>
      <c r="DP83" s="48">
        <f t="shared" si="537"/>
        <v>0</v>
      </c>
      <c r="DQ83" s="48"/>
      <c r="DR83" s="48"/>
      <c r="DS83" s="48"/>
      <c r="DT83" s="48"/>
      <c r="DU83" s="48"/>
      <c r="DV83" s="48"/>
      <c r="DW83" s="48"/>
      <c r="DX83" s="48"/>
      <c r="DY83" s="48"/>
      <c r="EA83" s="52">
        <f t="shared" si="443"/>
        <v>65.000000366666669</v>
      </c>
      <c r="EB83" s="52">
        <f t="shared" si="444"/>
        <v>73</v>
      </c>
      <c r="EC83" s="52"/>
      <c r="ED83" s="429"/>
      <c r="EE83" s="40">
        <f t="shared" si="404"/>
        <v>0</v>
      </c>
      <c r="EF83" s="40">
        <f t="shared" si="405"/>
        <v>0</v>
      </c>
      <c r="EG83" s="51">
        <f t="shared" si="445"/>
        <v>73</v>
      </c>
      <c r="EH83" s="54"/>
      <c r="EI83" s="54"/>
      <c r="EJ83" s="54"/>
      <c r="EK83" s="675"/>
      <c r="EL83" s="53"/>
      <c r="EM83" s="53"/>
      <c r="EN83" s="53"/>
      <c r="EO83" s="49"/>
      <c r="EP83" s="49"/>
      <c r="EQ83" s="49"/>
      <c r="FC83" s="568">
        <f t="shared" si="452"/>
        <v>65.000000366666669</v>
      </c>
      <c r="FD83" s="568">
        <f t="shared" si="453"/>
        <v>73</v>
      </c>
      <c r="FE83" s="568">
        <f t="shared" si="454"/>
        <v>657.44</v>
      </c>
      <c r="FF83" s="568">
        <f t="shared" si="455"/>
        <v>789</v>
      </c>
    </row>
    <row r="84" spans="1:162">
      <c r="A84" s="6" t="s">
        <v>23</v>
      </c>
      <c r="B84" s="2" t="s">
        <v>143</v>
      </c>
      <c r="C84" s="3" t="s">
        <v>50</v>
      </c>
      <c r="E84" s="3" t="s">
        <v>16</v>
      </c>
      <c r="G84" s="3" t="s">
        <v>91</v>
      </c>
      <c r="I84" s="23"/>
      <c r="J84" s="19">
        <v>0</v>
      </c>
      <c r="K84" s="19">
        <v>0</v>
      </c>
      <c r="L84" s="19">
        <v>4</v>
      </c>
      <c r="M84" s="19">
        <f>L84</f>
        <v>4</v>
      </c>
      <c r="N84" s="19">
        <f>M84</f>
        <v>4</v>
      </c>
      <c r="O84" s="19">
        <f>N84</f>
        <v>4</v>
      </c>
      <c r="P84" s="19">
        <v>8</v>
      </c>
      <c r="Q84" s="19">
        <f t="shared" ref="Q84:S85" si="541">P84</f>
        <v>8</v>
      </c>
      <c r="R84" s="19">
        <f t="shared" si="541"/>
        <v>8</v>
      </c>
      <c r="S84" s="19">
        <f t="shared" si="541"/>
        <v>8</v>
      </c>
      <c r="T84" s="19">
        <v>12</v>
      </c>
      <c r="U84" s="19">
        <f>+T84</f>
        <v>12</v>
      </c>
      <c r="V84" s="219">
        <v>0</v>
      </c>
      <c r="W84" s="246">
        <v>4</v>
      </c>
      <c r="X84" s="246">
        <v>4</v>
      </c>
      <c r="Y84" s="246">
        <f>X84</f>
        <v>4</v>
      </c>
      <c r="Z84" s="246">
        <f>Y84</f>
        <v>4</v>
      </c>
      <c r="AA84" s="246">
        <f>Z84</f>
        <v>4</v>
      </c>
      <c r="AB84" s="246">
        <v>8</v>
      </c>
      <c r="AC84" s="246">
        <f t="shared" ref="AC84:AE85" si="542">AB84</f>
        <v>8</v>
      </c>
      <c r="AD84" s="246">
        <f t="shared" si="542"/>
        <v>8</v>
      </c>
      <c r="AE84" s="246">
        <f t="shared" si="542"/>
        <v>8</v>
      </c>
      <c r="AF84" s="246">
        <v>12</v>
      </c>
      <c r="AG84" s="246">
        <v>12</v>
      </c>
      <c r="AH84" s="31"/>
      <c r="AI84" s="19"/>
      <c r="AJ84" s="19"/>
      <c r="AK84" s="408"/>
      <c r="AL84" s="40">
        <f t="shared" si="525"/>
        <v>0</v>
      </c>
      <c r="AM84" s="40">
        <f t="shared" si="526"/>
        <v>0</v>
      </c>
      <c r="AN84" s="40">
        <f t="shared" si="471"/>
        <v>4</v>
      </c>
      <c r="AO84" s="40">
        <f t="shared" si="472"/>
        <v>0</v>
      </c>
      <c r="AP84" s="40">
        <f t="shared" si="473"/>
        <v>0</v>
      </c>
      <c r="AQ84" s="40">
        <f t="shared" si="474"/>
        <v>0</v>
      </c>
      <c r="AR84" s="40">
        <f t="shared" si="475"/>
        <v>4</v>
      </c>
      <c r="AS84" s="40">
        <f t="shared" si="476"/>
        <v>0</v>
      </c>
      <c r="AT84" s="40">
        <f t="shared" si="477"/>
        <v>0</v>
      </c>
      <c r="AU84" s="40">
        <f t="shared" si="478"/>
        <v>0</v>
      </c>
      <c r="AV84" s="40">
        <f t="shared" si="479"/>
        <v>4</v>
      </c>
      <c r="AW84" s="40">
        <f t="shared" si="480"/>
        <v>0</v>
      </c>
      <c r="AX84" s="40">
        <f t="shared" si="527"/>
        <v>0</v>
      </c>
      <c r="AY84" s="40">
        <f t="shared" si="481"/>
        <v>4</v>
      </c>
      <c r="AZ84" s="40">
        <f t="shared" si="482"/>
        <v>0</v>
      </c>
      <c r="BA84" s="40">
        <f t="shared" si="483"/>
        <v>0</v>
      </c>
      <c r="BB84" s="40">
        <f t="shared" si="484"/>
        <v>0</v>
      </c>
      <c r="BC84" s="40">
        <f t="shared" si="485"/>
        <v>0</v>
      </c>
      <c r="BD84" s="40">
        <f t="shared" si="486"/>
        <v>4</v>
      </c>
      <c r="BE84" s="40">
        <f t="shared" si="487"/>
        <v>0</v>
      </c>
      <c r="BF84" s="40">
        <f t="shared" si="488"/>
        <v>0</v>
      </c>
      <c r="BG84" s="40">
        <f t="shared" si="489"/>
        <v>0</v>
      </c>
      <c r="BH84" s="40">
        <f t="shared" si="490"/>
        <v>4</v>
      </c>
      <c r="BI84" s="40">
        <f t="shared" si="491"/>
        <v>0</v>
      </c>
      <c r="BJ84" s="40">
        <f t="shared" si="492"/>
        <v>0</v>
      </c>
      <c r="BK84" s="40">
        <f t="shared" si="493"/>
        <v>0</v>
      </c>
      <c r="BL84" s="40">
        <f t="shared" si="494"/>
        <v>0</v>
      </c>
      <c r="BM84" s="408"/>
      <c r="BN84" s="48">
        <f t="shared" si="409"/>
        <v>4</v>
      </c>
      <c r="BO84" s="48">
        <f t="shared" si="410"/>
        <v>4</v>
      </c>
      <c r="BP84" s="48">
        <f t="shared" si="495"/>
        <v>4</v>
      </c>
      <c r="BQ84" s="48">
        <f t="shared" si="412"/>
        <v>0</v>
      </c>
      <c r="BR84" s="48">
        <f t="shared" si="413"/>
        <v>0</v>
      </c>
      <c r="BS84" s="48">
        <f t="shared" si="496"/>
        <v>0</v>
      </c>
      <c r="BT84" s="48">
        <f t="shared" si="415"/>
        <v>4</v>
      </c>
      <c r="BU84" s="48">
        <f t="shared" si="416"/>
        <v>4</v>
      </c>
      <c r="BV84" s="48">
        <f t="shared" si="497"/>
        <v>4</v>
      </c>
      <c r="BW84" s="48">
        <f t="shared" si="418"/>
        <v>4</v>
      </c>
      <c r="BX84" s="48">
        <f t="shared" si="419"/>
        <v>4</v>
      </c>
      <c r="BY84" s="48">
        <f t="shared" si="498"/>
        <v>4</v>
      </c>
      <c r="BZ84" s="48">
        <f t="shared" si="421"/>
        <v>4</v>
      </c>
      <c r="CA84" s="48">
        <f t="shared" si="422"/>
        <v>4</v>
      </c>
      <c r="CB84" s="48">
        <f>SUM(AX84:AZ84)</f>
        <v>4</v>
      </c>
      <c r="CC84" s="48">
        <f t="shared" si="430"/>
        <v>0</v>
      </c>
      <c r="CD84" s="48">
        <f t="shared" si="431"/>
        <v>0</v>
      </c>
      <c r="CE84" s="48">
        <f>SUM(BA84:BC84)</f>
        <v>0</v>
      </c>
      <c r="CF84" s="48">
        <f t="shared" si="423"/>
        <v>4</v>
      </c>
      <c r="CG84" s="48">
        <f t="shared" si="424"/>
        <v>4</v>
      </c>
      <c r="CH84" s="48">
        <f>SUM(BD84:BF84)</f>
        <v>4</v>
      </c>
      <c r="CI84" s="48">
        <f t="shared" si="425"/>
        <v>4</v>
      </c>
      <c r="CJ84" s="48">
        <f t="shared" si="426"/>
        <v>4</v>
      </c>
      <c r="CK84" s="48">
        <f>SUM(BG84:BI84)</f>
        <v>4</v>
      </c>
      <c r="CL84" s="48">
        <f t="shared" si="427"/>
        <v>0</v>
      </c>
      <c r="CM84" s="48">
        <f t="shared" si="428"/>
        <v>0</v>
      </c>
      <c r="CN84" s="48">
        <f t="shared" si="499"/>
        <v>0</v>
      </c>
      <c r="CO84" s="406"/>
      <c r="CP84" s="48">
        <f t="shared" si="530"/>
        <v>0</v>
      </c>
      <c r="CQ84" s="48">
        <f t="shared" si="500"/>
        <v>0</v>
      </c>
      <c r="CR84" s="48">
        <f t="shared" si="501"/>
        <v>4</v>
      </c>
      <c r="CS84" s="48">
        <f t="shared" si="502"/>
        <v>4</v>
      </c>
      <c r="CT84" s="48">
        <f t="shared" si="503"/>
        <v>4</v>
      </c>
      <c r="CU84" s="48">
        <f t="shared" si="504"/>
        <v>4</v>
      </c>
      <c r="CV84" s="48">
        <f t="shared" si="505"/>
        <v>8</v>
      </c>
      <c r="CW84" s="48">
        <f t="shared" si="506"/>
        <v>8</v>
      </c>
      <c r="CX84" s="48">
        <f t="shared" si="507"/>
        <v>8</v>
      </c>
      <c r="CY84" s="48">
        <f t="shared" si="508"/>
        <v>8</v>
      </c>
      <c r="CZ84" s="48">
        <f t="shared" si="509"/>
        <v>12</v>
      </c>
      <c r="DA84" s="48">
        <f t="shared" si="510"/>
        <v>12</v>
      </c>
      <c r="DB84" s="48">
        <f t="shared" si="531"/>
        <v>0</v>
      </c>
      <c r="DC84" s="48">
        <f t="shared" si="511"/>
        <v>4</v>
      </c>
      <c r="DD84" s="48">
        <f t="shared" si="512"/>
        <v>4</v>
      </c>
      <c r="DE84" s="48">
        <f t="shared" si="513"/>
        <v>4</v>
      </c>
      <c r="DF84" s="48">
        <f t="shared" si="514"/>
        <v>4</v>
      </c>
      <c r="DG84" s="48">
        <f t="shared" si="515"/>
        <v>4</v>
      </c>
      <c r="DH84" s="48">
        <f t="shared" si="516"/>
        <v>8</v>
      </c>
      <c r="DI84" s="48">
        <f t="shared" si="517"/>
        <v>8</v>
      </c>
      <c r="DJ84" s="48">
        <f t="shared" si="518"/>
        <v>8</v>
      </c>
      <c r="DK84" s="48">
        <f t="shared" si="519"/>
        <v>8</v>
      </c>
      <c r="DL84" s="48">
        <f t="shared" si="520"/>
        <v>12</v>
      </c>
      <c r="DM84" s="48">
        <f t="shared" si="521"/>
        <v>12</v>
      </c>
      <c r="DN84" s="48">
        <f t="shared" si="522"/>
        <v>0</v>
      </c>
      <c r="DO84" s="48">
        <f t="shared" si="536"/>
        <v>0</v>
      </c>
      <c r="DP84" s="48">
        <f t="shared" si="537"/>
        <v>0</v>
      </c>
      <c r="DQ84" s="48"/>
      <c r="DR84" s="48"/>
      <c r="DS84" s="48"/>
      <c r="DT84" s="48"/>
      <c r="DU84" s="48"/>
      <c r="DV84" s="48"/>
      <c r="DW84" s="48"/>
      <c r="DX84" s="48"/>
      <c r="DY84" s="48"/>
      <c r="EA84" s="52">
        <f t="shared" si="443"/>
        <v>12</v>
      </c>
      <c r="EB84" s="52">
        <f t="shared" si="444"/>
        <v>12</v>
      </c>
      <c r="EC84" s="52"/>
      <c r="ED84" s="429"/>
      <c r="EE84" s="40">
        <f t="shared" si="404"/>
        <v>0</v>
      </c>
      <c r="EF84" s="40">
        <f t="shared" si="405"/>
        <v>0</v>
      </c>
      <c r="EG84" s="51">
        <f t="shared" si="445"/>
        <v>12</v>
      </c>
      <c r="EH84" s="54"/>
      <c r="EI84" s="54"/>
      <c r="EJ84" s="54"/>
      <c r="EK84" s="675"/>
      <c r="EL84" s="53"/>
      <c r="EM84" s="53"/>
      <c r="EN84" s="53"/>
      <c r="EO84" s="49"/>
      <c r="EP84" s="49"/>
      <c r="EQ84" s="49"/>
      <c r="FC84" s="568">
        <f t="shared" si="452"/>
        <v>12</v>
      </c>
      <c r="FD84" s="568">
        <f t="shared" si="453"/>
        <v>12</v>
      </c>
      <c r="FE84" s="568">
        <f t="shared" si="454"/>
        <v>136</v>
      </c>
      <c r="FF84" s="568">
        <f t="shared" si="455"/>
        <v>163</v>
      </c>
    </row>
    <row r="85" spans="1:162">
      <c r="A85" s="6" t="s">
        <v>23</v>
      </c>
      <c r="B85" s="324" t="s">
        <v>202</v>
      </c>
      <c r="C85" s="3" t="s">
        <v>51</v>
      </c>
      <c r="E85" s="3" t="s">
        <v>15</v>
      </c>
      <c r="G85" s="3" t="s">
        <v>91</v>
      </c>
      <c r="I85" s="23"/>
      <c r="J85" s="19">
        <v>0</v>
      </c>
      <c r="K85" s="19">
        <v>0</v>
      </c>
      <c r="L85" s="19">
        <v>0</v>
      </c>
      <c r="M85" s="19">
        <v>0</v>
      </c>
      <c r="N85" s="19">
        <v>0</v>
      </c>
      <c r="O85" s="19">
        <v>2</v>
      </c>
      <c r="P85" s="19">
        <f>O85</f>
        <v>2</v>
      </c>
      <c r="Q85" s="19">
        <f t="shared" si="541"/>
        <v>2</v>
      </c>
      <c r="R85" s="19">
        <f t="shared" si="541"/>
        <v>2</v>
      </c>
      <c r="S85" s="19">
        <f t="shared" si="541"/>
        <v>2</v>
      </c>
      <c r="T85" s="19">
        <f>S85</f>
        <v>2</v>
      </c>
      <c r="U85" s="19">
        <v>4</v>
      </c>
      <c r="V85" s="219">
        <v>0</v>
      </c>
      <c r="W85" s="246">
        <v>0</v>
      </c>
      <c r="X85" s="246">
        <v>0</v>
      </c>
      <c r="Y85" s="246">
        <f>X85</f>
        <v>0</v>
      </c>
      <c r="Z85" s="246">
        <v>0</v>
      </c>
      <c r="AA85" s="246">
        <v>0</v>
      </c>
      <c r="AB85" s="246">
        <v>2</v>
      </c>
      <c r="AC85" s="246">
        <f t="shared" si="542"/>
        <v>2</v>
      </c>
      <c r="AD85" s="246">
        <f t="shared" si="542"/>
        <v>2</v>
      </c>
      <c r="AE85" s="246">
        <f t="shared" si="542"/>
        <v>2</v>
      </c>
      <c r="AF85" s="246">
        <f>AE85</f>
        <v>2</v>
      </c>
      <c r="AG85" s="246">
        <v>4</v>
      </c>
      <c r="AH85" s="31"/>
      <c r="AI85" s="19"/>
      <c r="AJ85" s="19"/>
      <c r="AK85" s="408"/>
      <c r="AL85" s="40">
        <f t="shared" si="525"/>
        <v>0</v>
      </c>
      <c r="AM85" s="40">
        <f t="shared" si="526"/>
        <v>0</v>
      </c>
      <c r="AN85" s="40">
        <f t="shared" si="471"/>
        <v>0</v>
      </c>
      <c r="AO85" s="40">
        <f t="shared" si="472"/>
        <v>0</v>
      </c>
      <c r="AP85" s="40">
        <f t="shared" si="473"/>
        <v>0</v>
      </c>
      <c r="AQ85" s="40">
        <f t="shared" si="474"/>
        <v>2</v>
      </c>
      <c r="AR85" s="40">
        <f t="shared" si="475"/>
        <v>0</v>
      </c>
      <c r="AS85" s="40">
        <f t="shared" si="476"/>
        <v>0</v>
      </c>
      <c r="AT85" s="40">
        <f t="shared" si="477"/>
        <v>0</v>
      </c>
      <c r="AU85" s="40">
        <f t="shared" si="478"/>
        <v>0</v>
      </c>
      <c r="AV85" s="40">
        <f t="shared" si="479"/>
        <v>0</v>
      </c>
      <c r="AW85" s="40">
        <f t="shared" si="480"/>
        <v>2</v>
      </c>
      <c r="AX85" s="40">
        <f t="shared" si="527"/>
        <v>0</v>
      </c>
      <c r="AY85" s="40">
        <f t="shared" si="481"/>
        <v>0</v>
      </c>
      <c r="AZ85" s="40">
        <f t="shared" si="482"/>
        <v>0</v>
      </c>
      <c r="BA85" s="40">
        <f t="shared" si="483"/>
        <v>0</v>
      </c>
      <c r="BB85" s="40">
        <f t="shared" si="484"/>
        <v>0</v>
      </c>
      <c r="BC85" s="40">
        <f t="shared" si="485"/>
        <v>0</v>
      </c>
      <c r="BD85" s="40">
        <f t="shared" si="486"/>
        <v>2</v>
      </c>
      <c r="BE85" s="40">
        <f t="shared" si="487"/>
        <v>0</v>
      </c>
      <c r="BF85" s="40">
        <f t="shared" si="488"/>
        <v>0</v>
      </c>
      <c r="BG85" s="40">
        <f t="shared" si="489"/>
        <v>0</v>
      </c>
      <c r="BH85" s="40">
        <f t="shared" si="490"/>
        <v>0</v>
      </c>
      <c r="BI85" s="40">
        <f t="shared" si="491"/>
        <v>2</v>
      </c>
      <c r="BJ85" s="40">
        <f>AH85-AG85</f>
        <v>-4</v>
      </c>
      <c r="BK85" s="40">
        <f t="shared" si="493"/>
        <v>0</v>
      </c>
      <c r="BL85" s="40">
        <f t="shared" si="494"/>
        <v>0</v>
      </c>
      <c r="BM85" s="408"/>
      <c r="BN85" s="48">
        <f t="shared" si="409"/>
        <v>0</v>
      </c>
      <c r="BO85" s="48">
        <f t="shared" si="410"/>
        <v>0</v>
      </c>
      <c r="BP85" s="48">
        <f>SUM(AL85:AN85)</f>
        <v>0</v>
      </c>
      <c r="BQ85" s="48">
        <f t="shared" si="412"/>
        <v>2</v>
      </c>
      <c r="BR85" s="48">
        <f t="shared" si="413"/>
        <v>2</v>
      </c>
      <c r="BS85" s="48">
        <f t="shared" si="496"/>
        <v>2</v>
      </c>
      <c r="BT85" s="48">
        <f t="shared" si="415"/>
        <v>0</v>
      </c>
      <c r="BU85" s="48">
        <f t="shared" si="416"/>
        <v>0</v>
      </c>
      <c r="BV85" s="48">
        <f t="shared" si="497"/>
        <v>0</v>
      </c>
      <c r="BW85" s="48">
        <f t="shared" si="418"/>
        <v>2</v>
      </c>
      <c r="BX85" s="48">
        <f t="shared" si="419"/>
        <v>2</v>
      </c>
      <c r="BY85" s="48">
        <f t="shared" si="498"/>
        <v>2</v>
      </c>
      <c r="BZ85" s="48">
        <f t="shared" si="421"/>
        <v>0</v>
      </c>
      <c r="CA85" s="48">
        <f t="shared" si="422"/>
        <v>0</v>
      </c>
      <c r="CB85" s="48">
        <f>SUM(AX85:AZ85)</f>
        <v>0</v>
      </c>
      <c r="CC85" s="48">
        <v>0</v>
      </c>
      <c r="CD85" s="48">
        <v>0</v>
      </c>
      <c r="CE85" s="48">
        <v>0</v>
      </c>
      <c r="CF85" s="48">
        <v>2</v>
      </c>
      <c r="CG85" s="48">
        <v>2</v>
      </c>
      <c r="CH85" s="48">
        <v>2</v>
      </c>
      <c r="CI85" s="48">
        <v>2</v>
      </c>
      <c r="CJ85" s="48">
        <v>2</v>
      </c>
      <c r="CK85" s="48">
        <v>4</v>
      </c>
      <c r="CL85" s="48">
        <f t="shared" si="427"/>
        <v>-4</v>
      </c>
      <c r="CM85" s="48">
        <f t="shared" si="428"/>
        <v>-4</v>
      </c>
      <c r="CN85" s="48">
        <f t="shared" si="499"/>
        <v>-4</v>
      </c>
      <c r="CO85" s="406"/>
      <c r="CP85" s="48">
        <f t="shared" si="530"/>
        <v>0</v>
      </c>
      <c r="CQ85" s="48">
        <f t="shared" si="500"/>
        <v>0</v>
      </c>
      <c r="CR85" s="48">
        <f t="shared" si="501"/>
        <v>0</v>
      </c>
      <c r="CS85" s="48">
        <f t="shared" si="502"/>
        <v>0</v>
      </c>
      <c r="CT85" s="48">
        <f t="shared" si="503"/>
        <v>0</v>
      </c>
      <c r="CU85" s="48">
        <f t="shared" si="504"/>
        <v>2</v>
      </c>
      <c r="CV85" s="48">
        <f t="shared" si="505"/>
        <v>2</v>
      </c>
      <c r="CW85" s="48">
        <f t="shared" si="506"/>
        <v>2</v>
      </c>
      <c r="CX85" s="48">
        <f t="shared" si="507"/>
        <v>2</v>
      </c>
      <c r="CY85" s="48">
        <f t="shared" si="508"/>
        <v>2</v>
      </c>
      <c r="CZ85" s="48">
        <f t="shared" si="509"/>
        <v>2</v>
      </c>
      <c r="DA85" s="48">
        <f t="shared" si="510"/>
        <v>4</v>
      </c>
      <c r="DB85" s="48">
        <f t="shared" si="531"/>
        <v>0</v>
      </c>
      <c r="DC85" s="48">
        <f t="shared" si="511"/>
        <v>0</v>
      </c>
      <c r="DD85" s="48">
        <f t="shared" si="512"/>
        <v>0</v>
      </c>
      <c r="DE85" s="48">
        <f t="shared" si="513"/>
        <v>0</v>
      </c>
      <c r="DF85" s="48">
        <f t="shared" si="514"/>
        <v>0</v>
      </c>
      <c r="DG85" s="48">
        <v>0</v>
      </c>
      <c r="DH85" s="48">
        <v>2</v>
      </c>
      <c r="DI85" s="48">
        <f t="shared" si="517"/>
        <v>2</v>
      </c>
      <c r="DJ85" s="48">
        <f t="shared" si="518"/>
        <v>2</v>
      </c>
      <c r="DK85" s="48">
        <f t="shared" si="519"/>
        <v>2</v>
      </c>
      <c r="DL85" s="48">
        <f t="shared" si="520"/>
        <v>2</v>
      </c>
      <c r="DM85" s="48">
        <f t="shared" si="521"/>
        <v>4</v>
      </c>
      <c r="DN85" s="48">
        <f>DM85+BJ85</f>
        <v>0</v>
      </c>
      <c r="DO85" s="48">
        <f t="shared" si="536"/>
        <v>0</v>
      </c>
      <c r="DP85" s="48">
        <f t="shared" si="537"/>
        <v>0</v>
      </c>
      <c r="DQ85" s="48"/>
      <c r="DR85" s="48"/>
      <c r="DS85" s="48"/>
      <c r="DT85" s="48"/>
      <c r="DU85" s="48"/>
      <c r="DV85" s="48"/>
      <c r="DW85" s="48"/>
      <c r="DX85" s="48"/>
      <c r="DY85" s="48"/>
      <c r="EA85" s="52">
        <f t="shared" si="443"/>
        <v>4</v>
      </c>
      <c r="EB85" s="52">
        <f t="shared" si="444"/>
        <v>4</v>
      </c>
      <c r="EC85" s="52"/>
      <c r="ED85" s="429"/>
      <c r="EE85" s="40">
        <f t="shared" si="404"/>
        <v>0</v>
      </c>
      <c r="EF85" s="40">
        <f t="shared" si="405"/>
        <v>-4</v>
      </c>
      <c r="EG85" s="51">
        <f t="shared" si="445"/>
        <v>4</v>
      </c>
      <c r="EH85" s="54"/>
      <c r="EI85" s="54"/>
      <c r="EJ85" s="54"/>
      <c r="EK85" s="675"/>
      <c r="EL85" s="53"/>
      <c r="EM85" s="53"/>
      <c r="EN85" s="53"/>
      <c r="EO85" s="49"/>
      <c r="EP85" s="49"/>
      <c r="EQ85" s="49"/>
      <c r="FC85" s="568">
        <f t="shared" si="452"/>
        <v>4</v>
      </c>
      <c r="FD85" s="568">
        <f t="shared" si="453"/>
        <v>4</v>
      </c>
      <c r="FE85" s="568">
        <f t="shared" si="454"/>
        <v>93</v>
      </c>
      <c r="FF85" s="568">
        <f t="shared" si="455"/>
        <v>112</v>
      </c>
    </row>
    <row r="86" spans="1:162">
      <c r="A86" s="6" t="s">
        <v>23</v>
      </c>
      <c r="B86" s="2" t="s">
        <v>13</v>
      </c>
      <c r="C86" s="3" t="s">
        <v>52</v>
      </c>
      <c r="E86" s="3" t="s">
        <v>15</v>
      </c>
      <c r="G86" s="3" t="s">
        <v>91</v>
      </c>
      <c r="I86" s="164"/>
      <c r="J86" s="19">
        <v>0</v>
      </c>
      <c r="K86" s="19">
        <v>0</v>
      </c>
      <c r="L86" s="19">
        <v>6750</v>
      </c>
      <c r="M86" s="19">
        <f>L86</f>
        <v>6750</v>
      </c>
      <c r="N86" s="19">
        <f>M86</f>
        <v>6750</v>
      </c>
      <c r="O86" s="19">
        <v>13500</v>
      </c>
      <c r="P86" s="19">
        <f>+O86</f>
        <v>13500</v>
      </c>
      <c r="Q86" s="19">
        <f>+P86</f>
        <v>13500</v>
      </c>
      <c r="R86" s="19">
        <v>20250</v>
      </c>
      <c r="S86" s="19">
        <f>+R86</f>
        <v>20250</v>
      </c>
      <c r="T86" s="19">
        <f>+S86</f>
        <v>20250</v>
      </c>
      <c r="U86" s="19">
        <v>27000</v>
      </c>
      <c r="V86" s="219">
        <v>0</v>
      </c>
      <c r="W86" s="246">
        <v>0</v>
      </c>
      <c r="X86" s="246">
        <v>0</v>
      </c>
      <c r="Y86" s="246">
        <f>X86</f>
        <v>0</v>
      </c>
      <c r="Z86" s="246">
        <v>0</v>
      </c>
      <c r="AA86" s="246">
        <f>ROUND(AG86/2,)</f>
        <v>19534</v>
      </c>
      <c r="AB86" s="246">
        <f t="shared" ref="AB86:AF87" si="543">+AA86</f>
        <v>19534</v>
      </c>
      <c r="AC86" s="246">
        <f t="shared" si="543"/>
        <v>19534</v>
      </c>
      <c r="AD86" s="246">
        <f t="shared" si="543"/>
        <v>19534</v>
      </c>
      <c r="AE86" s="246">
        <f t="shared" si="543"/>
        <v>19534</v>
      </c>
      <c r="AF86" s="246">
        <f t="shared" si="543"/>
        <v>19534</v>
      </c>
      <c r="AG86" s="246">
        <v>39068</v>
      </c>
      <c r="AH86" s="31"/>
      <c r="AI86" s="19"/>
      <c r="AJ86" s="19"/>
      <c r="AK86" s="408"/>
      <c r="AL86" s="40" t="s">
        <v>97</v>
      </c>
      <c r="AM86" s="40" t="s">
        <v>97</v>
      </c>
      <c r="AN86" s="40" t="s">
        <v>97</v>
      </c>
      <c r="AO86" s="40" t="s">
        <v>97</v>
      </c>
      <c r="AP86" s="40" t="s">
        <v>97</v>
      </c>
      <c r="AQ86" s="40" t="s">
        <v>97</v>
      </c>
      <c r="AR86" s="40" t="s">
        <v>97</v>
      </c>
      <c r="AS86" s="40" t="s">
        <v>97</v>
      </c>
      <c r="AT86" s="40" t="s">
        <v>97</v>
      </c>
      <c r="AU86" s="40" t="s">
        <v>97</v>
      </c>
      <c r="AV86" s="40" t="s">
        <v>97</v>
      </c>
      <c r="AW86" s="40" t="s">
        <v>97</v>
      </c>
      <c r="AX86" s="40" t="s">
        <v>97</v>
      </c>
      <c r="AY86" s="40" t="s">
        <v>97</v>
      </c>
      <c r="AZ86" s="40" t="s">
        <v>97</v>
      </c>
      <c r="BA86" s="40" t="s">
        <v>97</v>
      </c>
      <c r="BB86" s="40" t="s">
        <v>97</v>
      </c>
      <c r="BC86" s="40" t="s">
        <v>97</v>
      </c>
      <c r="BD86" s="40" t="s">
        <v>97</v>
      </c>
      <c r="BE86" s="40" t="s">
        <v>97</v>
      </c>
      <c r="BF86" s="40" t="s">
        <v>97</v>
      </c>
      <c r="BG86" s="40" t="s">
        <v>97</v>
      </c>
      <c r="BH86" s="40" t="s">
        <v>97</v>
      </c>
      <c r="BI86" s="40" t="s">
        <v>97</v>
      </c>
      <c r="BJ86" s="40" t="s">
        <v>97</v>
      </c>
      <c r="BK86" s="40" t="s">
        <v>97</v>
      </c>
      <c r="BL86" s="40" t="s">
        <v>97</v>
      </c>
      <c r="BM86" s="408"/>
      <c r="BN86" s="40" t="s">
        <v>97</v>
      </c>
      <c r="BO86" s="40" t="s">
        <v>97</v>
      </c>
      <c r="BP86" s="40" t="s">
        <v>97</v>
      </c>
      <c r="BQ86" s="40" t="s">
        <v>97</v>
      </c>
      <c r="BR86" s="40" t="s">
        <v>97</v>
      </c>
      <c r="BS86" s="40" t="s">
        <v>97</v>
      </c>
      <c r="BT86" s="40" t="s">
        <v>97</v>
      </c>
      <c r="BU86" s="40" t="s">
        <v>97</v>
      </c>
      <c r="BV86" s="40" t="s">
        <v>97</v>
      </c>
      <c r="BW86" s="40" t="s">
        <v>97</v>
      </c>
      <c r="BX86" s="40" t="s">
        <v>97</v>
      </c>
      <c r="BY86" s="40" t="s">
        <v>97</v>
      </c>
      <c r="BZ86" s="40" t="s">
        <v>97</v>
      </c>
      <c r="CA86" s="40" t="s">
        <v>97</v>
      </c>
      <c r="CB86" s="40" t="s">
        <v>97</v>
      </c>
      <c r="CC86" s="40" t="s">
        <v>97</v>
      </c>
      <c r="CD86" s="40" t="s">
        <v>97</v>
      </c>
      <c r="CE86" s="40" t="s">
        <v>97</v>
      </c>
      <c r="CF86" s="40" t="s">
        <v>97</v>
      </c>
      <c r="CG86" s="40" t="s">
        <v>97</v>
      </c>
      <c r="CH86" s="40" t="s">
        <v>97</v>
      </c>
      <c r="CI86" s="40" t="s">
        <v>97</v>
      </c>
      <c r="CJ86" s="40" t="s">
        <v>97</v>
      </c>
      <c r="CK86" s="40" t="s">
        <v>97</v>
      </c>
      <c r="CL86" s="40" t="s">
        <v>97</v>
      </c>
      <c r="CM86" s="40" t="s">
        <v>97</v>
      </c>
      <c r="CN86" s="40" t="s">
        <v>97</v>
      </c>
      <c r="CO86" s="406"/>
      <c r="CP86" s="48">
        <f t="shared" ref="CP86:CY87" si="544">J86</f>
        <v>0</v>
      </c>
      <c r="CQ86" s="48">
        <f t="shared" si="544"/>
        <v>0</v>
      </c>
      <c r="CR86" s="48">
        <f t="shared" si="544"/>
        <v>6750</v>
      </c>
      <c r="CS86" s="48">
        <f t="shared" si="544"/>
        <v>6750</v>
      </c>
      <c r="CT86" s="48">
        <f t="shared" si="544"/>
        <v>6750</v>
      </c>
      <c r="CU86" s="48">
        <f t="shared" si="544"/>
        <v>13500</v>
      </c>
      <c r="CV86" s="48">
        <f t="shared" si="544"/>
        <v>13500</v>
      </c>
      <c r="CW86" s="48">
        <f t="shared" si="544"/>
        <v>13500</v>
      </c>
      <c r="CX86" s="48">
        <f t="shared" si="544"/>
        <v>20250</v>
      </c>
      <c r="CY86" s="48">
        <f t="shared" si="544"/>
        <v>20250</v>
      </c>
      <c r="CZ86" s="48">
        <f t="shared" ref="CZ86:DI87" si="545">T86</f>
        <v>20250</v>
      </c>
      <c r="DA86" s="48">
        <f t="shared" si="545"/>
        <v>27000</v>
      </c>
      <c r="DB86" s="48">
        <f t="shared" si="545"/>
        <v>0</v>
      </c>
      <c r="DC86" s="48">
        <f t="shared" si="545"/>
        <v>0</v>
      </c>
      <c r="DD86" s="48">
        <f t="shared" si="545"/>
        <v>0</v>
      </c>
      <c r="DE86" s="48">
        <f t="shared" si="545"/>
        <v>0</v>
      </c>
      <c r="DF86" s="48">
        <f t="shared" si="545"/>
        <v>0</v>
      </c>
      <c r="DG86" s="48">
        <f t="shared" si="545"/>
        <v>19534</v>
      </c>
      <c r="DH86" s="48">
        <f t="shared" si="545"/>
        <v>19534</v>
      </c>
      <c r="DI86" s="48">
        <f t="shared" si="545"/>
        <v>19534</v>
      </c>
      <c r="DJ86" s="48">
        <f t="shared" ref="DJ86:DP87" si="546">AD86</f>
        <v>19534</v>
      </c>
      <c r="DK86" s="48">
        <f t="shared" si="546"/>
        <v>19534</v>
      </c>
      <c r="DL86" s="48">
        <f t="shared" si="546"/>
        <v>19534</v>
      </c>
      <c r="DM86" s="48">
        <f t="shared" si="546"/>
        <v>39068</v>
      </c>
      <c r="DN86" s="48">
        <f t="shared" si="546"/>
        <v>0</v>
      </c>
      <c r="DO86" s="48">
        <f t="shared" si="546"/>
        <v>0</v>
      </c>
      <c r="DP86" s="48">
        <f t="shared" si="546"/>
        <v>0</v>
      </c>
      <c r="DQ86" s="48"/>
      <c r="DR86" s="48"/>
      <c r="DS86" s="48"/>
      <c r="DT86" s="48"/>
      <c r="DU86" s="48"/>
      <c r="DV86" s="48"/>
      <c r="DW86" s="48"/>
      <c r="DX86" s="48"/>
      <c r="DY86" s="48"/>
      <c r="EA86" s="52">
        <f t="shared" si="443"/>
        <v>27000</v>
      </c>
      <c r="EB86" s="52">
        <f t="shared" si="444"/>
        <v>39068</v>
      </c>
      <c r="EC86" s="52"/>
      <c r="ED86" s="429"/>
      <c r="EE86" s="40" t="str">
        <f>HLOOKUP($I$1,Month,19)</f>
        <v>N/A</v>
      </c>
      <c r="EF86" s="40" t="str">
        <f>HLOOKUP($I$1,Qtr,19)</f>
        <v>N/A</v>
      </c>
      <c r="EG86" s="51">
        <f>HLOOKUP($EJ$4,Budget,19)</f>
        <v>41153</v>
      </c>
      <c r="EH86" s="54"/>
      <c r="EI86" s="54"/>
      <c r="EJ86" s="54"/>
      <c r="EK86" s="675"/>
      <c r="EL86" s="53"/>
      <c r="EM86" s="53"/>
      <c r="EN86" s="53"/>
      <c r="EO86" s="49"/>
      <c r="EP86" s="49"/>
      <c r="EQ86" s="49"/>
      <c r="FC86" s="568">
        <f t="shared" si="452"/>
        <v>27000</v>
      </c>
      <c r="FD86" s="568">
        <f t="shared" si="453"/>
        <v>39068</v>
      </c>
      <c r="FE86" s="568">
        <f t="shared" si="454"/>
        <v>6</v>
      </c>
      <c r="FF86" s="568">
        <f t="shared" si="455"/>
        <v>7</v>
      </c>
    </row>
    <row r="87" spans="1:162" ht="13.5" thickBot="1">
      <c r="A87" s="6" t="s">
        <v>23</v>
      </c>
      <c r="B87" s="2" t="s">
        <v>14</v>
      </c>
      <c r="C87" s="3" t="s">
        <v>53</v>
      </c>
      <c r="E87" s="3" t="s">
        <v>15</v>
      </c>
      <c r="G87" s="3" t="s">
        <v>91</v>
      </c>
      <c r="I87" s="23"/>
      <c r="J87" s="19">
        <v>0</v>
      </c>
      <c r="K87" s="19">
        <v>0</v>
      </c>
      <c r="L87" s="19">
        <v>13500</v>
      </c>
      <c r="M87" s="19">
        <f>L87</f>
        <v>13500</v>
      </c>
      <c r="N87" s="19">
        <f>M87</f>
        <v>13500</v>
      </c>
      <c r="O87" s="19">
        <v>27000</v>
      </c>
      <c r="P87" s="19">
        <f>+O87</f>
        <v>27000</v>
      </c>
      <c r="Q87" s="19">
        <f>+P87</f>
        <v>27000</v>
      </c>
      <c r="R87" s="19">
        <v>40500</v>
      </c>
      <c r="S87" s="19">
        <f>+R87</f>
        <v>40500</v>
      </c>
      <c r="T87" s="19">
        <f>+S87</f>
        <v>40500</v>
      </c>
      <c r="U87" s="19">
        <v>54000</v>
      </c>
      <c r="V87" s="221">
        <v>0</v>
      </c>
      <c r="W87" s="246">
        <v>0</v>
      </c>
      <c r="X87" s="246">
        <v>0</v>
      </c>
      <c r="Y87" s="246">
        <f>X87</f>
        <v>0</v>
      </c>
      <c r="Z87" s="246">
        <v>0</v>
      </c>
      <c r="AA87" s="246">
        <f>ROUND(AG87/2,0)</f>
        <v>27000</v>
      </c>
      <c r="AB87" s="246">
        <f t="shared" si="543"/>
        <v>27000</v>
      </c>
      <c r="AC87" s="246">
        <f t="shared" si="543"/>
        <v>27000</v>
      </c>
      <c r="AD87" s="246">
        <f t="shared" si="543"/>
        <v>27000</v>
      </c>
      <c r="AE87" s="246">
        <f t="shared" si="543"/>
        <v>27000</v>
      </c>
      <c r="AF87" s="246">
        <f t="shared" si="543"/>
        <v>27000</v>
      </c>
      <c r="AG87" s="246">
        <v>54000</v>
      </c>
      <c r="AH87" s="34"/>
      <c r="AI87" s="19"/>
      <c r="AJ87" s="19"/>
      <c r="AK87" s="408"/>
      <c r="AL87" s="40" t="s">
        <v>97</v>
      </c>
      <c r="AM87" s="40" t="s">
        <v>97</v>
      </c>
      <c r="AN87" s="40" t="s">
        <v>97</v>
      </c>
      <c r="AO87" s="40" t="s">
        <v>97</v>
      </c>
      <c r="AP87" s="40" t="s">
        <v>97</v>
      </c>
      <c r="AQ87" s="40" t="s">
        <v>97</v>
      </c>
      <c r="AR87" s="40" t="s">
        <v>97</v>
      </c>
      <c r="AS87" s="40" t="s">
        <v>97</v>
      </c>
      <c r="AT87" s="40" t="s">
        <v>97</v>
      </c>
      <c r="AU87" s="40" t="s">
        <v>97</v>
      </c>
      <c r="AV87" s="40" t="s">
        <v>97</v>
      </c>
      <c r="AW87" s="40" t="s">
        <v>97</v>
      </c>
      <c r="AX87" s="40" t="s">
        <v>97</v>
      </c>
      <c r="AY87" s="40" t="s">
        <v>97</v>
      </c>
      <c r="AZ87" s="40" t="s">
        <v>97</v>
      </c>
      <c r="BA87" s="40" t="s">
        <v>97</v>
      </c>
      <c r="BB87" s="40" t="s">
        <v>97</v>
      </c>
      <c r="BC87" s="40" t="s">
        <v>97</v>
      </c>
      <c r="BD87" s="40" t="s">
        <v>97</v>
      </c>
      <c r="BE87" s="40" t="s">
        <v>97</v>
      </c>
      <c r="BF87" s="40" t="s">
        <v>97</v>
      </c>
      <c r="BG87" s="40" t="s">
        <v>97</v>
      </c>
      <c r="BH87" s="40" t="s">
        <v>97</v>
      </c>
      <c r="BI87" s="40" t="s">
        <v>97</v>
      </c>
      <c r="BJ87" s="40" t="s">
        <v>97</v>
      </c>
      <c r="BK87" s="40" t="s">
        <v>97</v>
      </c>
      <c r="BL87" s="40" t="s">
        <v>97</v>
      </c>
      <c r="BM87" s="408"/>
      <c r="BN87" s="40" t="s">
        <v>97</v>
      </c>
      <c r="BO87" s="40" t="s">
        <v>97</v>
      </c>
      <c r="BP87" s="40" t="s">
        <v>97</v>
      </c>
      <c r="BQ87" s="40" t="s">
        <v>97</v>
      </c>
      <c r="BR87" s="40" t="s">
        <v>97</v>
      </c>
      <c r="BS87" s="40" t="s">
        <v>97</v>
      </c>
      <c r="BT87" s="40" t="s">
        <v>97</v>
      </c>
      <c r="BU87" s="40" t="s">
        <v>97</v>
      </c>
      <c r="BV87" s="40" t="s">
        <v>97</v>
      </c>
      <c r="BW87" s="40" t="s">
        <v>97</v>
      </c>
      <c r="BX87" s="40" t="s">
        <v>97</v>
      </c>
      <c r="BY87" s="40" t="s">
        <v>97</v>
      </c>
      <c r="BZ87" s="40" t="s">
        <v>97</v>
      </c>
      <c r="CA87" s="40" t="s">
        <v>97</v>
      </c>
      <c r="CB87" s="40" t="s">
        <v>97</v>
      </c>
      <c r="CC87" s="40" t="s">
        <v>97</v>
      </c>
      <c r="CD87" s="40" t="s">
        <v>97</v>
      </c>
      <c r="CE87" s="40" t="s">
        <v>97</v>
      </c>
      <c r="CF87" s="40" t="s">
        <v>97</v>
      </c>
      <c r="CG87" s="40" t="s">
        <v>97</v>
      </c>
      <c r="CH87" s="40" t="s">
        <v>97</v>
      </c>
      <c r="CI87" s="40" t="s">
        <v>97</v>
      </c>
      <c r="CJ87" s="40" t="s">
        <v>97</v>
      </c>
      <c r="CK87" s="40" t="s">
        <v>97</v>
      </c>
      <c r="CL87" s="40" t="s">
        <v>97</v>
      </c>
      <c r="CM87" s="40" t="s">
        <v>97</v>
      </c>
      <c r="CN87" s="40" t="s">
        <v>97</v>
      </c>
      <c r="CO87" s="406"/>
      <c r="CP87" s="48">
        <f t="shared" si="544"/>
        <v>0</v>
      </c>
      <c r="CQ87" s="48">
        <f t="shared" si="544"/>
        <v>0</v>
      </c>
      <c r="CR87" s="48">
        <f t="shared" si="544"/>
        <v>13500</v>
      </c>
      <c r="CS87" s="48">
        <f t="shared" si="544"/>
        <v>13500</v>
      </c>
      <c r="CT87" s="48">
        <f t="shared" si="544"/>
        <v>13500</v>
      </c>
      <c r="CU87" s="48">
        <f t="shared" si="544"/>
        <v>27000</v>
      </c>
      <c r="CV87" s="48">
        <f t="shared" si="544"/>
        <v>27000</v>
      </c>
      <c r="CW87" s="48">
        <f t="shared" si="544"/>
        <v>27000</v>
      </c>
      <c r="CX87" s="48">
        <f t="shared" si="544"/>
        <v>40500</v>
      </c>
      <c r="CY87" s="48">
        <f t="shared" si="544"/>
        <v>40500</v>
      </c>
      <c r="CZ87" s="48">
        <f t="shared" si="545"/>
        <v>40500</v>
      </c>
      <c r="DA87" s="48">
        <f t="shared" si="545"/>
        <v>54000</v>
      </c>
      <c r="DB87" s="48">
        <f t="shared" si="545"/>
        <v>0</v>
      </c>
      <c r="DC87" s="48">
        <f t="shared" si="545"/>
        <v>0</v>
      </c>
      <c r="DD87" s="48">
        <f t="shared" si="545"/>
        <v>0</v>
      </c>
      <c r="DE87" s="48">
        <f t="shared" si="545"/>
        <v>0</v>
      </c>
      <c r="DF87" s="48">
        <f t="shared" si="545"/>
        <v>0</v>
      </c>
      <c r="DG87" s="48">
        <f t="shared" si="545"/>
        <v>27000</v>
      </c>
      <c r="DH87" s="48">
        <f t="shared" si="545"/>
        <v>27000</v>
      </c>
      <c r="DI87" s="48">
        <f t="shared" si="545"/>
        <v>27000</v>
      </c>
      <c r="DJ87" s="48">
        <f t="shared" si="546"/>
        <v>27000</v>
      </c>
      <c r="DK87" s="48">
        <f t="shared" si="546"/>
        <v>27000</v>
      </c>
      <c r="DL87" s="48">
        <f t="shared" si="546"/>
        <v>27000</v>
      </c>
      <c r="DM87" s="48">
        <f t="shared" si="546"/>
        <v>54000</v>
      </c>
      <c r="DN87" s="48">
        <f t="shared" si="546"/>
        <v>0</v>
      </c>
      <c r="DO87" s="48">
        <f t="shared" si="546"/>
        <v>0</v>
      </c>
      <c r="DP87" s="48">
        <f t="shared" si="546"/>
        <v>0</v>
      </c>
      <c r="DQ87" s="48"/>
      <c r="DR87" s="48"/>
      <c r="DS87" s="48"/>
      <c r="DT87" s="48"/>
      <c r="DU87" s="48"/>
      <c r="DV87" s="48"/>
      <c r="DW87" s="48"/>
      <c r="DX87" s="48"/>
      <c r="DY87" s="48"/>
      <c r="EA87" s="52">
        <f t="shared" si="443"/>
        <v>54000</v>
      </c>
      <c r="EB87" s="52">
        <f t="shared" si="444"/>
        <v>54000</v>
      </c>
      <c r="EC87" s="52"/>
      <c r="ED87" s="429"/>
      <c r="EE87" s="40" t="str">
        <f>HLOOKUP($I$1,Month,20)</f>
        <v>N/A</v>
      </c>
      <c r="EF87" s="40" t="str">
        <f>HLOOKUP($I$1,Qtr,20)</f>
        <v>N/A</v>
      </c>
      <c r="EG87" s="51">
        <f>HLOOKUP($EJ$4,Budget,20)</f>
        <v>81520</v>
      </c>
      <c r="EH87" s="54"/>
      <c r="EI87" s="54"/>
      <c r="EJ87" s="54"/>
      <c r="EK87" s="675"/>
      <c r="EL87" s="53"/>
      <c r="EM87" s="53"/>
      <c r="EN87" s="53"/>
      <c r="EO87" s="49"/>
      <c r="EP87" s="49"/>
      <c r="EQ87" s="49"/>
      <c r="FC87" s="568">
        <f t="shared" si="452"/>
        <v>54000</v>
      </c>
      <c r="FD87" s="568">
        <f t="shared" si="453"/>
        <v>54000</v>
      </c>
      <c r="FE87" s="568">
        <f t="shared" si="454"/>
        <v>2</v>
      </c>
      <c r="FF87" s="568">
        <f t="shared" si="455"/>
        <v>2</v>
      </c>
    </row>
    <row r="88" spans="1:162">
      <c r="A88" s="6" t="s">
        <v>23</v>
      </c>
      <c r="B88" s="2" t="s">
        <v>0</v>
      </c>
      <c r="C88" s="3" t="s">
        <v>40</v>
      </c>
      <c r="G88" s="43" t="s">
        <v>113</v>
      </c>
      <c r="H88" s="28"/>
      <c r="I88" s="29"/>
      <c r="J88" s="30">
        <f t="shared" ref="J88:L89" si="547">+J70-I70</f>
        <v>10</v>
      </c>
      <c r="K88" s="30">
        <f t="shared" si="547"/>
        <v>10</v>
      </c>
      <c r="L88" s="30">
        <f t="shared" si="547"/>
        <v>10</v>
      </c>
      <c r="M88" s="30">
        <f>+M70</f>
        <v>6.0833300000000001</v>
      </c>
      <c r="N88" s="30">
        <f t="shared" ref="N88:U88" si="548">+N70-M70</f>
        <v>12.5</v>
      </c>
      <c r="O88" s="30">
        <f t="shared" si="548"/>
        <v>12.5</v>
      </c>
      <c r="P88" s="30">
        <f t="shared" si="548"/>
        <v>12.500000000000004</v>
      </c>
      <c r="Q88" s="30">
        <f t="shared" si="548"/>
        <v>12.5</v>
      </c>
      <c r="R88" s="30">
        <f t="shared" si="548"/>
        <v>12.5</v>
      </c>
      <c r="S88" s="30">
        <f t="shared" si="548"/>
        <v>12.5</v>
      </c>
      <c r="T88" s="30">
        <f t="shared" si="548"/>
        <v>12.5</v>
      </c>
      <c r="U88" s="30">
        <f t="shared" si="548"/>
        <v>12.5</v>
      </c>
      <c r="V88" s="30">
        <v>10.083</v>
      </c>
      <c r="W88" s="30">
        <f>V88+10.083</f>
        <v>20.166</v>
      </c>
      <c r="X88" s="226">
        <f t="shared" ref="X88:AG88" si="549">W88+10.083</f>
        <v>30.249000000000002</v>
      </c>
      <c r="Y88" s="226">
        <f t="shared" si="549"/>
        <v>40.332000000000001</v>
      </c>
      <c r="Z88" s="226">
        <f t="shared" si="549"/>
        <v>50.414999999999999</v>
      </c>
      <c r="AA88" s="226">
        <f t="shared" si="549"/>
        <v>60.497999999999998</v>
      </c>
      <c r="AB88" s="226">
        <f t="shared" si="549"/>
        <v>70.581000000000003</v>
      </c>
      <c r="AC88" s="226">
        <f t="shared" si="549"/>
        <v>80.664000000000001</v>
      </c>
      <c r="AD88" s="226">
        <f t="shared" si="549"/>
        <v>90.747</v>
      </c>
      <c r="AE88" s="226">
        <f t="shared" si="549"/>
        <v>100.83</v>
      </c>
      <c r="AF88" s="226">
        <f t="shared" si="549"/>
        <v>110.913</v>
      </c>
      <c r="AG88" s="226">
        <f t="shared" si="549"/>
        <v>120.996</v>
      </c>
      <c r="AH88" s="30">
        <f>125/12</f>
        <v>10.416666666666666</v>
      </c>
      <c r="AI88" s="226">
        <f t="shared" ref="AI88:AJ88" si="550">125/12</f>
        <v>10.416666666666666</v>
      </c>
      <c r="AJ88" s="226">
        <f t="shared" si="550"/>
        <v>10.416666666666666</v>
      </c>
      <c r="AK88" s="408"/>
      <c r="AL88" s="48">
        <f t="shared" ref="AL88:AU90" si="551">J88</f>
        <v>10</v>
      </c>
      <c r="AM88" s="48">
        <f t="shared" si="551"/>
        <v>10</v>
      </c>
      <c r="AN88" s="48">
        <f t="shared" si="551"/>
        <v>10</v>
      </c>
      <c r="AO88" s="48">
        <f t="shared" si="551"/>
        <v>6.0833300000000001</v>
      </c>
      <c r="AP88" s="48">
        <f t="shared" si="551"/>
        <v>12.5</v>
      </c>
      <c r="AQ88" s="48">
        <f t="shared" si="551"/>
        <v>12.5</v>
      </c>
      <c r="AR88" s="48">
        <f t="shared" si="551"/>
        <v>12.500000000000004</v>
      </c>
      <c r="AS88" s="48">
        <f t="shared" si="551"/>
        <v>12.5</v>
      </c>
      <c r="AT88" s="48">
        <f t="shared" si="551"/>
        <v>12.5</v>
      </c>
      <c r="AU88" s="48">
        <f t="shared" si="551"/>
        <v>12.5</v>
      </c>
      <c r="AV88" s="48">
        <f t="shared" ref="AV88:BE90" si="552">T88</f>
        <v>12.5</v>
      </c>
      <c r="AW88" s="48">
        <f t="shared" si="552"/>
        <v>12.5</v>
      </c>
      <c r="AX88" s="48">
        <v>10.083</v>
      </c>
      <c r="AY88" s="48">
        <v>10.083</v>
      </c>
      <c r="AZ88" s="48">
        <v>10.083</v>
      </c>
      <c r="BA88" s="48">
        <v>10.083</v>
      </c>
      <c r="BB88" s="48">
        <v>10.083</v>
      </c>
      <c r="BC88" s="48">
        <v>10.083</v>
      </c>
      <c r="BD88" s="48">
        <v>10.083</v>
      </c>
      <c r="BE88" s="48">
        <v>10.083</v>
      </c>
      <c r="BF88" s="48">
        <v>10.083</v>
      </c>
      <c r="BG88" s="48">
        <v>10.083</v>
      </c>
      <c r="BH88" s="48">
        <v>10.083</v>
      </c>
      <c r="BI88" s="48">
        <v>10.083</v>
      </c>
      <c r="BJ88" s="48">
        <v>10.083</v>
      </c>
      <c r="BK88" s="48">
        <v>10.083</v>
      </c>
      <c r="BL88" s="48">
        <v>10.083</v>
      </c>
      <c r="BM88" s="408"/>
      <c r="BN88" s="48">
        <f>+AL88</f>
        <v>10</v>
      </c>
      <c r="BO88" s="48">
        <f>+BN88+AM88</f>
        <v>20</v>
      </c>
      <c r="BP88" s="48">
        <f>+BO88+AN88</f>
        <v>30</v>
      </c>
      <c r="BQ88" s="48">
        <f>AO88</f>
        <v>6.0833300000000001</v>
      </c>
      <c r="BR88" s="48">
        <f>+BQ88+AP88</f>
        <v>18.58333</v>
      </c>
      <c r="BS88" s="48">
        <f>+BR88+AQ88</f>
        <v>31.08333</v>
      </c>
      <c r="BT88" s="48">
        <f>AR88</f>
        <v>12.500000000000004</v>
      </c>
      <c r="BU88" s="48">
        <f>+BT88+AS88</f>
        <v>25.000000000000004</v>
      </c>
      <c r="BV88" s="48">
        <f>+BU88+AT88</f>
        <v>37.5</v>
      </c>
      <c r="BW88" s="48">
        <f>AU88</f>
        <v>12.5</v>
      </c>
      <c r="BX88" s="48">
        <f>+BW88+AV88</f>
        <v>25</v>
      </c>
      <c r="BY88" s="48">
        <f>+BX88+AW88</f>
        <v>37.5</v>
      </c>
      <c r="BZ88" s="48">
        <v>30</v>
      </c>
      <c r="CA88" s="48">
        <v>30</v>
      </c>
      <c r="CB88" s="48">
        <f>X88</f>
        <v>30.249000000000002</v>
      </c>
      <c r="CC88" s="48">
        <v>60.497999999999998</v>
      </c>
      <c r="CD88" s="48">
        <v>60.497999999999998</v>
      </c>
      <c r="CE88" s="48">
        <f>AA88</f>
        <v>60.497999999999998</v>
      </c>
      <c r="CF88" s="48">
        <f>90.747</f>
        <v>90.747</v>
      </c>
      <c r="CG88" s="48">
        <f>90.747</f>
        <v>90.747</v>
      </c>
      <c r="CH88" s="48">
        <f>AD88</f>
        <v>90.747</v>
      </c>
      <c r="CI88" s="48">
        <v>121</v>
      </c>
      <c r="CJ88" s="48">
        <v>121</v>
      </c>
      <c r="CK88" s="48">
        <f>AG88</f>
        <v>120.996</v>
      </c>
      <c r="CL88" s="48">
        <f>CN88</f>
        <v>31.25</v>
      </c>
      <c r="CM88" s="48">
        <f>CN88</f>
        <v>31.25</v>
      </c>
      <c r="CN88" s="48">
        <f>125/4</f>
        <v>31.25</v>
      </c>
      <c r="CO88" s="406"/>
      <c r="CP88" s="40">
        <f>AL88</f>
        <v>10</v>
      </c>
      <c r="CQ88" s="40">
        <f t="shared" ref="CQ88:DA89" si="553">CP88+AM88</f>
        <v>20</v>
      </c>
      <c r="CR88" s="40">
        <f t="shared" si="553"/>
        <v>30</v>
      </c>
      <c r="CS88" s="40">
        <f t="shared" si="553"/>
        <v>36.083330000000004</v>
      </c>
      <c r="CT88" s="40">
        <f t="shared" si="553"/>
        <v>48.583330000000004</v>
      </c>
      <c r="CU88" s="40">
        <f t="shared" si="553"/>
        <v>61.083330000000004</v>
      </c>
      <c r="CV88" s="40">
        <f t="shared" si="553"/>
        <v>73.583330000000004</v>
      </c>
      <c r="CW88" s="40">
        <f t="shared" si="553"/>
        <v>86.083330000000004</v>
      </c>
      <c r="CX88" s="40">
        <f t="shared" si="553"/>
        <v>98.583330000000004</v>
      </c>
      <c r="CY88" s="40">
        <f t="shared" si="553"/>
        <v>111.08333</v>
      </c>
      <c r="CZ88" s="40">
        <f t="shared" si="553"/>
        <v>123.58333</v>
      </c>
      <c r="DA88" s="40">
        <f t="shared" si="553"/>
        <v>136.08332999999999</v>
      </c>
      <c r="DB88" s="40">
        <f>AX88</f>
        <v>10.083</v>
      </c>
      <c r="DC88" s="396">
        <f>DB88+10.083</f>
        <v>20.166</v>
      </c>
      <c r="DD88" s="396">
        <f t="shared" ref="DD88:DM88" si="554">DC88+10.083</f>
        <v>30.249000000000002</v>
      </c>
      <c r="DE88" s="396">
        <f t="shared" si="554"/>
        <v>40.332000000000001</v>
      </c>
      <c r="DF88" s="396">
        <f t="shared" si="554"/>
        <v>50.414999999999999</v>
      </c>
      <c r="DG88" s="396">
        <f t="shared" si="554"/>
        <v>60.497999999999998</v>
      </c>
      <c r="DH88" s="396">
        <f t="shared" si="554"/>
        <v>70.581000000000003</v>
      </c>
      <c r="DI88" s="396">
        <f t="shared" si="554"/>
        <v>80.664000000000001</v>
      </c>
      <c r="DJ88" s="396">
        <f t="shared" si="554"/>
        <v>90.747</v>
      </c>
      <c r="DK88" s="396">
        <f t="shared" si="554"/>
        <v>100.83</v>
      </c>
      <c r="DL88" s="396">
        <f t="shared" si="554"/>
        <v>110.913</v>
      </c>
      <c r="DM88" s="396">
        <f t="shared" si="554"/>
        <v>120.996</v>
      </c>
      <c r="DN88" s="40">
        <f>125/12</f>
        <v>10.416666666666666</v>
      </c>
      <c r="DO88" s="40">
        <f t="shared" ref="DO88:DP88" si="555">125/12</f>
        <v>10.416666666666666</v>
      </c>
      <c r="DP88" s="40">
        <f t="shared" si="555"/>
        <v>10.416666666666666</v>
      </c>
      <c r="DQ88" s="40"/>
      <c r="DR88" s="40"/>
      <c r="DS88" s="40"/>
      <c r="DT88" s="40"/>
      <c r="DU88" s="40"/>
      <c r="DV88" s="40"/>
      <c r="DW88" s="40"/>
      <c r="DX88" s="40"/>
      <c r="DY88" s="40"/>
      <c r="EA88" s="58">
        <f t="shared" si="443"/>
        <v>136.08332999999999</v>
      </c>
      <c r="EB88" s="58">
        <f t="shared" si="444"/>
        <v>120.996</v>
      </c>
      <c r="EC88" s="58"/>
      <c r="ED88" s="429"/>
      <c r="EE88" s="396">
        <f>HLOOKUP($I$1,Month,ROW()-1)</f>
        <v>10.083</v>
      </c>
      <c r="EF88" s="396">
        <f>HLOOKUP($I$1,Qtr,ROW()-1)</f>
        <v>31.25</v>
      </c>
      <c r="EG88" s="40">
        <f>125</f>
        <v>125</v>
      </c>
      <c r="EH88" s="54"/>
      <c r="EI88" s="54"/>
      <c r="EJ88" s="54"/>
      <c r="EK88" s="675"/>
      <c r="EL88" s="53"/>
      <c r="EM88" s="53"/>
      <c r="EN88" s="53"/>
      <c r="EO88" s="49"/>
      <c r="EP88" s="49"/>
      <c r="EQ88" s="49"/>
    </row>
    <row r="89" spans="1:162">
      <c r="A89" s="6" t="s">
        <v>23</v>
      </c>
      <c r="B89" s="2" t="s">
        <v>1</v>
      </c>
      <c r="C89" s="3" t="s">
        <v>41</v>
      </c>
      <c r="G89" s="43" t="s">
        <v>113</v>
      </c>
      <c r="H89" s="28"/>
      <c r="I89" s="29"/>
      <c r="J89" s="30">
        <f t="shared" si="547"/>
        <v>0.42000000000000037</v>
      </c>
      <c r="K89" s="30">
        <f t="shared" si="547"/>
        <v>0.41999999999999993</v>
      </c>
      <c r="L89" s="30">
        <f t="shared" si="547"/>
        <v>0.41999999999999993</v>
      </c>
      <c r="M89" s="30">
        <f>+M71</f>
        <v>2.0833333333300001</v>
      </c>
      <c r="N89" s="30">
        <f t="shared" ref="N89:X89" si="556">+N71-M71</f>
        <v>2.0833333333300001</v>
      </c>
      <c r="O89" s="30">
        <f t="shared" si="556"/>
        <v>2.0833333333300006</v>
      </c>
      <c r="P89" s="30">
        <f t="shared" si="556"/>
        <v>2.0833333333299997</v>
      </c>
      <c r="Q89" s="30">
        <f t="shared" si="556"/>
        <v>2.0833333333299997</v>
      </c>
      <c r="R89" s="30">
        <f t="shared" si="556"/>
        <v>2.0833333333299997</v>
      </c>
      <c r="S89" s="30">
        <f t="shared" si="556"/>
        <v>2.0833333333299997</v>
      </c>
      <c r="T89" s="30">
        <f t="shared" si="556"/>
        <v>2.0833333333300015</v>
      </c>
      <c r="U89" s="30">
        <f t="shared" si="556"/>
        <v>2.0833333333299997</v>
      </c>
      <c r="V89" s="30">
        <f t="shared" si="556"/>
        <v>2.0833333333299997</v>
      </c>
      <c r="W89" s="30">
        <f t="shared" si="556"/>
        <v>2.0833333333299997</v>
      </c>
      <c r="X89" s="30">
        <f t="shared" si="556"/>
        <v>2.0833333333299997</v>
      </c>
      <c r="Y89" s="30">
        <f>+Y71</f>
        <v>1.25</v>
      </c>
      <c r="Z89" s="30">
        <f t="shared" ref="Z89:AJ89" si="557">+Z71-Y71</f>
        <v>1.25</v>
      </c>
      <c r="AA89" s="30">
        <f t="shared" si="557"/>
        <v>1.25</v>
      </c>
      <c r="AB89" s="30">
        <f t="shared" si="557"/>
        <v>1.25</v>
      </c>
      <c r="AC89" s="30">
        <f t="shared" si="557"/>
        <v>1.25</v>
      </c>
      <c r="AD89" s="30">
        <f t="shared" si="557"/>
        <v>1.25</v>
      </c>
      <c r="AE89" s="30">
        <f t="shared" si="557"/>
        <v>1.25</v>
      </c>
      <c r="AF89" s="30">
        <f t="shared" si="557"/>
        <v>1.25</v>
      </c>
      <c r="AG89" s="30">
        <f t="shared" si="557"/>
        <v>1.25</v>
      </c>
      <c r="AH89" s="30">
        <f t="shared" si="557"/>
        <v>1.25</v>
      </c>
      <c r="AI89" s="30">
        <f t="shared" si="557"/>
        <v>1.25</v>
      </c>
      <c r="AJ89" s="30">
        <f t="shared" si="557"/>
        <v>1.25</v>
      </c>
      <c r="AK89" s="408"/>
      <c r="AL89" s="48">
        <f t="shared" si="551"/>
        <v>0.42000000000000037</v>
      </c>
      <c r="AM89" s="48">
        <f t="shared" si="551"/>
        <v>0.41999999999999993</v>
      </c>
      <c r="AN89" s="48">
        <f t="shared" si="551"/>
        <v>0.41999999999999993</v>
      </c>
      <c r="AO89" s="48">
        <f t="shared" si="551"/>
        <v>2.0833333333300001</v>
      </c>
      <c r="AP89" s="48">
        <f t="shared" si="551"/>
        <v>2.0833333333300001</v>
      </c>
      <c r="AQ89" s="48">
        <f t="shared" si="551"/>
        <v>2.0833333333300006</v>
      </c>
      <c r="AR89" s="48">
        <f t="shared" si="551"/>
        <v>2.0833333333299997</v>
      </c>
      <c r="AS89" s="48">
        <f t="shared" si="551"/>
        <v>2.0833333333299997</v>
      </c>
      <c r="AT89" s="48">
        <f t="shared" si="551"/>
        <v>2.0833333333299997</v>
      </c>
      <c r="AU89" s="48">
        <f t="shared" si="551"/>
        <v>2.0833333333299997</v>
      </c>
      <c r="AV89" s="48">
        <f t="shared" si="552"/>
        <v>2.0833333333300015</v>
      </c>
      <c r="AW89" s="48">
        <f t="shared" si="552"/>
        <v>2.0833333333299997</v>
      </c>
      <c r="AX89" s="48">
        <f t="shared" si="552"/>
        <v>2.0833333333299997</v>
      </c>
      <c r="AY89" s="48">
        <f t="shared" si="552"/>
        <v>2.0833333333299997</v>
      </c>
      <c r="AZ89" s="48">
        <f t="shared" si="552"/>
        <v>2.0833333333299997</v>
      </c>
      <c r="BA89" s="48">
        <f t="shared" si="552"/>
        <v>1.25</v>
      </c>
      <c r="BB89" s="48">
        <f t="shared" si="552"/>
        <v>1.25</v>
      </c>
      <c r="BC89" s="48">
        <f t="shared" si="552"/>
        <v>1.25</v>
      </c>
      <c r="BD89" s="48">
        <f t="shared" si="552"/>
        <v>1.25</v>
      </c>
      <c r="BE89" s="48">
        <f t="shared" si="552"/>
        <v>1.25</v>
      </c>
      <c r="BF89" s="48">
        <f t="shared" ref="BF89:BL90" si="558">AD89</f>
        <v>1.25</v>
      </c>
      <c r="BG89" s="48">
        <f t="shared" si="558"/>
        <v>1.25</v>
      </c>
      <c r="BH89" s="48">
        <f t="shared" si="558"/>
        <v>1.25</v>
      </c>
      <c r="BI89" s="48">
        <f t="shared" si="558"/>
        <v>1.25</v>
      </c>
      <c r="BJ89" s="48">
        <f t="shared" si="558"/>
        <v>1.25</v>
      </c>
      <c r="BK89" s="48">
        <f t="shared" si="558"/>
        <v>1.25</v>
      </c>
      <c r="BL89" s="48">
        <f t="shared" si="558"/>
        <v>1.25</v>
      </c>
      <c r="BM89" s="408"/>
      <c r="BN89" s="48">
        <f>+AL89</f>
        <v>0.42000000000000037</v>
      </c>
      <c r="BO89" s="48">
        <f>+BN89+AM89</f>
        <v>0.8400000000000003</v>
      </c>
      <c r="BP89" s="48">
        <f>+BO89+AN89</f>
        <v>1.2600000000000002</v>
      </c>
      <c r="BQ89" s="48">
        <f>AO89</f>
        <v>2.0833333333300001</v>
      </c>
      <c r="BR89" s="48">
        <f>+BQ89+AP89</f>
        <v>4.1666666666600003</v>
      </c>
      <c r="BS89" s="48">
        <f>+BR89+AQ89</f>
        <v>6.2499999999900009</v>
      </c>
      <c r="BT89" s="48">
        <f>AR89</f>
        <v>2.0833333333299997</v>
      </c>
      <c r="BU89" s="48">
        <f>+BT89+AS89</f>
        <v>4.1666666666599994</v>
      </c>
      <c r="BV89" s="48">
        <f>+BU89+AT89</f>
        <v>6.2499999999899991</v>
      </c>
      <c r="BW89" s="48">
        <f>AU89</f>
        <v>2.0833333333299997</v>
      </c>
      <c r="BX89" s="48">
        <f>+BW89+AV89</f>
        <v>4.1666666666600012</v>
      </c>
      <c r="BY89" s="48">
        <f>+BX89+AW89</f>
        <v>6.2499999999900009</v>
      </c>
      <c r="BZ89" s="48">
        <f>AX89</f>
        <v>2.0833333333299997</v>
      </c>
      <c r="CA89" s="48">
        <f>+BZ89+AY89</f>
        <v>4.1666666666599994</v>
      </c>
      <c r="CB89" s="48">
        <f>+CA89+AZ89</f>
        <v>6.2499999999899991</v>
      </c>
      <c r="CC89" s="48">
        <f>BA89</f>
        <v>1.25</v>
      </c>
      <c r="CD89" s="48">
        <f>+CC89+BB89</f>
        <v>2.5</v>
      </c>
      <c r="CE89" s="48">
        <f>+CD89+BC89</f>
        <v>3.75</v>
      </c>
      <c r="CF89" s="48">
        <f>BD89</f>
        <v>1.25</v>
      </c>
      <c r="CG89" s="48">
        <f>+CF89+BE89</f>
        <v>2.5</v>
      </c>
      <c r="CH89" s="48">
        <f>+CG89+BF89</f>
        <v>3.75</v>
      </c>
      <c r="CI89" s="48">
        <f>BG89</f>
        <v>1.25</v>
      </c>
      <c r="CJ89" s="48">
        <f>+CI89+BH89</f>
        <v>2.5</v>
      </c>
      <c r="CK89" s="48">
        <f>+CJ89+BI89</f>
        <v>3.75</v>
      </c>
      <c r="CL89" s="48">
        <f>BJ89</f>
        <v>1.25</v>
      </c>
      <c r="CM89" s="48">
        <f>+CL89+BK89</f>
        <v>2.5</v>
      </c>
      <c r="CN89" s="48">
        <f>+CM89+BL89</f>
        <v>3.75</v>
      </c>
      <c r="CO89" s="406"/>
      <c r="CP89" s="40">
        <f>AL89</f>
        <v>0.42000000000000037</v>
      </c>
      <c r="CQ89" s="40">
        <f t="shared" si="553"/>
        <v>0.8400000000000003</v>
      </c>
      <c r="CR89" s="40">
        <f t="shared" si="553"/>
        <v>1.2600000000000002</v>
      </c>
      <c r="CS89" s="40">
        <f t="shared" si="553"/>
        <v>3.3433333333300004</v>
      </c>
      <c r="CT89" s="40">
        <f t="shared" si="553"/>
        <v>5.426666666660001</v>
      </c>
      <c r="CU89" s="40">
        <f t="shared" si="553"/>
        <v>7.5099999999900016</v>
      </c>
      <c r="CV89" s="40">
        <f t="shared" si="553"/>
        <v>9.5933333333200004</v>
      </c>
      <c r="CW89" s="40">
        <f t="shared" si="553"/>
        <v>11.67666666665</v>
      </c>
      <c r="CX89" s="40">
        <f t="shared" si="553"/>
        <v>13.75999999998</v>
      </c>
      <c r="CY89" s="40">
        <f t="shared" si="553"/>
        <v>15.843333333309999</v>
      </c>
      <c r="CZ89" s="40">
        <f t="shared" si="553"/>
        <v>17.926666666640003</v>
      </c>
      <c r="DA89" s="40">
        <f t="shared" si="553"/>
        <v>20.009999999970002</v>
      </c>
      <c r="DB89" s="40">
        <f>AX89</f>
        <v>2.0833333333299997</v>
      </c>
      <c r="DC89" s="40">
        <f t="shared" ref="DC89:DM89" si="559">DB89+AY89</f>
        <v>4.1666666666599994</v>
      </c>
      <c r="DD89" s="40">
        <f t="shared" si="559"/>
        <v>6.2499999999899991</v>
      </c>
      <c r="DE89" s="40">
        <f t="shared" si="559"/>
        <v>7.4999999999899991</v>
      </c>
      <c r="DF89" s="40">
        <f t="shared" si="559"/>
        <v>8.7499999999899991</v>
      </c>
      <c r="DG89" s="40">
        <f t="shared" si="559"/>
        <v>9.9999999999899991</v>
      </c>
      <c r="DH89" s="40">
        <f t="shared" si="559"/>
        <v>11.249999999989999</v>
      </c>
      <c r="DI89" s="40">
        <f t="shared" si="559"/>
        <v>12.499999999989999</v>
      </c>
      <c r="DJ89" s="40">
        <f t="shared" si="559"/>
        <v>13.749999999989999</v>
      </c>
      <c r="DK89" s="40">
        <f t="shared" si="559"/>
        <v>14.999999999989999</v>
      </c>
      <c r="DL89" s="40">
        <f t="shared" si="559"/>
        <v>16.249999999989999</v>
      </c>
      <c r="DM89" s="40">
        <f t="shared" si="559"/>
        <v>17.499999999989999</v>
      </c>
      <c r="DN89" s="40">
        <f>BJ89</f>
        <v>1.25</v>
      </c>
      <c r="DO89" s="40">
        <f>DN89+BK89</f>
        <v>2.5</v>
      </c>
      <c r="DP89" s="40">
        <f>DO89+BL89</f>
        <v>3.75</v>
      </c>
      <c r="DQ89" s="40"/>
      <c r="DR89" s="40"/>
      <c r="DS89" s="40"/>
      <c r="DT89" s="40"/>
      <c r="DU89" s="40"/>
      <c r="DV89" s="40"/>
      <c r="DW89" s="40"/>
      <c r="DX89" s="40"/>
      <c r="DY89" s="40"/>
      <c r="EA89" s="59">
        <f t="shared" si="443"/>
        <v>20.009999999970002</v>
      </c>
      <c r="EB89" s="59">
        <f>IF(I67&gt;6/30/10,DM89,"")</f>
        <v>17.499999999989999</v>
      </c>
      <c r="EC89" s="59"/>
      <c r="ED89" s="429"/>
      <c r="EE89" s="40">
        <f>HLOOKUP($I$1,Month,ROW()-1)</f>
        <v>1.25</v>
      </c>
      <c r="EF89" s="40">
        <f>HLOOKUP($I$1,Qtr,ROW()-1)</f>
        <v>2.5</v>
      </c>
      <c r="EG89" s="40">
        <f>HLOOKUP($EJ$4,Budget,ROW()-1)</f>
        <v>17.499999999989999</v>
      </c>
      <c r="EH89" s="54"/>
      <c r="EI89" s="54"/>
      <c r="EJ89" s="54"/>
      <c r="EK89" s="675"/>
      <c r="EL89" s="53"/>
      <c r="EM89" s="53"/>
      <c r="EN89" s="53"/>
      <c r="EO89" s="49"/>
      <c r="EP89" s="49"/>
      <c r="EQ89" s="49"/>
    </row>
    <row r="90" spans="1:162">
      <c r="A90" s="6" t="s">
        <v>23</v>
      </c>
      <c r="B90" s="101" t="s">
        <v>144</v>
      </c>
      <c r="G90" s="43"/>
      <c r="H90" s="28"/>
      <c r="I90" s="29"/>
      <c r="J90" s="102">
        <f>J84/$DA$18</f>
        <v>0</v>
      </c>
      <c r="K90" s="102">
        <f t="shared" ref="K90:U90" si="560">K84/$DA$18</f>
        <v>0</v>
      </c>
      <c r="L90" s="102">
        <f t="shared" si="560"/>
        <v>0.33333333333333331</v>
      </c>
      <c r="M90" s="102">
        <f t="shared" si="560"/>
        <v>0.33333333333333331</v>
      </c>
      <c r="N90" s="102">
        <f t="shared" si="560"/>
        <v>0.33333333333333331</v>
      </c>
      <c r="O90" s="102">
        <f t="shared" si="560"/>
        <v>0.33333333333333331</v>
      </c>
      <c r="P90" s="102">
        <f t="shared" si="560"/>
        <v>0.66666666666666663</v>
      </c>
      <c r="Q90" s="102">
        <f t="shared" si="560"/>
        <v>0.66666666666666663</v>
      </c>
      <c r="R90" s="102">
        <f t="shared" si="560"/>
        <v>0.66666666666666663</v>
      </c>
      <c r="S90" s="102">
        <f t="shared" si="560"/>
        <v>0.66666666666666663</v>
      </c>
      <c r="T90" s="102">
        <f t="shared" si="560"/>
        <v>1</v>
      </c>
      <c r="U90" s="102">
        <f t="shared" si="560"/>
        <v>1</v>
      </c>
      <c r="V90" s="102">
        <f>V84/$DK$18</f>
        <v>0</v>
      </c>
      <c r="W90" s="102">
        <f>W84/$DK$18</f>
        <v>0.5</v>
      </c>
      <c r="X90" s="102">
        <f>X84/$AG$18</f>
        <v>0.33333333333333331</v>
      </c>
      <c r="Y90" s="102">
        <f t="shared" ref="Y90:AH90" si="561">Y84/$AG$18</f>
        <v>0.33333333333333331</v>
      </c>
      <c r="Z90" s="102">
        <f t="shared" si="561"/>
        <v>0.33333333333333331</v>
      </c>
      <c r="AA90" s="102">
        <f t="shared" si="561"/>
        <v>0.33333333333333331</v>
      </c>
      <c r="AB90" s="102">
        <f t="shared" si="561"/>
        <v>0.66666666666666663</v>
      </c>
      <c r="AC90" s="102">
        <f t="shared" si="561"/>
        <v>0.66666666666666663</v>
      </c>
      <c r="AD90" s="102">
        <f t="shared" si="561"/>
        <v>0.66666666666666663</v>
      </c>
      <c r="AE90" s="102">
        <f t="shared" si="561"/>
        <v>0.66666666666666663</v>
      </c>
      <c r="AF90" s="102">
        <f t="shared" si="561"/>
        <v>1</v>
      </c>
      <c r="AG90" s="102">
        <f t="shared" si="561"/>
        <v>1</v>
      </c>
      <c r="AH90" s="102">
        <f t="shared" si="561"/>
        <v>0</v>
      </c>
      <c r="AI90" s="102">
        <f>AI84/$DK$18</f>
        <v>0</v>
      </c>
      <c r="AJ90" s="102">
        <f>AJ84/$DK$18</f>
        <v>0</v>
      </c>
      <c r="AK90" s="411"/>
      <c r="AL90" s="99">
        <f t="shared" si="551"/>
        <v>0</v>
      </c>
      <c r="AM90" s="99">
        <f t="shared" si="551"/>
        <v>0</v>
      </c>
      <c r="AN90" s="99">
        <f t="shared" si="551"/>
        <v>0.33333333333333331</v>
      </c>
      <c r="AO90" s="99">
        <f t="shared" si="551"/>
        <v>0.33333333333333331</v>
      </c>
      <c r="AP90" s="99">
        <f t="shared" si="551"/>
        <v>0.33333333333333331</v>
      </c>
      <c r="AQ90" s="99">
        <f t="shared" si="551"/>
        <v>0.33333333333333331</v>
      </c>
      <c r="AR90" s="99">
        <f t="shared" si="551"/>
        <v>0.66666666666666663</v>
      </c>
      <c r="AS90" s="99">
        <f t="shared" si="551"/>
        <v>0.66666666666666663</v>
      </c>
      <c r="AT90" s="99">
        <f t="shared" si="551"/>
        <v>0.66666666666666663</v>
      </c>
      <c r="AU90" s="99">
        <f t="shared" si="551"/>
        <v>0.66666666666666663</v>
      </c>
      <c r="AV90" s="99">
        <f t="shared" si="552"/>
        <v>1</v>
      </c>
      <c r="AW90" s="99">
        <f t="shared" si="552"/>
        <v>1</v>
      </c>
      <c r="AX90" s="99">
        <f t="shared" si="552"/>
        <v>0</v>
      </c>
      <c r="AY90" s="99">
        <f t="shared" si="552"/>
        <v>0.5</v>
      </c>
      <c r="AZ90" s="99">
        <f t="shared" si="552"/>
        <v>0.33333333333333331</v>
      </c>
      <c r="BA90" s="99">
        <f t="shared" si="552"/>
        <v>0.33333333333333331</v>
      </c>
      <c r="BB90" s="99">
        <f t="shared" si="552"/>
        <v>0.33333333333333331</v>
      </c>
      <c r="BC90" s="99">
        <f t="shared" si="552"/>
        <v>0.33333333333333331</v>
      </c>
      <c r="BD90" s="99">
        <f t="shared" si="552"/>
        <v>0.66666666666666663</v>
      </c>
      <c r="BE90" s="99">
        <f t="shared" si="552"/>
        <v>0.66666666666666663</v>
      </c>
      <c r="BF90" s="99">
        <f t="shared" si="558"/>
        <v>0.66666666666666663</v>
      </c>
      <c r="BG90" s="99">
        <f t="shared" si="558"/>
        <v>0.66666666666666663</v>
      </c>
      <c r="BH90" s="99">
        <f t="shared" si="558"/>
        <v>1</v>
      </c>
      <c r="BI90" s="99">
        <f t="shared" si="558"/>
        <v>1</v>
      </c>
      <c r="BJ90" s="99">
        <f t="shared" si="558"/>
        <v>0</v>
      </c>
      <c r="BK90" s="99">
        <f t="shared" si="558"/>
        <v>0</v>
      </c>
      <c r="BL90" s="99">
        <f t="shared" si="558"/>
        <v>0</v>
      </c>
      <c r="BM90" s="411"/>
      <c r="BN90" s="99">
        <f>AL90</f>
        <v>0</v>
      </c>
      <c r="BO90" s="99">
        <f>AM90</f>
        <v>0</v>
      </c>
      <c r="BP90" s="99">
        <f>AN90</f>
        <v>0.33333333333333331</v>
      </c>
      <c r="BQ90" s="99">
        <f>AO90</f>
        <v>0.33333333333333331</v>
      </c>
      <c r="BR90" s="99">
        <f>AP90</f>
        <v>0.33333333333333331</v>
      </c>
      <c r="BS90" s="99">
        <f>AQ90</f>
        <v>0.33333333333333331</v>
      </c>
      <c r="BT90" s="99">
        <f>AR90</f>
        <v>0.66666666666666663</v>
      </c>
      <c r="BU90" s="99">
        <f>AS90</f>
        <v>0.66666666666666663</v>
      </c>
      <c r="BV90" s="99">
        <f>AT90</f>
        <v>0.66666666666666663</v>
      </c>
      <c r="BW90" s="99">
        <f>AU90</f>
        <v>0.66666666666666663</v>
      </c>
      <c r="BX90" s="99">
        <f>AV90</f>
        <v>1</v>
      </c>
      <c r="BY90" s="99">
        <f>AW90</f>
        <v>1</v>
      </c>
      <c r="BZ90" s="99">
        <f>AX90</f>
        <v>0</v>
      </c>
      <c r="CA90" s="99">
        <f>AY90</f>
        <v>0.5</v>
      </c>
      <c r="CB90" s="99">
        <f>AZ90</f>
        <v>0.33333333333333331</v>
      </c>
      <c r="CC90" s="99">
        <f>BA90</f>
        <v>0.33333333333333331</v>
      </c>
      <c r="CD90" s="99">
        <f>BB90</f>
        <v>0.33333333333333331</v>
      </c>
      <c r="CE90" s="99">
        <f>BC90</f>
        <v>0.33333333333333331</v>
      </c>
      <c r="CF90" s="99">
        <f>BD90</f>
        <v>0.66666666666666663</v>
      </c>
      <c r="CG90" s="99">
        <f>BE90</f>
        <v>0.66666666666666663</v>
      </c>
      <c r="CH90" s="99">
        <f>BF90</f>
        <v>0.66666666666666663</v>
      </c>
      <c r="CI90" s="99">
        <f>BG90</f>
        <v>0.66666666666666663</v>
      </c>
      <c r="CJ90" s="99">
        <f>BH90</f>
        <v>1</v>
      </c>
      <c r="CK90" s="99">
        <f>BI90</f>
        <v>1</v>
      </c>
      <c r="CL90" s="99">
        <f>BJ90</f>
        <v>0</v>
      </c>
      <c r="CM90" s="99">
        <f>BK90</f>
        <v>0</v>
      </c>
      <c r="CN90" s="99">
        <f>BL90</f>
        <v>0</v>
      </c>
      <c r="CO90" s="423"/>
      <c r="CP90" s="99">
        <f t="shared" ref="CP90:DP90" si="562">BN90</f>
        <v>0</v>
      </c>
      <c r="CQ90" s="99">
        <f t="shared" si="562"/>
        <v>0</v>
      </c>
      <c r="CR90" s="99">
        <f t="shared" si="562"/>
        <v>0.33333333333333331</v>
      </c>
      <c r="CS90" s="99">
        <f t="shared" si="562"/>
        <v>0.33333333333333331</v>
      </c>
      <c r="CT90" s="99">
        <f t="shared" si="562"/>
        <v>0.33333333333333331</v>
      </c>
      <c r="CU90" s="99">
        <f t="shared" si="562"/>
        <v>0.33333333333333331</v>
      </c>
      <c r="CV90" s="99">
        <f t="shared" si="562"/>
        <v>0.66666666666666663</v>
      </c>
      <c r="CW90" s="99">
        <f t="shared" si="562"/>
        <v>0.66666666666666663</v>
      </c>
      <c r="CX90" s="99">
        <f t="shared" si="562"/>
        <v>0.66666666666666663</v>
      </c>
      <c r="CY90" s="99">
        <f t="shared" si="562"/>
        <v>0.66666666666666663</v>
      </c>
      <c r="CZ90" s="99">
        <f t="shared" si="562"/>
        <v>1</v>
      </c>
      <c r="DA90" s="99">
        <f t="shared" si="562"/>
        <v>1</v>
      </c>
      <c r="DB90" s="99">
        <f t="shared" si="562"/>
        <v>0</v>
      </c>
      <c r="DC90" s="99">
        <f t="shared" si="562"/>
        <v>0.5</v>
      </c>
      <c r="DD90" s="99">
        <f t="shared" si="562"/>
        <v>0.33333333333333331</v>
      </c>
      <c r="DE90" s="99">
        <f t="shared" si="562"/>
        <v>0.33333333333333331</v>
      </c>
      <c r="DF90" s="99">
        <f t="shared" si="562"/>
        <v>0.33333333333333331</v>
      </c>
      <c r="DG90" s="99">
        <f t="shared" si="562"/>
        <v>0.33333333333333331</v>
      </c>
      <c r="DH90" s="99">
        <f t="shared" si="562"/>
        <v>0.66666666666666663</v>
      </c>
      <c r="DI90" s="99">
        <f t="shared" si="562"/>
        <v>0.66666666666666663</v>
      </c>
      <c r="DJ90" s="99">
        <f t="shared" si="562"/>
        <v>0.66666666666666663</v>
      </c>
      <c r="DK90" s="99">
        <f t="shared" si="562"/>
        <v>0.66666666666666663</v>
      </c>
      <c r="DL90" s="99">
        <f t="shared" si="562"/>
        <v>1</v>
      </c>
      <c r="DM90" s="99">
        <f t="shared" si="562"/>
        <v>1</v>
      </c>
      <c r="DN90" s="99">
        <f t="shared" si="562"/>
        <v>0</v>
      </c>
      <c r="DO90" s="99">
        <f t="shared" si="562"/>
        <v>0</v>
      </c>
      <c r="DP90" s="99">
        <f t="shared" si="562"/>
        <v>0</v>
      </c>
      <c r="DQ90" s="99"/>
      <c r="DR90" s="99"/>
      <c r="DS90" s="99"/>
      <c r="DT90" s="99"/>
      <c r="DU90" s="99"/>
      <c r="DV90" s="99"/>
      <c r="DW90" s="99"/>
      <c r="DX90" s="99"/>
      <c r="DY90" s="99"/>
      <c r="EA90" s="40" t="str">
        <f>HLOOKUP($I$1,Month,19)</f>
        <v>N/A</v>
      </c>
      <c r="EB90" s="40" t="str">
        <f>HLOOKUP($I$1,Qtr,19)</f>
        <v>N/A</v>
      </c>
      <c r="EC90" s="40"/>
      <c r="ED90" s="429"/>
      <c r="EE90" s="99">
        <f>HLOOKUP($I$1,Month,ROW()-1)</f>
        <v>0</v>
      </c>
      <c r="EF90" s="99">
        <f>HLOOKUP($I$1,Qtr,ROW()-1)</f>
        <v>0</v>
      </c>
      <c r="EG90" s="127">
        <v>1</v>
      </c>
      <c r="EH90" s="54"/>
      <c r="EI90" s="54"/>
      <c r="EJ90" s="54"/>
      <c r="EK90" s="675"/>
      <c r="EL90" s="136"/>
      <c r="EM90" s="136"/>
      <c r="EN90" s="136"/>
      <c r="EO90" s="49"/>
      <c r="EP90" s="49"/>
      <c r="EQ90" s="49"/>
    </row>
    <row r="91" spans="1:162">
      <c r="A91" s="6" t="s">
        <v>23</v>
      </c>
      <c r="B91" s="2" t="s">
        <v>98</v>
      </c>
      <c r="G91" s="41" t="s">
        <v>92</v>
      </c>
      <c r="H91" s="28"/>
      <c r="I91" s="29"/>
      <c r="J91" s="32">
        <f>J77*J78</f>
        <v>1.0449999999999999</v>
      </c>
      <c r="K91" s="32">
        <f t="shared" ref="K91:AJ91" si="563">K77*K78</f>
        <v>1.0449999999999999</v>
      </c>
      <c r="L91" s="32">
        <f t="shared" si="563"/>
        <v>1.0449999999999999</v>
      </c>
      <c r="M91" s="32">
        <f t="shared" si="563"/>
        <v>1.0449999999999999</v>
      </c>
      <c r="N91" s="32">
        <f t="shared" si="563"/>
        <v>1.0449999999999999</v>
      </c>
      <c r="O91" s="32">
        <f t="shared" si="563"/>
        <v>1.0449999999999999</v>
      </c>
      <c r="P91" s="32">
        <f t="shared" si="563"/>
        <v>1.0449999999999999</v>
      </c>
      <c r="Q91" s="32">
        <f t="shared" si="563"/>
        <v>1.0449999999999999</v>
      </c>
      <c r="R91" s="32">
        <f t="shared" si="563"/>
        <v>1.0449999999999999</v>
      </c>
      <c r="S91" s="32">
        <f t="shared" si="563"/>
        <v>1.0449999999999999</v>
      </c>
      <c r="T91" s="32">
        <f t="shared" si="563"/>
        <v>1.0449999999999999</v>
      </c>
      <c r="U91" s="32">
        <f t="shared" si="563"/>
        <v>1.0449999999999999</v>
      </c>
      <c r="V91" s="32">
        <f t="shared" si="563"/>
        <v>1.3299999999999998</v>
      </c>
      <c r="W91" s="32">
        <f t="shared" si="563"/>
        <v>2.6599999999999997</v>
      </c>
      <c r="X91" s="32">
        <f t="shared" si="563"/>
        <v>3.9899999999999993</v>
      </c>
      <c r="Y91" s="32">
        <f t="shared" si="563"/>
        <v>5.3199999999999994</v>
      </c>
      <c r="Z91" s="32">
        <f t="shared" si="563"/>
        <v>6.6499999999999995</v>
      </c>
      <c r="AA91" s="32">
        <f t="shared" si="563"/>
        <v>7.9799999999999995</v>
      </c>
      <c r="AB91" s="32">
        <f t="shared" si="563"/>
        <v>9.31</v>
      </c>
      <c r="AC91" s="32">
        <f t="shared" si="563"/>
        <v>10.64</v>
      </c>
      <c r="AD91" s="32">
        <f t="shared" si="563"/>
        <v>11.97</v>
      </c>
      <c r="AE91" s="32">
        <f t="shared" si="563"/>
        <v>13.3</v>
      </c>
      <c r="AF91" s="32">
        <f t="shared" si="563"/>
        <v>14.63</v>
      </c>
      <c r="AG91" s="32">
        <f t="shared" si="563"/>
        <v>15.959999999999999</v>
      </c>
      <c r="AH91" s="32">
        <f t="shared" si="563"/>
        <v>0</v>
      </c>
      <c r="AI91" s="32">
        <f t="shared" si="563"/>
        <v>0</v>
      </c>
      <c r="AJ91" s="32">
        <f t="shared" si="563"/>
        <v>0</v>
      </c>
      <c r="AK91" s="408"/>
      <c r="AL91" s="56">
        <f>AL77*AL78</f>
        <v>1.0449999999999999</v>
      </c>
      <c r="AM91" s="56">
        <f>AM77*AM78</f>
        <v>1.0449999999999999</v>
      </c>
      <c r="AN91" s="56">
        <f>AN77*AN78</f>
        <v>1.0449999999999999</v>
      </c>
      <c r="AO91" s="56">
        <f>AO77*AO78</f>
        <v>1.0449999999999999</v>
      </c>
      <c r="AP91" s="56">
        <f t="shared" ref="AP91:BL91" si="564">AP77*AP78</f>
        <v>1.0449999999999999</v>
      </c>
      <c r="AQ91" s="56">
        <f t="shared" si="564"/>
        <v>1.0449999999999999</v>
      </c>
      <c r="AR91" s="56">
        <f t="shared" si="564"/>
        <v>1.0449999999999999</v>
      </c>
      <c r="AS91" s="56">
        <f t="shared" si="564"/>
        <v>1.0449999999999999</v>
      </c>
      <c r="AT91" s="56">
        <f t="shared" si="564"/>
        <v>1.0449999999999999</v>
      </c>
      <c r="AU91" s="56">
        <f t="shared" si="564"/>
        <v>1.0449999999999999</v>
      </c>
      <c r="AV91" s="56">
        <f t="shared" si="564"/>
        <v>1.0449999999999999</v>
      </c>
      <c r="AW91" s="56">
        <f t="shared" si="564"/>
        <v>1.0449999999999999</v>
      </c>
      <c r="AX91" s="56">
        <f t="shared" si="564"/>
        <v>1.3299999999999998</v>
      </c>
      <c r="AY91" s="56">
        <f t="shared" si="564"/>
        <v>1.3299999999999998</v>
      </c>
      <c r="AZ91" s="56">
        <f t="shared" si="564"/>
        <v>1.3299999999999994</v>
      </c>
      <c r="BA91" s="56">
        <f t="shared" si="564"/>
        <v>1.3300000000000003</v>
      </c>
      <c r="BB91" s="56">
        <f t="shared" si="564"/>
        <v>1.3300000000000003</v>
      </c>
      <c r="BC91" s="56">
        <f t="shared" si="564"/>
        <v>1.3300000000000003</v>
      </c>
      <c r="BD91" s="56">
        <f t="shared" si="564"/>
        <v>1.3300000000000003</v>
      </c>
      <c r="BE91" s="56">
        <f t="shared" si="564"/>
        <v>1.3300000000000003</v>
      </c>
      <c r="BF91" s="56">
        <f t="shared" si="564"/>
        <v>1.3300000000000003</v>
      </c>
      <c r="BG91" s="56">
        <f t="shared" si="564"/>
        <v>1.3300000000000003</v>
      </c>
      <c r="BH91" s="56">
        <f t="shared" si="564"/>
        <v>1.3300000000000003</v>
      </c>
      <c r="BI91" s="56">
        <f t="shared" si="564"/>
        <v>1.3299999999999985</v>
      </c>
      <c r="BJ91" s="56">
        <f t="shared" si="564"/>
        <v>0</v>
      </c>
      <c r="BK91" s="56">
        <f t="shared" si="564"/>
        <v>0</v>
      </c>
      <c r="BL91" s="56">
        <f t="shared" si="564"/>
        <v>0</v>
      </c>
      <c r="BM91" s="408"/>
      <c r="BN91" s="56">
        <f>+AL91</f>
        <v>1.0449999999999999</v>
      </c>
      <c r="BO91" s="56">
        <f>+BN91+AM91</f>
        <v>2.09</v>
      </c>
      <c r="BP91" s="56">
        <f>+BO91+AN91</f>
        <v>3.1349999999999998</v>
      </c>
      <c r="BQ91" s="56">
        <f>M91</f>
        <v>1.0449999999999999</v>
      </c>
      <c r="BR91" s="56">
        <f>+BQ91+AP91</f>
        <v>2.09</v>
      </c>
      <c r="BS91" s="56">
        <f>+BR91+AQ91</f>
        <v>3.1349999999999998</v>
      </c>
      <c r="BT91" s="56">
        <f>P91</f>
        <v>1.0449999999999999</v>
      </c>
      <c r="BU91" s="56">
        <f>+BT91+AS91</f>
        <v>2.09</v>
      </c>
      <c r="BV91" s="56">
        <f>+BU91+AT91</f>
        <v>3.1349999999999998</v>
      </c>
      <c r="BW91" s="56">
        <f>S91</f>
        <v>1.0449999999999999</v>
      </c>
      <c r="BX91" s="56">
        <f>+BW91+AV91</f>
        <v>2.09</v>
      </c>
      <c r="BY91" s="56">
        <f>+BX91+AW91</f>
        <v>3.1349999999999998</v>
      </c>
      <c r="BZ91" s="56">
        <f>V91</f>
        <v>1.3299999999999998</v>
      </c>
      <c r="CA91" s="56">
        <f>+BZ91+AY91</f>
        <v>2.6599999999999997</v>
      </c>
      <c r="CB91" s="56">
        <f>+CA91+AZ91</f>
        <v>3.9899999999999993</v>
      </c>
      <c r="CC91" s="56">
        <f>Y91</f>
        <v>5.3199999999999994</v>
      </c>
      <c r="CD91" s="56">
        <f>+CC91+BB91</f>
        <v>6.6499999999999995</v>
      </c>
      <c r="CE91" s="56">
        <f>+CD91+BC91</f>
        <v>7.9799999999999995</v>
      </c>
      <c r="CF91" s="56">
        <f>AB91</f>
        <v>9.31</v>
      </c>
      <c r="CG91" s="56">
        <f>+CF91+BE91</f>
        <v>10.64</v>
      </c>
      <c r="CH91" s="56">
        <f>+CG91+BF91</f>
        <v>11.97</v>
      </c>
      <c r="CI91" s="56">
        <f>AE91</f>
        <v>13.3</v>
      </c>
      <c r="CJ91" s="56">
        <f>+CI91+BH91</f>
        <v>14.63</v>
      </c>
      <c r="CK91" s="56">
        <f>+CJ91+BI91</f>
        <v>15.959999999999999</v>
      </c>
      <c r="CL91" s="56">
        <f>AH91</f>
        <v>0</v>
      </c>
      <c r="CM91" s="56">
        <f>+CL91+BK91</f>
        <v>0</v>
      </c>
      <c r="CN91" s="56">
        <f>+CM91+BL91</f>
        <v>0</v>
      </c>
      <c r="CO91" s="406"/>
      <c r="CP91" s="60">
        <f>J91</f>
        <v>1.0449999999999999</v>
      </c>
      <c r="CQ91" s="60">
        <f t="shared" ref="CQ91:DA91" si="565">CP91+K91</f>
        <v>2.09</v>
      </c>
      <c r="CR91" s="60">
        <f t="shared" si="565"/>
        <v>3.1349999999999998</v>
      </c>
      <c r="CS91" s="60">
        <f t="shared" si="565"/>
        <v>4.18</v>
      </c>
      <c r="CT91" s="60">
        <f t="shared" si="565"/>
        <v>5.2249999999999996</v>
      </c>
      <c r="CU91" s="60">
        <f t="shared" si="565"/>
        <v>6.27</v>
      </c>
      <c r="CV91" s="60">
        <f t="shared" si="565"/>
        <v>7.3149999999999995</v>
      </c>
      <c r="CW91" s="60">
        <f t="shared" si="565"/>
        <v>8.36</v>
      </c>
      <c r="CX91" s="60">
        <f t="shared" si="565"/>
        <v>9.4049999999999994</v>
      </c>
      <c r="CY91" s="60">
        <f t="shared" si="565"/>
        <v>10.45</v>
      </c>
      <c r="CZ91" s="60">
        <f t="shared" si="565"/>
        <v>11.494999999999999</v>
      </c>
      <c r="DA91" s="60">
        <f t="shared" si="565"/>
        <v>12.54</v>
      </c>
      <c r="DB91" s="60">
        <f>V91</f>
        <v>1.3299999999999998</v>
      </c>
      <c r="DC91" s="60">
        <f t="shared" ref="DC91:DM91" si="566">DB91+W91</f>
        <v>3.9899999999999993</v>
      </c>
      <c r="DD91" s="60">
        <f t="shared" si="566"/>
        <v>7.9799999999999986</v>
      </c>
      <c r="DE91" s="60">
        <f t="shared" si="566"/>
        <v>13.299999999999997</v>
      </c>
      <c r="DF91" s="60">
        <f t="shared" si="566"/>
        <v>19.949999999999996</v>
      </c>
      <c r="DG91" s="60">
        <f t="shared" si="566"/>
        <v>27.929999999999996</v>
      </c>
      <c r="DH91" s="60">
        <f t="shared" si="566"/>
        <v>37.239999999999995</v>
      </c>
      <c r="DI91" s="60">
        <f t="shared" si="566"/>
        <v>47.879999999999995</v>
      </c>
      <c r="DJ91" s="60">
        <f t="shared" si="566"/>
        <v>59.849999999999994</v>
      </c>
      <c r="DK91" s="60">
        <f t="shared" si="566"/>
        <v>73.149999999999991</v>
      </c>
      <c r="DL91" s="60">
        <f t="shared" si="566"/>
        <v>87.779999999999987</v>
      </c>
      <c r="DM91" s="60">
        <f t="shared" si="566"/>
        <v>103.73999999999998</v>
      </c>
      <c r="DN91" s="60">
        <f>AH91</f>
        <v>0</v>
      </c>
      <c r="DO91" s="60">
        <f>DN91+AI91</f>
        <v>0</v>
      </c>
      <c r="DP91" s="60">
        <f>DO91+AJ91</f>
        <v>0</v>
      </c>
      <c r="DQ91" s="60"/>
      <c r="DR91" s="60"/>
      <c r="DS91" s="60"/>
      <c r="DT91" s="60"/>
      <c r="DU91" s="60"/>
      <c r="DV91" s="60"/>
      <c r="DW91" s="60"/>
      <c r="DX91" s="60"/>
      <c r="DY91" s="60"/>
      <c r="EA91" s="98">
        <v>0.95</v>
      </c>
      <c r="EB91" s="98">
        <v>0.95</v>
      </c>
      <c r="EC91" s="98"/>
      <c r="ED91" s="429"/>
      <c r="EE91" s="61">
        <f>HLOOKUP($I$1,Month,ROW()-1)</f>
        <v>0</v>
      </c>
      <c r="EF91" s="61">
        <f>HLOOKUP($I$1,Qtr,ROW()-1)</f>
        <v>0</v>
      </c>
      <c r="EG91" s="99">
        <f>HLOOKUP($EJ$4,Budget,ROW()-1)</f>
        <v>0.95</v>
      </c>
      <c r="EH91" s="54"/>
      <c r="EK91" s="675"/>
      <c r="EL91" s="136"/>
      <c r="EM91" s="136"/>
      <c r="EN91" s="136"/>
      <c r="EO91" s="49"/>
      <c r="EP91" s="49"/>
      <c r="EQ91" s="49"/>
    </row>
    <row r="92" spans="1:162">
      <c r="A92" s="6" t="s">
        <v>21</v>
      </c>
      <c r="I92" s="1"/>
      <c r="J92" s="1"/>
      <c r="K92" s="42" t="s">
        <v>114</v>
      </c>
      <c r="L92" s="1"/>
      <c r="M92" s="1"/>
      <c r="N92" s="1"/>
      <c r="O92" s="1"/>
      <c r="P92" s="1"/>
      <c r="Q92" s="1"/>
      <c r="R92" s="1"/>
      <c r="S92" s="1"/>
      <c r="T92" s="1"/>
      <c r="U92" s="1"/>
      <c r="V92" s="1"/>
      <c r="W92" s="1"/>
      <c r="X92" s="1"/>
      <c r="Y92" s="1"/>
      <c r="Z92" s="1"/>
      <c r="AA92" s="1"/>
      <c r="AB92" s="1"/>
      <c r="AC92" s="1"/>
      <c r="AD92" s="1"/>
      <c r="AE92" s="1"/>
      <c r="AF92" s="1"/>
      <c r="AG92" s="1"/>
      <c r="AH92" s="1"/>
      <c r="AI92" s="1"/>
      <c r="AJ92" s="1"/>
      <c r="AK92" s="406"/>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406"/>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406"/>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245"/>
      <c r="DR92" s="245"/>
      <c r="DS92" s="245"/>
      <c r="DT92" s="245"/>
      <c r="DU92" s="245"/>
      <c r="DV92" s="245"/>
      <c r="DW92" s="245"/>
      <c r="DX92" s="245"/>
      <c r="DY92" s="245"/>
      <c r="ED92" s="429"/>
      <c r="EE92" s="23"/>
      <c r="EF92" s="23"/>
      <c r="EG92" s="23"/>
      <c r="EH92" s="23"/>
      <c r="EK92" s="23"/>
    </row>
    <row r="93" spans="1:162" s="291" customFormat="1" ht="12.75" customHeight="1">
      <c r="A93" s="290" t="s">
        <v>22</v>
      </c>
      <c r="B93" s="291" t="s">
        <v>0</v>
      </c>
      <c r="C93" s="292" t="s">
        <v>54</v>
      </c>
      <c r="D93" s="292"/>
      <c r="E93" s="292" t="s">
        <v>16</v>
      </c>
      <c r="F93" s="292"/>
      <c r="G93" s="293" t="s">
        <v>91</v>
      </c>
      <c r="H93" s="292"/>
      <c r="I93" s="237">
        <v>83</v>
      </c>
      <c r="J93" s="237">
        <v>93</v>
      </c>
      <c r="K93" s="237">
        <v>103</v>
      </c>
      <c r="L93" s="237">
        <v>108</v>
      </c>
      <c r="M93" s="294">
        <v>28</v>
      </c>
      <c r="N93" s="237">
        <v>37</v>
      </c>
      <c r="O93" s="237">
        <v>46</v>
      </c>
      <c r="P93" s="237">
        <v>58</v>
      </c>
      <c r="Q93" s="237">
        <v>78</v>
      </c>
      <c r="R93" s="237">
        <v>93</v>
      </c>
      <c r="S93" s="237">
        <v>109</v>
      </c>
      <c r="T93" s="237">
        <v>124</v>
      </c>
      <c r="U93" s="237">
        <v>137</v>
      </c>
      <c r="V93" s="295">
        <v>151</v>
      </c>
      <c r="W93" s="237">
        <v>166</v>
      </c>
      <c r="X93" s="237">
        <v>181</v>
      </c>
      <c r="Y93" s="336">
        <v>33</v>
      </c>
      <c r="Z93" s="237">
        <v>49</v>
      </c>
      <c r="AA93" s="237">
        <v>55</v>
      </c>
      <c r="AB93" s="237">
        <v>71</v>
      </c>
      <c r="AC93" s="237">
        <v>92</v>
      </c>
      <c r="AD93" s="237">
        <v>116</v>
      </c>
      <c r="AE93" s="237">
        <v>131</v>
      </c>
      <c r="AF93" s="237">
        <v>146</v>
      </c>
      <c r="AG93" s="237">
        <v>156</v>
      </c>
      <c r="AH93" s="237">
        <v>162</v>
      </c>
      <c r="AI93" s="237">
        <v>176</v>
      </c>
      <c r="AJ93" s="237"/>
      <c r="AK93" s="413"/>
      <c r="AL93" s="237">
        <f t="shared" ref="AL93:AM97" si="567">J93-I93</f>
        <v>10</v>
      </c>
      <c r="AM93" s="237">
        <f t="shared" si="567"/>
        <v>10</v>
      </c>
      <c r="AN93" s="237">
        <f t="shared" ref="AN93:AN101" si="568">L93-K93</f>
        <v>5</v>
      </c>
      <c r="AO93" s="237">
        <f>M93</f>
        <v>28</v>
      </c>
      <c r="AP93" s="296">
        <f t="shared" ref="AP93:AP101" si="569">IF(N93&lt;&gt;"",N93-M93,0)</f>
        <v>9</v>
      </c>
      <c r="AQ93" s="296">
        <f t="shared" ref="AQ93:AQ101" si="570">IF(O93&lt;&gt;"",O93-N93,0)</f>
        <v>9</v>
      </c>
      <c r="AR93" s="296">
        <f t="shared" ref="AR93:AR112" si="571">IF(P93&lt;&gt;"",P93-O93,0)</f>
        <v>12</v>
      </c>
      <c r="AS93" s="296">
        <f t="shared" ref="AS93:AS112" si="572">IF(Q93&lt;&gt;"",Q93-P93,0)</f>
        <v>20</v>
      </c>
      <c r="AT93" s="296">
        <f t="shared" ref="AT93:AT112" si="573">IF(R93&lt;&gt;"",R93-Q93,0)</f>
        <v>15</v>
      </c>
      <c r="AU93" s="296">
        <f t="shared" ref="AU93:AU112" si="574">IF(S93&lt;&gt;"",S93-R93,0)</f>
        <v>16</v>
      </c>
      <c r="AV93" s="296">
        <f t="shared" ref="AV93:AV112" si="575">IF(T93&lt;&gt;"",T93-S93,0)</f>
        <v>15</v>
      </c>
      <c r="AW93" s="296">
        <f t="shared" ref="AW93:AW112" si="576">IF(U93&lt;&gt;"",U93-T93,0)</f>
        <v>13</v>
      </c>
      <c r="AX93" s="296">
        <f>IF(V93&lt;&gt;"",V93-U93,0)</f>
        <v>14</v>
      </c>
      <c r="AY93" s="296">
        <f t="shared" ref="AY93:AY112" si="577">IF(W93&lt;&gt;"",W93-V93,0)</f>
        <v>15</v>
      </c>
      <c r="AZ93" s="296">
        <f t="shared" ref="AZ93:AZ112" si="578">IF(X93&lt;&gt;"",X93-W93,0)</f>
        <v>15</v>
      </c>
      <c r="BA93" s="237">
        <f>Y93</f>
        <v>33</v>
      </c>
      <c r="BB93" s="296">
        <f t="shared" ref="BB93:BB109" si="579">IF(Z93&lt;&gt;"",Z93-Y93,0)</f>
        <v>16</v>
      </c>
      <c r="BC93" s="296">
        <f t="shared" ref="BC93:BC109" si="580">IF(AA93&lt;&gt;"",AA93-Z93,0)</f>
        <v>6</v>
      </c>
      <c r="BD93" s="296">
        <f t="shared" ref="BD93:BD109" si="581">IF(AB93&lt;&gt;"",AB93-AA93,0)</f>
        <v>16</v>
      </c>
      <c r="BE93" s="296">
        <f t="shared" ref="BE93:BE109" si="582">IF(AC93&lt;&gt;"",AC93-AB93,0)</f>
        <v>21</v>
      </c>
      <c r="BF93" s="296">
        <f t="shared" ref="BF93:BF109" si="583">IF(AD93&lt;&gt;"",AD93-AC93,0)</f>
        <v>24</v>
      </c>
      <c r="BG93" s="296">
        <f t="shared" ref="BG93:BG109" si="584">IF(AE93&lt;&gt;"",AE93-AD93,0)</f>
        <v>15</v>
      </c>
      <c r="BH93" s="296">
        <f t="shared" ref="BH93:BH109" si="585">IF(AF93&lt;&gt;"",AF93-AE93,0)</f>
        <v>15</v>
      </c>
      <c r="BI93" s="296">
        <f t="shared" ref="BI93:BI109" si="586">IF(AG93&lt;&gt;"",AG93-AF93,0)</f>
        <v>10</v>
      </c>
      <c r="BJ93" s="296">
        <f>IF(AH93&lt;&gt;"",AH93-AG93,0)</f>
        <v>6</v>
      </c>
      <c r="BK93" s="296">
        <f t="shared" ref="BK93:BK109" si="587">IF(AI93&lt;&gt;"",AI93-AH93,0)</f>
        <v>14</v>
      </c>
      <c r="BL93" s="296">
        <f t="shared" ref="BL93:BL109" si="588">IF(AJ93&lt;&gt;"",AJ93-AI93,0)</f>
        <v>0</v>
      </c>
      <c r="BM93" s="413"/>
      <c r="BN93" s="51">
        <f>BP93</f>
        <v>25</v>
      </c>
      <c r="BO93" s="51">
        <f>BP93</f>
        <v>25</v>
      </c>
      <c r="BP93" s="51">
        <f>SUM(AL93:AN93)</f>
        <v>25</v>
      </c>
      <c r="BQ93" s="51">
        <f>BS93</f>
        <v>46</v>
      </c>
      <c r="BR93" s="51">
        <f>BS93</f>
        <v>46</v>
      </c>
      <c r="BS93" s="51">
        <f>SUM(AO93:AQ93)</f>
        <v>46</v>
      </c>
      <c r="BT93" s="51">
        <f>BV93</f>
        <v>47</v>
      </c>
      <c r="BU93" s="51">
        <f>BV93</f>
        <v>47</v>
      </c>
      <c r="BV93" s="51">
        <f>SUM(AR93:AT93)</f>
        <v>47</v>
      </c>
      <c r="BW93" s="51">
        <f>BY93</f>
        <v>44</v>
      </c>
      <c r="BX93" s="51">
        <f>BY93</f>
        <v>44</v>
      </c>
      <c r="BY93" s="51">
        <f>SUM(AU93:AW93)</f>
        <v>44</v>
      </c>
      <c r="BZ93" s="51">
        <f>CB93</f>
        <v>44</v>
      </c>
      <c r="CA93" s="51">
        <f>CB93</f>
        <v>44</v>
      </c>
      <c r="CB93" s="51">
        <f>SUM(AX93:AZ93)</f>
        <v>44</v>
      </c>
      <c r="CC93" s="51">
        <f>CE93</f>
        <v>55</v>
      </c>
      <c r="CD93" s="51">
        <f>CE93</f>
        <v>55</v>
      </c>
      <c r="CE93" s="51">
        <f>SUM(BA93:BC93)</f>
        <v>55</v>
      </c>
      <c r="CF93" s="51">
        <f>CH93</f>
        <v>61</v>
      </c>
      <c r="CG93" s="51">
        <f>CH93</f>
        <v>61</v>
      </c>
      <c r="CH93" s="51">
        <f>SUM(BD93:BF93)</f>
        <v>61</v>
      </c>
      <c r="CI93" s="51">
        <f>CK93</f>
        <v>40</v>
      </c>
      <c r="CJ93" s="51">
        <f>CK93</f>
        <v>40</v>
      </c>
      <c r="CK93" s="51">
        <f>SUM(BG93:BI93)</f>
        <v>40</v>
      </c>
      <c r="CL93" s="51">
        <f>CN93</f>
        <v>20</v>
      </c>
      <c r="CM93" s="51">
        <f>CN93</f>
        <v>20</v>
      </c>
      <c r="CN93" s="51">
        <f>SUM(BJ93:BL93)</f>
        <v>20</v>
      </c>
      <c r="CO93" s="424"/>
      <c r="CP93" s="237">
        <f t="shared" ref="CP93:CR97" si="589">I93+AL93</f>
        <v>93</v>
      </c>
      <c r="CQ93" s="237">
        <f t="shared" si="589"/>
        <v>103</v>
      </c>
      <c r="CR93" s="237">
        <f t="shared" si="589"/>
        <v>108</v>
      </c>
      <c r="CS93" s="237">
        <f>AO93</f>
        <v>28</v>
      </c>
      <c r="CT93" s="237">
        <f t="shared" ref="CT93:DD97" si="590">M93+AP93</f>
        <v>37</v>
      </c>
      <c r="CU93" s="237">
        <f t="shared" si="590"/>
        <v>46</v>
      </c>
      <c r="CV93" s="237">
        <f t="shared" si="590"/>
        <v>58</v>
      </c>
      <c r="CW93" s="237">
        <f t="shared" si="590"/>
        <v>78</v>
      </c>
      <c r="CX93" s="237">
        <f t="shared" si="590"/>
        <v>93</v>
      </c>
      <c r="CY93" s="237">
        <f t="shared" si="590"/>
        <v>109</v>
      </c>
      <c r="CZ93" s="237">
        <f t="shared" si="590"/>
        <v>124</v>
      </c>
      <c r="DA93" s="237">
        <f t="shared" si="590"/>
        <v>137</v>
      </c>
      <c r="DB93" s="237">
        <f t="shared" si="590"/>
        <v>151</v>
      </c>
      <c r="DC93" s="237">
        <f t="shared" si="590"/>
        <v>166</v>
      </c>
      <c r="DD93" s="237">
        <f t="shared" si="590"/>
        <v>181</v>
      </c>
      <c r="DE93" s="237">
        <f>+BA93</f>
        <v>33</v>
      </c>
      <c r="DF93" s="237">
        <f t="shared" ref="DF93:DO97" si="591">Y93+BB93</f>
        <v>49</v>
      </c>
      <c r="DG93" s="237">
        <f t="shared" si="591"/>
        <v>55</v>
      </c>
      <c r="DH93" s="237">
        <f t="shared" si="591"/>
        <v>71</v>
      </c>
      <c r="DI93" s="237">
        <f t="shared" si="591"/>
        <v>92</v>
      </c>
      <c r="DJ93" s="237">
        <f t="shared" si="591"/>
        <v>116</v>
      </c>
      <c r="DK93" s="237">
        <f t="shared" si="591"/>
        <v>131</v>
      </c>
      <c r="DL93" s="237">
        <f t="shared" si="591"/>
        <v>146</v>
      </c>
      <c r="DM93" s="237">
        <f t="shared" si="591"/>
        <v>156</v>
      </c>
      <c r="DN93" s="237">
        <f t="shared" si="591"/>
        <v>162</v>
      </c>
      <c r="DO93" s="237">
        <f t="shared" si="591"/>
        <v>176</v>
      </c>
      <c r="DP93" s="237"/>
      <c r="DQ93" s="237"/>
      <c r="DR93" s="237"/>
      <c r="DS93" s="237"/>
      <c r="DT93" s="237"/>
      <c r="DU93" s="237"/>
      <c r="DV93" s="237"/>
      <c r="DW93" s="237"/>
      <c r="DX93" s="237"/>
      <c r="DY93" s="237"/>
      <c r="ED93" s="432"/>
      <c r="EE93" s="297"/>
      <c r="EF93" s="297"/>
      <c r="EG93" s="297"/>
      <c r="EH93" s="237">
        <f t="shared" ref="EH93:EH110" si="592">HLOOKUP($I$1,Month,ROW()-1)</f>
        <v>14</v>
      </c>
      <c r="EI93" s="237">
        <f t="shared" ref="EI93:EI110" si="593">HLOOKUP($I$1,Qtr,ROW()-1)</f>
        <v>20</v>
      </c>
      <c r="EJ93" s="237">
        <f t="shared" ref="EJ93:EJ115" si="594">HLOOKUP($I$1,YTD,ROW()-1)</f>
        <v>176</v>
      </c>
      <c r="EK93" s="297">
        <f>$EK$1/12</f>
        <v>0.91666666666666663</v>
      </c>
      <c r="EL93" s="291">
        <f t="shared" ref="EL93:EM99" si="595">EH93/EE70</f>
        <v>1.4</v>
      </c>
      <c r="EM93" s="291">
        <f t="shared" si="595"/>
        <v>0.66666666666666663</v>
      </c>
      <c r="EN93" s="291">
        <f>EJ93/EG70</f>
        <v>1.4545454545454546</v>
      </c>
      <c r="EO93" s="298" t="str">
        <f t="shared" ref="EO93:EP99" si="596">IF(EH93&lt;0,,IF(EH93&lt;EE70,"È",IF(EH93=EE70,"Æ","Ç")))</f>
        <v>Ç</v>
      </c>
      <c r="EP93" s="46" t="str">
        <f>IF(EI93&lt;0,,IF(EI93&gt;EF70,"È",IF(EI93=EF70,"Æ","Ç")))</f>
        <v>Ç</v>
      </c>
      <c r="EQ93" s="291">
        <f t="shared" ref="EQ93:EQ108" si="597">IF(EL93&gt;=0.9,1,IF(EL93&lt;0.75,3,2))</f>
        <v>1</v>
      </c>
      <c r="ER93" s="291">
        <f t="shared" ref="ER93:ER108" si="598">IF(EM93&gt;=0.9,1,IF(EM93&lt;0.75,3,2))</f>
        <v>3</v>
      </c>
      <c r="ES93" s="291">
        <f t="shared" ref="ES93:ES108" si="599">IF(EN93&gt;=0.9,1,IF(EN93&lt;0.75,3,2))</f>
        <v>1</v>
      </c>
    </row>
    <row r="94" spans="1:162" ht="12.75" customHeight="1">
      <c r="A94" s="6" t="s">
        <v>22</v>
      </c>
      <c r="B94" s="2" t="s">
        <v>1</v>
      </c>
      <c r="C94" s="3" t="s">
        <v>55</v>
      </c>
      <c r="E94" s="3" t="s">
        <v>16</v>
      </c>
      <c r="G94" s="1" t="s">
        <v>91</v>
      </c>
      <c r="I94" s="18">
        <v>4</v>
      </c>
      <c r="J94" s="19">
        <v>4</v>
      </c>
      <c r="K94" s="19">
        <v>6</v>
      </c>
      <c r="L94" s="19">
        <v>6</v>
      </c>
      <c r="M94" s="20">
        <v>3</v>
      </c>
      <c r="N94" s="19">
        <v>3</v>
      </c>
      <c r="O94" s="19">
        <v>5</v>
      </c>
      <c r="P94" s="19">
        <v>5</v>
      </c>
      <c r="Q94" s="19">
        <v>6</v>
      </c>
      <c r="R94" s="19">
        <v>7</v>
      </c>
      <c r="S94" s="19">
        <v>12</v>
      </c>
      <c r="T94" s="19">
        <v>12</v>
      </c>
      <c r="U94" s="19">
        <v>13</v>
      </c>
      <c r="V94" s="26">
        <v>13</v>
      </c>
      <c r="W94" s="19">
        <v>14</v>
      </c>
      <c r="X94" s="19">
        <v>14</v>
      </c>
      <c r="Y94" s="333">
        <v>4</v>
      </c>
      <c r="Z94" s="19">
        <v>9</v>
      </c>
      <c r="AA94" s="19">
        <v>10</v>
      </c>
      <c r="AB94" s="19">
        <v>11</v>
      </c>
      <c r="AC94" s="19">
        <v>14</v>
      </c>
      <c r="AD94" s="19">
        <v>21</v>
      </c>
      <c r="AE94" s="19">
        <v>23</v>
      </c>
      <c r="AF94" s="19">
        <v>24</v>
      </c>
      <c r="AG94" s="19">
        <v>25</v>
      </c>
      <c r="AH94" s="19">
        <v>26</v>
      </c>
      <c r="AI94" s="19">
        <v>27</v>
      </c>
      <c r="AJ94" s="19"/>
      <c r="AK94" s="408"/>
      <c r="AL94" s="21">
        <f t="shared" si="567"/>
        <v>0</v>
      </c>
      <c r="AM94" s="21">
        <f t="shared" si="567"/>
        <v>2</v>
      </c>
      <c r="AN94" s="21">
        <f t="shared" si="568"/>
        <v>0</v>
      </c>
      <c r="AO94" s="21">
        <f>M94</f>
        <v>3</v>
      </c>
      <c r="AP94" s="129">
        <f t="shared" si="569"/>
        <v>0</v>
      </c>
      <c r="AQ94" s="129">
        <f t="shared" si="570"/>
        <v>2</v>
      </c>
      <c r="AR94" s="129">
        <f t="shared" si="571"/>
        <v>0</v>
      </c>
      <c r="AS94" s="129">
        <f t="shared" si="572"/>
        <v>1</v>
      </c>
      <c r="AT94" s="129">
        <f t="shared" si="573"/>
        <v>1</v>
      </c>
      <c r="AU94" s="129">
        <f t="shared" si="574"/>
        <v>5</v>
      </c>
      <c r="AV94" s="129">
        <f t="shared" si="575"/>
        <v>0</v>
      </c>
      <c r="AW94" s="129">
        <f t="shared" si="576"/>
        <v>1</v>
      </c>
      <c r="AX94" s="129">
        <f>IF(V94&lt;&gt;"",V94-U94,0)</f>
        <v>0</v>
      </c>
      <c r="AY94" s="129">
        <f t="shared" si="577"/>
        <v>1</v>
      </c>
      <c r="AZ94" s="129">
        <f t="shared" si="578"/>
        <v>0</v>
      </c>
      <c r="BA94" s="21">
        <f>Y94</f>
        <v>4</v>
      </c>
      <c r="BB94" s="129">
        <f t="shared" si="579"/>
        <v>5</v>
      </c>
      <c r="BC94" s="129">
        <f t="shared" si="580"/>
        <v>1</v>
      </c>
      <c r="BD94" s="129">
        <f t="shared" si="581"/>
        <v>1</v>
      </c>
      <c r="BE94" s="129">
        <f t="shared" si="582"/>
        <v>3</v>
      </c>
      <c r="BF94" s="129">
        <f t="shared" si="583"/>
        <v>7</v>
      </c>
      <c r="BG94" s="129">
        <f t="shared" si="584"/>
        <v>2</v>
      </c>
      <c r="BH94" s="129">
        <f t="shared" si="585"/>
        <v>1</v>
      </c>
      <c r="BI94" s="129">
        <f t="shared" si="586"/>
        <v>1</v>
      </c>
      <c r="BJ94" s="129">
        <f>IF(AH94&lt;&gt;"",AH94-AG94,0)</f>
        <v>1</v>
      </c>
      <c r="BK94" s="129">
        <f t="shared" si="587"/>
        <v>1</v>
      </c>
      <c r="BL94" s="129">
        <f t="shared" si="588"/>
        <v>0</v>
      </c>
      <c r="BM94" s="408"/>
      <c r="BN94" s="48">
        <f t="shared" ref="BN94:BN110" si="600">BP94</f>
        <v>2</v>
      </c>
      <c r="BO94" s="48">
        <f t="shared" ref="BO94:BO110" si="601">BP94</f>
        <v>2</v>
      </c>
      <c r="BP94" s="48">
        <f t="shared" ref="BP94:BP99" si="602">SUM(AL94:AN94)</f>
        <v>2</v>
      </c>
      <c r="BQ94" s="48">
        <f t="shared" ref="BQ94:BQ110" si="603">BS94</f>
        <v>5</v>
      </c>
      <c r="BR94" s="48">
        <f t="shared" ref="BR94:BR110" si="604">BS94</f>
        <v>5</v>
      </c>
      <c r="BS94" s="48">
        <f t="shared" ref="BS94:BS99" si="605">SUM(AO94:AQ94)</f>
        <v>5</v>
      </c>
      <c r="BT94" s="48">
        <f t="shared" ref="BT94:BT110" si="606">BV94</f>
        <v>2</v>
      </c>
      <c r="BU94" s="48">
        <f t="shared" ref="BU94:BU110" si="607">BV94</f>
        <v>2</v>
      </c>
      <c r="BV94" s="48">
        <f t="shared" ref="BV94:BV99" si="608">SUM(AR94:AT94)</f>
        <v>2</v>
      </c>
      <c r="BW94" s="48">
        <f t="shared" ref="BW94:BW110" si="609">BY94</f>
        <v>6</v>
      </c>
      <c r="BX94" s="48">
        <f t="shared" ref="BX94:BX110" si="610">BY94</f>
        <v>6</v>
      </c>
      <c r="BY94" s="48">
        <f t="shared" ref="BY94:BY99" si="611">SUM(AU94:AW94)</f>
        <v>6</v>
      </c>
      <c r="BZ94" s="48">
        <f t="shared" ref="BZ94:BZ110" si="612">CB94</f>
        <v>1</v>
      </c>
      <c r="CA94" s="48">
        <f t="shared" ref="CA94:CA110" si="613">CB94</f>
        <v>1</v>
      </c>
      <c r="CB94" s="48">
        <f t="shared" ref="CB94:CB99" si="614">SUM(AX94:AZ94)</f>
        <v>1</v>
      </c>
      <c r="CC94" s="48">
        <f t="shared" ref="CC94:CC110" si="615">CE94</f>
        <v>10</v>
      </c>
      <c r="CD94" s="48">
        <f t="shared" ref="CD94:CD110" si="616">CE94</f>
        <v>10</v>
      </c>
      <c r="CE94" s="48">
        <f t="shared" ref="CE94:CE99" si="617">SUM(BA94:BC94)</f>
        <v>10</v>
      </c>
      <c r="CF94" s="48">
        <f t="shared" ref="CF94:CF110" si="618">CH94</f>
        <v>11</v>
      </c>
      <c r="CG94" s="48">
        <f t="shared" ref="CG94:CG110" si="619">CH94</f>
        <v>11</v>
      </c>
      <c r="CH94" s="48">
        <f t="shared" ref="CH94:CH99" si="620">SUM(BD94:BF94)</f>
        <v>11</v>
      </c>
      <c r="CI94" s="48">
        <f t="shared" ref="CI94:CI110" si="621">CK94</f>
        <v>4</v>
      </c>
      <c r="CJ94" s="48">
        <f t="shared" ref="CJ94:CJ110" si="622">CK94</f>
        <v>4</v>
      </c>
      <c r="CK94" s="48">
        <f t="shared" ref="CK94:CK99" si="623">SUM(BG94:BI94)</f>
        <v>4</v>
      </c>
      <c r="CL94" s="48">
        <f t="shared" ref="CL94:CL110" si="624">CN94</f>
        <v>2</v>
      </c>
      <c r="CM94" s="48">
        <f t="shared" ref="CM94:CM110" si="625">CN94</f>
        <v>2</v>
      </c>
      <c r="CN94" s="48">
        <f t="shared" ref="CN94:CN99" si="626">SUM(BJ94:BL94)</f>
        <v>2</v>
      </c>
      <c r="CO94" s="406"/>
      <c r="CP94" s="21">
        <f t="shared" si="589"/>
        <v>4</v>
      </c>
      <c r="CQ94" s="21">
        <f t="shared" si="589"/>
        <v>6</v>
      </c>
      <c r="CR94" s="21">
        <f t="shared" si="589"/>
        <v>6</v>
      </c>
      <c r="CS94" s="21">
        <f>AO94</f>
        <v>3</v>
      </c>
      <c r="CT94" s="21">
        <f t="shared" si="590"/>
        <v>3</v>
      </c>
      <c r="CU94" s="21">
        <f t="shared" si="590"/>
        <v>5</v>
      </c>
      <c r="CV94" s="21">
        <f t="shared" si="590"/>
        <v>5</v>
      </c>
      <c r="CW94" s="21">
        <f t="shared" si="590"/>
        <v>6</v>
      </c>
      <c r="CX94" s="21">
        <f t="shared" si="590"/>
        <v>7</v>
      </c>
      <c r="CY94" s="21">
        <f t="shared" si="590"/>
        <v>12</v>
      </c>
      <c r="CZ94" s="21">
        <f t="shared" si="590"/>
        <v>12</v>
      </c>
      <c r="DA94" s="21">
        <f t="shared" si="590"/>
        <v>13</v>
      </c>
      <c r="DB94" s="21">
        <f t="shared" si="590"/>
        <v>13</v>
      </c>
      <c r="DC94" s="21">
        <f t="shared" si="590"/>
        <v>14</v>
      </c>
      <c r="DD94" s="21">
        <f t="shared" si="590"/>
        <v>14</v>
      </c>
      <c r="DE94" s="21">
        <f>+BA94</f>
        <v>4</v>
      </c>
      <c r="DF94" s="21">
        <f t="shared" si="591"/>
        <v>9</v>
      </c>
      <c r="DG94" s="21">
        <f t="shared" si="591"/>
        <v>10</v>
      </c>
      <c r="DH94" s="21">
        <f t="shared" si="591"/>
        <v>11</v>
      </c>
      <c r="DI94" s="21">
        <f t="shared" si="591"/>
        <v>14</v>
      </c>
      <c r="DJ94" s="21">
        <f t="shared" si="591"/>
        <v>21</v>
      </c>
      <c r="DK94" s="21">
        <f t="shared" si="591"/>
        <v>23</v>
      </c>
      <c r="DL94" s="21">
        <f t="shared" si="591"/>
        <v>24</v>
      </c>
      <c r="DM94" s="21">
        <f t="shared" si="591"/>
        <v>25</v>
      </c>
      <c r="DN94" s="21">
        <f t="shared" si="591"/>
        <v>26</v>
      </c>
      <c r="DO94" s="21">
        <f t="shared" si="591"/>
        <v>27</v>
      </c>
      <c r="DP94" s="21"/>
      <c r="DQ94" s="248"/>
      <c r="DR94" s="248"/>
      <c r="DS94" s="248"/>
      <c r="DT94" s="248"/>
      <c r="DU94" s="248"/>
      <c r="DV94" s="248"/>
      <c r="DW94" s="248"/>
      <c r="DX94" s="248"/>
      <c r="DY94" s="248"/>
      <c r="ED94" s="429"/>
      <c r="EE94" s="23"/>
      <c r="EF94" s="23"/>
      <c r="EG94" s="23"/>
      <c r="EH94" s="18">
        <f t="shared" si="592"/>
        <v>1</v>
      </c>
      <c r="EI94" s="18">
        <f t="shared" si="593"/>
        <v>2</v>
      </c>
      <c r="EJ94" s="18">
        <f t="shared" si="594"/>
        <v>27</v>
      </c>
      <c r="EK94" s="24">
        <f>$EK$1/12</f>
        <v>0.91666666666666663</v>
      </c>
      <c r="EL94" s="14">
        <f t="shared" si="595"/>
        <v>0.8</v>
      </c>
      <c r="EM94" s="14">
        <f t="shared" si="595"/>
        <v>0.13333333333333333</v>
      </c>
      <c r="EN94" s="14">
        <f>EJ94/EG71</f>
        <v>1.8</v>
      </c>
      <c r="EO94" s="46" t="str">
        <f>IF(EH94&lt;0,,IF(EH94&gt;EE71,"È",IF(EH94=EE71,"Æ","Ç")))</f>
        <v>Ç</v>
      </c>
      <c r="EP94" s="46" t="str">
        <f>IF(EI94&lt;0,,IF(EI94&gt;EF71,"È",IF(EI94=EF71,"Æ","Ç")))</f>
        <v>Ç</v>
      </c>
      <c r="EQ94" s="2">
        <f t="shared" si="597"/>
        <v>2</v>
      </c>
      <c r="ER94" s="2">
        <f t="shared" si="598"/>
        <v>3</v>
      </c>
      <c r="ES94" s="2">
        <f t="shared" si="599"/>
        <v>1</v>
      </c>
    </row>
    <row r="95" spans="1:162" ht="12.75" customHeight="1">
      <c r="A95" s="6" t="s">
        <v>22</v>
      </c>
      <c r="B95" s="2" t="s">
        <v>2</v>
      </c>
      <c r="C95" s="3" t="s">
        <v>56</v>
      </c>
      <c r="E95" s="3" t="s">
        <v>16</v>
      </c>
      <c r="G95" s="1" t="s">
        <v>91</v>
      </c>
      <c r="I95" s="18">
        <v>6</v>
      </c>
      <c r="J95" s="19">
        <v>7</v>
      </c>
      <c r="K95" s="19">
        <v>11</v>
      </c>
      <c r="L95" s="19">
        <v>12</v>
      </c>
      <c r="M95" s="20">
        <v>0</v>
      </c>
      <c r="N95" s="19">
        <v>2</v>
      </c>
      <c r="O95" s="19">
        <v>3</v>
      </c>
      <c r="P95" s="19">
        <v>3</v>
      </c>
      <c r="Q95" s="19">
        <v>5</v>
      </c>
      <c r="R95" s="19">
        <v>7</v>
      </c>
      <c r="S95" s="19">
        <v>12</v>
      </c>
      <c r="T95" s="19">
        <v>13</v>
      </c>
      <c r="U95" s="19">
        <v>16</v>
      </c>
      <c r="V95" s="26">
        <v>18</v>
      </c>
      <c r="W95" s="19">
        <v>19</v>
      </c>
      <c r="X95" s="19">
        <v>21</v>
      </c>
      <c r="Y95" s="333">
        <v>3</v>
      </c>
      <c r="Z95" s="19">
        <v>9</v>
      </c>
      <c r="AA95" s="19">
        <v>9</v>
      </c>
      <c r="AB95" s="19">
        <v>9</v>
      </c>
      <c r="AC95" s="19">
        <v>11</v>
      </c>
      <c r="AD95" s="19">
        <v>18</v>
      </c>
      <c r="AE95" s="19">
        <v>20</v>
      </c>
      <c r="AF95" s="19">
        <v>20</v>
      </c>
      <c r="AG95" s="19">
        <v>26</v>
      </c>
      <c r="AH95" s="19">
        <v>29</v>
      </c>
      <c r="AI95" s="19">
        <v>30</v>
      </c>
      <c r="AJ95" s="19"/>
      <c r="AK95" s="408"/>
      <c r="AL95" s="21">
        <f t="shared" si="567"/>
        <v>1</v>
      </c>
      <c r="AM95" s="21">
        <f t="shared" si="567"/>
        <v>4</v>
      </c>
      <c r="AN95" s="21">
        <f t="shared" si="568"/>
        <v>1</v>
      </c>
      <c r="AO95" s="21">
        <f>M95</f>
        <v>0</v>
      </c>
      <c r="AP95" s="129">
        <f t="shared" si="569"/>
        <v>2</v>
      </c>
      <c r="AQ95" s="129">
        <f t="shared" si="570"/>
        <v>1</v>
      </c>
      <c r="AR95" s="129">
        <f t="shared" si="571"/>
        <v>0</v>
      </c>
      <c r="AS95" s="129">
        <f t="shared" si="572"/>
        <v>2</v>
      </c>
      <c r="AT95" s="129">
        <f t="shared" si="573"/>
        <v>2</v>
      </c>
      <c r="AU95" s="129">
        <f t="shared" si="574"/>
        <v>5</v>
      </c>
      <c r="AV95" s="129">
        <f t="shared" si="575"/>
        <v>1</v>
      </c>
      <c r="AW95" s="129">
        <f t="shared" si="576"/>
        <v>3</v>
      </c>
      <c r="AX95" s="129">
        <f>IF(V95&lt;&gt;"",V95-U95,0)</f>
        <v>2</v>
      </c>
      <c r="AY95" s="129">
        <f t="shared" si="577"/>
        <v>1</v>
      </c>
      <c r="AZ95" s="129">
        <f t="shared" si="578"/>
        <v>2</v>
      </c>
      <c r="BA95" s="21">
        <f>Y95</f>
        <v>3</v>
      </c>
      <c r="BB95" s="129">
        <f t="shared" si="579"/>
        <v>6</v>
      </c>
      <c r="BC95" s="129">
        <f t="shared" si="580"/>
        <v>0</v>
      </c>
      <c r="BD95" s="129">
        <f t="shared" si="581"/>
        <v>0</v>
      </c>
      <c r="BE95" s="129">
        <f t="shared" si="582"/>
        <v>2</v>
      </c>
      <c r="BF95" s="129">
        <f t="shared" si="583"/>
        <v>7</v>
      </c>
      <c r="BG95" s="129">
        <f t="shared" si="584"/>
        <v>2</v>
      </c>
      <c r="BH95" s="129">
        <f t="shared" si="585"/>
        <v>0</v>
      </c>
      <c r="BI95" s="129">
        <f t="shared" si="586"/>
        <v>6</v>
      </c>
      <c r="BJ95" s="129">
        <f>IF(AH95&lt;&gt;"",AH95-AG95,0)</f>
        <v>3</v>
      </c>
      <c r="BK95" s="129">
        <f t="shared" si="587"/>
        <v>1</v>
      </c>
      <c r="BL95" s="129">
        <f t="shared" si="588"/>
        <v>0</v>
      </c>
      <c r="BM95" s="408"/>
      <c r="BN95" s="48">
        <f t="shared" si="600"/>
        <v>6</v>
      </c>
      <c r="BO95" s="48">
        <f t="shared" si="601"/>
        <v>6</v>
      </c>
      <c r="BP95" s="48">
        <f t="shared" si="602"/>
        <v>6</v>
      </c>
      <c r="BQ95" s="48">
        <f t="shared" si="603"/>
        <v>3</v>
      </c>
      <c r="BR95" s="48">
        <f t="shared" si="604"/>
        <v>3</v>
      </c>
      <c r="BS95" s="48">
        <f t="shared" si="605"/>
        <v>3</v>
      </c>
      <c r="BT95" s="48">
        <f t="shared" si="606"/>
        <v>4</v>
      </c>
      <c r="BU95" s="48">
        <f t="shared" si="607"/>
        <v>4</v>
      </c>
      <c r="BV95" s="48">
        <f t="shared" si="608"/>
        <v>4</v>
      </c>
      <c r="BW95" s="48">
        <f t="shared" si="609"/>
        <v>9</v>
      </c>
      <c r="BX95" s="48">
        <f t="shared" si="610"/>
        <v>9</v>
      </c>
      <c r="BY95" s="48">
        <f t="shared" si="611"/>
        <v>9</v>
      </c>
      <c r="BZ95" s="48">
        <f t="shared" si="612"/>
        <v>5</v>
      </c>
      <c r="CA95" s="48">
        <f t="shared" si="613"/>
        <v>5</v>
      </c>
      <c r="CB95" s="48">
        <f t="shared" si="614"/>
        <v>5</v>
      </c>
      <c r="CC95" s="48">
        <f t="shared" si="615"/>
        <v>9</v>
      </c>
      <c r="CD95" s="48">
        <f t="shared" si="616"/>
        <v>9</v>
      </c>
      <c r="CE95" s="48">
        <f t="shared" si="617"/>
        <v>9</v>
      </c>
      <c r="CF95" s="48">
        <f t="shared" si="618"/>
        <v>9</v>
      </c>
      <c r="CG95" s="48">
        <f t="shared" si="619"/>
        <v>9</v>
      </c>
      <c r="CH95" s="48">
        <f t="shared" si="620"/>
        <v>9</v>
      </c>
      <c r="CI95" s="48">
        <f t="shared" si="621"/>
        <v>8</v>
      </c>
      <c r="CJ95" s="48">
        <f t="shared" si="622"/>
        <v>8</v>
      </c>
      <c r="CK95" s="48">
        <f t="shared" si="623"/>
        <v>8</v>
      </c>
      <c r="CL95" s="48">
        <f t="shared" si="624"/>
        <v>4</v>
      </c>
      <c r="CM95" s="48">
        <f t="shared" si="625"/>
        <v>4</v>
      </c>
      <c r="CN95" s="48">
        <f t="shared" si="626"/>
        <v>4</v>
      </c>
      <c r="CO95" s="406"/>
      <c r="CP95" s="21">
        <f t="shared" si="589"/>
        <v>7</v>
      </c>
      <c r="CQ95" s="21">
        <f t="shared" si="589"/>
        <v>11</v>
      </c>
      <c r="CR95" s="21">
        <f t="shared" si="589"/>
        <v>12</v>
      </c>
      <c r="CS95" s="21">
        <f>AO95</f>
        <v>0</v>
      </c>
      <c r="CT95" s="21">
        <f t="shared" si="590"/>
        <v>2</v>
      </c>
      <c r="CU95" s="21">
        <f t="shared" si="590"/>
        <v>3</v>
      </c>
      <c r="CV95" s="21">
        <f t="shared" si="590"/>
        <v>3</v>
      </c>
      <c r="CW95" s="21">
        <f t="shared" si="590"/>
        <v>5</v>
      </c>
      <c r="CX95" s="21">
        <f t="shared" si="590"/>
        <v>7</v>
      </c>
      <c r="CY95" s="21">
        <f t="shared" si="590"/>
        <v>12</v>
      </c>
      <c r="CZ95" s="21">
        <f t="shared" si="590"/>
        <v>13</v>
      </c>
      <c r="DA95" s="21">
        <f t="shared" si="590"/>
        <v>16</v>
      </c>
      <c r="DB95" s="21">
        <f t="shared" si="590"/>
        <v>18</v>
      </c>
      <c r="DC95" s="21">
        <f t="shared" si="590"/>
        <v>19</v>
      </c>
      <c r="DD95" s="21">
        <f t="shared" si="590"/>
        <v>21</v>
      </c>
      <c r="DE95" s="21">
        <f>+BA95</f>
        <v>3</v>
      </c>
      <c r="DF95" s="21">
        <f t="shared" si="591"/>
        <v>9</v>
      </c>
      <c r="DG95" s="21">
        <f t="shared" si="591"/>
        <v>9</v>
      </c>
      <c r="DH95" s="21">
        <f t="shared" si="591"/>
        <v>9</v>
      </c>
      <c r="DI95" s="21">
        <f t="shared" si="591"/>
        <v>11</v>
      </c>
      <c r="DJ95" s="21">
        <f t="shared" si="591"/>
        <v>18</v>
      </c>
      <c r="DK95" s="21">
        <f t="shared" si="591"/>
        <v>20</v>
      </c>
      <c r="DL95" s="21">
        <f t="shared" si="591"/>
        <v>20</v>
      </c>
      <c r="DM95" s="21">
        <f t="shared" si="591"/>
        <v>26</v>
      </c>
      <c r="DN95" s="21">
        <f t="shared" si="591"/>
        <v>29</v>
      </c>
      <c r="DO95" s="21">
        <f t="shared" si="591"/>
        <v>30</v>
      </c>
      <c r="DP95" s="21"/>
      <c r="DQ95" s="248"/>
      <c r="DR95" s="248"/>
      <c r="DS95" s="248"/>
      <c r="DT95" s="248"/>
      <c r="DU95" s="248"/>
      <c r="DV95" s="248"/>
      <c r="DW95" s="248"/>
      <c r="DX95" s="248"/>
      <c r="DY95" s="248"/>
      <c r="ED95" s="429"/>
      <c r="EE95" s="23"/>
      <c r="EF95" s="23"/>
      <c r="EG95" s="23"/>
      <c r="EH95" s="18">
        <f t="shared" si="592"/>
        <v>1</v>
      </c>
      <c r="EI95" s="18">
        <f t="shared" si="593"/>
        <v>4</v>
      </c>
      <c r="EJ95" s="18">
        <f t="shared" si="594"/>
        <v>30</v>
      </c>
      <c r="EK95" s="24">
        <f>$EK$1/12</f>
        <v>0.91666666666666663</v>
      </c>
      <c r="EL95" s="14">
        <f t="shared" si="595"/>
        <v>0.5</v>
      </c>
      <c r="EM95" s="14">
        <f t="shared" si="595"/>
        <v>0.26666666666666666</v>
      </c>
      <c r="EN95" s="14">
        <f>EJ95/EG72</f>
        <v>1.4285714285714286</v>
      </c>
      <c r="EO95" s="46" t="str">
        <f t="shared" si="596"/>
        <v>È</v>
      </c>
      <c r="EP95" s="46" t="str">
        <f>IF(EI95&lt;0,,IF(EI95&gt;EF72,"È",IF(EI95=EF72,"Æ","Ç")))</f>
        <v>Ç</v>
      </c>
      <c r="EQ95" s="2">
        <f t="shared" si="597"/>
        <v>3</v>
      </c>
      <c r="ER95" s="2">
        <f t="shared" si="598"/>
        <v>3</v>
      </c>
      <c r="ES95" s="2">
        <f t="shared" si="599"/>
        <v>1</v>
      </c>
    </row>
    <row r="96" spans="1:162" ht="12.75" customHeight="1">
      <c r="A96" s="6" t="s">
        <v>22</v>
      </c>
      <c r="B96" s="2" t="s">
        <v>3</v>
      </c>
      <c r="C96" s="3" t="s">
        <v>57</v>
      </c>
      <c r="E96" s="3" t="s">
        <v>16</v>
      </c>
      <c r="G96" s="1" t="s">
        <v>91</v>
      </c>
      <c r="I96" s="18">
        <v>7</v>
      </c>
      <c r="J96" s="21">
        <v>7</v>
      </c>
      <c r="K96" s="21">
        <v>11</v>
      </c>
      <c r="L96" s="21">
        <v>11</v>
      </c>
      <c r="M96" s="22">
        <v>3</v>
      </c>
      <c r="N96" s="21">
        <v>3</v>
      </c>
      <c r="O96" s="21">
        <v>4</v>
      </c>
      <c r="P96" s="21">
        <v>4</v>
      </c>
      <c r="Q96" s="21">
        <v>5</v>
      </c>
      <c r="R96" s="21">
        <v>6</v>
      </c>
      <c r="S96" s="21">
        <v>6</v>
      </c>
      <c r="T96" s="21">
        <v>6</v>
      </c>
      <c r="U96" s="21">
        <v>10</v>
      </c>
      <c r="V96" s="27">
        <v>11</v>
      </c>
      <c r="W96" s="21">
        <v>11</v>
      </c>
      <c r="X96" s="21">
        <v>11</v>
      </c>
      <c r="Y96" s="334">
        <v>2</v>
      </c>
      <c r="Z96" s="21">
        <v>2</v>
      </c>
      <c r="AA96" s="21">
        <v>2</v>
      </c>
      <c r="AB96" s="21">
        <v>2</v>
      </c>
      <c r="AC96" s="21">
        <v>6</v>
      </c>
      <c r="AD96" s="21">
        <v>7</v>
      </c>
      <c r="AE96" s="21">
        <v>8</v>
      </c>
      <c r="AF96" s="21">
        <v>8</v>
      </c>
      <c r="AG96" s="21">
        <v>9</v>
      </c>
      <c r="AH96" s="21">
        <v>10</v>
      </c>
      <c r="AI96" s="21">
        <v>11</v>
      </c>
      <c r="AJ96" s="21"/>
      <c r="AK96" s="408"/>
      <c r="AL96" s="21">
        <f t="shared" si="567"/>
        <v>0</v>
      </c>
      <c r="AM96" s="21">
        <f t="shared" si="567"/>
        <v>4</v>
      </c>
      <c r="AN96" s="21">
        <f t="shared" si="568"/>
        <v>0</v>
      </c>
      <c r="AO96" s="21">
        <f>M96</f>
        <v>3</v>
      </c>
      <c r="AP96" s="129">
        <f t="shared" si="569"/>
        <v>0</v>
      </c>
      <c r="AQ96" s="129">
        <f t="shared" si="570"/>
        <v>1</v>
      </c>
      <c r="AR96" s="129">
        <f t="shared" si="571"/>
        <v>0</v>
      </c>
      <c r="AS96" s="129">
        <f t="shared" si="572"/>
        <v>1</v>
      </c>
      <c r="AT96" s="129">
        <f t="shared" si="573"/>
        <v>1</v>
      </c>
      <c r="AU96" s="129">
        <f t="shared" si="574"/>
        <v>0</v>
      </c>
      <c r="AV96" s="129">
        <f t="shared" si="575"/>
        <v>0</v>
      </c>
      <c r="AW96" s="129">
        <f t="shared" si="576"/>
        <v>4</v>
      </c>
      <c r="AX96" s="129">
        <f>IF(V96&lt;&gt;"",V96-U96,0)</f>
        <v>1</v>
      </c>
      <c r="AY96" s="129">
        <f t="shared" si="577"/>
        <v>0</v>
      </c>
      <c r="AZ96" s="129">
        <f t="shared" si="578"/>
        <v>0</v>
      </c>
      <c r="BA96" s="21">
        <f>Y96</f>
        <v>2</v>
      </c>
      <c r="BB96" s="129">
        <f t="shared" si="579"/>
        <v>0</v>
      </c>
      <c r="BC96" s="129">
        <f t="shared" si="580"/>
        <v>0</v>
      </c>
      <c r="BD96" s="129">
        <f t="shared" si="581"/>
        <v>0</v>
      </c>
      <c r="BE96" s="129">
        <f t="shared" si="582"/>
        <v>4</v>
      </c>
      <c r="BF96" s="129">
        <f t="shared" si="583"/>
        <v>1</v>
      </c>
      <c r="BG96" s="129">
        <f t="shared" si="584"/>
        <v>1</v>
      </c>
      <c r="BH96" s="129">
        <f t="shared" si="585"/>
        <v>0</v>
      </c>
      <c r="BI96" s="129">
        <f t="shared" si="586"/>
        <v>1</v>
      </c>
      <c r="BJ96" s="129">
        <f>IF(AH96&lt;&gt;"",AH96-AG96,0)</f>
        <v>1</v>
      </c>
      <c r="BK96" s="129">
        <f t="shared" si="587"/>
        <v>1</v>
      </c>
      <c r="BL96" s="129">
        <f t="shared" si="588"/>
        <v>0</v>
      </c>
      <c r="BM96" s="408"/>
      <c r="BN96" s="48">
        <f t="shared" si="600"/>
        <v>4</v>
      </c>
      <c r="BO96" s="48">
        <f t="shared" si="601"/>
        <v>4</v>
      </c>
      <c r="BP96" s="48">
        <f t="shared" si="602"/>
        <v>4</v>
      </c>
      <c r="BQ96" s="48">
        <f t="shared" si="603"/>
        <v>4</v>
      </c>
      <c r="BR96" s="48">
        <f t="shared" si="604"/>
        <v>4</v>
      </c>
      <c r="BS96" s="48">
        <f t="shared" si="605"/>
        <v>4</v>
      </c>
      <c r="BT96" s="48">
        <f t="shared" si="606"/>
        <v>2</v>
      </c>
      <c r="BU96" s="48">
        <f t="shared" si="607"/>
        <v>2</v>
      </c>
      <c r="BV96" s="48">
        <f t="shared" si="608"/>
        <v>2</v>
      </c>
      <c r="BW96" s="48">
        <f t="shared" si="609"/>
        <v>4</v>
      </c>
      <c r="BX96" s="48">
        <f t="shared" si="610"/>
        <v>4</v>
      </c>
      <c r="BY96" s="48">
        <f t="shared" si="611"/>
        <v>4</v>
      </c>
      <c r="BZ96" s="48">
        <f t="shared" si="612"/>
        <v>1</v>
      </c>
      <c r="CA96" s="48">
        <f t="shared" si="613"/>
        <v>1</v>
      </c>
      <c r="CB96" s="48">
        <f t="shared" si="614"/>
        <v>1</v>
      </c>
      <c r="CC96" s="48">
        <f t="shared" si="615"/>
        <v>2</v>
      </c>
      <c r="CD96" s="48">
        <f t="shared" si="616"/>
        <v>2</v>
      </c>
      <c r="CE96" s="48">
        <f t="shared" si="617"/>
        <v>2</v>
      </c>
      <c r="CF96" s="48">
        <f t="shared" si="618"/>
        <v>5</v>
      </c>
      <c r="CG96" s="48">
        <f t="shared" si="619"/>
        <v>5</v>
      </c>
      <c r="CH96" s="48">
        <f t="shared" si="620"/>
        <v>5</v>
      </c>
      <c r="CI96" s="48">
        <f t="shared" si="621"/>
        <v>2</v>
      </c>
      <c r="CJ96" s="48">
        <f t="shared" si="622"/>
        <v>2</v>
      </c>
      <c r="CK96" s="48">
        <f t="shared" si="623"/>
        <v>2</v>
      </c>
      <c r="CL96" s="48">
        <f t="shared" si="624"/>
        <v>2</v>
      </c>
      <c r="CM96" s="48">
        <f t="shared" si="625"/>
        <v>2</v>
      </c>
      <c r="CN96" s="48">
        <f t="shared" si="626"/>
        <v>2</v>
      </c>
      <c r="CO96" s="406"/>
      <c r="CP96" s="21">
        <f t="shared" si="589"/>
        <v>7</v>
      </c>
      <c r="CQ96" s="21">
        <f t="shared" si="589"/>
        <v>11</v>
      </c>
      <c r="CR96" s="21">
        <f t="shared" si="589"/>
        <v>11</v>
      </c>
      <c r="CS96" s="21">
        <f>AO96</f>
        <v>3</v>
      </c>
      <c r="CT96" s="21">
        <f t="shared" si="590"/>
        <v>3</v>
      </c>
      <c r="CU96" s="21">
        <f t="shared" si="590"/>
        <v>4</v>
      </c>
      <c r="CV96" s="21">
        <f t="shared" si="590"/>
        <v>4</v>
      </c>
      <c r="CW96" s="21">
        <f t="shared" si="590"/>
        <v>5</v>
      </c>
      <c r="CX96" s="21">
        <f t="shared" si="590"/>
        <v>6</v>
      </c>
      <c r="CY96" s="21">
        <f t="shared" si="590"/>
        <v>6</v>
      </c>
      <c r="CZ96" s="21">
        <f t="shared" si="590"/>
        <v>6</v>
      </c>
      <c r="DA96" s="21">
        <f t="shared" si="590"/>
        <v>10</v>
      </c>
      <c r="DB96" s="21">
        <f t="shared" si="590"/>
        <v>11</v>
      </c>
      <c r="DC96" s="21">
        <f t="shared" si="590"/>
        <v>11</v>
      </c>
      <c r="DD96" s="21">
        <f t="shared" si="590"/>
        <v>11</v>
      </c>
      <c r="DE96" s="21">
        <f>+BA96</f>
        <v>2</v>
      </c>
      <c r="DF96" s="21">
        <f t="shared" si="591"/>
        <v>2</v>
      </c>
      <c r="DG96" s="248">
        <f t="shared" si="591"/>
        <v>2</v>
      </c>
      <c r="DH96" s="21">
        <f t="shared" si="591"/>
        <v>2</v>
      </c>
      <c r="DI96" s="21">
        <f t="shared" si="591"/>
        <v>6</v>
      </c>
      <c r="DJ96" s="21">
        <f t="shared" si="591"/>
        <v>7</v>
      </c>
      <c r="DK96" s="21">
        <f t="shared" si="591"/>
        <v>8</v>
      </c>
      <c r="DL96" s="21">
        <f t="shared" si="591"/>
        <v>8</v>
      </c>
      <c r="DM96" s="21">
        <f t="shared" si="591"/>
        <v>9</v>
      </c>
      <c r="DN96" s="21">
        <f t="shared" si="591"/>
        <v>10</v>
      </c>
      <c r="DO96" s="21">
        <f t="shared" si="591"/>
        <v>11</v>
      </c>
      <c r="DP96" s="21"/>
      <c r="DQ96" s="248"/>
      <c r="DR96" s="248"/>
      <c r="DS96" s="248"/>
      <c r="DT96" s="248"/>
      <c r="DU96" s="248"/>
      <c r="DV96" s="248"/>
      <c r="DW96" s="248"/>
      <c r="DX96" s="248"/>
      <c r="DY96" s="248"/>
      <c r="ED96" s="429"/>
      <c r="EE96" s="23"/>
      <c r="EF96" s="23"/>
      <c r="EG96" s="23"/>
      <c r="EH96" s="18">
        <f t="shared" si="592"/>
        <v>1</v>
      </c>
      <c r="EI96" s="18">
        <f t="shared" si="593"/>
        <v>2</v>
      </c>
      <c r="EJ96" s="18">
        <f t="shared" si="594"/>
        <v>11</v>
      </c>
      <c r="EK96" s="24">
        <f>$EK$1/12</f>
        <v>0.91666666666666663</v>
      </c>
      <c r="EL96" s="14">
        <f t="shared" si="595"/>
        <v>1.3333333333333333</v>
      </c>
      <c r="EM96" s="14">
        <f t="shared" si="595"/>
        <v>0.22222222222222221</v>
      </c>
      <c r="EN96" s="14">
        <f>EJ96/EG73</f>
        <v>1.2222222222222223</v>
      </c>
      <c r="EO96" s="46" t="str">
        <f t="shared" si="596"/>
        <v>Ç</v>
      </c>
      <c r="EP96" s="46" t="str">
        <f>IF(EI96&lt;0,,IF(EI96&gt;EF73,"È",IF(EI96=EF73,"Æ","Ç")))</f>
        <v>Ç</v>
      </c>
      <c r="EQ96" s="2">
        <f t="shared" si="597"/>
        <v>1</v>
      </c>
      <c r="ER96" s="2">
        <f t="shared" si="598"/>
        <v>3</v>
      </c>
      <c r="ES96" s="2">
        <f t="shared" si="599"/>
        <v>1</v>
      </c>
    </row>
    <row r="97" spans="1:149" ht="12.75" customHeight="1" thickBot="1">
      <c r="A97" s="6" t="s">
        <v>22</v>
      </c>
      <c r="B97" s="2" t="s">
        <v>94</v>
      </c>
      <c r="C97" s="3" t="s">
        <v>58</v>
      </c>
      <c r="E97" s="3" t="s">
        <v>16</v>
      </c>
      <c r="G97" s="1" t="s">
        <v>91</v>
      </c>
      <c r="I97" s="116">
        <v>5.1999999999999998E-2</v>
      </c>
      <c r="J97" s="116">
        <v>5.1999999999999998E-2</v>
      </c>
      <c r="K97" s="116">
        <v>0.88900000000000001</v>
      </c>
      <c r="L97" s="116">
        <v>0.88900000000000001</v>
      </c>
      <c r="M97" s="117">
        <v>0</v>
      </c>
      <c r="N97" s="116">
        <v>0</v>
      </c>
      <c r="O97" s="116">
        <v>0.04</v>
      </c>
      <c r="P97" s="116">
        <v>0.04</v>
      </c>
      <c r="Q97" s="116">
        <v>6.7000000000000004E-2</v>
      </c>
      <c r="R97" s="116">
        <v>6.7000000000000004E-2</v>
      </c>
      <c r="S97" s="116">
        <v>6.7000000000000004E-2</v>
      </c>
      <c r="T97" s="116">
        <v>6.7000000000000004E-2</v>
      </c>
      <c r="U97" s="116">
        <v>6.7000000000000004E-2</v>
      </c>
      <c r="V97" s="123">
        <v>0.10199999999999999</v>
      </c>
      <c r="W97" s="116">
        <v>0.10199999999999999</v>
      </c>
      <c r="X97" s="116">
        <v>0.17199999999999999</v>
      </c>
      <c r="Y97" s="335">
        <v>7.6E-3</v>
      </c>
      <c r="Z97" s="116">
        <v>4.2599999999999999E-2</v>
      </c>
      <c r="AA97" s="116">
        <v>7.7600000000000002E-2</v>
      </c>
      <c r="AB97" s="116">
        <v>0.1726</v>
      </c>
      <c r="AC97" s="116">
        <v>0.1986</v>
      </c>
      <c r="AD97" s="116">
        <v>0.21360000000000001</v>
      </c>
      <c r="AE97" s="116">
        <v>0.30759999999999998</v>
      </c>
      <c r="AF97" s="116">
        <v>0.315</v>
      </c>
      <c r="AG97" s="116">
        <v>0.3201</v>
      </c>
      <c r="AH97" s="116">
        <v>0.32</v>
      </c>
      <c r="AI97" s="116">
        <v>0.3201</v>
      </c>
      <c r="AJ97" s="116"/>
      <c r="AK97" s="416"/>
      <c r="AL97" s="116">
        <f t="shared" si="567"/>
        <v>0</v>
      </c>
      <c r="AM97" s="116">
        <f t="shared" si="567"/>
        <v>0.83699999999999997</v>
      </c>
      <c r="AN97" s="116">
        <f t="shared" si="568"/>
        <v>0</v>
      </c>
      <c r="AO97" s="116">
        <f>M97</f>
        <v>0</v>
      </c>
      <c r="AP97" s="129">
        <f t="shared" si="569"/>
        <v>0</v>
      </c>
      <c r="AQ97" s="129">
        <f t="shared" si="570"/>
        <v>0.04</v>
      </c>
      <c r="AR97" s="129">
        <f t="shared" si="571"/>
        <v>0</v>
      </c>
      <c r="AS97" s="129">
        <f t="shared" si="572"/>
        <v>2.7000000000000003E-2</v>
      </c>
      <c r="AT97" s="129">
        <f t="shared" si="573"/>
        <v>0</v>
      </c>
      <c r="AU97" s="129">
        <f t="shared" si="574"/>
        <v>0</v>
      </c>
      <c r="AV97" s="129">
        <f t="shared" si="575"/>
        <v>0</v>
      </c>
      <c r="AW97" s="129">
        <f t="shared" si="576"/>
        <v>0</v>
      </c>
      <c r="AX97" s="129">
        <f>IF(V97&lt;&gt;"",V97-U97,0)</f>
        <v>3.4999999999999989E-2</v>
      </c>
      <c r="AY97" s="129">
        <f t="shared" si="577"/>
        <v>0</v>
      </c>
      <c r="AZ97" s="129">
        <f t="shared" si="578"/>
        <v>6.9999999999999993E-2</v>
      </c>
      <c r="BA97" s="116">
        <f>Y97</f>
        <v>7.6E-3</v>
      </c>
      <c r="BB97" s="129">
        <f t="shared" si="579"/>
        <v>3.4999999999999996E-2</v>
      </c>
      <c r="BC97" s="129">
        <f t="shared" si="580"/>
        <v>3.5000000000000003E-2</v>
      </c>
      <c r="BD97" s="129">
        <f t="shared" si="581"/>
        <v>9.5000000000000001E-2</v>
      </c>
      <c r="BE97" s="129">
        <f t="shared" si="582"/>
        <v>2.5999999999999995E-2</v>
      </c>
      <c r="BF97" s="129">
        <f t="shared" si="583"/>
        <v>1.5000000000000013E-2</v>
      </c>
      <c r="BG97" s="129">
        <f t="shared" si="584"/>
        <v>9.3999999999999972E-2</v>
      </c>
      <c r="BH97" s="129">
        <f t="shared" si="585"/>
        <v>7.4000000000000177E-3</v>
      </c>
      <c r="BI97" s="129">
        <f t="shared" si="586"/>
        <v>5.0999999999999934E-3</v>
      </c>
      <c r="BJ97" s="129">
        <f>IF(AH97&lt;&gt;"",AH97)</f>
        <v>0.32</v>
      </c>
      <c r="BK97" s="129">
        <f t="shared" si="587"/>
        <v>9.9999999999988987E-5</v>
      </c>
      <c r="BL97" s="129">
        <f t="shared" si="588"/>
        <v>0</v>
      </c>
      <c r="BM97" s="409"/>
      <c r="BN97" s="119">
        <f t="shared" si="600"/>
        <v>0.83699999999999997</v>
      </c>
      <c r="BO97" s="119">
        <f t="shared" si="601"/>
        <v>0.83699999999999997</v>
      </c>
      <c r="BP97" s="119">
        <f t="shared" si="602"/>
        <v>0.83699999999999997</v>
      </c>
      <c r="BQ97" s="119">
        <f t="shared" si="603"/>
        <v>0.04</v>
      </c>
      <c r="BR97" s="119">
        <f t="shared" si="604"/>
        <v>0.04</v>
      </c>
      <c r="BS97" s="119">
        <f t="shared" si="605"/>
        <v>0.04</v>
      </c>
      <c r="BT97" s="119">
        <f t="shared" si="606"/>
        <v>2.7000000000000003E-2</v>
      </c>
      <c r="BU97" s="119">
        <f t="shared" si="607"/>
        <v>2.7000000000000003E-2</v>
      </c>
      <c r="BV97" s="119">
        <f t="shared" si="608"/>
        <v>2.7000000000000003E-2</v>
      </c>
      <c r="BW97" s="119">
        <f t="shared" si="609"/>
        <v>0</v>
      </c>
      <c r="BX97" s="119">
        <f t="shared" si="610"/>
        <v>0</v>
      </c>
      <c r="BY97" s="119">
        <f t="shared" si="611"/>
        <v>0</v>
      </c>
      <c r="BZ97" s="119">
        <f t="shared" si="612"/>
        <v>0.10499999999999998</v>
      </c>
      <c r="CA97" s="119">
        <f t="shared" si="613"/>
        <v>0.10499999999999998</v>
      </c>
      <c r="CB97" s="119">
        <f t="shared" si="614"/>
        <v>0.10499999999999998</v>
      </c>
      <c r="CC97" s="119">
        <f t="shared" si="615"/>
        <v>7.7600000000000002E-2</v>
      </c>
      <c r="CD97" s="119">
        <f t="shared" si="616"/>
        <v>7.7600000000000002E-2</v>
      </c>
      <c r="CE97" s="119">
        <f t="shared" si="617"/>
        <v>7.7600000000000002E-2</v>
      </c>
      <c r="CF97" s="119">
        <f t="shared" si="618"/>
        <v>0.13600000000000001</v>
      </c>
      <c r="CG97" s="119">
        <f t="shared" si="619"/>
        <v>0.13600000000000001</v>
      </c>
      <c r="CH97" s="119">
        <f t="shared" si="620"/>
        <v>0.13600000000000001</v>
      </c>
      <c r="CI97" s="119">
        <f t="shared" si="621"/>
        <v>0.10649999999999998</v>
      </c>
      <c r="CJ97" s="119">
        <f t="shared" si="622"/>
        <v>0.10649999999999998</v>
      </c>
      <c r="CK97" s="119">
        <f t="shared" si="623"/>
        <v>0.10649999999999998</v>
      </c>
      <c r="CL97" s="119">
        <f t="shared" si="624"/>
        <v>0.3201</v>
      </c>
      <c r="CM97" s="119">
        <f t="shared" si="625"/>
        <v>0.3201</v>
      </c>
      <c r="CN97" s="119">
        <f t="shared" si="626"/>
        <v>0.3201</v>
      </c>
      <c r="CO97" s="421"/>
      <c r="CP97" s="116">
        <f t="shared" si="589"/>
        <v>5.1999999999999998E-2</v>
      </c>
      <c r="CQ97" s="116">
        <f t="shared" si="589"/>
        <v>0.88900000000000001</v>
      </c>
      <c r="CR97" s="116">
        <f t="shared" si="589"/>
        <v>0.88900000000000001</v>
      </c>
      <c r="CS97" s="116">
        <f>AO97</f>
        <v>0</v>
      </c>
      <c r="CT97" s="116">
        <f t="shared" si="590"/>
        <v>0</v>
      </c>
      <c r="CU97" s="116">
        <f t="shared" si="590"/>
        <v>0.04</v>
      </c>
      <c r="CV97" s="116">
        <f t="shared" si="590"/>
        <v>0.04</v>
      </c>
      <c r="CW97" s="116">
        <f t="shared" si="590"/>
        <v>6.7000000000000004E-2</v>
      </c>
      <c r="CX97" s="116">
        <f t="shared" si="590"/>
        <v>6.7000000000000004E-2</v>
      </c>
      <c r="CY97" s="116">
        <f t="shared" si="590"/>
        <v>6.7000000000000004E-2</v>
      </c>
      <c r="CZ97" s="116">
        <f t="shared" si="590"/>
        <v>6.7000000000000004E-2</v>
      </c>
      <c r="DA97" s="116">
        <f t="shared" si="590"/>
        <v>6.7000000000000004E-2</v>
      </c>
      <c r="DB97" s="116">
        <f t="shared" si="590"/>
        <v>0.10199999999999999</v>
      </c>
      <c r="DC97" s="116">
        <f t="shared" si="590"/>
        <v>0.10199999999999999</v>
      </c>
      <c r="DD97" s="116">
        <f t="shared" si="590"/>
        <v>0.17199999999999999</v>
      </c>
      <c r="DE97" s="116">
        <f>+BA97</f>
        <v>7.6E-3</v>
      </c>
      <c r="DF97" s="116">
        <f t="shared" si="591"/>
        <v>4.2599999999999999E-2</v>
      </c>
      <c r="DG97" s="116">
        <f t="shared" si="591"/>
        <v>7.7600000000000002E-2</v>
      </c>
      <c r="DH97" s="116">
        <f t="shared" si="591"/>
        <v>0.1726</v>
      </c>
      <c r="DI97" s="116">
        <f t="shared" si="591"/>
        <v>0.1986</v>
      </c>
      <c r="DJ97" s="116">
        <f t="shared" si="591"/>
        <v>0.21360000000000001</v>
      </c>
      <c r="DK97" s="116">
        <f t="shared" si="591"/>
        <v>0.30759999999999998</v>
      </c>
      <c r="DL97" s="116">
        <f t="shared" si="591"/>
        <v>0.315</v>
      </c>
      <c r="DM97" s="116">
        <f t="shared" si="591"/>
        <v>0.3201</v>
      </c>
      <c r="DN97" s="116">
        <f t="shared" si="591"/>
        <v>0.6401</v>
      </c>
      <c r="DO97" s="243">
        <f t="shared" si="591"/>
        <v>0.3201</v>
      </c>
      <c r="DP97" s="116"/>
      <c r="DQ97" s="243"/>
      <c r="DR97" s="243"/>
      <c r="DS97" s="243"/>
      <c r="DT97" s="243"/>
      <c r="DU97" s="243"/>
      <c r="DV97" s="243"/>
      <c r="DW97" s="243"/>
      <c r="DX97" s="243"/>
      <c r="DY97" s="243"/>
      <c r="DZ97" s="124"/>
      <c r="EA97" s="124"/>
      <c r="EB97" s="124"/>
      <c r="EC97" s="124"/>
      <c r="ED97" s="431"/>
      <c r="EE97" s="125"/>
      <c r="EF97" s="125"/>
      <c r="EG97" s="125"/>
      <c r="EH97" s="116">
        <f t="shared" si="592"/>
        <v>9.9999999999988987E-5</v>
      </c>
      <c r="EI97" s="116">
        <f t="shared" si="593"/>
        <v>0.3201</v>
      </c>
      <c r="EJ97" s="116">
        <f t="shared" si="594"/>
        <v>0.3201</v>
      </c>
      <c r="EK97" s="24">
        <f>$EK$1/12</f>
        <v>0.91666666666666663</v>
      </c>
      <c r="EL97" s="14">
        <f t="shared" si="595"/>
        <v>3.225806451612545E-3</v>
      </c>
      <c r="EM97" s="14">
        <f t="shared" si="595"/>
        <v>3.4419354838709646</v>
      </c>
      <c r="EN97" s="14">
        <f>EJ97/EG74</f>
        <v>0.85360000000000003</v>
      </c>
      <c r="EO97" s="46" t="str">
        <f t="shared" si="596"/>
        <v>È</v>
      </c>
      <c r="EP97" s="46" t="str">
        <f>IF(EI97&lt;0,,IF(EI97&lt;EF74,"È",IF(EI97=EF74,"Æ","Ç")))</f>
        <v>Ç</v>
      </c>
      <c r="EQ97" s="2">
        <f t="shared" si="597"/>
        <v>3</v>
      </c>
      <c r="ER97" s="2">
        <f>IF(EM97&lt;=0.9,1,IF(EM97&lt;0.75,3,2))</f>
        <v>2</v>
      </c>
      <c r="ES97" s="2">
        <f t="shared" si="599"/>
        <v>2</v>
      </c>
    </row>
    <row r="98" spans="1:149" ht="12.75" customHeight="1">
      <c r="A98" s="6" t="s">
        <v>23</v>
      </c>
      <c r="B98" s="2" t="s">
        <v>5</v>
      </c>
      <c r="C98" s="3" t="s">
        <v>61</v>
      </c>
      <c r="E98" s="3" t="s">
        <v>16</v>
      </c>
      <c r="G98" s="3" t="s">
        <v>91</v>
      </c>
      <c r="I98" s="23"/>
      <c r="J98" s="19">
        <v>6</v>
      </c>
      <c r="K98" s="19">
        <v>16</v>
      </c>
      <c r="L98" s="19">
        <v>21</v>
      </c>
      <c r="M98" s="19">
        <v>37</v>
      </c>
      <c r="N98" s="19">
        <v>46</v>
      </c>
      <c r="O98" s="19">
        <v>50</v>
      </c>
      <c r="P98" s="19">
        <v>58</v>
      </c>
      <c r="Q98" s="19">
        <v>75</v>
      </c>
      <c r="R98" s="19">
        <v>87</v>
      </c>
      <c r="S98" s="19">
        <v>100</v>
      </c>
      <c r="T98" s="19">
        <v>113</v>
      </c>
      <c r="U98" s="19">
        <v>124</v>
      </c>
      <c r="V98" s="31">
        <v>13</v>
      </c>
      <c r="W98" s="19">
        <v>23</v>
      </c>
      <c r="X98" s="19">
        <v>37</v>
      </c>
      <c r="Y98" s="331">
        <v>53</v>
      </c>
      <c r="Z98" s="19">
        <v>59</v>
      </c>
      <c r="AA98" s="19">
        <v>64</v>
      </c>
      <c r="AB98" s="19">
        <v>74</v>
      </c>
      <c r="AC98" s="19">
        <v>88</v>
      </c>
      <c r="AD98" s="19">
        <v>106</v>
      </c>
      <c r="AE98" s="19">
        <v>118</v>
      </c>
      <c r="AF98" s="19">
        <v>133</v>
      </c>
      <c r="AG98" s="19">
        <v>142</v>
      </c>
      <c r="AH98" s="31">
        <v>4</v>
      </c>
      <c r="AI98" s="19">
        <v>17</v>
      </c>
      <c r="AJ98" s="19"/>
      <c r="AK98" s="408"/>
      <c r="AL98" s="19">
        <f t="shared" ref="AL98:AL114" si="627">J98</f>
        <v>6</v>
      </c>
      <c r="AM98" s="19">
        <f>K98-J98</f>
        <v>10</v>
      </c>
      <c r="AN98" s="19">
        <f t="shared" si="568"/>
        <v>5</v>
      </c>
      <c r="AO98" s="19">
        <f>M98-L98</f>
        <v>16</v>
      </c>
      <c r="AP98" s="129">
        <f t="shared" si="569"/>
        <v>9</v>
      </c>
      <c r="AQ98" s="129">
        <f t="shared" si="570"/>
        <v>4</v>
      </c>
      <c r="AR98" s="129">
        <f t="shared" si="571"/>
        <v>8</v>
      </c>
      <c r="AS98" s="129">
        <f t="shared" si="572"/>
        <v>17</v>
      </c>
      <c r="AT98" s="129">
        <f t="shared" si="573"/>
        <v>12</v>
      </c>
      <c r="AU98" s="129">
        <f t="shared" si="574"/>
        <v>13</v>
      </c>
      <c r="AV98" s="129">
        <f t="shared" si="575"/>
        <v>13</v>
      </c>
      <c r="AW98" s="129">
        <f t="shared" si="576"/>
        <v>11</v>
      </c>
      <c r="AX98" s="19">
        <f t="shared" ref="AX98:AX112" si="628">V98</f>
        <v>13</v>
      </c>
      <c r="AY98" s="129">
        <f t="shared" si="577"/>
        <v>10</v>
      </c>
      <c r="AZ98" s="129">
        <f t="shared" si="578"/>
        <v>14</v>
      </c>
      <c r="BA98" s="129">
        <f t="shared" ref="BA98:BA112" si="629">IF(Y98&lt;&gt;"",Y98-X98,0)</f>
        <v>16</v>
      </c>
      <c r="BB98" s="129">
        <f t="shared" si="579"/>
        <v>6</v>
      </c>
      <c r="BC98" s="129">
        <f t="shared" si="580"/>
        <v>5</v>
      </c>
      <c r="BD98" s="129">
        <f t="shared" si="581"/>
        <v>10</v>
      </c>
      <c r="BE98" s="129">
        <f t="shared" si="582"/>
        <v>14</v>
      </c>
      <c r="BF98" s="129">
        <f t="shared" si="583"/>
        <v>18</v>
      </c>
      <c r="BG98" s="129">
        <f t="shared" si="584"/>
        <v>12</v>
      </c>
      <c r="BH98" s="129">
        <f t="shared" si="585"/>
        <v>15</v>
      </c>
      <c r="BI98" s="129">
        <f t="shared" si="586"/>
        <v>9</v>
      </c>
      <c r="BJ98" s="19">
        <f t="shared" ref="BJ98:BJ109" si="630">AH98</f>
        <v>4</v>
      </c>
      <c r="BK98" s="129">
        <f t="shared" si="587"/>
        <v>13</v>
      </c>
      <c r="BL98" s="129">
        <f t="shared" si="588"/>
        <v>0</v>
      </c>
      <c r="BM98" s="408"/>
      <c r="BN98" s="48">
        <f t="shared" si="600"/>
        <v>21</v>
      </c>
      <c r="BO98" s="48">
        <f t="shared" si="601"/>
        <v>21</v>
      </c>
      <c r="BP98" s="48">
        <f t="shared" si="602"/>
        <v>21</v>
      </c>
      <c r="BQ98" s="48">
        <f t="shared" si="603"/>
        <v>29</v>
      </c>
      <c r="BR98" s="48">
        <f t="shared" si="604"/>
        <v>29</v>
      </c>
      <c r="BS98" s="48">
        <f t="shared" si="605"/>
        <v>29</v>
      </c>
      <c r="BT98" s="48">
        <f t="shared" si="606"/>
        <v>37</v>
      </c>
      <c r="BU98" s="48">
        <f t="shared" si="607"/>
        <v>37</v>
      </c>
      <c r="BV98" s="48">
        <f t="shared" si="608"/>
        <v>37</v>
      </c>
      <c r="BW98" s="48">
        <f t="shared" si="609"/>
        <v>37</v>
      </c>
      <c r="BX98" s="48">
        <f t="shared" si="610"/>
        <v>37</v>
      </c>
      <c r="BY98" s="48">
        <f t="shared" si="611"/>
        <v>37</v>
      </c>
      <c r="BZ98" s="48">
        <f t="shared" si="612"/>
        <v>37</v>
      </c>
      <c r="CA98" s="48">
        <f t="shared" si="613"/>
        <v>37</v>
      </c>
      <c r="CB98" s="48">
        <f t="shared" si="614"/>
        <v>37</v>
      </c>
      <c r="CC98" s="48">
        <f t="shared" si="615"/>
        <v>27</v>
      </c>
      <c r="CD98" s="48">
        <f t="shared" si="616"/>
        <v>27</v>
      </c>
      <c r="CE98" s="48">
        <f t="shared" si="617"/>
        <v>27</v>
      </c>
      <c r="CF98" s="48">
        <f t="shared" si="618"/>
        <v>42</v>
      </c>
      <c r="CG98" s="48">
        <f t="shared" si="619"/>
        <v>42</v>
      </c>
      <c r="CH98" s="48">
        <f t="shared" si="620"/>
        <v>42</v>
      </c>
      <c r="CI98" s="48">
        <f t="shared" si="621"/>
        <v>36</v>
      </c>
      <c r="CJ98" s="48">
        <f t="shared" si="622"/>
        <v>36</v>
      </c>
      <c r="CK98" s="48">
        <f t="shared" si="623"/>
        <v>36</v>
      </c>
      <c r="CL98" s="48">
        <f t="shared" si="624"/>
        <v>17</v>
      </c>
      <c r="CM98" s="48">
        <f t="shared" si="625"/>
        <v>17</v>
      </c>
      <c r="CN98" s="48">
        <f t="shared" si="626"/>
        <v>17</v>
      </c>
      <c r="CO98" s="406"/>
      <c r="CP98" s="21">
        <f>+AL98</f>
        <v>6</v>
      </c>
      <c r="CQ98" s="21">
        <f t="shared" ref="CQ98:DA98" si="631">+CP98+AM98</f>
        <v>16</v>
      </c>
      <c r="CR98" s="21">
        <f t="shared" si="631"/>
        <v>21</v>
      </c>
      <c r="CS98" s="21">
        <f t="shared" si="631"/>
        <v>37</v>
      </c>
      <c r="CT98" s="21">
        <f t="shared" si="631"/>
        <v>46</v>
      </c>
      <c r="CU98" s="21">
        <f t="shared" si="631"/>
        <v>50</v>
      </c>
      <c r="CV98" s="21">
        <f t="shared" si="631"/>
        <v>58</v>
      </c>
      <c r="CW98" s="21">
        <f t="shared" si="631"/>
        <v>75</v>
      </c>
      <c r="CX98" s="21">
        <f t="shared" si="631"/>
        <v>87</v>
      </c>
      <c r="CY98" s="21">
        <f t="shared" si="631"/>
        <v>100</v>
      </c>
      <c r="CZ98" s="21">
        <f t="shared" si="631"/>
        <v>113</v>
      </c>
      <c r="DA98" s="21">
        <f t="shared" si="631"/>
        <v>124</v>
      </c>
      <c r="DB98" s="21">
        <f>AX98</f>
        <v>13</v>
      </c>
      <c r="DC98" s="21">
        <f t="shared" ref="DC98:DM98" si="632">+DB98+AY98</f>
        <v>23</v>
      </c>
      <c r="DD98" s="21">
        <f t="shared" si="632"/>
        <v>37</v>
      </c>
      <c r="DE98" s="21">
        <f t="shared" si="632"/>
        <v>53</v>
      </c>
      <c r="DF98" s="21">
        <f t="shared" si="632"/>
        <v>59</v>
      </c>
      <c r="DG98" s="21">
        <f t="shared" si="632"/>
        <v>64</v>
      </c>
      <c r="DH98" s="21">
        <f t="shared" si="632"/>
        <v>74</v>
      </c>
      <c r="DI98" s="21">
        <f t="shared" si="632"/>
        <v>88</v>
      </c>
      <c r="DJ98" s="21">
        <f t="shared" si="632"/>
        <v>106</v>
      </c>
      <c r="DK98" s="21">
        <f t="shared" si="632"/>
        <v>118</v>
      </c>
      <c r="DL98" s="21">
        <f t="shared" si="632"/>
        <v>133</v>
      </c>
      <c r="DM98" s="21">
        <f t="shared" si="632"/>
        <v>142</v>
      </c>
      <c r="DN98" s="21">
        <f>+BJ98</f>
        <v>4</v>
      </c>
      <c r="DO98" s="21">
        <f>+DN98+BK98</f>
        <v>17</v>
      </c>
      <c r="DP98" s="21"/>
      <c r="DQ98" s="248"/>
      <c r="DR98" s="248"/>
      <c r="DS98" s="248"/>
      <c r="DT98" s="248"/>
      <c r="DU98" s="248"/>
      <c r="DV98" s="248"/>
      <c r="DW98" s="248"/>
      <c r="DX98" s="248"/>
      <c r="DY98" s="248"/>
      <c r="ED98" s="429"/>
      <c r="EE98" s="23"/>
      <c r="EF98" s="23"/>
      <c r="EG98" s="23"/>
      <c r="EH98" s="18">
        <f t="shared" si="592"/>
        <v>13</v>
      </c>
      <c r="EI98" s="18">
        <f t="shared" si="593"/>
        <v>17</v>
      </c>
      <c r="EJ98" s="18">
        <f t="shared" si="594"/>
        <v>17</v>
      </c>
      <c r="EK98" s="24">
        <f>$EK$2/12</f>
        <v>0.16666666666666666</v>
      </c>
      <c r="EL98" s="14" t="e">
        <f t="shared" si="595"/>
        <v>#DIV/0!</v>
      </c>
      <c r="EM98" s="14">
        <f t="shared" si="595"/>
        <v>0.61818181818181817</v>
      </c>
      <c r="EN98" s="14">
        <f>EJ98/EK98/EG75</f>
        <v>1.5223971486396934</v>
      </c>
      <c r="EO98" s="46" t="str">
        <f t="shared" si="596"/>
        <v>Ç</v>
      </c>
      <c r="EP98" s="46" t="str">
        <f t="shared" si="596"/>
        <v>È</v>
      </c>
      <c r="EQ98" s="2" t="e">
        <f t="shared" si="597"/>
        <v>#DIV/0!</v>
      </c>
      <c r="ER98" s="2">
        <f t="shared" si="598"/>
        <v>3</v>
      </c>
      <c r="ES98" s="2">
        <f t="shared" si="599"/>
        <v>1</v>
      </c>
    </row>
    <row r="99" spans="1:149" ht="12.75" customHeight="1">
      <c r="A99" s="6" t="s">
        <v>23</v>
      </c>
      <c r="B99" s="2" t="s">
        <v>4</v>
      </c>
      <c r="C99" s="3" t="s">
        <v>62</v>
      </c>
      <c r="E99" s="3" t="s">
        <v>16</v>
      </c>
      <c r="G99" s="3" t="s">
        <v>91</v>
      </c>
      <c r="I99" s="23"/>
      <c r="J99" s="19">
        <v>2</v>
      </c>
      <c r="K99" s="19">
        <v>6</v>
      </c>
      <c r="L99" s="19">
        <v>7</v>
      </c>
      <c r="M99" s="19">
        <v>17</v>
      </c>
      <c r="N99" s="19">
        <v>21</v>
      </c>
      <c r="O99" s="19">
        <v>23</v>
      </c>
      <c r="P99" s="19">
        <v>25</v>
      </c>
      <c r="Q99" s="19">
        <v>36</v>
      </c>
      <c r="R99" s="19">
        <v>41</v>
      </c>
      <c r="S99" s="19">
        <v>44</v>
      </c>
      <c r="T99" s="19">
        <v>54</v>
      </c>
      <c r="U99" s="19">
        <v>61</v>
      </c>
      <c r="V99" s="31">
        <v>8</v>
      </c>
      <c r="W99" s="19">
        <v>11</v>
      </c>
      <c r="X99" s="19">
        <v>14</v>
      </c>
      <c r="Y99" s="331">
        <v>18</v>
      </c>
      <c r="Z99" s="19">
        <v>21</v>
      </c>
      <c r="AA99" s="19">
        <v>24</v>
      </c>
      <c r="AB99" s="19">
        <v>28</v>
      </c>
      <c r="AC99" s="19">
        <v>36</v>
      </c>
      <c r="AD99" s="19">
        <v>46</v>
      </c>
      <c r="AE99" s="19">
        <v>52</v>
      </c>
      <c r="AF99" s="19">
        <v>57</v>
      </c>
      <c r="AG99" s="19">
        <v>63</v>
      </c>
      <c r="AH99" s="31">
        <v>3</v>
      </c>
      <c r="AI99" s="19">
        <v>8</v>
      </c>
      <c r="AJ99" s="19"/>
      <c r="AK99" s="408"/>
      <c r="AL99" s="19">
        <f t="shared" si="627"/>
        <v>2</v>
      </c>
      <c r="AM99" s="19">
        <f>K99-J99</f>
        <v>4</v>
      </c>
      <c r="AN99" s="19">
        <f t="shared" si="568"/>
        <v>1</v>
      </c>
      <c r="AO99" s="19">
        <f>M99-L99</f>
        <v>10</v>
      </c>
      <c r="AP99" s="129">
        <f t="shared" si="569"/>
        <v>4</v>
      </c>
      <c r="AQ99" s="129">
        <f t="shared" si="570"/>
        <v>2</v>
      </c>
      <c r="AR99" s="129">
        <f t="shared" si="571"/>
        <v>2</v>
      </c>
      <c r="AS99" s="129">
        <f t="shared" si="572"/>
        <v>11</v>
      </c>
      <c r="AT99" s="129">
        <f t="shared" si="573"/>
        <v>5</v>
      </c>
      <c r="AU99" s="129">
        <f t="shared" si="574"/>
        <v>3</v>
      </c>
      <c r="AV99" s="129">
        <f t="shared" si="575"/>
        <v>10</v>
      </c>
      <c r="AW99" s="129">
        <f t="shared" si="576"/>
        <v>7</v>
      </c>
      <c r="AX99" s="19">
        <f t="shared" si="628"/>
        <v>8</v>
      </c>
      <c r="AY99" s="129">
        <f t="shared" si="577"/>
        <v>3</v>
      </c>
      <c r="AZ99" s="129">
        <f t="shared" si="578"/>
        <v>3</v>
      </c>
      <c r="BA99" s="129">
        <f t="shared" si="629"/>
        <v>4</v>
      </c>
      <c r="BB99" s="129">
        <f t="shared" si="579"/>
        <v>3</v>
      </c>
      <c r="BC99" s="129">
        <f t="shared" si="580"/>
        <v>3</v>
      </c>
      <c r="BD99" s="129">
        <f t="shared" si="581"/>
        <v>4</v>
      </c>
      <c r="BE99" s="129">
        <f t="shared" si="582"/>
        <v>8</v>
      </c>
      <c r="BF99" s="129">
        <f t="shared" si="583"/>
        <v>10</v>
      </c>
      <c r="BG99" s="129">
        <f t="shared" si="584"/>
        <v>6</v>
      </c>
      <c r="BH99" s="129">
        <f t="shared" si="585"/>
        <v>5</v>
      </c>
      <c r="BI99" s="129">
        <f t="shared" si="586"/>
        <v>6</v>
      </c>
      <c r="BJ99" s="19">
        <f t="shared" si="630"/>
        <v>3</v>
      </c>
      <c r="BK99" s="129">
        <f t="shared" si="587"/>
        <v>5</v>
      </c>
      <c r="BL99" s="129">
        <f t="shared" si="588"/>
        <v>0</v>
      </c>
      <c r="BM99" s="408"/>
      <c r="BN99" s="48">
        <f t="shared" si="600"/>
        <v>7</v>
      </c>
      <c r="BO99" s="48">
        <f t="shared" si="601"/>
        <v>7</v>
      </c>
      <c r="BP99" s="48">
        <f t="shared" si="602"/>
        <v>7</v>
      </c>
      <c r="BQ99" s="48">
        <f t="shared" si="603"/>
        <v>16</v>
      </c>
      <c r="BR99" s="48">
        <f t="shared" si="604"/>
        <v>16</v>
      </c>
      <c r="BS99" s="48">
        <f t="shared" si="605"/>
        <v>16</v>
      </c>
      <c r="BT99" s="48">
        <f t="shared" si="606"/>
        <v>18</v>
      </c>
      <c r="BU99" s="48">
        <f t="shared" si="607"/>
        <v>18</v>
      </c>
      <c r="BV99" s="48">
        <f t="shared" si="608"/>
        <v>18</v>
      </c>
      <c r="BW99" s="48">
        <f t="shared" si="609"/>
        <v>20</v>
      </c>
      <c r="BX99" s="48">
        <f t="shared" si="610"/>
        <v>20</v>
      </c>
      <c r="BY99" s="48">
        <f t="shared" si="611"/>
        <v>20</v>
      </c>
      <c r="BZ99" s="48">
        <f t="shared" si="612"/>
        <v>14</v>
      </c>
      <c r="CA99" s="48">
        <f t="shared" si="613"/>
        <v>14</v>
      </c>
      <c r="CB99" s="48">
        <f t="shared" si="614"/>
        <v>14</v>
      </c>
      <c r="CC99" s="48">
        <f t="shared" si="615"/>
        <v>10</v>
      </c>
      <c r="CD99" s="48">
        <f t="shared" si="616"/>
        <v>10</v>
      </c>
      <c r="CE99" s="48">
        <f t="shared" si="617"/>
        <v>10</v>
      </c>
      <c r="CF99" s="48">
        <f t="shared" si="618"/>
        <v>22</v>
      </c>
      <c r="CG99" s="48">
        <f t="shared" si="619"/>
        <v>22</v>
      </c>
      <c r="CH99" s="48">
        <f t="shared" si="620"/>
        <v>22</v>
      </c>
      <c r="CI99" s="48">
        <f t="shared" si="621"/>
        <v>17</v>
      </c>
      <c r="CJ99" s="48">
        <f t="shared" si="622"/>
        <v>17</v>
      </c>
      <c r="CK99" s="48">
        <f t="shared" si="623"/>
        <v>17</v>
      </c>
      <c r="CL99" s="48">
        <f t="shared" si="624"/>
        <v>8</v>
      </c>
      <c r="CM99" s="48">
        <f t="shared" si="625"/>
        <v>8</v>
      </c>
      <c r="CN99" s="48">
        <f t="shared" si="626"/>
        <v>8</v>
      </c>
      <c r="CO99" s="406"/>
      <c r="CP99" s="21">
        <f>+AL99</f>
        <v>2</v>
      </c>
      <c r="CQ99" s="21">
        <f t="shared" ref="CQ99:CR101" si="633">+CP99+AM99</f>
        <v>6</v>
      </c>
      <c r="CR99" s="21">
        <f t="shared" si="633"/>
        <v>7</v>
      </c>
      <c r="CS99" s="21">
        <f t="shared" ref="CS99:DA101" si="634">L99+AO99</f>
        <v>17</v>
      </c>
      <c r="CT99" s="21">
        <f t="shared" si="634"/>
        <v>21</v>
      </c>
      <c r="CU99" s="21">
        <f t="shared" si="634"/>
        <v>23</v>
      </c>
      <c r="CV99" s="21">
        <f t="shared" si="634"/>
        <v>25</v>
      </c>
      <c r="CW99" s="21">
        <f t="shared" si="634"/>
        <v>36</v>
      </c>
      <c r="CX99" s="21">
        <f t="shared" si="634"/>
        <v>41</v>
      </c>
      <c r="CY99" s="21">
        <f t="shared" si="634"/>
        <v>44</v>
      </c>
      <c r="CZ99" s="21">
        <f t="shared" si="634"/>
        <v>54</v>
      </c>
      <c r="DA99" s="21">
        <f t="shared" si="634"/>
        <v>61</v>
      </c>
      <c r="DB99" s="21">
        <f>AX99</f>
        <v>8</v>
      </c>
      <c r="DC99" s="21">
        <f t="shared" ref="DC99:DM101" si="635">V99+AY99</f>
        <v>11</v>
      </c>
      <c r="DD99" s="21">
        <f t="shared" si="635"/>
        <v>14</v>
      </c>
      <c r="DE99" s="21">
        <f t="shared" si="635"/>
        <v>18</v>
      </c>
      <c r="DF99" s="21">
        <f t="shared" si="635"/>
        <v>21</v>
      </c>
      <c r="DG99" s="21">
        <f t="shared" si="635"/>
        <v>24</v>
      </c>
      <c r="DH99" s="21">
        <f t="shared" si="635"/>
        <v>28</v>
      </c>
      <c r="DI99" s="21">
        <f t="shared" si="635"/>
        <v>36</v>
      </c>
      <c r="DJ99" s="21">
        <f t="shared" si="635"/>
        <v>46</v>
      </c>
      <c r="DK99" s="21">
        <f t="shared" si="635"/>
        <v>52</v>
      </c>
      <c r="DL99" s="21">
        <f t="shared" si="635"/>
        <v>57</v>
      </c>
      <c r="DM99" s="21">
        <f t="shared" si="635"/>
        <v>63</v>
      </c>
      <c r="DN99" s="21">
        <f>BJ99</f>
        <v>3</v>
      </c>
      <c r="DO99" s="21">
        <f t="shared" ref="DO99:DO101" si="636">AH99+BK99</f>
        <v>8</v>
      </c>
      <c r="DP99" s="21"/>
      <c r="DQ99" s="248"/>
      <c r="DR99" s="248"/>
      <c r="DS99" s="248"/>
      <c r="DT99" s="248"/>
      <c r="DU99" s="248"/>
      <c r="DV99" s="248"/>
      <c r="DW99" s="248"/>
      <c r="DX99" s="248"/>
      <c r="DY99" s="248"/>
      <c r="ED99" s="429"/>
      <c r="EE99" s="23"/>
      <c r="EF99" s="23"/>
      <c r="EG99" s="23"/>
      <c r="EH99" s="18">
        <f t="shared" si="592"/>
        <v>5</v>
      </c>
      <c r="EI99" s="18">
        <f t="shared" si="593"/>
        <v>8</v>
      </c>
      <c r="EJ99" s="18">
        <f t="shared" si="594"/>
        <v>8</v>
      </c>
      <c r="EK99" s="24">
        <f t="shared" ref="EK99:EK115" si="637">$EK$2/12</f>
        <v>0.16666666666666666</v>
      </c>
      <c r="EL99" s="14" t="e">
        <f t="shared" si="595"/>
        <v>#DIV/0!</v>
      </c>
      <c r="EM99" s="14">
        <f t="shared" si="595"/>
        <v>0.59259259259259256</v>
      </c>
      <c r="EN99" s="14">
        <f>EJ99/EK99/EG76</f>
        <v>1.411764705882353</v>
      </c>
      <c r="EO99" s="46" t="str">
        <f t="shared" si="596"/>
        <v>Ç</v>
      </c>
      <c r="EP99" s="46" t="str">
        <f t="shared" si="596"/>
        <v>È</v>
      </c>
      <c r="EQ99" s="2" t="e">
        <f t="shared" si="597"/>
        <v>#DIV/0!</v>
      </c>
      <c r="ER99" s="2">
        <f t="shared" si="598"/>
        <v>3</v>
      </c>
      <c r="ES99" s="2">
        <f t="shared" si="599"/>
        <v>1</v>
      </c>
    </row>
    <row r="100" spans="1:149" ht="12.75" customHeight="1">
      <c r="A100" s="6" t="s">
        <v>23</v>
      </c>
      <c r="B100" s="2" t="s">
        <v>162</v>
      </c>
      <c r="C100" s="3" t="s">
        <v>62</v>
      </c>
      <c r="E100" s="3" t="s">
        <v>16</v>
      </c>
      <c r="G100" s="3" t="s">
        <v>91</v>
      </c>
      <c r="I100" s="23"/>
      <c r="J100" s="19">
        <v>15</v>
      </c>
      <c r="K100" s="19">
        <v>32</v>
      </c>
      <c r="L100" s="19">
        <v>38</v>
      </c>
      <c r="M100" s="19">
        <v>58</v>
      </c>
      <c r="N100" s="19">
        <v>67</v>
      </c>
      <c r="O100" s="19">
        <v>75</v>
      </c>
      <c r="P100" s="19">
        <v>86</v>
      </c>
      <c r="Q100" s="19">
        <v>105</v>
      </c>
      <c r="R100" s="19">
        <v>119</v>
      </c>
      <c r="S100" s="19">
        <v>135</v>
      </c>
      <c r="T100" s="19">
        <v>149</v>
      </c>
      <c r="U100" s="19">
        <v>161</v>
      </c>
      <c r="V100" s="31">
        <v>23</v>
      </c>
      <c r="W100" s="19">
        <v>41</v>
      </c>
      <c r="X100" s="19">
        <v>59</v>
      </c>
      <c r="Y100" s="331">
        <v>84</v>
      </c>
      <c r="Z100" s="19">
        <v>93</v>
      </c>
      <c r="AA100" s="19">
        <v>99</v>
      </c>
      <c r="AB100" s="19">
        <v>114</v>
      </c>
      <c r="AC100" s="19">
        <v>131</v>
      </c>
      <c r="AD100" s="19">
        <v>153</v>
      </c>
      <c r="AE100" s="19">
        <v>167</v>
      </c>
      <c r="AF100" s="19">
        <v>182</v>
      </c>
      <c r="AG100" s="19">
        <v>191</v>
      </c>
      <c r="AH100" s="31">
        <v>18</v>
      </c>
      <c r="AI100" s="19">
        <v>35</v>
      </c>
      <c r="AJ100" s="19"/>
      <c r="AK100" s="408"/>
      <c r="AL100" s="19">
        <f t="shared" si="627"/>
        <v>15</v>
      </c>
      <c r="AM100" s="19">
        <f>K100-J100</f>
        <v>17</v>
      </c>
      <c r="AN100" s="19">
        <f t="shared" si="568"/>
        <v>6</v>
      </c>
      <c r="AO100" s="19">
        <f>M100-L100</f>
        <v>20</v>
      </c>
      <c r="AP100" s="129">
        <f t="shared" si="569"/>
        <v>9</v>
      </c>
      <c r="AQ100" s="129">
        <f t="shared" si="570"/>
        <v>8</v>
      </c>
      <c r="AR100" s="129">
        <f t="shared" si="571"/>
        <v>11</v>
      </c>
      <c r="AS100" s="129">
        <f t="shared" si="572"/>
        <v>19</v>
      </c>
      <c r="AT100" s="129">
        <f t="shared" si="573"/>
        <v>14</v>
      </c>
      <c r="AU100" s="129">
        <f t="shared" si="574"/>
        <v>16</v>
      </c>
      <c r="AV100" s="129">
        <f t="shared" si="575"/>
        <v>14</v>
      </c>
      <c r="AW100" s="129">
        <f t="shared" si="576"/>
        <v>12</v>
      </c>
      <c r="AX100" s="19">
        <f t="shared" si="628"/>
        <v>23</v>
      </c>
      <c r="AY100" s="129">
        <f t="shared" si="577"/>
        <v>18</v>
      </c>
      <c r="AZ100" s="129">
        <f t="shared" si="578"/>
        <v>18</v>
      </c>
      <c r="BA100" s="129">
        <f t="shared" si="629"/>
        <v>25</v>
      </c>
      <c r="BB100" s="129">
        <f t="shared" si="579"/>
        <v>9</v>
      </c>
      <c r="BC100" s="129">
        <f t="shared" si="580"/>
        <v>6</v>
      </c>
      <c r="BD100" s="129">
        <f t="shared" si="581"/>
        <v>15</v>
      </c>
      <c r="BE100" s="129">
        <f t="shared" si="582"/>
        <v>17</v>
      </c>
      <c r="BF100" s="129">
        <f t="shared" si="583"/>
        <v>22</v>
      </c>
      <c r="BG100" s="129">
        <f t="shared" si="584"/>
        <v>14</v>
      </c>
      <c r="BH100" s="129">
        <f t="shared" si="585"/>
        <v>15</v>
      </c>
      <c r="BI100" s="129">
        <f t="shared" si="586"/>
        <v>9</v>
      </c>
      <c r="BJ100" s="19">
        <f t="shared" si="630"/>
        <v>18</v>
      </c>
      <c r="BK100" s="129">
        <f t="shared" si="587"/>
        <v>17</v>
      </c>
      <c r="BL100" s="129">
        <f t="shared" si="588"/>
        <v>0</v>
      </c>
      <c r="BM100" s="408"/>
      <c r="BN100" s="48">
        <f t="shared" si="600"/>
        <v>38</v>
      </c>
      <c r="BO100" s="48">
        <f t="shared" si="601"/>
        <v>38</v>
      </c>
      <c r="BP100" s="48">
        <f>SUM(AL100:AN100)</f>
        <v>38</v>
      </c>
      <c r="BQ100" s="48">
        <f t="shared" si="603"/>
        <v>37</v>
      </c>
      <c r="BR100" s="48">
        <f t="shared" si="604"/>
        <v>37</v>
      </c>
      <c r="BS100" s="48">
        <f>SUM(AO100:AQ100)</f>
        <v>37</v>
      </c>
      <c r="BT100" s="48">
        <f t="shared" si="606"/>
        <v>44</v>
      </c>
      <c r="BU100" s="48">
        <f t="shared" si="607"/>
        <v>44</v>
      </c>
      <c r="BV100" s="48">
        <f>SUM(AR100:AT100)</f>
        <v>44</v>
      </c>
      <c r="BW100" s="48">
        <f t="shared" si="609"/>
        <v>42</v>
      </c>
      <c r="BX100" s="48">
        <f t="shared" si="610"/>
        <v>42</v>
      </c>
      <c r="BY100" s="48">
        <f>SUM(AU100:AW100)</f>
        <v>42</v>
      </c>
      <c r="BZ100" s="48">
        <f t="shared" si="612"/>
        <v>59</v>
      </c>
      <c r="CA100" s="48">
        <f t="shared" si="613"/>
        <v>59</v>
      </c>
      <c r="CB100" s="48">
        <f>SUM(AX100:AZ100)</f>
        <v>59</v>
      </c>
      <c r="CC100" s="48">
        <f t="shared" si="615"/>
        <v>40</v>
      </c>
      <c r="CD100" s="48">
        <f t="shared" si="616"/>
        <v>40</v>
      </c>
      <c r="CE100" s="48">
        <f>SUM(BA100:BC100)</f>
        <v>40</v>
      </c>
      <c r="CF100" s="48">
        <f t="shared" si="618"/>
        <v>54</v>
      </c>
      <c r="CG100" s="48">
        <f t="shared" si="619"/>
        <v>54</v>
      </c>
      <c r="CH100" s="48">
        <f>SUM(BD100:BF100)</f>
        <v>54</v>
      </c>
      <c r="CI100" s="48">
        <f t="shared" si="621"/>
        <v>38</v>
      </c>
      <c r="CJ100" s="48">
        <f t="shared" si="622"/>
        <v>38</v>
      </c>
      <c r="CK100" s="48">
        <f>SUM(BG100:BI100)</f>
        <v>38</v>
      </c>
      <c r="CL100" s="48">
        <f t="shared" si="624"/>
        <v>35</v>
      </c>
      <c r="CM100" s="48">
        <f t="shared" si="625"/>
        <v>35</v>
      </c>
      <c r="CN100" s="48">
        <f>SUM(BJ100:BL100)</f>
        <v>35</v>
      </c>
      <c r="CO100" s="406"/>
      <c r="CP100" s="21">
        <f>+AL100</f>
        <v>15</v>
      </c>
      <c r="CQ100" s="21">
        <f t="shared" si="633"/>
        <v>32</v>
      </c>
      <c r="CR100" s="21">
        <f t="shared" si="633"/>
        <v>38</v>
      </c>
      <c r="CS100" s="21">
        <f t="shared" si="634"/>
        <v>58</v>
      </c>
      <c r="CT100" s="21">
        <f t="shared" si="634"/>
        <v>67</v>
      </c>
      <c r="CU100" s="21">
        <f t="shared" si="634"/>
        <v>75</v>
      </c>
      <c r="CV100" s="21">
        <f t="shared" si="634"/>
        <v>86</v>
      </c>
      <c r="CW100" s="21">
        <f t="shared" si="634"/>
        <v>105</v>
      </c>
      <c r="CX100" s="21">
        <f t="shared" si="634"/>
        <v>119</v>
      </c>
      <c r="CY100" s="21">
        <f t="shared" si="634"/>
        <v>135</v>
      </c>
      <c r="CZ100" s="21">
        <f t="shared" si="634"/>
        <v>149</v>
      </c>
      <c r="DA100" s="21">
        <f t="shared" si="634"/>
        <v>161</v>
      </c>
      <c r="DB100" s="21">
        <f>AX100</f>
        <v>23</v>
      </c>
      <c r="DC100" s="21">
        <f t="shared" si="635"/>
        <v>41</v>
      </c>
      <c r="DD100" s="21">
        <f t="shared" si="635"/>
        <v>59</v>
      </c>
      <c r="DE100" s="21">
        <f t="shared" si="635"/>
        <v>84</v>
      </c>
      <c r="DF100" s="21">
        <f t="shared" si="635"/>
        <v>93</v>
      </c>
      <c r="DG100" s="21">
        <f t="shared" si="635"/>
        <v>99</v>
      </c>
      <c r="DH100" s="21">
        <f t="shared" si="635"/>
        <v>114</v>
      </c>
      <c r="DI100" s="21">
        <f t="shared" si="635"/>
        <v>131</v>
      </c>
      <c r="DJ100" s="21">
        <f t="shared" si="635"/>
        <v>153</v>
      </c>
      <c r="DK100" s="21">
        <f t="shared" si="635"/>
        <v>167</v>
      </c>
      <c r="DL100" s="21">
        <f t="shared" si="635"/>
        <v>182</v>
      </c>
      <c r="DM100" s="21">
        <f t="shared" si="635"/>
        <v>191</v>
      </c>
      <c r="DN100" s="21">
        <f>BJ100</f>
        <v>18</v>
      </c>
      <c r="DO100" s="21">
        <f t="shared" si="636"/>
        <v>35</v>
      </c>
      <c r="DP100" s="21"/>
      <c r="DQ100" s="248"/>
      <c r="DR100" s="248"/>
      <c r="DS100" s="248"/>
      <c r="DT100" s="248"/>
      <c r="DU100" s="248"/>
      <c r="DV100" s="248"/>
      <c r="DW100" s="248"/>
      <c r="DX100" s="248"/>
      <c r="DY100" s="248"/>
      <c r="ED100" s="429"/>
      <c r="EE100" s="23"/>
      <c r="EF100" s="23"/>
      <c r="EG100" s="23"/>
      <c r="EH100" s="18">
        <f t="shared" si="592"/>
        <v>17</v>
      </c>
      <c r="EI100" s="18">
        <f t="shared" si="593"/>
        <v>35</v>
      </c>
      <c r="EJ100" s="18">
        <f t="shared" si="594"/>
        <v>35</v>
      </c>
      <c r="EK100" s="24">
        <f t="shared" si="637"/>
        <v>0.16666666666666666</v>
      </c>
      <c r="EL100" s="14"/>
      <c r="EM100" s="14"/>
      <c r="EN100" s="14"/>
      <c r="EO100" s="46" t="str">
        <f>IF(EH100&lt;0,,IF(EH100&lt;EE78,"È",IF(EH100=EE78,"Æ","Ç")))</f>
        <v>Ç</v>
      </c>
      <c r="EP100" s="46" t="str">
        <f>IF(EI100&lt;0,,IF(EI100&lt;EF78,"È",IF(EI100=EF78,"Æ","Ç")))</f>
        <v>Ç</v>
      </c>
      <c r="EQ100" s="2">
        <f t="shared" si="597"/>
        <v>3</v>
      </c>
      <c r="ER100" s="2">
        <f t="shared" si="598"/>
        <v>3</v>
      </c>
      <c r="ES100" s="2">
        <f t="shared" si="599"/>
        <v>3</v>
      </c>
    </row>
    <row r="101" spans="1:149" ht="12.75" customHeight="1">
      <c r="A101" s="6" t="s">
        <v>23</v>
      </c>
      <c r="B101" s="2" t="s">
        <v>163</v>
      </c>
      <c r="C101" s="3" t="s">
        <v>62</v>
      </c>
      <c r="E101" s="3" t="s">
        <v>16</v>
      </c>
      <c r="G101" s="3" t="s">
        <v>91</v>
      </c>
      <c r="I101" s="23"/>
      <c r="J101" s="19">
        <v>2</v>
      </c>
      <c r="K101" s="19">
        <v>4</v>
      </c>
      <c r="L101" s="19">
        <v>4</v>
      </c>
      <c r="M101" s="19">
        <v>5</v>
      </c>
      <c r="N101" s="19">
        <v>5</v>
      </c>
      <c r="O101" s="19">
        <v>6</v>
      </c>
      <c r="P101" s="19">
        <v>6</v>
      </c>
      <c r="Q101" s="19">
        <v>7</v>
      </c>
      <c r="R101" s="19">
        <v>8</v>
      </c>
      <c r="S101" s="19">
        <v>13</v>
      </c>
      <c r="T101" s="19">
        <v>13</v>
      </c>
      <c r="U101" s="19">
        <v>14</v>
      </c>
      <c r="V101" s="31">
        <v>3</v>
      </c>
      <c r="W101" s="19">
        <v>4</v>
      </c>
      <c r="X101" s="19">
        <v>4</v>
      </c>
      <c r="Y101" s="331">
        <v>8</v>
      </c>
      <c r="Z101" s="19">
        <v>10</v>
      </c>
      <c r="AA101" s="19">
        <v>11</v>
      </c>
      <c r="AB101" s="19">
        <v>12</v>
      </c>
      <c r="AC101" s="19">
        <v>15</v>
      </c>
      <c r="AD101" s="19">
        <v>22</v>
      </c>
      <c r="AE101" s="19">
        <v>24</v>
      </c>
      <c r="AF101" s="19">
        <v>25</v>
      </c>
      <c r="AG101" s="19">
        <v>26</v>
      </c>
      <c r="AH101" s="31">
        <v>3</v>
      </c>
      <c r="AI101" s="19">
        <v>4</v>
      </c>
      <c r="AJ101" s="19"/>
      <c r="AK101" s="408"/>
      <c r="AL101" s="19">
        <f t="shared" si="627"/>
        <v>2</v>
      </c>
      <c r="AM101" s="19">
        <f>K101-J101</f>
        <v>2</v>
      </c>
      <c r="AN101" s="19">
        <f t="shared" si="568"/>
        <v>0</v>
      </c>
      <c r="AO101" s="19">
        <f>M101-L101</f>
        <v>1</v>
      </c>
      <c r="AP101" s="129">
        <f t="shared" si="569"/>
        <v>0</v>
      </c>
      <c r="AQ101" s="129">
        <f t="shared" si="570"/>
        <v>1</v>
      </c>
      <c r="AR101" s="129">
        <f t="shared" si="571"/>
        <v>0</v>
      </c>
      <c r="AS101" s="129">
        <f t="shared" si="572"/>
        <v>1</v>
      </c>
      <c r="AT101" s="129">
        <f t="shared" si="573"/>
        <v>1</v>
      </c>
      <c r="AU101" s="129">
        <f t="shared" si="574"/>
        <v>5</v>
      </c>
      <c r="AV101" s="129">
        <f t="shared" si="575"/>
        <v>0</v>
      </c>
      <c r="AW101" s="129">
        <f t="shared" si="576"/>
        <v>1</v>
      </c>
      <c r="AX101" s="19">
        <f t="shared" si="628"/>
        <v>3</v>
      </c>
      <c r="AY101" s="129">
        <f t="shared" si="577"/>
        <v>1</v>
      </c>
      <c r="AZ101" s="129">
        <f t="shared" si="578"/>
        <v>0</v>
      </c>
      <c r="BA101" s="129">
        <f t="shared" si="629"/>
        <v>4</v>
      </c>
      <c r="BB101" s="129">
        <f t="shared" si="579"/>
        <v>2</v>
      </c>
      <c r="BC101" s="129">
        <f t="shared" si="580"/>
        <v>1</v>
      </c>
      <c r="BD101" s="129">
        <f t="shared" si="581"/>
        <v>1</v>
      </c>
      <c r="BE101" s="129">
        <f t="shared" si="582"/>
        <v>3</v>
      </c>
      <c r="BF101" s="129">
        <f t="shared" si="583"/>
        <v>7</v>
      </c>
      <c r="BG101" s="129">
        <f t="shared" si="584"/>
        <v>2</v>
      </c>
      <c r="BH101" s="129">
        <f t="shared" si="585"/>
        <v>1</v>
      </c>
      <c r="BI101" s="129">
        <f t="shared" si="586"/>
        <v>1</v>
      </c>
      <c r="BJ101" s="19">
        <f t="shared" si="630"/>
        <v>3</v>
      </c>
      <c r="BK101" s="129">
        <f t="shared" si="587"/>
        <v>1</v>
      </c>
      <c r="BL101" s="129">
        <f t="shared" si="588"/>
        <v>0</v>
      </c>
      <c r="BM101" s="408"/>
      <c r="BN101" s="48">
        <f t="shared" si="600"/>
        <v>4</v>
      </c>
      <c r="BO101" s="48">
        <f t="shared" si="601"/>
        <v>4</v>
      </c>
      <c r="BP101" s="48">
        <f>SUM(AL101:AN101)</f>
        <v>4</v>
      </c>
      <c r="BQ101" s="48">
        <f t="shared" si="603"/>
        <v>2</v>
      </c>
      <c r="BR101" s="48">
        <f t="shared" si="604"/>
        <v>2</v>
      </c>
      <c r="BS101" s="48">
        <f>SUM(AO101:AQ101)</f>
        <v>2</v>
      </c>
      <c r="BT101" s="48">
        <f t="shared" si="606"/>
        <v>2</v>
      </c>
      <c r="BU101" s="48">
        <f t="shared" si="607"/>
        <v>2</v>
      </c>
      <c r="BV101" s="48">
        <f>SUM(AR101:AT101)</f>
        <v>2</v>
      </c>
      <c r="BW101" s="48">
        <f t="shared" si="609"/>
        <v>6</v>
      </c>
      <c r="BX101" s="48">
        <f t="shared" si="610"/>
        <v>6</v>
      </c>
      <c r="BY101" s="48">
        <f>SUM(AU101:AW101)</f>
        <v>6</v>
      </c>
      <c r="BZ101" s="48">
        <f t="shared" si="612"/>
        <v>4</v>
      </c>
      <c r="CA101" s="48">
        <f t="shared" si="613"/>
        <v>4</v>
      </c>
      <c r="CB101" s="48">
        <f>SUM(AX101:AZ101)</f>
        <v>4</v>
      </c>
      <c r="CC101" s="48">
        <f t="shared" si="615"/>
        <v>7</v>
      </c>
      <c r="CD101" s="48">
        <f t="shared" si="616"/>
        <v>7</v>
      </c>
      <c r="CE101" s="48">
        <f>SUM(BA101:BC101)</f>
        <v>7</v>
      </c>
      <c r="CF101" s="48">
        <f t="shared" si="618"/>
        <v>11</v>
      </c>
      <c r="CG101" s="48">
        <f t="shared" si="619"/>
        <v>11</v>
      </c>
      <c r="CH101" s="48">
        <f>SUM(BD101:BF101)</f>
        <v>11</v>
      </c>
      <c r="CI101" s="48">
        <f t="shared" si="621"/>
        <v>4</v>
      </c>
      <c r="CJ101" s="48">
        <f t="shared" si="622"/>
        <v>4</v>
      </c>
      <c r="CK101" s="48">
        <f>SUM(BG101:BI101)</f>
        <v>4</v>
      </c>
      <c r="CL101" s="48">
        <f t="shared" si="624"/>
        <v>4</v>
      </c>
      <c r="CM101" s="48">
        <f t="shared" si="625"/>
        <v>4</v>
      </c>
      <c r="CN101" s="48">
        <f>SUM(BJ101:BL101)</f>
        <v>4</v>
      </c>
      <c r="CO101" s="406"/>
      <c r="CP101" s="21">
        <f>+AL101</f>
        <v>2</v>
      </c>
      <c r="CQ101" s="21">
        <f t="shared" si="633"/>
        <v>4</v>
      </c>
      <c r="CR101" s="21">
        <f t="shared" si="633"/>
        <v>4</v>
      </c>
      <c r="CS101" s="21">
        <f t="shared" si="634"/>
        <v>5</v>
      </c>
      <c r="CT101" s="21">
        <f t="shared" si="634"/>
        <v>5</v>
      </c>
      <c r="CU101" s="21">
        <f t="shared" si="634"/>
        <v>6</v>
      </c>
      <c r="CV101" s="21">
        <f t="shared" si="634"/>
        <v>6</v>
      </c>
      <c r="CW101" s="21">
        <f t="shared" si="634"/>
        <v>7</v>
      </c>
      <c r="CX101" s="21">
        <f t="shared" si="634"/>
        <v>8</v>
      </c>
      <c r="CY101" s="21">
        <f t="shared" si="634"/>
        <v>13</v>
      </c>
      <c r="CZ101" s="21">
        <f t="shared" si="634"/>
        <v>13</v>
      </c>
      <c r="DA101" s="21">
        <f t="shared" si="634"/>
        <v>14</v>
      </c>
      <c r="DB101" s="21">
        <f>AX101</f>
        <v>3</v>
      </c>
      <c r="DC101" s="21">
        <f t="shared" si="635"/>
        <v>4</v>
      </c>
      <c r="DD101" s="21">
        <f t="shared" si="635"/>
        <v>4</v>
      </c>
      <c r="DE101" s="21">
        <f t="shared" si="635"/>
        <v>8</v>
      </c>
      <c r="DF101" s="21">
        <f t="shared" si="635"/>
        <v>10</v>
      </c>
      <c r="DG101" s="21">
        <f t="shared" si="635"/>
        <v>11</v>
      </c>
      <c r="DH101" s="21">
        <f t="shared" si="635"/>
        <v>12</v>
      </c>
      <c r="DI101" s="21">
        <f t="shared" si="635"/>
        <v>15</v>
      </c>
      <c r="DJ101" s="21">
        <f t="shared" si="635"/>
        <v>22</v>
      </c>
      <c r="DK101" s="21">
        <f t="shared" si="635"/>
        <v>24</v>
      </c>
      <c r="DL101" s="21">
        <f t="shared" si="635"/>
        <v>25</v>
      </c>
      <c r="DM101" s="21">
        <f t="shared" si="635"/>
        <v>26</v>
      </c>
      <c r="DN101" s="21">
        <f>BJ101</f>
        <v>3</v>
      </c>
      <c r="DO101" s="21">
        <f t="shared" si="636"/>
        <v>4</v>
      </c>
      <c r="DP101" s="21"/>
      <c r="DQ101" s="248"/>
      <c r="DR101" s="248"/>
      <c r="DS101" s="248"/>
      <c r="DT101" s="248"/>
      <c r="DU101" s="248"/>
      <c r="DV101" s="248"/>
      <c r="DW101" s="248"/>
      <c r="DX101" s="248"/>
      <c r="DY101" s="248"/>
      <c r="ED101" s="429"/>
      <c r="EE101" s="23"/>
      <c r="EF101" s="23"/>
      <c r="EG101" s="23"/>
      <c r="EH101" s="18">
        <f t="shared" si="592"/>
        <v>1</v>
      </c>
      <c r="EI101" s="18">
        <f t="shared" si="593"/>
        <v>4</v>
      </c>
      <c r="EJ101" s="18">
        <f t="shared" si="594"/>
        <v>4</v>
      </c>
      <c r="EK101" s="24">
        <f t="shared" si="637"/>
        <v>0.16666666666666666</v>
      </c>
      <c r="EL101" s="14"/>
      <c r="EM101" s="14"/>
      <c r="EN101" s="14"/>
      <c r="EO101" s="46" t="str">
        <f>IF(EH101&lt;0,,IF(EH101&lt;EE77,"È",IF(EH101=EE77,"Æ","Ç")))</f>
        <v>Ç</v>
      </c>
      <c r="EP101" s="46" t="str">
        <f>IF(EI101&lt;0,,IF(EI101&lt;EF77,"È",IF(EI101=EF77,"Æ","Ç")))</f>
        <v>Ç</v>
      </c>
      <c r="EQ101" s="2">
        <f t="shared" si="597"/>
        <v>3</v>
      </c>
      <c r="ER101" s="2">
        <f t="shared" si="598"/>
        <v>3</v>
      </c>
      <c r="ES101" s="2">
        <f t="shared" si="599"/>
        <v>3</v>
      </c>
    </row>
    <row r="102" spans="1:149" ht="12.75" customHeight="1">
      <c r="A102" s="6" t="s">
        <v>23</v>
      </c>
      <c r="B102" s="2" t="s">
        <v>6</v>
      </c>
      <c r="C102" s="3" t="s">
        <v>63</v>
      </c>
      <c r="E102" s="3" t="s">
        <v>16</v>
      </c>
      <c r="G102" s="3" t="s">
        <v>89</v>
      </c>
      <c r="I102" s="23"/>
      <c r="J102" s="19">
        <v>0</v>
      </c>
      <c r="K102" s="19">
        <v>1</v>
      </c>
      <c r="L102" s="19">
        <v>1</v>
      </c>
      <c r="M102" s="19">
        <v>2</v>
      </c>
      <c r="N102" s="19">
        <v>3</v>
      </c>
      <c r="O102" s="19">
        <v>3</v>
      </c>
      <c r="P102" s="19">
        <v>1</v>
      </c>
      <c r="Q102" s="19">
        <v>3</v>
      </c>
      <c r="R102" s="19">
        <v>2</v>
      </c>
      <c r="S102" s="19">
        <v>3</v>
      </c>
      <c r="T102" s="19">
        <v>5</v>
      </c>
      <c r="U102" s="19">
        <v>6</v>
      </c>
      <c r="V102" s="31">
        <v>4</v>
      </c>
      <c r="W102" s="19">
        <v>5</v>
      </c>
      <c r="X102" s="19">
        <v>5</v>
      </c>
      <c r="Y102" s="331">
        <v>6</v>
      </c>
      <c r="Z102" s="19">
        <v>2</v>
      </c>
      <c r="AA102" s="19">
        <v>2</v>
      </c>
      <c r="AB102" s="19">
        <v>2</v>
      </c>
      <c r="AC102" s="19">
        <v>3</v>
      </c>
      <c r="AD102" s="19">
        <v>3</v>
      </c>
      <c r="AE102" s="19">
        <v>8</v>
      </c>
      <c r="AF102" s="19">
        <v>4</v>
      </c>
      <c r="AG102" s="19">
        <v>4</v>
      </c>
      <c r="AH102" s="31">
        <v>7</v>
      </c>
      <c r="AI102" s="19">
        <v>3</v>
      </c>
      <c r="AJ102" s="19"/>
      <c r="AK102" s="408"/>
      <c r="AL102" s="19">
        <f t="shared" si="627"/>
        <v>0</v>
      </c>
      <c r="AM102" s="19">
        <f t="shared" ref="AM102:AO103" si="638">K102</f>
        <v>1</v>
      </c>
      <c r="AN102" s="19">
        <f t="shared" si="638"/>
        <v>1</v>
      </c>
      <c r="AO102" s="246">
        <f t="shared" ref="AO102:AW102" si="639">M102</f>
        <v>2</v>
      </c>
      <c r="AP102" s="246">
        <f t="shared" si="639"/>
        <v>3</v>
      </c>
      <c r="AQ102" s="246">
        <f t="shared" si="639"/>
        <v>3</v>
      </c>
      <c r="AR102" s="246">
        <f t="shared" si="639"/>
        <v>1</v>
      </c>
      <c r="AS102" s="246">
        <f t="shared" si="639"/>
        <v>3</v>
      </c>
      <c r="AT102" s="246">
        <f t="shared" si="639"/>
        <v>2</v>
      </c>
      <c r="AU102" s="246">
        <f t="shared" si="639"/>
        <v>3</v>
      </c>
      <c r="AV102" s="246">
        <f t="shared" si="639"/>
        <v>5</v>
      </c>
      <c r="AW102" s="246">
        <f t="shared" si="639"/>
        <v>6</v>
      </c>
      <c r="AX102" s="19">
        <f t="shared" si="628"/>
        <v>4</v>
      </c>
      <c r="AY102" s="376">
        <f t="shared" ref="AY102:BI102" si="640">W102</f>
        <v>5</v>
      </c>
      <c r="AZ102" s="376">
        <f t="shared" si="640"/>
        <v>5</v>
      </c>
      <c r="BA102" s="376">
        <f t="shared" si="640"/>
        <v>6</v>
      </c>
      <c r="BB102" s="376">
        <f t="shared" si="640"/>
        <v>2</v>
      </c>
      <c r="BC102" s="376">
        <f t="shared" si="640"/>
        <v>2</v>
      </c>
      <c r="BD102" s="376">
        <f t="shared" si="640"/>
        <v>2</v>
      </c>
      <c r="BE102" s="376">
        <f t="shared" si="640"/>
        <v>3</v>
      </c>
      <c r="BF102" s="376">
        <f t="shared" si="640"/>
        <v>3</v>
      </c>
      <c r="BG102" s="376">
        <f t="shared" si="640"/>
        <v>8</v>
      </c>
      <c r="BH102" s="376">
        <f t="shared" si="640"/>
        <v>4</v>
      </c>
      <c r="BI102" s="376">
        <f t="shared" si="640"/>
        <v>4</v>
      </c>
      <c r="BJ102" s="19">
        <f t="shared" si="630"/>
        <v>7</v>
      </c>
      <c r="BK102" s="129">
        <f t="shared" si="587"/>
        <v>-4</v>
      </c>
      <c r="BL102" s="129">
        <f t="shared" si="588"/>
        <v>0</v>
      </c>
      <c r="BM102" s="408"/>
      <c r="BN102" s="48">
        <f t="shared" si="600"/>
        <v>2</v>
      </c>
      <c r="BO102" s="48">
        <f t="shared" si="601"/>
        <v>2</v>
      </c>
      <c r="BP102" s="48">
        <f>SUM(AL102:AN102)</f>
        <v>2</v>
      </c>
      <c r="BQ102" s="48">
        <f t="shared" si="603"/>
        <v>8</v>
      </c>
      <c r="BR102" s="48">
        <f t="shared" si="604"/>
        <v>8</v>
      </c>
      <c r="BS102" s="48">
        <f>SUM(AO102:AQ102)</f>
        <v>8</v>
      </c>
      <c r="BT102" s="48">
        <f t="shared" si="606"/>
        <v>6</v>
      </c>
      <c r="BU102" s="48">
        <f t="shared" si="607"/>
        <v>6</v>
      </c>
      <c r="BV102" s="48">
        <f>SUM(AR102:AT102)</f>
        <v>6</v>
      </c>
      <c r="BW102" s="48">
        <f t="shared" si="609"/>
        <v>14</v>
      </c>
      <c r="BX102" s="48">
        <f t="shared" si="610"/>
        <v>14</v>
      </c>
      <c r="BY102" s="48">
        <f>SUM(AU102:AW102)</f>
        <v>14</v>
      </c>
      <c r="BZ102" s="48">
        <f t="shared" si="612"/>
        <v>14</v>
      </c>
      <c r="CA102" s="48">
        <f t="shared" si="613"/>
        <v>14</v>
      </c>
      <c r="CB102" s="48">
        <f>SUM(AX102:AZ102)</f>
        <v>14</v>
      </c>
      <c r="CC102" s="48">
        <f t="shared" si="615"/>
        <v>10</v>
      </c>
      <c r="CD102" s="48">
        <f t="shared" si="616"/>
        <v>10</v>
      </c>
      <c r="CE102" s="48">
        <f>SUM(BA102:BC102)</f>
        <v>10</v>
      </c>
      <c r="CF102" s="48">
        <f t="shared" si="618"/>
        <v>8</v>
      </c>
      <c r="CG102" s="48">
        <f t="shared" si="619"/>
        <v>8</v>
      </c>
      <c r="CH102" s="48">
        <f>SUM(BD102:BF102)</f>
        <v>8</v>
      </c>
      <c r="CI102" s="48">
        <f t="shared" si="621"/>
        <v>16</v>
      </c>
      <c r="CJ102" s="48">
        <f t="shared" si="622"/>
        <v>16</v>
      </c>
      <c r="CK102" s="48">
        <f>SUM(BG102:BI102)</f>
        <v>16</v>
      </c>
      <c r="CL102" s="48">
        <f t="shared" si="624"/>
        <v>3</v>
      </c>
      <c r="CM102" s="48">
        <f t="shared" si="625"/>
        <v>3</v>
      </c>
      <c r="CN102" s="48">
        <f>SUM(BJ102:BL102)</f>
        <v>3</v>
      </c>
      <c r="CO102" s="406"/>
      <c r="CP102" s="21">
        <f>+J102</f>
        <v>0</v>
      </c>
      <c r="CQ102" s="21">
        <f t="shared" ref="CQ102:DA102" si="641">+CP102+K102</f>
        <v>1</v>
      </c>
      <c r="CR102" s="21">
        <f t="shared" si="641"/>
        <v>2</v>
      </c>
      <c r="CS102" s="21">
        <f t="shared" si="641"/>
        <v>4</v>
      </c>
      <c r="CT102" s="21">
        <f t="shared" si="641"/>
        <v>7</v>
      </c>
      <c r="CU102" s="21">
        <f t="shared" si="641"/>
        <v>10</v>
      </c>
      <c r="CV102" s="21">
        <f t="shared" si="641"/>
        <v>11</v>
      </c>
      <c r="CW102" s="21">
        <f t="shared" si="641"/>
        <v>14</v>
      </c>
      <c r="CX102" s="21">
        <f t="shared" si="641"/>
        <v>16</v>
      </c>
      <c r="CY102" s="21">
        <f t="shared" si="641"/>
        <v>19</v>
      </c>
      <c r="CZ102" s="21">
        <f t="shared" si="641"/>
        <v>24</v>
      </c>
      <c r="DA102" s="21">
        <f t="shared" si="641"/>
        <v>30</v>
      </c>
      <c r="DB102" s="21">
        <f>+V102</f>
        <v>4</v>
      </c>
      <c r="DC102" s="21">
        <f t="shared" ref="DC102:DM102" si="642">+DB102+W102</f>
        <v>9</v>
      </c>
      <c r="DD102" s="21">
        <f t="shared" si="642"/>
        <v>14</v>
      </c>
      <c r="DE102" s="21">
        <f t="shared" si="642"/>
        <v>20</v>
      </c>
      <c r="DF102" s="21">
        <f t="shared" si="642"/>
        <v>22</v>
      </c>
      <c r="DG102" s="21">
        <f t="shared" si="642"/>
        <v>24</v>
      </c>
      <c r="DH102" s="21">
        <f t="shared" si="642"/>
        <v>26</v>
      </c>
      <c r="DI102" s="21">
        <f t="shared" si="642"/>
        <v>29</v>
      </c>
      <c r="DJ102" s="21">
        <f t="shared" si="642"/>
        <v>32</v>
      </c>
      <c r="DK102" s="21">
        <f t="shared" si="642"/>
        <v>40</v>
      </c>
      <c r="DL102" s="21">
        <f t="shared" si="642"/>
        <v>44</v>
      </c>
      <c r="DM102" s="21">
        <f t="shared" si="642"/>
        <v>48</v>
      </c>
      <c r="DN102" s="21">
        <f>BJ102</f>
        <v>7</v>
      </c>
      <c r="DO102" s="21">
        <f>DN102+BK102</f>
        <v>3</v>
      </c>
      <c r="DP102" s="21"/>
      <c r="DQ102" s="248"/>
      <c r="DR102" s="248"/>
      <c r="DS102" s="248"/>
      <c r="DT102" s="248"/>
      <c r="DU102" s="248"/>
      <c r="DV102" s="248"/>
      <c r="DW102" s="248"/>
      <c r="DX102" s="248"/>
      <c r="DY102" s="248"/>
      <c r="ED102" s="429"/>
      <c r="EE102" s="23"/>
      <c r="EF102" s="23"/>
      <c r="EG102" s="23"/>
      <c r="EH102" s="18">
        <f t="shared" si="592"/>
        <v>-4</v>
      </c>
      <c r="EI102" s="18">
        <f t="shared" si="593"/>
        <v>3</v>
      </c>
      <c r="EJ102" s="18">
        <f t="shared" si="594"/>
        <v>3</v>
      </c>
      <c r="EK102" s="24">
        <f t="shared" si="637"/>
        <v>0.16666666666666666</v>
      </c>
      <c r="EL102" s="14" t="e">
        <f t="shared" ref="EL102:EN109" si="643">EH102/EE77</f>
        <v>#DIV/0!</v>
      </c>
      <c r="EM102" s="14" t="e">
        <f t="shared" si="643"/>
        <v>#DIV/0!</v>
      </c>
      <c r="EN102" s="14">
        <f>EJ102/EK102/EG77</f>
        <v>1.0714285714285714</v>
      </c>
      <c r="EO102" s="46">
        <f t="shared" ref="EO102:EO114" si="644">IF(EH102&lt;0,,IF(EH102&lt;EE77,"È",IF(EH102=EE77,"Æ","Ç")))</f>
        <v>0</v>
      </c>
      <c r="EP102" s="46" t="str">
        <f t="shared" ref="EP102:EP114" si="645">IF(EI102&lt;0,,IF(EI102&lt;EF77,"È",IF(EI102=EF77,"Æ","Ç")))</f>
        <v>Ç</v>
      </c>
      <c r="EQ102" s="2" t="e">
        <f t="shared" si="597"/>
        <v>#DIV/0!</v>
      </c>
      <c r="ER102" s="2" t="e">
        <f t="shared" si="598"/>
        <v>#DIV/0!</v>
      </c>
      <c r="ES102" s="2">
        <f t="shared" si="599"/>
        <v>1</v>
      </c>
    </row>
    <row r="103" spans="1:149" ht="12.75" customHeight="1">
      <c r="A103" s="15" t="s">
        <v>23</v>
      </c>
      <c r="B103" s="14" t="s">
        <v>7</v>
      </c>
      <c r="C103" s="16" t="s">
        <v>64</v>
      </c>
      <c r="D103" s="16"/>
      <c r="E103" s="16" t="s">
        <v>16</v>
      </c>
      <c r="F103" s="16"/>
      <c r="G103" s="16" t="s">
        <v>89</v>
      </c>
      <c r="H103" s="16"/>
      <c r="I103" s="24"/>
      <c r="J103" s="25">
        <v>0</v>
      </c>
      <c r="K103" s="25">
        <v>1</v>
      </c>
      <c r="L103" s="25">
        <v>1</v>
      </c>
      <c r="M103" s="25">
        <v>1</v>
      </c>
      <c r="N103" s="25">
        <v>1</v>
      </c>
      <c r="O103" s="25">
        <v>1</v>
      </c>
      <c r="P103" s="25">
        <v>0.4</v>
      </c>
      <c r="Q103" s="25">
        <v>0.93</v>
      </c>
      <c r="R103" s="25">
        <v>1</v>
      </c>
      <c r="S103" s="25">
        <v>1</v>
      </c>
      <c r="T103" s="25">
        <v>1</v>
      </c>
      <c r="U103" s="25">
        <v>0.9</v>
      </c>
      <c r="V103" s="33">
        <v>1</v>
      </c>
      <c r="W103" s="25">
        <v>0.88</v>
      </c>
      <c r="X103" s="25">
        <v>1</v>
      </c>
      <c r="Y103" s="332">
        <v>1</v>
      </c>
      <c r="Z103" s="25">
        <v>1</v>
      </c>
      <c r="AA103" s="25">
        <v>1</v>
      </c>
      <c r="AB103" s="25">
        <v>1</v>
      </c>
      <c r="AC103" s="25">
        <v>1</v>
      </c>
      <c r="AD103" s="25">
        <v>1</v>
      </c>
      <c r="AE103" s="25">
        <v>1</v>
      </c>
      <c r="AF103" s="25">
        <v>1</v>
      </c>
      <c r="AG103" s="25">
        <v>0.95</v>
      </c>
      <c r="AH103" s="33">
        <v>1</v>
      </c>
      <c r="AI103" s="25">
        <v>1</v>
      </c>
      <c r="AJ103" s="25"/>
      <c r="AK103" s="412"/>
      <c r="AL103" s="14">
        <f t="shared" si="627"/>
        <v>0</v>
      </c>
      <c r="AM103" s="14">
        <f t="shared" si="638"/>
        <v>1</v>
      </c>
      <c r="AN103" s="14">
        <f t="shared" si="638"/>
        <v>1</v>
      </c>
      <c r="AO103" s="14">
        <f t="shared" si="638"/>
        <v>1</v>
      </c>
      <c r="AP103" s="129">
        <f>IF(N103&lt;&gt;"",N103,0)</f>
        <v>1</v>
      </c>
      <c r="AQ103" s="129">
        <f t="shared" ref="AQ103:AW103" si="646">IF(O103&lt;&gt;"",O103,0)</f>
        <v>1</v>
      </c>
      <c r="AR103" s="129">
        <f t="shared" si="646"/>
        <v>0.4</v>
      </c>
      <c r="AS103" s="129">
        <f t="shared" si="646"/>
        <v>0.93</v>
      </c>
      <c r="AT103" s="129">
        <f t="shared" si="646"/>
        <v>1</v>
      </c>
      <c r="AU103" s="129">
        <f t="shared" si="646"/>
        <v>1</v>
      </c>
      <c r="AV103" s="129">
        <f t="shared" si="646"/>
        <v>1</v>
      </c>
      <c r="AW103" s="129">
        <f t="shared" si="646"/>
        <v>0.9</v>
      </c>
      <c r="AX103" s="14">
        <f t="shared" ref="AX103:BL103" si="647">IF(V103&lt;&gt;"",V103,0)</f>
        <v>1</v>
      </c>
      <c r="AY103" s="129">
        <f t="shared" si="647"/>
        <v>0.88</v>
      </c>
      <c r="AZ103" s="129">
        <f t="shared" si="647"/>
        <v>1</v>
      </c>
      <c r="BA103" s="129">
        <f t="shared" si="647"/>
        <v>1</v>
      </c>
      <c r="BB103" s="129">
        <f t="shared" si="647"/>
        <v>1</v>
      </c>
      <c r="BC103" s="129">
        <f t="shared" si="647"/>
        <v>1</v>
      </c>
      <c r="BD103" s="129">
        <f t="shared" si="647"/>
        <v>1</v>
      </c>
      <c r="BE103" s="129">
        <f t="shared" si="647"/>
        <v>1</v>
      </c>
      <c r="BF103" s="129">
        <f t="shared" si="647"/>
        <v>1</v>
      </c>
      <c r="BG103" s="129">
        <f t="shared" si="647"/>
        <v>1</v>
      </c>
      <c r="BH103" s="129">
        <f t="shared" si="647"/>
        <v>1</v>
      </c>
      <c r="BI103" s="129">
        <f t="shared" si="647"/>
        <v>0.95</v>
      </c>
      <c r="BJ103" s="14">
        <f t="shared" si="647"/>
        <v>1</v>
      </c>
      <c r="BK103" s="129">
        <f t="shared" si="647"/>
        <v>1</v>
      </c>
      <c r="BL103" s="129">
        <f t="shared" si="647"/>
        <v>0</v>
      </c>
      <c r="BM103" s="410"/>
      <c r="BN103" s="56">
        <f t="shared" si="600"/>
        <v>1</v>
      </c>
      <c r="BO103" s="56">
        <f t="shared" si="601"/>
        <v>1</v>
      </c>
      <c r="BP103" s="56">
        <f>(AL103*AL102+AM103*AM102+AN103*AN102)/BP102</f>
        <v>1</v>
      </c>
      <c r="BQ103" s="56">
        <f t="shared" si="603"/>
        <v>1</v>
      </c>
      <c r="BR103" s="56">
        <f t="shared" si="604"/>
        <v>1</v>
      </c>
      <c r="BS103" s="56">
        <f>(AO103*AO102+AP103*AP102+AQ103*AQ102)/BS102</f>
        <v>1</v>
      </c>
      <c r="BT103" s="56">
        <f t="shared" si="606"/>
        <v>0.86499999999999988</v>
      </c>
      <c r="BU103" s="56">
        <f t="shared" si="607"/>
        <v>0.86499999999999988</v>
      </c>
      <c r="BV103" s="56">
        <f>(AR103*AR102+AS103*AS102+AT103*AT102)/BV102</f>
        <v>0.86499999999999988</v>
      </c>
      <c r="BW103" s="56">
        <f t="shared" si="609"/>
        <v>0.95714285714285718</v>
      </c>
      <c r="BX103" s="56">
        <f t="shared" si="610"/>
        <v>0.95714285714285718</v>
      </c>
      <c r="BY103" s="56">
        <f>(AU103*AU102+AV103*AV102+AW103*AW102)/BY102</f>
        <v>0.95714285714285718</v>
      </c>
      <c r="BZ103" s="56">
        <f t="shared" si="612"/>
        <v>0.95714285714285718</v>
      </c>
      <c r="CA103" s="56">
        <f t="shared" si="613"/>
        <v>0.95714285714285718</v>
      </c>
      <c r="CB103" s="56">
        <f>(AX103*AX102+AY103*AY102+AZ103*AZ102)/CB102</f>
        <v>0.95714285714285718</v>
      </c>
      <c r="CC103" s="56">
        <f t="shared" si="615"/>
        <v>1</v>
      </c>
      <c r="CD103" s="56">
        <f t="shared" si="616"/>
        <v>1</v>
      </c>
      <c r="CE103" s="56">
        <f>(BA103*BA102+BB103*BB102+BC103*BC102)/CE102</f>
        <v>1</v>
      </c>
      <c r="CF103" s="56">
        <f t="shared" si="618"/>
        <v>1</v>
      </c>
      <c r="CG103" s="56">
        <f t="shared" si="619"/>
        <v>1</v>
      </c>
      <c r="CH103" s="56">
        <f>(BD103*BD102+BE103*BE102+BF103*BF102)/CH102</f>
        <v>1</v>
      </c>
      <c r="CI103" s="56">
        <f t="shared" si="621"/>
        <v>0.98750000000000004</v>
      </c>
      <c r="CJ103" s="56">
        <f t="shared" si="622"/>
        <v>0.98750000000000004</v>
      </c>
      <c r="CK103" s="56">
        <f>(BG103*BG102+BH103*BH102+BI103*BI102)/CK102</f>
        <v>0.98750000000000004</v>
      </c>
      <c r="CL103" s="56">
        <f t="shared" si="624"/>
        <v>1</v>
      </c>
      <c r="CM103" s="56">
        <f t="shared" si="625"/>
        <v>1</v>
      </c>
      <c r="CN103" s="56">
        <f>(BJ103*BJ102+BK103*BK102+BL103*BL102)/CN102</f>
        <v>1</v>
      </c>
      <c r="CO103" s="422"/>
      <c r="CP103" s="25">
        <f>J103</f>
        <v>0</v>
      </c>
      <c r="CQ103" s="25">
        <f t="shared" ref="CQ103:DN103" si="648">CQ115/CQ102</f>
        <v>1</v>
      </c>
      <c r="CR103" s="25">
        <f t="shared" si="648"/>
        <v>1</v>
      </c>
      <c r="CS103" s="25">
        <f t="shared" si="648"/>
        <v>1</v>
      </c>
      <c r="CT103" s="25">
        <f t="shared" si="648"/>
        <v>1</v>
      </c>
      <c r="CU103" s="25">
        <f t="shared" si="648"/>
        <v>1</v>
      </c>
      <c r="CV103" s="25">
        <f t="shared" si="648"/>
        <v>0.94545454545454544</v>
      </c>
      <c r="CW103" s="25">
        <f t="shared" si="648"/>
        <v>0.94214285714285728</v>
      </c>
      <c r="CX103" s="25">
        <f t="shared" si="648"/>
        <v>0.94937500000000008</v>
      </c>
      <c r="CY103" s="25">
        <f t="shared" si="648"/>
        <v>0.95736842105263165</v>
      </c>
      <c r="CZ103" s="25">
        <f t="shared" si="648"/>
        <v>0.96625000000000005</v>
      </c>
      <c r="DA103" s="25">
        <f t="shared" si="648"/>
        <v>0.95300000000000007</v>
      </c>
      <c r="DB103" s="25">
        <f t="shared" si="648"/>
        <v>1</v>
      </c>
      <c r="DC103" s="25">
        <f t="shared" si="648"/>
        <v>0.93333333333333335</v>
      </c>
      <c r="DD103" s="25">
        <f t="shared" si="648"/>
        <v>0.95714285714285718</v>
      </c>
      <c r="DE103" s="25">
        <f t="shared" si="648"/>
        <v>0.97</v>
      </c>
      <c r="DF103" s="25">
        <f t="shared" si="648"/>
        <v>0.97272727272727266</v>
      </c>
      <c r="DG103" s="25">
        <f t="shared" si="648"/>
        <v>0.97499999999999998</v>
      </c>
      <c r="DH103" s="25">
        <f t="shared" si="648"/>
        <v>0.97692307692307689</v>
      </c>
      <c r="DI103" s="25">
        <f t="shared" si="648"/>
        <v>0.97931034482758617</v>
      </c>
      <c r="DJ103" s="25">
        <f t="shared" si="648"/>
        <v>0.98124999999999996</v>
      </c>
      <c r="DK103" s="25">
        <f t="shared" si="648"/>
        <v>0.98499999999999999</v>
      </c>
      <c r="DL103" s="25">
        <f t="shared" si="648"/>
        <v>0.98636363636363633</v>
      </c>
      <c r="DM103" s="25">
        <f t="shared" si="648"/>
        <v>0.98333333333333328</v>
      </c>
      <c r="DN103" s="25">
        <f t="shared" si="648"/>
        <v>1</v>
      </c>
      <c r="DO103" s="377">
        <v>1</v>
      </c>
      <c r="DP103" s="25"/>
      <c r="DQ103" s="377"/>
      <c r="DR103" s="377"/>
      <c r="DS103" s="377"/>
      <c r="DT103" s="377"/>
      <c r="DU103" s="377"/>
      <c r="DV103" s="377"/>
      <c r="DW103" s="377"/>
      <c r="DX103" s="377"/>
      <c r="DY103" s="377"/>
      <c r="DZ103" s="14"/>
      <c r="EA103" s="14"/>
      <c r="EB103" s="14"/>
      <c r="EC103" s="14"/>
      <c r="ED103" s="430"/>
      <c r="EE103" s="24"/>
      <c r="EF103" s="24"/>
      <c r="EG103" s="24"/>
      <c r="EH103" s="25">
        <f t="shared" si="592"/>
        <v>1</v>
      </c>
      <c r="EI103" s="25">
        <f t="shared" si="593"/>
        <v>1</v>
      </c>
      <c r="EJ103" s="25">
        <f t="shared" si="594"/>
        <v>1</v>
      </c>
      <c r="EK103" s="24">
        <f t="shared" si="637"/>
        <v>0.16666666666666666</v>
      </c>
      <c r="EL103" s="14">
        <f>EH103</f>
        <v>1</v>
      </c>
      <c r="EM103" s="14">
        <f>EI103</f>
        <v>1</v>
      </c>
      <c r="EN103" s="14">
        <f>EJ103</f>
        <v>1</v>
      </c>
      <c r="EO103" s="46" t="str">
        <f t="shared" si="644"/>
        <v>Ç</v>
      </c>
      <c r="EP103" s="46" t="str">
        <f t="shared" si="645"/>
        <v>Ç</v>
      </c>
      <c r="EQ103" s="2">
        <f t="shared" si="597"/>
        <v>1</v>
      </c>
      <c r="ER103" s="2">
        <f t="shared" si="598"/>
        <v>1</v>
      </c>
      <c r="ES103" s="2">
        <f t="shared" si="599"/>
        <v>1</v>
      </c>
    </row>
    <row r="104" spans="1:149" ht="12.75" customHeight="1">
      <c r="A104" s="6" t="s">
        <v>23</v>
      </c>
      <c r="B104" s="2" t="s">
        <v>8</v>
      </c>
      <c r="C104" s="3" t="s">
        <v>87</v>
      </c>
      <c r="E104" s="3" t="s">
        <v>16</v>
      </c>
      <c r="G104" s="3" t="s">
        <v>91</v>
      </c>
      <c r="I104" s="23"/>
      <c r="J104" s="19">
        <v>0</v>
      </c>
      <c r="K104" s="19">
        <v>0</v>
      </c>
      <c r="L104" s="19">
        <v>0</v>
      </c>
      <c r="M104" s="19">
        <v>0</v>
      </c>
      <c r="N104" s="19">
        <v>0</v>
      </c>
      <c r="O104" s="19">
        <v>0</v>
      </c>
      <c r="P104" s="19">
        <v>3</v>
      </c>
      <c r="Q104" s="19">
        <v>6</v>
      </c>
      <c r="R104" s="19">
        <v>6</v>
      </c>
      <c r="S104" s="19">
        <v>6</v>
      </c>
      <c r="T104" s="19">
        <v>7</v>
      </c>
      <c r="U104" s="19">
        <v>7</v>
      </c>
      <c r="V104" s="31">
        <v>0</v>
      </c>
      <c r="W104" s="19">
        <v>0</v>
      </c>
      <c r="X104" s="19">
        <v>0</v>
      </c>
      <c r="Y104" s="331">
        <v>18</v>
      </c>
      <c r="Z104" s="19">
        <v>21</v>
      </c>
      <c r="AA104" s="19">
        <v>21</v>
      </c>
      <c r="AB104" s="19">
        <v>27</v>
      </c>
      <c r="AC104" s="19">
        <v>29</v>
      </c>
      <c r="AD104" s="19">
        <v>35</v>
      </c>
      <c r="AE104" s="19">
        <v>38</v>
      </c>
      <c r="AF104" s="19">
        <v>38</v>
      </c>
      <c r="AG104" s="19">
        <v>38</v>
      </c>
      <c r="AH104" s="31">
        <v>0</v>
      </c>
      <c r="AI104" s="19">
        <v>0</v>
      </c>
      <c r="AJ104" s="19"/>
      <c r="AK104" s="408"/>
      <c r="AL104" s="19">
        <f t="shared" si="627"/>
        <v>0</v>
      </c>
      <c r="AM104" s="19">
        <f>K104-J104</f>
        <v>0</v>
      </c>
      <c r="AN104" s="19">
        <f t="shared" ref="AN104:AN110" si="649">L104-K104</f>
        <v>0</v>
      </c>
      <c r="AO104" s="19">
        <f t="shared" ref="AO104:AO110" si="650">M104-L104</f>
        <v>0</v>
      </c>
      <c r="AP104" s="129">
        <f t="shared" ref="AP104:AP109" si="651">IF(N104&lt;&gt;"",N104-M104,0)</f>
        <v>0</v>
      </c>
      <c r="AQ104" s="129">
        <f t="shared" ref="AQ104:BL104" si="652">IF(O104&lt;&gt;"",O104-N104,0)</f>
        <v>0</v>
      </c>
      <c r="AR104" s="129">
        <f t="shared" si="652"/>
        <v>3</v>
      </c>
      <c r="AS104" s="129">
        <f t="shared" si="652"/>
        <v>3</v>
      </c>
      <c r="AT104" s="129">
        <f t="shared" si="652"/>
        <v>0</v>
      </c>
      <c r="AU104" s="129">
        <f t="shared" si="652"/>
        <v>0</v>
      </c>
      <c r="AV104" s="129">
        <f t="shared" si="652"/>
        <v>1</v>
      </c>
      <c r="AW104" s="129">
        <f t="shared" si="652"/>
        <v>0</v>
      </c>
      <c r="AX104" s="19">
        <f>IF(V104&lt;&gt;"",V104,0)</f>
        <v>0</v>
      </c>
      <c r="AY104" s="129">
        <f t="shared" si="652"/>
        <v>0</v>
      </c>
      <c r="AZ104" s="129">
        <f t="shared" si="652"/>
        <v>0</v>
      </c>
      <c r="BA104" s="129">
        <f t="shared" si="652"/>
        <v>18</v>
      </c>
      <c r="BB104" s="129">
        <f t="shared" si="652"/>
        <v>3</v>
      </c>
      <c r="BC104" s="129">
        <f t="shared" si="652"/>
        <v>0</v>
      </c>
      <c r="BD104" s="129">
        <f t="shared" si="652"/>
        <v>6</v>
      </c>
      <c r="BE104" s="129">
        <f t="shared" si="652"/>
        <v>2</v>
      </c>
      <c r="BF104" s="129">
        <f t="shared" si="652"/>
        <v>6</v>
      </c>
      <c r="BG104" s="129">
        <f t="shared" si="652"/>
        <v>3</v>
      </c>
      <c r="BH104" s="129">
        <f t="shared" si="652"/>
        <v>0</v>
      </c>
      <c r="BI104" s="129">
        <f t="shared" si="652"/>
        <v>0</v>
      </c>
      <c r="BJ104" s="19">
        <f t="shared" si="652"/>
        <v>-38</v>
      </c>
      <c r="BK104" s="129">
        <f t="shared" si="652"/>
        <v>0</v>
      </c>
      <c r="BL104" s="129">
        <f t="shared" si="652"/>
        <v>0</v>
      </c>
      <c r="BM104" s="408"/>
      <c r="BN104" s="48">
        <f t="shared" si="600"/>
        <v>0</v>
      </c>
      <c r="BO104" s="48">
        <f t="shared" si="601"/>
        <v>0</v>
      </c>
      <c r="BP104" s="48">
        <f t="shared" ref="BP104:BP109" si="653">SUM(AL104:AN104)</f>
        <v>0</v>
      </c>
      <c r="BQ104" s="48">
        <f t="shared" si="603"/>
        <v>0</v>
      </c>
      <c r="BR104" s="48">
        <f t="shared" si="604"/>
        <v>0</v>
      </c>
      <c r="BS104" s="48">
        <f t="shared" ref="BS104:BS109" si="654">SUM(AO104:AQ104)</f>
        <v>0</v>
      </c>
      <c r="BT104" s="48">
        <f t="shared" si="606"/>
        <v>6</v>
      </c>
      <c r="BU104" s="48">
        <f t="shared" si="607"/>
        <v>6</v>
      </c>
      <c r="BV104" s="48">
        <f t="shared" ref="BV104:BV109" si="655">SUM(AR104:AT104)</f>
        <v>6</v>
      </c>
      <c r="BW104" s="48">
        <f t="shared" si="609"/>
        <v>1</v>
      </c>
      <c r="BX104" s="48">
        <f t="shared" si="610"/>
        <v>1</v>
      </c>
      <c r="BY104" s="48">
        <f t="shared" ref="BY104:BY109" si="656">SUM(AU104:AW104)</f>
        <v>1</v>
      </c>
      <c r="BZ104" s="48">
        <f t="shared" si="612"/>
        <v>0</v>
      </c>
      <c r="CA104" s="48">
        <f t="shared" si="613"/>
        <v>0</v>
      </c>
      <c r="CB104" s="48">
        <f t="shared" ref="CB104:CB109" si="657">SUM(AX104:AZ104)</f>
        <v>0</v>
      </c>
      <c r="CC104" s="48">
        <f t="shared" si="615"/>
        <v>21</v>
      </c>
      <c r="CD104" s="48">
        <f t="shared" si="616"/>
        <v>21</v>
      </c>
      <c r="CE104" s="48">
        <f t="shared" ref="CE104:CE109" si="658">SUM(BA104:BC104)</f>
        <v>21</v>
      </c>
      <c r="CF104" s="48">
        <f t="shared" si="618"/>
        <v>14</v>
      </c>
      <c r="CG104" s="48">
        <f t="shared" si="619"/>
        <v>14</v>
      </c>
      <c r="CH104" s="48">
        <f t="shared" ref="CH104:CH109" si="659">SUM(BD104:BF104)</f>
        <v>14</v>
      </c>
      <c r="CI104" s="48">
        <f t="shared" si="621"/>
        <v>3</v>
      </c>
      <c r="CJ104" s="48">
        <f t="shared" si="622"/>
        <v>3</v>
      </c>
      <c r="CK104" s="48">
        <f t="shared" ref="CK104:CK109" si="660">SUM(BG104:BI104)</f>
        <v>3</v>
      </c>
      <c r="CL104" s="48">
        <f t="shared" si="624"/>
        <v>-38</v>
      </c>
      <c r="CM104" s="48">
        <f t="shared" si="625"/>
        <v>-38</v>
      </c>
      <c r="CN104" s="48">
        <f t="shared" ref="CN104:CN109" si="661">SUM(BJ104:BL104)</f>
        <v>-38</v>
      </c>
      <c r="CO104" s="406"/>
      <c r="CP104" s="21">
        <f>AL104</f>
        <v>0</v>
      </c>
      <c r="CQ104" s="21">
        <f>CP104+AM104</f>
        <v>0</v>
      </c>
      <c r="CR104" s="21">
        <f t="shared" ref="CR104:CR110" si="662">CQ104+AN104</f>
        <v>0</v>
      </c>
      <c r="CS104" s="21">
        <f t="shared" ref="CS104:CS110" si="663">CR104+AO104</f>
        <v>0</v>
      </c>
      <c r="CT104" s="21">
        <f t="shared" ref="CT104:CT110" si="664">CS104+AP104</f>
        <v>0</v>
      </c>
      <c r="CU104" s="21">
        <f t="shared" ref="CU104:CU110" si="665">CT104+AQ104</f>
        <v>0</v>
      </c>
      <c r="CV104" s="21">
        <f t="shared" ref="CV104:CV110" si="666">CU104+AR104</f>
        <v>3</v>
      </c>
      <c r="CW104" s="21">
        <f t="shared" ref="CW104:CW110" si="667">CV104+AS104</f>
        <v>6</v>
      </c>
      <c r="CX104" s="21">
        <f t="shared" ref="CX104:CX110" si="668">CW104+AT104</f>
        <v>6</v>
      </c>
      <c r="CY104" s="21">
        <f t="shared" ref="CY104:CY110" si="669">CX104+AU104</f>
        <v>6</v>
      </c>
      <c r="CZ104" s="21">
        <f t="shared" ref="CZ104:CZ110" si="670">CY104+AV104</f>
        <v>7</v>
      </c>
      <c r="DA104" s="21">
        <f t="shared" ref="DA104:DA110" si="671">CZ104+AW104</f>
        <v>7</v>
      </c>
      <c r="DB104" s="21">
        <v>0</v>
      </c>
      <c r="DC104" s="21">
        <f t="shared" ref="DC104:DC110" si="672">DB104+AY104</f>
        <v>0</v>
      </c>
      <c r="DD104" s="21">
        <f t="shared" ref="DD104:DD110" si="673">DC104+AZ104</f>
        <v>0</v>
      </c>
      <c r="DE104" s="21">
        <f t="shared" ref="DE104:DE110" si="674">DD104+BA104</f>
        <v>18</v>
      </c>
      <c r="DF104" s="21">
        <f t="shared" ref="DF104:DF110" si="675">DE104+BB104</f>
        <v>21</v>
      </c>
      <c r="DG104" s="21">
        <f t="shared" ref="DG104:DG110" si="676">DF104+BC104</f>
        <v>21</v>
      </c>
      <c r="DH104" s="21">
        <f t="shared" ref="DH104:DH110" si="677">DG104+BD104</f>
        <v>27</v>
      </c>
      <c r="DI104" s="21">
        <f t="shared" ref="DI104:DI110" si="678">DH104+BE104</f>
        <v>29</v>
      </c>
      <c r="DJ104" s="21">
        <f t="shared" ref="DJ104:DJ110" si="679">DI104+BF104</f>
        <v>35</v>
      </c>
      <c r="DK104" s="21">
        <f t="shared" ref="DK104:DK110" si="680">DJ104+BG104</f>
        <v>38</v>
      </c>
      <c r="DL104" s="21">
        <f t="shared" ref="DL104:DL110" si="681">DK104+BH104</f>
        <v>38</v>
      </c>
      <c r="DM104" s="21">
        <f t="shared" ref="DM104:DM110" si="682">DL104+BI104</f>
        <v>38</v>
      </c>
      <c r="DN104" s="21">
        <f t="shared" ref="DN104:DN109" si="683">BJ104</f>
        <v>-38</v>
      </c>
      <c r="DO104" s="21">
        <f t="shared" ref="DO104:DO110" si="684">DN104+BK104</f>
        <v>-38</v>
      </c>
      <c r="DP104" s="21"/>
      <c r="DQ104" s="248"/>
      <c r="DR104" s="248"/>
      <c r="DS104" s="248"/>
      <c r="DT104" s="248"/>
      <c r="DU104" s="248"/>
      <c r="DV104" s="248"/>
      <c r="DW104" s="248"/>
      <c r="DX104" s="248"/>
      <c r="DY104" s="248"/>
      <c r="ED104" s="429"/>
      <c r="EE104" s="23"/>
      <c r="EF104" s="23"/>
      <c r="EG104" s="23"/>
      <c r="EH104" s="18">
        <f t="shared" si="592"/>
        <v>0</v>
      </c>
      <c r="EI104" s="18">
        <f t="shared" si="593"/>
        <v>-38</v>
      </c>
      <c r="EJ104" s="18">
        <f t="shared" si="594"/>
        <v>-38</v>
      </c>
      <c r="EK104" s="24">
        <f t="shared" si="637"/>
        <v>0.16666666666666666</v>
      </c>
      <c r="EL104" s="14" t="e">
        <f t="shared" si="643"/>
        <v>#DIV/0!</v>
      </c>
      <c r="EM104" s="14" t="e">
        <f t="shared" si="643"/>
        <v>#DIV/0!</v>
      </c>
      <c r="EN104" s="14">
        <f>EJ104/EK104/EG79</f>
        <v>-16.295025728987991</v>
      </c>
      <c r="EO104" s="46" t="str">
        <f t="shared" si="644"/>
        <v>Æ</v>
      </c>
      <c r="EP104" s="46">
        <f t="shared" si="645"/>
        <v>0</v>
      </c>
      <c r="EQ104" s="2" t="e">
        <f t="shared" si="597"/>
        <v>#DIV/0!</v>
      </c>
      <c r="ER104" s="2" t="e">
        <f t="shared" si="598"/>
        <v>#DIV/0!</v>
      </c>
      <c r="ES104" s="2">
        <f t="shared" si="599"/>
        <v>3</v>
      </c>
    </row>
    <row r="105" spans="1:149" ht="12.75" customHeight="1">
      <c r="A105" s="6" t="s">
        <v>23</v>
      </c>
      <c r="B105" s="2" t="s">
        <v>9</v>
      </c>
      <c r="C105" s="3" t="s">
        <v>65</v>
      </c>
      <c r="E105" s="3" t="s">
        <v>16</v>
      </c>
      <c r="G105" s="3" t="s">
        <v>91</v>
      </c>
      <c r="I105" s="23"/>
      <c r="J105" s="19">
        <v>20.5</v>
      </c>
      <c r="K105" s="19">
        <v>46.25</v>
      </c>
      <c r="L105" s="19">
        <v>59.33</v>
      </c>
      <c r="M105" s="19">
        <v>95.8</v>
      </c>
      <c r="N105" s="19">
        <v>111.16</v>
      </c>
      <c r="O105" s="19">
        <v>127.74</v>
      </c>
      <c r="P105" s="19">
        <v>139.81</v>
      </c>
      <c r="Q105" s="19">
        <v>171.97</v>
      </c>
      <c r="R105" s="19">
        <v>198.22</v>
      </c>
      <c r="S105" s="19">
        <v>243.3</v>
      </c>
      <c r="T105" s="19">
        <v>266.95999999999998</v>
      </c>
      <c r="U105" s="19">
        <v>286.77999999999997</v>
      </c>
      <c r="V105" s="31">
        <v>47.57</v>
      </c>
      <c r="W105" s="19">
        <v>88.22</v>
      </c>
      <c r="X105" s="19">
        <v>137.16</v>
      </c>
      <c r="Y105" s="331">
        <v>215.19</v>
      </c>
      <c r="Z105" s="19">
        <v>275.81</v>
      </c>
      <c r="AA105" s="19">
        <v>333.73</v>
      </c>
      <c r="AB105" s="19">
        <v>365.55</v>
      </c>
      <c r="AC105" s="19">
        <v>424.71</v>
      </c>
      <c r="AD105" s="19">
        <v>830.41</v>
      </c>
      <c r="AE105" s="19">
        <v>1254.05</v>
      </c>
      <c r="AF105" s="19">
        <v>1300.1300000000001</v>
      </c>
      <c r="AG105" s="19">
        <v>1345.38</v>
      </c>
      <c r="AH105" s="31">
        <v>33.76</v>
      </c>
      <c r="AI105" s="19">
        <v>72.349999999999994</v>
      </c>
      <c r="AJ105" s="19"/>
      <c r="AK105" s="408"/>
      <c r="AL105" s="19">
        <f t="shared" si="627"/>
        <v>20.5</v>
      </c>
      <c r="AM105" s="19">
        <f t="shared" ref="AM105:AM110" si="685">K105-J105</f>
        <v>25.75</v>
      </c>
      <c r="AN105" s="19">
        <f t="shared" si="649"/>
        <v>13.079999999999998</v>
      </c>
      <c r="AO105" s="19">
        <f t="shared" si="650"/>
        <v>36.47</v>
      </c>
      <c r="AP105" s="130">
        <f t="shared" si="651"/>
        <v>15.36</v>
      </c>
      <c r="AQ105" s="130">
        <f t="shared" ref="AQ105:AQ112" si="686">IF(O105&lt;&gt;"",O105-N105,0)</f>
        <v>16.579999999999998</v>
      </c>
      <c r="AR105" s="130">
        <f t="shared" si="571"/>
        <v>12.070000000000007</v>
      </c>
      <c r="AS105" s="130">
        <f t="shared" si="572"/>
        <v>32.159999999999997</v>
      </c>
      <c r="AT105" s="130">
        <f t="shared" si="573"/>
        <v>26.25</v>
      </c>
      <c r="AU105" s="130">
        <f t="shared" si="574"/>
        <v>45.080000000000013</v>
      </c>
      <c r="AV105" s="130">
        <f t="shared" si="575"/>
        <v>23.659999999999968</v>
      </c>
      <c r="AW105" s="130">
        <f t="shared" si="576"/>
        <v>19.819999999999993</v>
      </c>
      <c r="AX105" s="19">
        <f t="shared" si="628"/>
        <v>47.57</v>
      </c>
      <c r="AY105" s="130">
        <f t="shared" si="577"/>
        <v>40.65</v>
      </c>
      <c r="AZ105" s="130">
        <f t="shared" si="578"/>
        <v>48.94</v>
      </c>
      <c r="BA105" s="130">
        <f t="shared" si="629"/>
        <v>78.03</v>
      </c>
      <c r="BB105" s="130">
        <f t="shared" si="579"/>
        <v>60.620000000000005</v>
      </c>
      <c r="BC105" s="130">
        <f t="shared" si="580"/>
        <v>57.920000000000016</v>
      </c>
      <c r="BD105" s="130">
        <f t="shared" si="581"/>
        <v>31.819999999999993</v>
      </c>
      <c r="BE105" s="130">
        <f t="shared" si="582"/>
        <v>59.159999999999968</v>
      </c>
      <c r="BF105" s="130">
        <f t="shared" si="583"/>
        <v>405.7</v>
      </c>
      <c r="BG105" s="130">
        <f t="shared" si="584"/>
        <v>423.64</v>
      </c>
      <c r="BH105" s="130">
        <f t="shared" si="585"/>
        <v>46.080000000000155</v>
      </c>
      <c r="BI105" s="130">
        <f t="shared" si="586"/>
        <v>45.25</v>
      </c>
      <c r="BJ105" s="19">
        <f t="shared" si="630"/>
        <v>33.76</v>
      </c>
      <c r="BK105" s="130">
        <f t="shared" si="587"/>
        <v>38.589999999999996</v>
      </c>
      <c r="BL105" s="130">
        <f t="shared" si="588"/>
        <v>0</v>
      </c>
      <c r="BM105" s="408"/>
      <c r="BN105" s="48">
        <f t="shared" si="600"/>
        <v>59.33</v>
      </c>
      <c r="BO105" s="48">
        <f t="shared" si="601"/>
        <v>59.33</v>
      </c>
      <c r="BP105" s="48">
        <f t="shared" si="653"/>
        <v>59.33</v>
      </c>
      <c r="BQ105" s="48">
        <f t="shared" si="603"/>
        <v>68.41</v>
      </c>
      <c r="BR105" s="48">
        <f t="shared" si="604"/>
        <v>68.41</v>
      </c>
      <c r="BS105" s="48">
        <f t="shared" si="654"/>
        <v>68.41</v>
      </c>
      <c r="BT105" s="48">
        <f t="shared" si="606"/>
        <v>70.48</v>
      </c>
      <c r="BU105" s="48">
        <f t="shared" si="607"/>
        <v>70.48</v>
      </c>
      <c r="BV105" s="48">
        <f t="shared" si="655"/>
        <v>70.48</v>
      </c>
      <c r="BW105" s="48">
        <f t="shared" si="609"/>
        <v>88.559999999999974</v>
      </c>
      <c r="BX105" s="48">
        <f t="shared" si="610"/>
        <v>88.559999999999974</v>
      </c>
      <c r="BY105" s="48">
        <f t="shared" si="656"/>
        <v>88.559999999999974</v>
      </c>
      <c r="BZ105" s="48">
        <f t="shared" si="612"/>
        <v>137.16</v>
      </c>
      <c r="CA105" s="48">
        <f t="shared" si="613"/>
        <v>137.16</v>
      </c>
      <c r="CB105" s="48">
        <f t="shared" si="657"/>
        <v>137.16</v>
      </c>
      <c r="CC105" s="48">
        <f t="shared" si="615"/>
        <v>196.57000000000002</v>
      </c>
      <c r="CD105" s="48">
        <f t="shared" si="616"/>
        <v>196.57000000000002</v>
      </c>
      <c r="CE105" s="48">
        <f t="shared" si="658"/>
        <v>196.57000000000002</v>
      </c>
      <c r="CF105" s="48">
        <f t="shared" si="618"/>
        <v>496.67999999999995</v>
      </c>
      <c r="CG105" s="48">
        <f t="shared" si="619"/>
        <v>496.67999999999995</v>
      </c>
      <c r="CH105" s="48">
        <f t="shared" si="659"/>
        <v>496.67999999999995</v>
      </c>
      <c r="CI105" s="48">
        <f t="shared" si="621"/>
        <v>514.97000000000014</v>
      </c>
      <c r="CJ105" s="48">
        <f t="shared" si="622"/>
        <v>514.97000000000014</v>
      </c>
      <c r="CK105" s="48">
        <f t="shared" si="660"/>
        <v>514.97000000000014</v>
      </c>
      <c r="CL105" s="48">
        <f t="shared" si="624"/>
        <v>72.349999999999994</v>
      </c>
      <c r="CM105" s="48">
        <f t="shared" si="625"/>
        <v>72.349999999999994</v>
      </c>
      <c r="CN105" s="48">
        <f t="shared" si="661"/>
        <v>72.349999999999994</v>
      </c>
      <c r="CO105" s="406"/>
      <c r="CP105" s="21">
        <f t="shared" ref="CP105:CP110" si="687">AL105</f>
        <v>20.5</v>
      </c>
      <c r="CQ105" s="21">
        <f t="shared" ref="CQ105:CQ110" si="688">CP105+AM105</f>
        <v>46.25</v>
      </c>
      <c r="CR105" s="21">
        <f t="shared" si="662"/>
        <v>59.33</v>
      </c>
      <c r="CS105" s="21">
        <f t="shared" si="663"/>
        <v>95.8</v>
      </c>
      <c r="CT105" s="21">
        <f t="shared" si="664"/>
        <v>111.16</v>
      </c>
      <c r="CU105" s="21">
        <f t="shared" si="665"/>
        <v>127.74</v>
      </c>
      <c r="CV105" s="21">
        <f t="shared" si="666"/>
        <v>139.81</v>
      </c>
      <c r="CW105" s="21">
        <f t="shared" si="667"/>
        <v>171.97</v>
      </c>
      <c r="CX105" s="21">
        <f t="shared" si="668"/>
        <v>198.22</v>
      </c>
      <c r="CY105" s="21">
        <f t="shared" si="669"/>
        <v>243.3</v>
      </c>
      <c r="CZ105" s="21">
        <f t="shared" si="670"/>
        <v>266.95999999999998</v>
      </c>
      <c r="DA105" s="21">
        <f t="shared" si="671"/>
        <v>286.77999999999997</v>
      </c>
      <c r="DB105" s="21">
        <f t="shared" ref="DB105:DB110" si="689">AX105</f>
        <v>47.57</v>
      </c>
      <c r="DC105" s="21">
        <f t="shared" si="672"/>
        <v>88.22</v>
      </c>
      <c r="DD105" s="21">
        <f t="shared" si="673"/>
        <v>137.16</v>
      </c>
      <c r="DE105" s="21">
        <f t="shared" si="674"/>
        <v>215.19</v>
      </c>
      <c r="DF105" s="21">
        <f t="shared" si="675"/>
        <v>275.81</v>
      </c>
      <c r="DG105" s="21">
        <f t="shared" si="676"/>
        <v>333.73</v>
      </c>
      <c r="DH105" s="21">
        <f t="shared" si="677"/>
        <v>365.55</v>
      </c>
      <c r="DI105" s="21">
        <f t="shared" si="678"/>
        <v>424.71</v>
      </c>
      <c r="DJ105" s="21">
        <f t="shared" si="679"/>
        <v>830.41</v>
      </c>
      <c r="DK105" s="21">
        <f t="shared" si="680"/>
        <v>1254.05</v>
      </c>
      <c r="DL105" s="21">
        <f t="shared" si="681"/>
        <v>1300.1300000000001</v>
      </c>
      <c r="DM105" s="21">
        <f t="shared" si="682"/>
        <v>1345.38</v>
      </c>
      <c r="DN105" s="21">
        <f t="shared" si="683"/>
        <v>33.76</v>
      </c>
      <c r="DO105" s="21">
        <f t="shared" si="684"/>
        <v>72.349999999999994</v>
      </c>
      <c r="DP105" s="21"/>
      <c r="DQ105" s="248"/>
      <c r="DR105" s="248"/>
      <c r="DS105" s="248"/>
      <c r="DT105" s="248"/>
      <c r="DU105" s="248"/>
      <c r="DV105" s="248"/>
      <c r="DW105" s="248"/>
      <c r="DX105" s="248"/>
      <c r="DY105" s="248"/>
      <c r="ED105" s="429"/>
      <c r="EE105" s="23"/>
      <c r="EF105" s="23"/>
      <c r="EG105" s="23"/>
      <c r="EH105" s="18">
        <f t="shared" si="592"/>
        <v>38.589999999999996</v>
      </c>
      <c r="EI105" s="18">
        <f t="shared" si="593"/>
        <v>72.349999999999994</v>
      </c>
      <c r="EJ105" s="18">
        <f t="shared" si="594"/>
        <v>72.349999999999994</v>
      </c>
      <c r="EK105" s="24">
        <f t="shared" si="637"/>
        <v>0.16666666666666666</v>
      </c>
      <c r="EL105" s="14">
        <f t="shared" si="643"/>
        <v>0.3284255319148936</v>
      </c>
      <c r="EM105" s="14">
        <f t="shared" si="643"/>
        <v>0.2879601990049751</v>
      </c>
      <c r="EN105" s="14">
        <f>EJ105/EK105/EG80</f>
        <v>0.59711174531595335</v>
      </c>
      <c r="EO105" s="46" t="str">
        <f t="shared" si="644"/>
        <v>È</v>
      </c>
      <c r="EP105" s="46" t="str">
        <f t="shared" si="645"/>
        <v>È</v>
      </c>
      <c r="EQ105" s="2">
        <f t="shared" si="597"/>
        <v>3</v>
      </c>
      <c r="ER105" s="2">
        <f t="shared" si="598"/>
        <v>3</v>
      </c>
      <c r="ES105" s="2">
        <f t="shared" si="599"/>
        <v>3</v>
      </c>
    </row>
    <row r="106" spans="1:149" ht="12.75" customHeight="1">
      <c r="A106" s="6" t="s">
        <v>23</v>
      </c>
      <c r="B106" s="2" t="s">
        <v>10</v>
      </c>
      <c r="C106" s="3" t="s">
        <v>66</v>
      </c>
      <c r="E106" s="3" t="s">
        <v>16</v>
      </c>
      <c r="G106" s="3" t="s">
        <v>91</v>
      </c>
      <c r="I106" s="23"/>
      <c r="J106" s="19">
        <v>0.75</v>
      </c>
      <c r="K106" s="19">
        <v>5.17</v>
      </c>
      <c r="L106" s="19">
        <v>5.17</v>
      </c>
      <c r="M106" s="19">
        <v>5.67</v>
      </c>
      <c r="N106" s="19">
        <v>9.17</v>
      </c>
      <c r="O106" s="19">
        <v>12.75</v>
      </c>
      <c r="P106" s="19">
        <v>14.58</v>
      </c>
      <c r="Q106" s="19">
        <v>18.16</v>
      </c>
      <c r="R106" s="19">
        <v>19.91</v>
      </c>
      <c r="S106" s="19">
        <v>20.079999999999998</v>
      </c>
      <c r="T106" s="19">
        <v>21.41</v>
      </c>
      <c r="U106" s="19">
        <v>23.07</v>
      </c>
      <c r="V106" s="31">
        <v>9.74</v>
      </c>
      <c r="W106" s="19">
        <v>18.559999999999999</v>
      </c>
      <c r="X106" s="19">
        <v>27.99</v>
      </c>
      <c r="Y106" s="331">
        <v>35</v>
      </c>
      <c r="Z106" s="19">
        <v>46.7</v>
      </c>
      <c r="AA106" s="19">
        <v>78.040000000000006</v>
      </c>
      <c r="AB106" s="19">
        <v>87.53</v>
      </c>
      <c r="AC106" s="19">
        <v>99.35</v>
      </c>
      <c r="AD106" s="19">
        <v>299.63</v>
      </c>
      <c r="AE106" s="19">
        <v>657.44</v>
      </c>
      <c r="AF106" s="19">
        <v>666.76</v>
      </c>
      <c r="AG106" s="19">
        <v>677.36</v>
      </c>
      <c r="AH106" s="31">
        <v>13.35</v>
      </c>
      <c r="AI106" s="19">
        <v>20.11</v>
      </c>
      <c r="AJ106" s="19"/>
      <c r="AK106" s="408"/>
      <c r="AL106" s="19">
        <f t="shared" si="627"/>
        <v>0.75</v>
      </c>
      <c r="AM106" s="19">
        <f t="shared" si="685"/>
        <v>4.42</v>
      </c>
      <c r="AN106" s="19">
        <f t="shared" si="649"/>
        <v>0</v>
      </c>
      <c r="AO106" s="19">
        <f t="shared" si="650"/>
        <v>0.5</v>
      </c>
      <c r="AP106" s="129">
        <f t="shared" si="651"/>
        <v>3.5</v>
      </c>
      <c r="AQ106" s="129">
        <f t="shared" si="686"/>
        <v>3.58</v>
      </c>
      <c r="AR106" s="129">
        <f t="shared" si="571"/>
        <v>1.83</v>
      </c>
      <c r="AS106" s="129">
        <f t="shared" si="572"/>
        <v>3.58</v>
      </c>
      <c r="AT106" s="129">
        <f t="shared" si="573"/>
        <v>1.75</v>
      </c>
      <c r="AU106" s="129">
        <f t="shared" si="574"/>
        <v>0.16999999999999815</v>
      </c>
      <c r="AV106" s="129">
        <f t="shared" si="575"/>
        <v>1.3300000000000018</v>
      </c>
      <c r="AW106" s="129">
        <f t="shared" si="576"/>
        <v>1.6600000000000001</v>
      </c>
      <c r="AX106" s="19">
        <f t="shared" si="628"/>
        <v>9.74</v>
      </c>
      <c r="AY106" s="129">
        <f t="shared" si="577"/>
        <v>8.8199999999999985</v>
      </c>
      <c r="AZ106" s="129">
        <f t="shared" si="578"/>
        <v>9.43</v>
      </c>
      <c r="BA106" s="129">
        <f t="shared" si="629"/>
        <v>7.0100000000000016</v>
      </c>
      <c r="BB106" s="129">
        <f t="shared" si="579"/>
        <v>11.700000000000003</v>
      </c>
      <c r="BC106" s="129">
        <f t="shared" si="580"/>
        <v>31.340000000000003</v>
      </c>
      <c r="BD106" s="129">
        <f t="shared" si="581"/>
        <v>9.4899999999999949</v>
      </c>
      <c r="BE106" s="129">
        <f t="shared" si="582"/>
        <v>11.819999999999993</v>
      </c>
      <c r="BF106" s="129">
        <f t="shared" si="583"/>
        <v>200.28</v>
      </c>
      <c r="BG106" s="129">
        <f t="shared" si="584"/>
        <v>357.81000000000006</v>
      </c>
      <c r="BH106" s="129">
        <f t="shared" si="585"/>
        <v>9.3199999999999363</v>
      </c>
      <c r="BI106" s="129">
        <f t="shared" si="586"/>
        <v>10.600000000000023</v>
      </c>
      <c r="BJ106" s="19">
        <f t="shared" si="630"/>
        <v>13.35</v>
      </c>
      <c r="BK106" s="129">
        <f t="shared" si="587"/>
        <v>6.76</v>
      </c>
      <c r="BL106" s="129">
        <f t="shared" si="588"/>
        <v>0</v>
      </c>
      <c r="BM106" s="408"/>
      <c r="BN106" s="48">
        <f t="shared" si="600"/>
        <v>5.17</v>
      </c>
      <c r="BO106" s="48">
        <f t="shared" si="601"/>
        <v>5.17</v>
      </c>
      <c r="BP106" s="48">
        <f t="shared" si="653"/>
        <v>5.17</v>
      </c>
      <c r="BQ106" s="48">
        <f t="shared" si="603"/>
        <v>7.58</v>
      </c>
      <c r="BR106" s="48">
        <f t="shared" si="604"/>
        <v>7.58</v>
      </c>
      <c r="BS106" s="48">
        <f t="shared" si="654"/>
        <v>7.58</v>
      </c>
      <c r="BT106" s="48">
        <f t="shared" si="606"/>
        <v>7.16</v>
      </c>
      <c r="BU106" s="48">
        <f t="shared" si="607"/>
        <v>7.16</v>
      </c>
      <c r="BV106" s="48">
        <f t="shared" si="655"/>
        <v>7.16</v>
      </c>
      <c r="BW106" s="48">
        <f t="shared" si="609"/>
        <v>3.16</v>
      </c>
      <c r="BX106" s="48">
        <f t="shared" si="610"/>
        <v>3.16</v>
      </c>
      <c r="BY106" s="48">
        <f t="shared" si="656"/>
        <v>3.16</v>
      </c>
      <c r="BZ106" s="48">
        <f t="shared" si="612"/>
        <v>27.99</v>
      </c>
      <c r="CA106" s="48">
        <f t="shared" si="613"/>
        <v>27.99</v>
      </c>
      <c r="CB106" s="48">
        <f t="shared" si="657"/>
        <v>27.99</v>
      </c>
      <c r="CC106" s="48">
        <f t="shared" si="615"/>
        <v>50.050000000000011</v>
      </c>
      <c r="CD106" s="48">
        <f t="shared" si="616"/>
        <v>50.050000000000011</v>
      </c>
      <c r="CE106" s="48">
        <f t="shared" si="658"/>
        <v>50.050000000000011</v>
      </c>
      <c r="CF106" s="48">
        <f t="shared" si="618"/>
        <v>221.58999999999997</v>
      </c>
      <c r="CG106" s="48">
        <f t="shared" si="619"/>
        <v>221.58999999999997</v>
      </c>
      <c r="CH106" s="48">
        <f t="shared" si="659"/>
        <v>221.58999999999997</v>
      </c>
      <c r="CI106" s="48">
        <f t="shared" si="621"/>
        <v>377.73</v>
      </c>
      <c r="CJ106" s="48">
        <f t="shared" si="622"/>
        <v>377.73</v>
      </c>
      <c r="CK106" s="48">
        <f t="shared" si="660"/>
        <v>377.73</v>
      </c>
      <c r="CL106" s="48">
        <f t="shared" si="624"/>
        <v>20.11</v>
      </c>
      <c r="CM106" s="48">
        <f t="shared" si="625"/>
        <v>20.11</v>
      </c>
      <c r="CN106" s="48">
        <f t="shared" si="661"/>
        <v>20.11</v>
      </c>
      <c r="CO106" s="406"/>
      <c r="CP106" s="21">
        <f t="shared" si="687"/>
        <v>0.75</v>
      </c>
      <c r="CQ106" s="21">
        <f t="shared" si="688"/>
        <v>5.17</v>
      </c>
      <c r="CR106" s="21">
        <f t="shared" si="662"/>
        <v>5.17</v>
      </c>
      <c r="CS106" s="21">
        <f t="shared" si="663"/>
        <v>5.67</v>
      </c>
      <c r="CT106" s="21">
        <f t="shared" si="664"/>
        <v>9.17</v>
      </c>
      <c r="CU106" s="21">
        <f t="shared" si="665"/>
        <v>12.75</v>
      </c>
      <c r="CV106" s="21">
        <f t="shared" si="666"/>
        <v>14.58</v>
      </c>
      <c r="CW106" s="21">
        <f t="shared" si="667"/>
        <v>18.16</v>
      </c>
      <c r="CX106" s="21">
        <f t="shared" si="668"/>
        <v>19.91</v>
      </c>
      <c r="CY106" s="21">
        <f t="shared" si="669"/>
        <v>20.079999999999998</v>
      </c>
      <c r="CZ106" s="21">
        <f t="shared" si="670"/>
        <v>21.41</v>
      </c>
      <c r="DA106" s="21">
        <f t="shared" si="671"/>
        <v>23.07</v>
      </c>
      <c r="DB106" s="21">
        <f t="shared" si="689"/>
        <v>9.74</v>
      </c>
      <c r="DC106" s="21">
        <f t="shared" si="672"/>
        <v>18.559999999999999</v>
      </c>
      <c r="DD106" s="21">
        <f t="shared" si="673"/>
        <v>27.99</v>
      </c>
      <c r="DE106" s="21">
        <f t="shared" si="674"/>
        <v>35</v>
      </c>
      <c r="DF106" s="21">
        <f t="shared" si="675"/>
        <v>46.7</v>
      </c>
      <c r="DG106" s="21">
        <f t="shared" si="676"/>
        <v>78.040000000000006</v>
      </c>
      <c r="DH106" s="21">
        <f t="shared" si="677"/>
        <v>87.53</v>
      </c>
      <c r="DI106" s="21">
        <f t="shared" si="678"/>
        <v>99.35</v>
      </c>
      <c r="DJ106" s="21">
        <f t="shared" si="679"/>
        <v>299.63</v>
      </c>
      <c r="DK106" s="21">
        <f t="shared" si="680"/>
        <v>657.44</v>
      </c>
      <c r="DL106" s="21">
        <f t="shared" si="681"/>
        <v>666.76</v>
      </c>
      <c r="DM106" s="21">
        <f t="shared" si="682"/>
        <v>677.36</v>
      </c>
      <c r="DN106" s="21">
        <f t="shared" si="683"/>
        <v>13.35</v>
      </c>
      <c r="DO106" s="21">
        <f t="shared" si="684"/>
        <v>20.11</v>
      </c>
      <c r="DP106" s="21"/>
      <c r="DQ106" s="248"/>
      <c r="DR106" s="248"/>
      <c r="DS106" s="248"/>
      <c r="DT106" s="248"/>
      <c r="DU106" s="248"/>
      <c r="DV106" s="248"/>
      <c r="DW106" s="248"/>
      <c r="DX106" s="248"/>
      <c r="DY106" s="248"/>
      <c r="ED106" s="429"/>
      <c r="EE106" s="23"/>
      <c r="EF106" s="23"/>
      <c r="EG106" s="23"/>
      <c r="EH106" s="18">
        <f t="shared" si="592"/>
        <v>6.76</v>
      </c>
      <c r="EI106" s="18">
        <f t="shared" si="593"/>
        <v>20.11</v>
      </c>
      <c r="EJ106" s="18">
        <f t="shared" si="594"/>
        <v>20.11</v>
      </c>
      <c r="EK106" s="24">
        <f t="shared" si="637"/>
        <v>0.16666666666666666</v>
      </c>
      <c r="EL106" s="14">
        <f>IF(EE81=0,0,EH106/EE81)</f>
        <v>0</v>
      </c>
      <c r="EM106" s="14">
        <f>IF(EF81=0,0,EI106/EF81)</f>
        <v>0</v>
      </c>
      <c r="EN106" s="14">
        <f>IF(EG81=0,0,EJ106/EK106/EG81)</f>
        <v>1.1069765393634474</v>
      </c>
      <c r="EO106" s="46" t="str">
        <f t="shared" si="644"/>
        <v>Ç</v>
      </c>
      <c r="EP106" s="46" t="str">
        <f t="shared" si="645"/>
        <v>Ç</v>
      </c>
      <c r="EQ106" s="2">
        <f t="shared" si="597"/>
        <v>3</v>
      </c>
      <c r="ER106" s="2">
        <f t="shared" si="598"/>
        <v>3</v>
      </c>
      <c r="ES106" s="2">
        <f t="shared" si="599"/>
        <v>1</v>
      </c>
    </row>
    <row r="107" spans="1:149" ht="12.75" customHeight="1">
      <c r="A107" s="6" t="s">
        <v>23</v>
      </c>
      <c r="B107" s="2" t="s">
        <v>11</v>
      </c>
      <c r="C107" s="3" t="s">
        <v>67</v>
      </c>
      <c r="E107" s="3" t="s">
        <v>16</v>
      </c>
      <c r="G107" s="3" t="s">
        <v>91</v>
      </c>
      <c r="I107" s="23"/>
      <c r="J107" s="19">
        <v>7</v>
      </c>
      <c r="K107" s="19">
        <v>17</v>
      </c>
      <c r="L107" s="19">
        <v>22</v>
      </c>
      <c r="M107" s="19">
        <v>39</v>
      </c>
      <c r="N107" s="19">
        <v>48</v>
      </c>
      <c r="O107" s="19">
        <v>53</v>
      </c>
      <c r="P107" s="19">
        <v>62</v>
      </c>
      <c r="Q107" s="19">
        <v>80</v>
      </c>
      <c r="R107" s="19">
        <v>94</v>
      </c>
      <c r="S107" s="19">
        <v>107</v>
      </c>
      <c r="T107" s="19">
        <v>120</v>
      </c>
      <c r="U107" s="19">
        <v>132</v>
      </c>
      <c r="V107" s="31">
        <v>13</v>
      </c>
      <c r="W107" s="19">
        <v>25</v>
      </c>
      <c r="X107" s="19">
        <v>39</v>
      </c>
      <c r="Y107" s="331">
        <v>68</v>
      </c>
      <c r="Z107" s="19">
        <v>75</v>
      </c>
      <c r="AA107" s="19">
        <v>80</v>
      </c>
      <c r="AB107" s="19">
        <v>90</v>
      </c>
      <c r="AC107" s="19">
        <v>105</v>
      </c>
      <c r="AD107" s="19">
        <v>124</v>
      </c>
      <c r="AE107" s="19">
        <v>136</v>
      </c>
      <c r="AF107" s="19">
        <v>151</v>
      </c>
      <c r="AG107" s="19">
        <v>161</v>
      </c>
      <c r="AH107" s="31">
        <v>4</v>
      </c>
      <c r="AI107" s="19">
        <v>17</v>
      </c>
      <c r="AJ107" s="19"/>
      <c r="AK107" s="408"/>
      <c r="AL107" s="19">
        <f t="shared" si="627"/>
        <v>7</v>
      </c>
      <c r="AM107" s="19">
        <f t="shared" si="685"/>
        <v>10</v>
      </c>
      <c r="AN107" s="19">
        <f t="shared" si="649"/>
        <v>5</v>
      </c>
      <c r="AO107" s="19">
        <f t="shared" si="650"/>
        <v>17</v>
      </c>
      <c r="AP107" s="129">
        <f t="shared" si="651"/>
        <v>9</v>
      </c>
      <c r="AQ107" s="129">
        <f t="shared" si="686"/>
        <v>5</v>
      </c>
      <c r="AR107" s="129">
        <f t="shared" si="571"/>
        <v>9</v>
      </c>
      <c r="AS107" s="129">
        <f t="shared" si="572"/>
        <v>18</v>
      </c>
      <c r="AT107" s="129">
        <f t="shared" si="573"/>
        <v>14</v>
      </c>
      <c r="AU107" s="129">
        <f t="shared" si="574"/>
        <v>13</v>
      </c>
      <c r="AV107" s="129">
        <f t="shared" si="575"/>
        <v>13</v>
      </c>
      <c r="AW107" s="129">
        <f t="shared" si="576"/>
        <v>12</v>
      </c>
      <c r="AX107" s="19">
        <f t="shared" si="628"/>
        <v>13</v>
      </c>
      <c r="AY107" s="129">
        <f t="shared" si="577"/>
        <v>12</v>
      </c>
      <c r="AZ107" s="129">
        <f t="shared" si="578"/>
        <v>14</v>
      </c>
      <c r="BA107" s="129">
        <f t="shared" si="629"/>
        <v>29</v>
      </c>
      <c r="BB107" s="129">
        <f t="shared" si="579"/>
        <v>7</v>
      </c>
      <c r="BC107" s="129">
        <f t="shared" si="580"/>
        <v>5</v>
      </c>
      <c r="BD107" s="129">
        <f t="shared" si="581"/>
        <v>10</v>
      </c>
      <c r="BE107" s="129">
        <f t="shared" si="582"/>
        <v>15</v>
      </c>
      <c r="BF107" s="129">
        <f t="shared" si="583"/>
        <v>19</v>
      </c>
      <c r="BG107" s="129">
        <f t="shared" si="584"/>
        <v>12</v>
      </c>
      <c r="BH107" s="129">
        <f t="shared" si="585"/>
        <v>15</v>
      </c>
      <c r="BI107" s="129">
        <f t="shared" si="586"/>
        <v>10</v>
      </c>
      <c r="BJ107" s="19">
        <f t="shared" si="630"/>
        <v>4</v>
      </c>
      <c r="BK107" s="129">
        <f t="shared" si="587"/>
        <v>13</v>
      </c>
      <c r="BL107" s="129">
        <f t="shared" si="588"/>
        <v>0</v>
      </c>
      <c r="BM107" s="408"/>
      <c r="BN107" s="48">
        <f t="shared" si="600"/>
        <v>22</v>
      </c>
      <c r="BO107" s="48">
        <f t="shared" si="601"/>
        <v>22</v>
      </c>
      <c r="BP107" s="48">
        <f t="shared" si="653"/>
        <v>22</v>
      </c>
      <c r="BQ107" s="48">
        <f t="shared" si="603"/>
        <v>31</v>
      </c>
      <c r="BR107" s="48">
        <f t="shared" si="604"/>
        <v>31</v>
      </c>
      <c r="BS107" s="48">
        <f t="shared" si="654"/>
        <v>31</v>
      </c>
      <c r="BT107" s="48">
        <f t="shared" si="606"/>
        <v>41</v>
      </c>
      <c r="BU107" s="48">
        <f t="shared" si="607"/>
        <v>41</v>
      </c>
      <c r="BV107" s="48">
        <f t="shared" si="655"/>
        <v>41</v>
      </c>
      <c r="BW107" s="48">
        <f t="shared" si="609"/>
        <v>38</v>
      </c>
      <c r="BX107" s="48">
        <f t="shared" si="610"/>
        <v>38</v>
      </c>
      <c r="BY107" s="48">
        <f t="shared" si="656"/>
        <v>38</v>
      </c>
      <c r="BZ107" s="48">
        <f t="shared" si="612"/>
        <v>39</v>
      </c>
      <c r="CA107" s="48">
        <f t="shared" si="613"/>
        <v>39</v>
      </c>
      <c r="CB107" s="48">
        <f t="shared" si="657"/>
        <v>39</v>
      </c>
      <c r="CC107" s="48">
        <f t="shared" si="615"/>
        <v>41</v>
      </c>
      <c r="CD107" s="48">
        <f t="shared" si="616"/>
        <v>41</v>
      </c>
      <c r="CE107" s="48">
        <f t="shared" si="658"/>
        <v>41</v>
      </c>
      <c r="CF107" s="48">
        <f t="shared" si="618"/>
        <v>44</v>
      </c>
      <c r="CG107" s="48">
        <f t="shared" si="619"/>
        <v>44</v>
      </c>
      <c r="CH107" s="48">
        <f t="shared" si="659"/>
        <v>44</v>
      </c>
      <c r="CI107" s="48">
        <f t="shared" si="621"/>
        <v>37</v>
      </c>
      <c r="CJ107" s="48">
        <f t="shared" si="622"/>
        <v>37</v>
      </c>
      <c r="CK107" s="48">
        <f t="shared" si="660"/>
        <v>37</v>
      </c>
      <c r="CL107" s="48">
        <f t="shared" si="624"/>
        <v>17</v>
      </c>
      <c r="CM107" s="48">
        <f t="shared" si="625"/>
        <v>17</v>
      </c>
      <c r="CN107" s="48">
        <f t="shared" si="661"/>
        <v>17</v>
      </c>
      <c r="CO107" s="406"/>
      <c r="CP107" s="21">
        <f t="shared" si="687"/>
        <v>7</v>
      </c>
      <c r="CQ107" s="21">
        <f t="shared" si="688"/>
        <v>17</v>
      </c>
      <c r="CR107" s="21">
        <f t="shared" si="662"/>
        <v>22</v>
      </c>
      <c r="CS107" s="21">
        <f t="shared" si="663"/>
        <v>39</v>
      </c>
      <c r="CT107" s="21">
        <f t="shared" si="664"/>
        <v>48</v>
      </c>
      <c r="CU107" s="21">
        <f t="shared" si="665"/>
        <v>53</v>
      </c>
      <c r="CV107" s="21">
        <f t="shared" si="666"/>
        <v>62</v>
      </c>
      <c r="CW107" s="21">
        <f t="shared" si="667"/>
        <v>80</v>
      </c>
      <c r="CX107" s="21">
        <f t="shared" si="668"/>
        <v>94</v>
      </c>
      <c r="CY107" s="21">
        <f t="shared" si="669"/>
        <v>107</v>
      </c>
      <c r="CZ107" s="21">
        <f t="shared" si="670"/>
        <v>120</v>
      </c>
      <c r="DA107" s="21">
        <f t="shared" si="671"/>
        <v>132</v>
      </c>
      <c r="DB107" s="21">
        <f t="shared" si="689"/>
        <v>13</v>
      </c>
      <c r="DC107" s="21">
        <f t="shared" si="672"/>
        <v>25</v>
      </c>
      <c r="DD107" s="21">
        <f t="shared" si="673"/>
        <v>39</v>
      </c>
      <c r="DE107" s="21">
        <f t="shared" si="674"/>
        <v>68</v>
      </c>
      <c r="DF107" s="21">
        <f t="shared" si="675"/>
        <v>75</v>
      </c>
      <c r="DG107" s="21">
        <f t="shared" si="676"/>
        <v>80</v>
      </c>
      <c r="DH107" s="21">
        <f t="shared" si="677"/>
        <v>90</v>
      </c>
      <c r="DI107" s="21">
        <f t="shared" si="678"/>
        <v>105</v>
      </c>
      <c r="DJ107" s="21">
        <f t="shared" si="679"/>
        <v>124</v>
      </c>
      <c r="DK107" s="21">
        <f t="shared" si="680"/>
        <v>136</v>
      </c>
      <c r="DL107" s="21">
        <f t="shared" si="681"/>
        <v>151</v>
      </c>
      <c r="DM107" s="21">
        <f t="shared" si="682"/>
        <v>161</v>
      </c>
      <c r="DN107" s="21">
        <f t="shared" si="683"/>
        <v>4</v>
      </c>
      <c r="DO107" s="21">
        <f t="shared" si="684"/>
        <v>17</v>
      </c>
      <c r="DP107" s="21"/>
      <c r="DQ107" s="248"/>
      <c r="DR107" s="248"/>
      <c r="DS107" s="248"/>
      <c r="DT107" s="248"/>
      <c r="DU107" s="248"/>
      <c r="DV107" s="248"/>
      <c r="DW107" s="248"/>
      <c r="DX107" s="248"/>
      <c r="DY107" s="248"/>
      <c r="ED107" s="429"/>
      <c r="EE107" s="23"/>
      <c r="EF107" s="23"/>
      <c r="EG107" s="23"/>
      <c r="EH107" s="18">
        <f t="shared" si="592"/>
        <v>13</v>
      </c>
      <c r="EI107" s="18">
        <f t="shared" si="593"/>
        <v>17</v>
      </c>
      <c r="EJ107" s="18">
        <f t="shared" si="594"/>
        <v>17</v>
      </c>
      <c r="EK107" s="24">
        <f t="shared" si="637"/>
        <v>0.16666666666666666</v>
      </c>
      <c r="EL107" s="14" t="e">
        <f t="shared" si="643"/>
        <v>#DIV/0!</v>
      </c>
      <c r="EM107" s="14" t="e">
        <f t="shared" si="643"/>
        <v>#DIV/0!</v>
      </c>
      <c r="EN107" s="14">
        <f>EJ107/EG82</f>
        <v>0.28333333333333333</v>
      </c>
      <c r="EO107" s="46" t="str">
        <f t="shared" si="644"/>
        <v>Ç</v>
      </c>
      <c r="EP107" s="46" t="str">
        <f t="shared" si="645"/>
        <v>Ç</v>
      </c>
      <c r="EQ107" s="2" t="e">
        <f t="shared" si="597"/>
        <v>#DIV/0!</v>
      </c>
      <c r="ER107" s="2" t="e">
        <f t="shared" si="598"/>
        <v>#DIV/0!</v>
      </c>
      <c r="ES107" s="2">
        <f t="shared" si="599"/>
        <v>3</v>
      </c>
    </row>
    <row r="108" spans="1:149" ht="15.75">
      <c r="A108" s="6" t="s">
        <v>23</v>
      </c>
      <c r="B108" s="2" t="s">
        <v>12</v>
      </c>
      <c r="C108" s="3" t="s">
        <v>68</v>
      </c>
      <c r="E108" s="3" t="s">
        <v>16</v>
      </c>
      <c r="G108" s="3" t="s">
        <v>91</v>
      </c>
      <c r="I108" s="23"/>
      <c r="J108" s="19">
        <v>7</v>
      </c>
      <c r="K108" s="19">
        <v>16</v>
      </c>
      <c r="L108" s="19">
        <v>22</v>
      </c>
      <c r="M108" s="19">
        <v>35</v>
      </c>
      <c r="N108" s="19">
        <v>40</v>
      </c>
      <c r="O108" s="19">
        <v>45</v>
      </c>
      <c r="P108" s="19">
        <v>50</v>
      </c>
      <c r="Q108" s="19">
        <v>62</v>
      </c>
      <c r="R108" s="19">
        <v>73</v>
      </c>
      <c r="S108" s="19">
        <v>78</v>
      </c>
      <c r="T108" s="19">
        <v>88</v>
      </c>
      <c r="U108" s="19">
        <v>97</v>
      </c>
      <c r="V108" s="31">
        <v>9</v>
      </c>
      <c r="W108" s="19">
        <v>14</v>
      </c>
      <c r="X108" s="19">
        <v>26</v>
      </c>
      <c r="Y108" s="331">
        <v>34</v>
      </c>
      <c r="Z108" s="19">
        <v>41</v>
      </c>
      <c r="AA108" s="19">
        <v>46</v>
      </c>
      <c r="AB108" s="19">
        <v>55</v>
      </c>
      <c r="AC108" s="19">
        <v>66</v>
      </c>
      <c r="AD108" s="19">
        <v>80</v>
      </c>
      <c r="AE108" s="19">
        <v>93</v>
      </c>
      <c r="AF108" s="19">
        <v>102</v>
      </c>
      <c r="AG108" s="19">
        <v>108</v>
      </c>
      <c r="AH108" s="31">
        <v>7</v>
      </c>
      <c r="AI108" s="19">
        <v>17</v>
      </c>
      <c r="AJ108" s="19"/>
      <c r="AK108" s="408"/>
      <c r="AL108" s="19">
        <f t="shared" si="627"/>
        <v>7</v>
      </c>
      <c r="AM108" s="19">
        <f t="shared" si="685"/>
        <v>9</v>
      </c>
      <c r="AN108" s="19">
        <f t="shared" si="649"/>
        <v>6</v>
      </c>
      <c r="AO108" s="19">
        <f t="shared" si="650"/>
        <v>13</v>
      </c>
      <c r="AP108" s="129">
        <f t="shared" si="651"/>
        <v>5</v>
      </c>
      <c r="AQ108" s="129">
        <f t="shared" si="686"/>
        <v>5</v>
      </c>
      <c r="AR108" s="129">
        <f t="shared" si="571"/>
        <v>5</v>
      </c>
      <c r="AS108" s="129">
        <f t="shared" si="572"/>
        <v>12</v>
      </c>
      <c r="AT108" s="129">
        <f t="shared" si="573"/>
        <v>11</v>
      </c>
      <c r="AU108" s="129">
        <f t="shared" si="574"/>
        <v>5</v>
      </c>
      <c r="AV108" s="129">
        <f t="shared" si="575"/>
        <v>10</v>
      </c>
      <c r="AW108" s="129">
        <f t="shared" si="576"/>
        <v>9</v>
      </c>
      <c r="AX108" s="19">
        <f t="shared" si="628"/>
        <v>9</v>
      </c>
      <c r="AY108" s="129">
        <f t="shared" si="577"/>
        <v>5</v>
      </c>
      <c r="AZ108" s="129">
        <f t="shared" si="578"/>
        <v>12</v>
      </c>
      <c r="BA108" s="129">
        <f t="shared" si="629"/>
        <v>8</v>
      </c>
      <c r="BB108" s="129">
        <f t="shared" si="579"/>
        <v>7</v>
      </c>
      <c r="BC108" s="129">
        <f t="shared" si="580"/>
        <v>5</v>
      </c>
      <c r="BD108" s="129">
        <f t="shared" si="581"/>
        <v>9</v>
      </c>
      <c r="BE108" s="129">
        <f t="shared" si="582"/>
        <v>11</v>
      </c>
      <c r="BF108" s="129">
        <f t="shared" si="583"/>
        <v>14</v>
      </c>
      <c r="BG108" s="129">
        <f t="shared" si="584"/>
        <v>13</v>
      </c>
      <c r="BH108" s="129">
        <f t="shared" si="585"/>
        <v>9</v>
      </c>
      <c r="BI108" s="129">
        <f t="shared" si="586"/>
        <v>6</v>
      </c>
      <c r="BJ108" s="19">
        <f t="shared" si="630"/>
        <v>7</v>
      </c>
      <c r="BK108" s="129">
        <f t="shared" si="587"/>
        <v>10</v>
      </c>
      <c r="BL108" s="129">
        <f t="shared" si="588"/>
        <v>0</v>
      </c>
      <c r="BM108" s="408"/>
      <c r="BN108" s="48">
        <f t="shared" si="600"/>
        <v>22</v>
      </c>
      <c r="BO108" s="48">
        <f t="shared" si="601"/>
        <v>22</v>
      </c>
      <c r="BP108" s="48">
        <f t="shared" si="653"/>
        <v>22</v>
      </c>
      <c r="BQ108" s="48">
        <f t="shared" si="603"/>
        <v>23</v>
      </c>
      <c r="BR108" s="48">
        <f t="shared" si="604"/>
        <v>23</v>
      </c>
      <c r="BS108" s="48">
        <f t="shared" si="654"/>
        <v>23</v>
      </c>
      <c r="BT108" s="48">
        <f t="shared" si="606"/>
        <v>28</v>
      </c>
      <c r="BU108" s="48">
        <f t="shared" si="607"/>
        <v>28</v>
      </c>
      <c r="BV108" s="48">
        <f t="shared" si="655"/>
        <v>28</v>
      </c>
      <c r="BW108" s="48">
        <f t="shared" si="609"/>
        <v>24</v>
      </c>
      <c r="BX108" s="48">
        <f t="shared" si="610"/>
        <v>24</v>
      </c>
      <c r="BY108" s="48">
        <f t="shared" si="656"/>
        <v>24</v>
      </c>
      <c r="BZ108" s="48">
        <f t="shared" si="612"/>
        <v>26</v>
      </c>
      <c r="CA108" s="48">
        <f t="shared" si="613"/>
        <v>26</v>
      </c>
      <c r="CB108" s="48">
        <f t="shared" si="657"/>
        <v>26</v>
      </c>
      <c r="CC108" s="48">
        <f t="shared" si="615"/>
        <v>20</v>
      </c>
      <c r="CD108" s="48">
        <f t="shared" si="616"/>
        <v>20</v>
      </c>
      <c r="CE108" s="48">
        <f t="shared" si="658"/>
        <v>20</v>
      </c>
      <c r="CF108" s="48">
        <f t="shared" si="618"/>
        <v>34</v>
      </c>
      <c r="CG108" s="48">
        <f t="shared" si="619"/>
        <v>34</v>
      </c>
      <c r="CH108" s="48">
        <f t="shared" si="659"/>
        <v>34</v>
      </c>
      <c r="CI108" s="48">
        <f t="shared" si="621"/>
        <v>28</v>
      </c>
      <c r="CJ108" s="48">
        <f t="shared" si="622"/>
        <v>28</v>
      </c>
      <c r="CK108" s="48">
        <f t="shared" si="660"/>
        <v>28</v>
      </c>
      <c r="CL108" s="48">
        <f t="shared" si="624"/>
        <v>17</v>
      </c>
      <c r="CM108" s="48">
        <f t="shared" si="625"/>
        <v>17</v>
      </c>
      <c r="CN108" s="48">
        <f t="shared" si="661"/>
        <v>17</v>
      </c>
      <c r="CO108" s="406"/>
      <c r="CP108" s="21">
        <f t="shared" si="687"/>
        <v>7</v>
      </c>
      <c r="CQ108" s="21">
        <f t="shared" si="688"/>
        <v>16</v>
      </c>
      <c r="CR108" s="21">
        <f t="shared" si="662"/>
        <v>22</v>
      </c>
      <c r="CS108" s="21">
        <f t="shared" si="663"/>
        <v>35</v>
      </c>
      <c r="CT108" s="21">
        <f t="shared" si="664"/>
        <v>40</v>
      </c>
      <c r="CU108" s="21">
        <f t="shared" si="665"/>
        <v>45</v>
      </c>
      <c r="CV108" s="21">
        <f t="shared" si="666"/>
        <v>50</v>
      </c>
      <c r="CW108" s="21">
        <f t="shared" si="667"/>
        <v>62</v>
      </c>
      <c r="CX108" s="21">
        <f t="shared" si="668"/>
        <v>73</v>
      </c>
      <c r="CY108" s="21">
        <f t="shared" si="669"/>
        <v>78</v>
      </c>
      <c r="CZ108" s="21">
        <f t="shared" si="670"/>
        <v>88</v>
      </c>
      <c r="DA108" s="21">
        <f t="shared" si="671"/>
        <v>97</v>
      </c>
      <c r="DB108" s="21">
        <f t="shared" si="689"/>
        <v>9</v>
      </c>
      <c r="DC108" s="21">
        <f t="shared" si="672"/>
        <v>14</v>
      </c>
      <c r="DD108" s="21">
        <f t="shared" si="673"/>
        <v>26</v>
      </c>
      <c r="DE108" s="21">
        <f t="shared" si="674"/>
        <v>34</v>
      </c>
      <c r="DF108" s="21">
        <f t="shared" si="675"/>
        <v>41</v>
      </c>
      <c r="DG108" s="21">
        <f t="shared" si="676"/>
        <v>46</v>
      </c>
      <c r="DH108" s="21">
        <f t="shared" si="677"/>
        <v>55</v>
      </c>
      <c r="DI108" s="21">
        <f t="shared" si="678"/>
        <v>66</v>
      </c>
      <c r="DJ108" s="21">
        <f t="shared" si="679"/>
        <v>80</v>
      </c>
      <c r="DK108" s="21">
        <f t="shared" si="680"/>
        <v>93</v>
      </c>
      <c r="DL108" s="21">
        <f t="shared" si="681"/>
        <v>102</v>
      </c>
      <c r="DM108" s="21">
        <f t="shared" si="682"/>
        <v>108</v>
      </c>
      <c r="DN108" s="21">
        <f t="shared" si="683"/>
        <v>7</v>
      </c>
      <c r="DO108" s="21">
        <f t="shared" si="684"/>
        <v>17</v>
      </c>
      <c r="DP108" s="21"/>
      <c r="DQ108" s="248"/>
      <c r="DR108" s="248"/>
      <c r="DS108" s="248"/>
      <c r="DT108" s="248"/>
      <c r="DU108" s="248"/>
      <c r="DV108" s="248"/>
      <c r="DW108" s="248"/>
      <c r="DX108" s="248"/>
      <c r="DY108" s="248"/>
      <c r="ED108" s="429"/>
      <c r="EE108" s="23"/>
      <c r="EF108" s="23"/>
      <c r="EG108" s="23"/>
      <c r="EH108" s="18">
        <f t="shared" si="592"/>
        <v>10</v>
      </c>
      <c r="EI108" s="18">
        <f t="shared" si="593"/>
        <v>17</v>
      </c>
      <c r="EJ108" s="18">
        <f t="shared" si="594"/>
        <v>17</v>
      </c>
      <c r="EK108" s="24">
        <f t="shared" si="637"/>
        <v>0.16666666666666666</v>
      </c>
      <c r="EL108" s="14" t="e">
        <f t="shared" si="643"/>
        <v>#DIV/0!</v>
      </c>
      <c r="EM108" s="14" t="e">
        <f t="shared" si="643"/>
        <v>#DIV/0!</v>
      </c>
      <c r="EN108" s="14">
        <f t="shared" si="643"/>
        <v>0.23287671232876711</v>
      </c>
      <c r="EO108" s="46" t="str">
        <f t="shared" si="644"/>
        <v>Ç</v>
      </c>
      <c r="EP108" s="46" t="str">
        <f t="shared" si="645"/>
        <v>Ç</v>
      </c>
      <c r="EQ108" s="2" t="e">
        <f t="shared" si="597"/>
        <v>#DIV/0!</v>
      </c>
      <c r="ER108" s="2" t="e">
        <f t="shared" si="598"/>
        <v>#DIV/0!</v>
      </c>
      <c r="ES108" s="2">
        <f t="shared" si="599"/>
        <v>3</v>
      </c>
    </row>
    <row r="109" spans="1:149" ht="12.75" customHeight="1">
      <c r="A109" s="6" t="s">
        <v>23</v>
      </c>
      <c r="B109" s="2" t="s">
        <v>17</v>
      </c>
      <c r="C109" s="3" t="s">
        <v>69</v>
      </c>
      <c r="E109" s="3" t="s">
        <v>18</v>
      </c>
      <c r="G109" s="3" t="s">
        <v>91</v>
      </c>
      <c r="I109" s="23"/>
      <c r="J109" s="19">
        <v>0</v>
      </c>
      <c r="K109" s="19">
        <v>0</v>
      </c>
      <c r="L109" s="19">
        <v>2</v>
      </c>
      <c r="M109" s="19">
        <f>L109</f>
        <v>2</v>
      </c>
      <c r="N109" s="19">
        <f>L109</f>
        <v>2</v>
      </c>
      <c r="O109" s="19">
        <v>2</v>
      </c>
      <c r="P109" s="19">
        <v>5</v>
      </c>
      <c r="Q109" s="19">
        <v>5</v>
      </c>
      <c r="R109" s="19">
        <v>5</v>
      </c>
      <c r="S109" s="19">
        <v>5</v>
      </c>
      <c r="T109" s="19">
        <v>10</v>
      </c>
      <c r="U109" s="19">
        <v>10</v>
      </c>
      <c r="V109" s="31">
        <v>0</v>
      </c>
      <c r="W109" s="19">
        <v>2</v>
      </c>
      <c r="X109" s="19">
        <v>2</v>
      </c>
      <c r="Y109" s="331">
        <v>2</v>
      </c>
      <c r="Z109" s="19">
        <v>2</v>
      </c>
      <c r="AA109" s="19">
        <v>2</v>
      </c>
      <c r="AB109" s="19">
        <v>6</v>
      </c>
      <c r="AC109" s="19">
        <v>6</v>
      </c>
      <c r="AD109" s="19">
        <v>6</v>
      </c>
      <c r="AE109" s="19">
        <v>6</v>
      </c>
      <c r="AF109" s="19"/>
      <c r="AG109" s="19">
        <v>3</v>
      </c>
      <c r="AH109" s="31"/>
      <c r="AI109" s="19"/>
      <c r="AJ109" s="19"/>
      <c r="AK109" s="408"/>
      <c r="AL109" s="19">
        <f t="shared" si="627"/>
        <v>0</v>
      </c>
      <c r="AM109" s="19">
        <f t="shared" si="685"/>
        <v>0</v>
      </c>
      <c r="AN109" s="19">
        <f t="shared" si="649"/>
        <v>2</v>
      </c>
      <c r="AO109" s="19">
        <f t="shared" si="650"/>
        <v>0</v>
      </c>
      <c r="AP109" s="129">
        <f t="shared" si="651"/>
        <v>0</v>
      </c>
      <c r="AQ109" s="129">
        <f t="shared" si="686"/>
        <v>0</v>
      </c>
      <c r="AR109" s="129">
        <f t="shared" si="571"/>
        <v>3</v>
      </c>
      <c r="AS109" s="129">
        <f t="shared" si="572"/>
        <v>0</v>
      </c>
      <c r="AT109" s="129">
        <f t="shared" si="573"/>
        <v>0</v>
      </c>
      <c r="AU109" s="129">
        <f t="shared" si="574"/>
        <v>0</v>
      </c>
      <c r="AV109" s="129">
        <f t="shared" si="575"/>
        <v>5</v>
      </c>
      <c r="AW109" s="129">
        <f t="shared" si="576"/>
        <v>0</v>
      </c>
      <c r="AX109" s="19">
        <f t="shared" si="628"/>
        <v>0</v>
      </c>
      <c r="AY109" s="129">
        <f t="shared" si="577"/>
        <v>2</v>
      </c>
      <c r="AZ109" s="129">
        <f t="shared" si="578"/>
        <v>0</v>
      </c>
      <c r="BA109" s="129">
        <f t="shared" si="629"/>
        <v>0</v>
      </c>
      <c r="BB109" s="129">
        <f t="shared" si="579"/>
        <v>0</v>
      </c>
      <c r="BC109" s="129">
        <f t="shared" si="580"/>
        <v>0</v>
      </c>
      <c r="BD109" s="129">
        <f t="shared" si="581"/>
        <v>4</v>
      </c>
      <c r="BE109" s="129">
        <f t="shared" si="582"/>
        <v>0</v>
      </c>
      <c r="BF109" s="129">
        <f t="shared" si="583"/>
        <v>0</v>
      </c>
      <c r="BG109" s="129">
        <f t="shared" si="584"/>
        <v>0</v>
      </c>
      <c r="BH109" s="129">
        <f t="shared" si="585"/>
        <v>0</v>
      </c>
      <c r="BI109" s="129">
        <f t="shared" si="586"/>
        <v>3</v>
      </c>
      <c r="BJ109" s="19">
        <f t="shared" si="630"/>
        <v>0</v>
      </c>
      <c r="BK109" s="129">
        <f t="shared" si="587"/>
        <v>0</v>
      </c>
      <c r="BL109" s="129">
        <f t="shared" si="588"/>
        <v>0</v>
      </c>
      <c r="BM109" s="408"/>
      <c r="BN109" s="48">
        <f t="shared" si="600"/>
        <v>2</v>
      </c>
      <c r="BO109" s="48">
        <f t="shared" si="601"/>
        <v>2</v>
      </c>
      <c r="BP109" s="48">
        <f t="shared" si="653"/>
        <v>2</v>
      </c>
      <c r="BQ109" s="48">
        <f t="shared" si="603"/>
        <v>0</v>
      </c>
      <c r="BR109" s="48">
        <f t="shared" si="604"/>
        <v>0</v>
      </c>
      <c r="BS109" s="48">
        <f t="shared" si="654"/>
        <v>0</v>
      </c>
      <c r="BT109" s="48">
        <f t="shared" si="606"/>
        <v>3</v>
      </c>
      <c r="BU109" s="48">
        <f t="shared" si="607"/>
        <v>3</v>
      </c>
      <c r="BV109" s="48">
        <f t="shared" si="655"/>
        <v>3</v>
      </c>
      <c r="BW109" s="48">
        <f t="shared" si="609"/>
        <v>5</v>
      </c>
      <c r="BX109" s="48">
        <f t="shared" si="610"/>
        <v>5</v>
      </c>
      <c r="BY109" s="48">
        <f t="shared" si="656"/>
        <v>5</v>
      </c>
      <c r="BZ109" s="48">
        <f t="shared" si="612"/>
        <v>2</v>
      </c>
      <c r="CA109" s="48">
        <f t="shared" si="613"/>
        <v>2</v>
      </c>
      <c r="CB109" s="48">
        <f t="shared" si="657"/>
        <v>2</v>
      </c>
      <c r="CC109" s="48">
        <f t="shared" si="615"/>
        <v>0</v>
      </c>
      <c r="CD109" s="48">
        <f t="shared" si="616"/>
        <v>0</v>
      </c>
      <c r="CE109" s="48">
        <f t="shared" si="658"/>
        <v>0</v>
      </c>
      <c r="CF109" s="48">
        <f t="shared" si="618"/>
        <v>4</v>
      </c>
      <c r="CG109" s="48">
        <f t="shared" si="619"/>
        <v>4</v>
      </c>
      <c r="CH109" s="48">
        <f t="shared" si="659"/>
        <v>4</v>
      </c>
      <c r="CI109" s="48">
        <f t="shared" si="621"/>
        <v>3</v>
      </c>
      <c r="CJ109" s="48">
        <f t="shared" si="622"/>
        <v>3</v>
      </c>
      <c r="CK109" s="48">
        <f t="shared" si="660"/>
        <v>3</v>
      </c>
      <c r="CL109" s="48">
        <f t="shared" si="624"/>
        <v>0</v>
      </c>
      <c r="CM109" s="48">
        <f t="shared" si="625"/>
        <v>0</v>
      </c>
      <c r="CN109" s="48">
        <f t="shared" si="661"/>
        <v>0</v>
      </c>
      <c r="CO109" s="406"/>
      <c r="CP109" s="21">
        <f t="shared" si="687"/>
        <v>0</v>
      </c>
      <c r="CQ109" s="21">
        <f t="shared" si="688"/>
        <v>0</v>
      </c>
      <c r="CR109" s="21">
        <f t="shared" si="662"/>
        <v>2</v>
      </c>
      <c r="CS109" s="21">
        <f t="shared" si="663"/>
        <v>2</v>
      </c>
      <c r="CT109" s="21">
        <f t="shared" si="664"/>
        <v>2</v>
      </c>
      <c r="CU109" s="21">
        <f t="shared" si="665"/>
        <v>2</v>
      </c>
      <c r="CV109" s="21">
        <f t="shared" si="666"/>
        <v>5</v>
      </c>
      <c r="CW109" s="21">
        <f t="shared" si="667"/>
        <v>5</v>
      </c>
      <c r="CX109" s="21">
        <f t="shared" si="668"/>
        <v>5</v>
      </c>
      <c r="CY109" s="21">
        <f t="shared" si="669"/>
        <v>5</v>
      </c>
      <c r="CZ109" s="21">
        <f t="shared" si="670"/>
        <v>10</v>
      </c>
      <c r="DA109" s="21">
        <f t="shared" si="671"/>
        <v>10</v>
      </c>
      <c r="DB109" s="21">
        <f t="shared" si="689"/>
        <v>0</v>
      </c>
      <c r="DC109" s="21">
        <f t="shared" si="672"/>
        <v>2</v>
      </c>
      <c r="DD109" s="21">
        <f t="shared" si="673"/>
        <v>2</v>
      </c>
      <c r="DE109" s="21">
        <f t="shared" si="674"/>
        <v>2</v>
      </c>
      <c r="DF109" s="21">
        <f t="shared" si="675"/>
        <v>2</v>
      </c>
      <c r="DG109" s="21">
        <f t="shared" si="676"/>
        <v>2</v>
      </c>
      <c r="DH109" s="21">
        <f t="shared" si="677"/>
        <v>6</v>
      </c>
      <c r="DI109" s="21">
        <f t="shared" si="678"/>
        <v>6</v>
      </c>
      <c r="DJ109" s="21">
        <f t="shared" si="679"/>
        <v>6</v>
      </c>
      <c r="DK109" s="21">
        <f t="shared" si="680"/>
        <v>6</v>
      </c>
      <c r="DL109" s="21">
        <f t="shared" si="681"/>
        <v>6</v>
      </c>
      <c r="DM109" s="21">
        <f t="shared" si="682"/>
        <v>9</v>
      </c>
      <c r="DN109" s="21">
        <f t="shared" si="683"/>
        <v>0</v>
      </c>
      <c r="DO109" s="21">
        <f t="shared" si="684"/>
        <v>0</v>
      </c>
      <c r="DP109" s="21"/>
      <c r="DQ109" s="248"/>
      <c r="DR109" s="248"/>
      <c r="DS109" s="248"/>
      <c r="DT109" s="248"/>
      <c r="DU109" s="248"/>
      <c r="DV109" s="248"/>
      <c r="DW109" s="248"/>
      <c r="DX109" s="248"/>
      <c r="DY109" s="248"/>
      <c r="ED109" s="429"/>
      <c r="EE109" s="23"/>
      <c r="EF109" s="23"/>
      <c r="EG109" s="23"/>
      <c r="EH109" s="18">
        <f t="shared" si="592"/>
        <v>0</v>
      </c>
      <c r="EI109" s="18">
        <f t="shared" si="593"/>
        <v>0</v>
      </c>
      <c r="EJ109" s="18">
        <f t="shared" si="594"/>
        <v>0</v>
      </c>
      <c r="EK109" s="24">
        <f t="shared" si="637"/>
        <v>0.16666666666666666</v>
      </c>
      <c r="EL109" s="14">
        <f>IF(EE84=0,0,EH109/EE84)</f>
        <v>0</v>
      </c>
      <c r="EM109" s="14" t="str">
        <f>IF(EF84=0,"",EI109/EF84)</f>
        <v/>
      </c>
      <c r="EN109" s="14">
        <f t="shared" si="643"/>
        <v>0</v>
      </c>
      <c r="EO109" s="46" t="str">
        <f t="shared" si="644"/>
        <v>Æ</v>
      </c>
      <c r="EP109" s="46" t="str">
        <f t="shared" si="645"/>
        <v>Æ</v>
      </c>
      <c r="EQ109" s="24" t="str">
        <f>IF(EJ84&lt;&gt;0,EM109/EJ84,"N/A")</f>
        <v>N/A</v>
      </c>
      <c r="ER109" s="2">
        <f>IF(EM109&gt;=0.9,1,IF(EM109&gt;0.75,2,3))</f>
        <v>1</v>
      </c>
      <c r="ES109" s="2">
        <f>IF(EN109="","",IF(EN109&gt;=0.9,1,IF(EN109&lt;0.75,3,2)))</f>
        <v>3</v>
      </c>
    </row>
    <row r="110" spans="1:149" ht="12.75" customHeight="1">
      <c r="A110" s="6" t="s">
        <v>23</v>
      </c>
      <c r="B110" s="324" t="s">
        <v>202</v>
      </c>
      <c r="C110" s="3" t="s">
        <v>70</v>
      </c>
      <c r="E110" s="3" t="s">
        <v>15</v>
      </c>
      <c r="G110" s="3" t="s">
        <v>91</v>
      </c>
      <c r="I110" s="23"/>
      <c r="J110" s="19">
        <v>0</v>
      </c>
      <c r="K110" s="19">
        <v>0</v>
      </c>
      <c r="L110" s="19">
        <v>0</v>
      </c>
      <c r="M110" s="19">
        <v>0</v>
      </c>
      <c r="N110" s="19">
        <v>0</v>
      </c>
      <c r="O110" s="19">
        <v>2</v>
      </c>
      <c r="P110" s="19">
        <v>2</v>
      </c>
      <c r="Q110" s="19">
        <v>2</v>
      </c>
      <c r="R110" s="19">
        <v>2</v>
      </c>
      <c r="S110" s="19">
        <v>2</v>
      </c>
      <c r="T110" s="19">
        <v>2</v>
      </c>
      <c r="U110" s="19">
        <v>5</v>
      </c>
      <c r="V110" s="31">
        <v>0</v>
      </c>
      <c r="W110" s="19">
        <v>0</v>
      </c>
      <c r="X110" s="19">
        <v>0</v>
      </c>
      <c r="Y110" s="331">
        <v>0</v>
      </c>
      <c r="Z110" s="19">
        <v>0</v>
      </c>
      <c r="AA110" s="19">
        <v>0</v>
      </c>
      <c r="AB110" s="19">
        <v>0</v>
      </c>
      <c r="AC110" s="19">
        <v>2</v>
      </c>
      <c r="AD110" s="19">
        <v>2</v>
      </c>
      <c r="AE110" s="19">
        <v>2</v>
      </c>
      <c r="AF110" s="19">
        <v>2</v>
      </c>
      <c r="AG110" s="19">
        <v>4</v>
      </c>
      <c r="AH110" s="31"/>
      <c r="AI110" s="19"/>
      <c r="AJ110" s="19"/>
      <c r="AK110" s="408"/>
      <c r="AL110" s="40">
        <f t="shared" si="627"/>
        <v>0</v>
      </c>
      <c r="AM110" s="40">
        <f t="shared" si="685"/>
        <v>0</v>
      </c>
      <c r="AN110" s="40">
        <f t="shared" si="649"/>
        <v>0</v>
      </c>
      <c r="AO110" s="40">
        <f t="shared" si="650"/>
        <v>0</v>
      </c>
      <c r="AP110" s="40">
        <f t="shared" ref="AP110:AW110" si="690">N110-M110</f>
        <v>0</v>
      </c>
      <c r="AQ110" s="40">
        <f t="shared" si="690"/>
        <v>2</v>
      </c>
      <c r="AR110" s="40">
        <f t="shared" si="690"/>
        <v>0</v>
      </c>
      <c r="AS110" s="40">
        <f t="shared" si="690"/>
        <v>0</v>
      </c>
      <c r="AT110" s="40">
        <f t="shared" si="690"/>
        <v>0</v>
      </c>
      <c r="AU110" s="40">
        <f t="shared" si="690"/>
        <v>0</v>
      </c>
      <c r="AV110" s="40">
        <f t="shared" si="690"/>
        <v>0</v>
      </c>
      <c r="AW110" s="40">
        <f t="shared" si="690"/>
        <v>3</v>
      </c>
      <c r="AX110" s="40">
        <f t="shared" si="628"/>
        <v>0</v>
      </c>
      <c r="AY110" s="40">
        <f t="shared" ref="AY110:BL111" si="691">W110-V110</f>
        <v>0</v>
      </c>
      <c r="AZ110" s="40">
        <f t="shared" si="691"/>
        <v>0</v>
      </c>
      <c r="BA110" s="40">
        <f t="shared" si="691"/>
        <v>0</v>
      </c>
      <c r="BB110" s="40">
        <f t="shared" si="691"/>
        <v>0</v>
      </c>
      <c r="BC110" s="40">
        <f t="shared" si="691"/>
        <v>0</v>
      </c>
      <c r="BD110" s="40">
        <f t="shared" si="691"/>
        <v>0</v>
      </c>
      <c r="BE110" s="40">
        <f t="shared" si="691"/>
        <v>2</v>
      </c>
      <c r="BF110" s="40">
        <f t="shared" si="691"/>
        <v>0</v>
      </c>
      <c r="BG110" s="40">
        <f t="shared" si="691"/>
        <v>0</v>
      </c>
      <c r="BH110" s="40">
        <f t="shared" si="691"/>
        <v>0</v>
      </c>
      <c r="BI110" s="40">
        <f t="shared" si="691"/>
        <v>2</v>
      </c>
      <c r="BJ110" s="40">
        <f t="shared" si="691"/>
        <v>-4</v>
      </c>
      <c r="BK110" s="40">
        <f t="shared" si="691"/>
        <v>0</v>
      </c>
      <c r="BL110" s="40">
        <f t="shared" si="691"/>
        <v>0</v>
      </c>
      <c r="BM110" s="408"/>
      <c r="BN110" s="48">
        <f t="shared" si="600"/>
        <v>0</v>
      </c>
      <c r="BO110" s="48">
        <f t="shared" si="601"/>
        <v>0</v>
      </c>
      <c r="BP110" s="48">
        <f>SUM(AL110:AN110)</f>
        <v>0</v>
      </c>
      <c r="BQ110" s="48">
        <f t="shared" si="603"/>
        <v>2</v>
      </c>
      <c r="BR110" s="48">
        <f t="shared" si="604"/>
        <v>2</v>
      </c>
      <c r="BS110" s="48">
        <f>SUM(AO110:AQ110)</f>
        <v>2</v>
      </c>
      <c r="BT110" s="48">
        <f t="shared" si="606"/>
        <v>0</v>
      </c>
      <c r="BU110" s="48">
        <f t="shared" si="607"/>
        <v>0</v>
      </c>
      <c r="BV110" s="48">
        <f>SUM(AR110:AT110)</f>
        <v>0</v>
      </c>
      <c r="BW110" s="48">
        <f t="shared" si="609"/>
        <v>3</v>
      </c>
      <c r="BX110" s="48">
        <f t="shared" si="610"/>
        <v>3</v>
      </c>
      <c r="BY110" s="48">
        <f>SUM(AU110:AW110)</f>
        <v>3</v>
      </c>
      <c r="BZ110" s="48">
        <f t="shared" si="612"/>
        <v>0</v>
      </c>
      <c r="CA110" s="48">
        <f t="shared" si="613"/>
        <v>0</v>
      </c>
      <c r="CB110" s="48">
        <f>SUM(AX110:AZ110)</f>
        <v>0</v>
      </c>
      <c r="CC110" s="48">
        <f t="shared" si="615"/>
        <v>0</v>
      </c>
      <c r="CD110" s="48">
        <f t="shared" si="616"/>
        <v>0</v>
      </c>
      <c r="CE110" s="48">
        <f>SUM(BA110:BC110)</f>
        <v>0</v>
      </c>
      <c r="CF110" s="48">
        <f t="shared" si="618"/>
        <v>2</v>
      </c>
      <c r="CG110" s="48">
        <f t="shared" si="619"/>
        <v>2</v>
      </c>
      <c r="CH110" s="48">
        <f>SUM(BD110:BF110)</f>
        <v>2</v>
      </c>
      <c r="CI110" s="48">
        <f t="shared" si="621"/>
        <v>2</v>
      </c>
      <c r="CJ110" s="48">
        <f t="shared" si="622"/>
        <v>2</v>
      </c>
      <c r="CK110" s="48">
        <f>SUM(BG110:BI110)</f>
        <v>2</v>
      </c>
      <c r="CL110" s="48">
        <f t="shared" si="624"/>
        <v>-4</v>
      </c>
      <c r="CM110" s="48">
        <f t="shared" si="625"/>
        <v>-4</v>
      </c>
      <c r="CN110" s="48">
        <f>SUM(BJ110:BL110)</f>
        <v>-4</v>
      </c>
      <c r="CO110" s="406"/>
      <c r="CP110" s="48">
        <f t="shared" si="687"/>
        <v>0</v>
      </c>
      <c r="CQ110" s="48">
        <f t="shared" si="688"/>
        <v>0</v>
      </c>
      <c r="CR110" s="48">
        <f t="shared" si="662"/>
        <v>0</v>
      </c>
      <c r="CS110" s="48">
        <f t="shared" si="663"/>
        <v>0</v>
      </c>
      <c r="CT110" s="48">
        <f t="shared" si="664"/>
        <v>0</v>
      </c>
      <c r="CU110" s="48">
        <f t="shared" si="665"/>
        <v>2</v>
      </c>
      <c r="CV110" s="48">
        <f t="shared" si="666"/>
        <v>2</v>
      </c>
      <c r="CW110" s="48">
        <f t="shared" si="667"/>
        <v>2</v>
      </c>
      <c r="CX110" s="48">
        <f t="shared" si="668"/>
        <v>2</v>
      </c>
      <c r="CY110" s="48">
        <f t="shared" si="669"/>
        <v>2</v>
      </c>
      <c r="CZ110" s="48">
        <f t="shared" si="670"/>
        <v>2</v>
      </c>
      <c r="DA110" s="48">
        <f t="shared" si="671"/>
        <v>5</v>
      </c>
      <c r="DB110" s="48">
        <f t="shared" si="689"/>
        <v>0</v>
      </c>
      <c r="DC110" s="48">
        <f t="shared" si="672"/>
        <v>0</v>
      </c>
      <c r="DD110" s="48">
        <f t="shared" si="673"/>
        <v>0</v>
      </c>
      <c r="DE110" s="48">
        <f t="shared" si="674"/>
        <v>0</v>
      </c>
      <c r="DF110" s="48">
        <f t="shared" si="675"/>
        <v>0</v>
      </c>
      <c r="DG110" s="48">
        <f t="shared" si="676"/>
        <v>0</v>
      </c>
      <c r="DH110" s="48">
        <f t="shared" si="677"/>
        <v>0</v>
      </c>
      <c r="DI110" s="48">
        <f t="shared" si="678"/>
        <v>2</v>
      </c>
      <c r="DJ110" s="48">
        <f t="shared" si="679"/>
        <v>2</v>
      </c>
      <c r="DK110" s="48">
        <f t="shared" si="680"/>
        <v>2</v>
      </c>
      <c r="DL110" s="48">
        <f t="shared" si="681"/>
        <v>2</v>
      </c>
      <c r="DM110" s="48">
        <f t="shared" si="682"/>
        <v>4</v>
      </c>
      <c r="DN110" s="48">
        <f>DM110+BJ110</f>
        <v>0</v>
      </c>
      <c r="DO110" s="48">
        <f t="shared" si="684"/>
        <v>0</v>
      </c>
      <c r="DP110" s="48"/>
      <c r="DQ110" s="48"/>
      <c r="DR110" s="48"/>
      <c r="DS110" s="48"/>
      <c r="DT110" s="48"/>
      <c r="DU110" s="48"/>
      <c r="DV110" s="48"/>
      <c r="DW110" s="48"/>
      <c r="DX110" s="48"/>
      <c r="DY110" s="48"/>
      <c r="ED110" s="429"/>
      <c r="EE110" s="23"/>
      <c r="EF110" s="23"/>
      <c r="EG110" s="23"/>
      <c r="EH110" s="18">
        <f t="shared" si="592"/>
        <v>0</v>
      </c>
      <c r="EI110" s="18">
        <f t="shared" si="593"/>
        <v>-4</v>
      </c>
      <c r="EJ110" s="18">
        <f t="shared" si="594"/>
        <v>0</v>
      </c>
      <c r="EK110" s="24">
        <f>IF(EK68&lt;6,0.5,IF(AND(EK68&gt;=6,EK68&lt;12),0.5,1))</f>
        <v>0.5</v>
      </c>
      <c r="EL110" s="14">
        <f>IF(EE85=0,0,EH110/EE85)</f>
        <v>0</v>
      </c>
      <c r="EM110" s="14">
        <f>IF(EF85=0,0,EI110/EF85)</f>
        <v>1</v>
      </c>
      <c r="EN110" s="14">
        <f>IF(EG85="","",EJ110/EG85)</f>
        <v>0</v>
      </c>
      <c r="EO110" s="46" t="str">
        <f t="shared" si="644"/>
        <v>Æ</v>
      </c>
      <c r="EP110" s="46">
        <f t="shared" si="645"/>
        <v>0</v>
      </c>
      <c r="EQ110" s="24" t="str">
        <f>IF(EJ85&lt;&gt;0,EM110/EJ85,"N/A")</f>
        <v>N/A</v>
      </c>
      <c r="ER110" s="24" t="str">
        <f>IF(EK85&lt;&gt;0,EN110/EK85,"N/A")</f>
        <v>N/A</v>
      </c>
      <c r="ES110" s="2">
        <f>IF(EN110="","",IF(EN110&gt;=0.9,1,IF(EN110&lt;0.75,3,2)))</f>
        <v>3</v>
      </c>
    </row>
    <row r="111" spans="1:149" ht="12.75" customHeight="1">
      <c r="A111" s="6" t="s">
        <v>23</v>
      </c>
      <c r="B111" s="2" t="s">
        <v>13</v>
      </c>
      <c r="C111" s="3" t="s">
        <v>71</v>
      </c>
      <c r="E111" s="3" t="s">
        <v>15</v>
      </c>
      <c r="G111" s="3" t="s">
        <v>91</v>
      </c>
      <c r="I111" s="23"/>
      <c r="J111" s="19">
        <v>0</v>
      </c>
      <c r="K111" s="19">
        <f>J111</f>
        <v>0</v>
      </c>
      <c r="L111" s="19">
        <v>9147</v>
      </c>
      <c r="M111" s="19">
        <f>L111</f>
        <v>9147</v>
      </c>
      <c r="N111" s="19">
        <f>L111</f>
        <v>9147</v>
      </c>
      <c r="O111" s="19">
        <f>9146.87</f>
        <v>9146.8700000000008</v>
      </c>
      <c r="P111" s="263">
        <v>17846.669999999998</v>
      </c>
      <c r="Q111" s="263">
        <f>P111</f>
        <v>17846.669999999998</v>
      </c>
      <c r="R111" s="19">
        <v>17847</v>
      </c>
      <c r="S111" s="19">
        <v>17847</v>
      </c>
      <c r="T111" s="19">
        <v>17847</v>
      </c>
      <c r="U111" s="19">
        <v>17847</v>
      </c>
      <c r="V111" s="31">
        <v>0</v>
      </c>
      <c r="W111" s="19">
        <v>0</v>
      </c>
      <c r="X111" s="19">
        <v>0</v>
      </c>
      <c r="Y111" s="331">
        <v>0</v>
      </c>
      <c r="Z111" s="19">
        <v>0</v>
      </c>
      <c r="AA111" s="19">
        <v>0</v>
      </c>
      <c r="AB111" s="263">
        <v>34996.839999999997</v>
      </c>
      <c r="AC111" s="19">
        <v>0</v>
      </c>
      <c r="AD111" s="19">
        <v>0</v>
      </c>
      <c r="AE111" s="19">
        <v>0</v>
      </c>
      <c r="AF111" s="19">
        <v>0</v>
      </c>
      <c r="AG111" s="19">
        <v>17441.36</v>
      </c>
      <c r="AH111" s="404">
        <v>17441.36</v>
      </c>
      <c r="AI111" s="19"/>
      <c r="AJ111" s="19"/>
      <c r="AK111" s="408"/>
      <c r="AL111" s="19">
        <f t="shared" si="627"/>
        <v>0</v>
      </c>
      <c r="AM111" s="19"/>
      <c r="AN111" s="19"/>
      <c r="AO111" s="19"/>
      <c r="AP111" s="19"/>
      <c r="AQ111" s="19">
        <f t="shared" si="686"/>
        <v>-0.12999999999919964</v>
      </c>
      <c r="AR111" s="19">
        <f t="shared" si="571"/>
        <v>8699.7999999999975</v>
      </c>
      <c r="AS111" s="19">
        <f t="shared" si="572"/>
        <v>0</v>
      </c>
      <c r="AT111" s="19">
        <f t="shared" si="573"/>
        <v>0.33000000000174623</v>
      </c>
      <c r="AU111" s="19">
        <f t="shared" si="574"/>
        <v>0</v>
      </c>
      <c r="AV111" s="19">
        <f t="shared" si="575"/>
        <v>0</v>
      </c>
      <c r="AW111" s="19">
        <f t="shared" si="576"/>
        <v>0</v>
      </c>
      <c r="AX111" s="19">
        <f t="shared" si="628"/>
        <v>0</v>
      </c>
      <c r="AY111" s="19">
        <f t="shared" si="577"/>
        <v>0</v>
      </c>
      <c r="AZ111" s="19">
        <f t="shared" si="578"/>
        <v>0</v>
      </c>
      <c r="BA111" s="19">
        <f t="shared" si="629"/>
        <v>0</v>
      </c>
      <c r="BB111" s="19">
        <f t="shared" si="691"/>
        <v>0</v>
      </c>
      <c r="BC111" s="19">
        <f t="shared" si="691"/>
        <v>0</v>
      </c>
      <c r="BD111" s="19">
        <f t="shared" si="691"/>
        <v>34996.839999999997</v>
      </c>
      <c r="BE111" s="19"/>
      <c r="BF111" s="19">
        <f t="shared" si="691"/>
        <v>0</v>
      </c>
      <c r="BG111" s="19">
        <f t="shared" si="691"/>
        <v>0</v>
      </c>
      <c r="BH111" s="19">
        <f t="shared" si="691"/>
        <v>0</v>
      </c>
      <c r="BI111" s="19">
        <f t="shared" si="691"/>
        <v>17441.36</v>
      </c>
      <c r="BJ111" s="19"/>
      <c r="BK111" s="19"/>
      <c r="BL111" s="19"/>
      <c r="BM111" s="408"/>
      <c r="BN111" s="40" t="s">
        <v>97</v>
      </c>
      <c r="BO111" s="40" t="s">
        <v>97</v>
      </c>
      <c r="BP111" s="40" t="s">
        <v>97</v>
      </c>
      <c r="BQ111" s="40" t="s">
        <v>97</v>
      </c>
      <c r="BR111" s="40" t="s">
        <v>97</v>
      </c>
      <c r="BS111" s="40" t="s">
        <v>97</v>
      </c>
      <c r="BT111" s="40" t="s">
        <v>97</v>
      </c>
      <c r="BU111" s="40" t="s">
        <v>97</v>
      </c>
      <c r="BV111" s="40" t="s">
        <v>97</v>
      </c>
      <c r="BW111" s="40" t="s">
        <v>97</v>
      </c>
      <c r="BX111" s="40" t="s">
        <v>97</v>
      </c>
      <c r="BY111" s="40" t="s">
        <v>97</v>
      </c>
      <c r="BZ111" s="40" t="s">
        <v>97</v>
      </c>
      <c r="CA111" s="40" t="s">
        <v>97</v>
      </c>
      <c r="CB111" s="40" t="s">
        <v>97</v>
      </c>
      <c r="CC111" s="40" t="s">
        <v>97</v>
      </c>
      <c r="CD111" s="40" t="s">
        <v>97</v>
      </c>
      <c r="CE111" s="40" t="s">
        <v>97</v>
      </c>
      <c r="CF111" s="40" t="s">
        <v>97</v>
      </c>
      <c r="CG111" s="40" t="s">
        <v>97</v>
      </c>
      <c r="CH111" s="40" t="s">
        <v>97</v>
      </c>
      <c r="CI111" s="40" t="s">
        <v>97</v>
      </c>
      <c r="CJ111" s="40" t="s">
        <v>97</v>
      </c>
      <c r="CK111" s="40" t="s">
        <v>97</v>
      </c>
      <c r="CL111" s="40" t="s">
        <v>97</v>
      </c>
      <c r="CM111" s="40" t="s">
        <v>97</v>
      </c>
      <c r="CN111" s="40" t="s">
        <v>97</v>
      </c>
      <c r="CO111" s="408"/>
      <c r="CP111" s="21">
        <f t="shared" ref="CP111:CY112" si="692">J111</f>
        <v>0</v>
      </c>
      <c r="CQ111" s="21">
        <f t="shared" si="692"/>
        <v>0</v>
      </c>
      <c r="CR111" s="21">
        <f t="shared" si="692"/>
        <v>9147</v>
      </c>
      <c r="CS111" s="21">
        <f t="shared" si="692"/>
        <v>9147</v>
      </c>
      <c r="CT111" s="21">
        <f t="shared" si="692"/>
        <v>9147</v>
      </c>
      <c r="CU111" s="21">
        <f t="shared" si="692"/>
        <v>9146.8700000000008</v>
      </c>
      <c r="CV111" s="21">
        <f t="shared" si="692"/>
        <v>17846.669999999998</v>
      </c>
      <c r="CW111" s="21">
        <f t="shared" si="692"/>
        <v>17846.669999999998</v>
      </c>
      <c r="CX111" s="21">
        <f t="shared" si="692"/>
        <v>17847</v>
      </c>
      <c r="CY111" s="21">
        <f t="shared" si="692"/>
        <v>17847</v>
      </c>
      <c r="CZ111" s="21">
        <f t="shared" ref="CZ111:DI112" si="693">T111</f>
        <v>17847</v>
      </c>
      <c r="DA111" s="21">
        <f t="shared" si="693"/>
        <v>17847</v>
      </c>
      <c r="DB111" s="21">
        <f t="shared" si="693"/>
        <v>0</v>
      </c>
      <c r="DC111" s="21">
        <f t="shared" si="693"/>
        <v>0</v>
      </c>
      <c r="DD111" s="21">
        <f t="shared" si="693"/>
        <v>0</v>
      </c>
      <c r="DE111" s="21">
        <f t="shared" si="693"/>
        <v>0</v>
      </c>
      <c r="DF111" s="21">
        <f t="shared" si="693"/>
        <v>0</v>
      </c>
      <c r="DG111" s="21">
        <f t="shared" si="693"/>
        <v>0</v>
      </c>
      <c r="DH111" s="21">
        <f t="shared" si="693"/>
        <v>34996.839999999997</v>
      </c>
      <c r="DI111" s="21">
        <f t="shared" si="693"/>
        <v>0</v>
      </c>
      <c r="DJ111" s="21">
        <f t="shared" ref="DJ111:DO112" si="694">AD111</f>
        <v>0</v>
      </c>
      <c r="DK111" s="21">
        <f t="shared" si="694"/>
        <v>0</v>
      </c>
      <c r="DL111" s="21">
        <f t="shared" si="694"/>
        <v>0</v>
      </c>
      <c r="DM111" s="21">
        <f t="shared" si="694"/>
        <v>17441.36</v>
      </c>
      <c r="DN111" s="21">
        <f t="shared" si="694"/>
        <v>17441.36</v>
      </c>
      <c r="DO111" s="21">
        <f t="shared" si="694"/>
        <v>0</v>
      </c>
      <c r="DP111" s="21"/>
      <c r="DQ111" s="248"/>
      <c r="DR111" s="248"/>
      <c r="DS111" s="248"/>
      <c r="DT111" s="248"/>
      <c r="DU111" s="248"/>
      <c r="DV111" s="248"/>
      <c r="DW111" s="248"/>
      <c r="DX111" s="248"/>
      <c r="DY111" s="248"/>
      <c r="ED111" s="429"/>
      <c r="EE111" s="23"/>
      <c r="EF111" s="23"/>
      <c r="EG111" s="23"/>
      <c r="EH111" s="24" t="s">
        <v>97</v>
      </c>
      <c r="EI111" s="24" t="s">
        <v>97</v>
      </c>
      <c r="EJ111" s="18">
        <f t="shared" si="594"/>
        <v>0</v>
      </c>
      <c r="EK111" s="24">
        <f t="shared" si="637"/>
        <v>0.16666666666666666</v>
      </c>
      <c r="EL111" s="24" t="s">
        <v>97</v>
      </c>
      <c r="EM111" s="24" t="s">
        <v>97</v>
      </c>
      <c r="EN111" s="24">
        <f>EJ111/EG86</f>
        <v>0</v>
      </c>
      <c r="EO111" s="46" t="str">
        <f t="shared" si="644"/>
        <v>Æ</v>
      </c>
      <c r="EP111" s="46" t="str">
        <f t="shared" si="645"/>
        <v>Æ</v>
      </c>
      <c r="EQ111" s="24" t="s">
        <v>97</v>
      </c>
      <c r="ER111" s="24" t="s">
        <v>97</v>
      </c>
      <c r="ES111" s="2">
        <f>IF(EN111&gt;=0.9,1,IF(EN111&lt;0.75,2,3))</f>
        <v>2</v>
      </c>
    </row>
    <row r="112" spans="1:149" ht="12.75" customHeight="1" thickBot="1">
      <c r="A112" s="6" t="s">
        <v>23</v>
      </c>
      <c r="B112" s="2" t="s">
        <v>14</v>
      </c>
      <c r="C112" s="3" t="s">
        <v>72</v>
      </c>
      <c r="E112" s="3" t="s">
        <v>15</v>
      </c>
      <c r="G112" s="3" t="s">
        <v>91</v>
      </c>
      <c r="I112" s="23"/>
      <c r="J112" s="19">
        <v>0</v>
      </c>
      <c r="K112" s="19">
        <f>J112</f>
        <v>0</v>
      </c>
      <c r="L112" s="19">
        <v>14220</v>
      </c>
      <c r="M112" s="19">
        <f>L112</f>
        <v>14220</v>
      </c>
      <c r="N112" s="19">
        <f>L112</f>
        <v>14220</v>
      </c>
      <c r="O112" s="19">
        <v>14219.91</v>
      </c>
      <c r="P112" s="263">
        <f>18757.08+10550.86</f>
        <v>29307.940000000002</v>
      </c>
      <c r="Q112" s="263">
        <f>P112</f>
        <v>29307.940000000002</v>
      </c>
      <c r="R112" s="19">
        <v>29308</v>
      </c>
      <c r="S112" s="19">
        <v>29308</v>
      </c>
      <c r="T112" s="19">
        <v>29308</v>
      </c>
      <c r="U112" s="19">
        <v>29308</v>
      </c>
      <c r="V112" s="34">
        <v>0</v>
      </c>
      <c r="W112" s="19">
        <v>0</v>
      </c>
      <c r="X112" s="19">
        <v>0</v>
      </c>
      <c r="Y112" s="331">
        <v>0</v>
      </c>
      <c r="Z112" s="19">
        <v>0</v>
      </c>
      <c r="AA112" s="19">
        <v>0</v>
      </c>
      <c r="AB112" s="19">
        <v>54000</v>
      </c>
      <c r="AC112" s="19">
        <v>0</v>
      </c>
      <c r="AD112" s="19">
        <v>0</v>
      </c>
      <c r="AE112" s="19">
        <v>0</v>
      </c>
      <c r="AF112" s="19">
        <v>0</v>
      </c>
      <c r="AG112" s="19">
        <v>24507.4</v>
      </c>
      <c r="AH112" s="404">
        <v>24507.4</v>
      </c>
      <c r="AI112" s="19"/>
      <c r="AJ112" s="19"/>
      <c r="AK112" s="408"/>
      <c r="AL112" s="19">
        <f t="shared" si="627"/>
        <v>0</v>
      </c>
      <c r="AM112" s="19"/>
      <c r="AN112" s="19"/>
      <c r="AO112" s="19"/>
      <c r="AP112" s="19"/>
      <c r="AQ112" s="19">
        <f t="shared" si="686"/>
        <v>-9.0000000000145519E-2</v>
      </c>
      <c r="AR112" s="19">
        <f t="shared" si="571"/>
        <v>15088.030000000002</v>
      </c>
      <c r="AS112" s="19">
        <f t="shared" si="572"/>
        <v>0</v>
      </c>
      <c r="AT112" s="19">
        <f t="shared" si="573"/>
        <v>5.9999999997671694E-2</v>
      </c>
      <c r="AU112" s="19">
        <f t="shared" si="574"/>
        <v>0</v>
      </c>
      <c r="AV112" s="19">
        <f t="shared" si="575"/>
        <v>0</v>
      </c>
      <c r="AW112" s="19">
        <f t="shared" si="576"/>
        <v>0</v>
      </c>
      <c r="AX112" s="19">
        <f t="shared" si="628"/>
        <v>0</v>
      </c>
      <c r="AY112" s="19">
        <f t="shared" si="577"/>
        <v>0</v>
      </c>
      <c r="AZ112" s="19">
        <f t="shared" si="578"/>
        <v>0</v>
      </c>
      <c r="BA112" s="19">
        <f t="shared" si="629"/>
        <v>0</v>
      </c>
      <c r="BB112" s="19"/>
      <c r="BC112" s="19"/>
      <c r="BD112" s="19"/>
      <c r="BE112" s="19"/>
      <c r="BF112" s="19"/>
      <c r="BG112" s="19"/>
      <c r="BH112" s="19"/>
      <c r="BI112" s="19"/>
      <c r="BJ112" s="19"/>
      <c r="BK112" s="19"/>
      <c r="BL112" s="19"/>
      <c r="BM112" s="408"/>
      <c r="BN112" s="40" t="s">
        <v>97</v>
      </c>
      <c r="BO112" s="40" t="s">
        <v>97</v>
      </c>
      <c r="BP112" s="40" t="s">
        <v>97</v>
      </c>
      <c r="BQ112" s="40" t="s">
        <v>97</v>
      </c>
      <c r="BR112" s="40" t="s">
        <v>97</v>
      </c>
      <c r="BS112" s="40" t="s">
        <v>97</v>
      </c>
      <c r="BT112" s="40" t="s">
        <v>97</v>
      </c>
      <c r="BU112" s="40" t="s">
        <v>97</v>
      </c>
      <c r="BV112" s="40" t="s">
        <v>97</v>
      </c>
      <c r="BW112" s="40" t="s">
        <v>97</v>
      </c>
      <c r="BX112" s="40" t="s">
        <v>97</v>
      </c>
      <c r="BY112" s="40" t="s">
        <v>97</v>
      </c>
      <c r="BZ112" s="40" t="s">
        <v>97</v>
      </c>
      <c r="CA112" s="40" t="s">
        <v>97</v>
      </c>
      <c r="CB112" s="40" t="s">
        <v>97</v>
      </c>
      <c r="CC112" s="40" t="s">
        <v>97</v>
      </c>
      <c r="CD112" s="40" t="s">
        <v>97</v>
      </c>
      <c r="CE112" s="40" t="s">
        <v>97</v>
      </c>
      <c r="CF112" s="40" t="s">
        <v>97</v>
      </c>
      <c r="CG112" s="40" t="s">
        <v>97</v>
      </c>
      <c r="CH112" s="40" t="s">
        <v>97</v>
      </c>
      <c r="CI112" s="40" t="s">
        <v>97</v>
      </c>
      <c r="CJ112" s="40" t="s">
        <v>97</v>
      </c>
      <c r="CK112" s="40" t="s">
        <v>97</v>
      </c>
      <c r="CL112" s="40" t="s">
        <v>97</v>
      </c>
      <c r="CM112" s="40" t="s">
        <v>97</v>
      </c>
      <c r="CN112" s="40" t="s">
        <v>97</v>
      </c>
      <c r="CO112" s="408"/>
      <c r="CP112" s="21">
        <f t="shared" si="692"/>
        <v>0</v>
      </c>
      <c r="CQ112" s="21">
        <f t="shared" si="692"/>
        <v>0</v>
      </c>
      <c r="CR112" s="21">
        <f t="shared" si="692"/>
        <v>14220</v>
      </c>
      <c r="CS112" s="21">
        <f t="shared" si="692"/>
        <v>14220</v>
      </c>
      <c r="CT112" s="21">
        <f t="shared" si="692"/>
        <v>14220</v>
      </c>
      <c r="CU112" s="21">
        <f t="shared" si="692"/>
        <v>14219.91</v>
      </c>
      <c r="CV112" s="21">
        <f t="shared" si="692"/>
        <v>29307.940000000002</v>
      </c>
      <c r="CW112" s="21">
        <f t="shared" si="692"/>
        <v>29307.940000000002</v>
      </c>
      <c r="CX112" s="21">
        <f t="shared" si="692"/>
        <v>29308</v>
      </c>
      <c r="CY112" s="21">
        <f t="shared" si="692"/>
        <v>29308</v>
      </c>
      <c r="CZ112" s="21">
        <f t="shared" si="693"/>
        <v>29308</v>
      </c>
      <c r="DA112" s="21">
        <f t="shared" si="693"/>
        <v>29308</v>
      </c>
      <c r="DB112" s="21">
        <f t="shared" si="693"/>
        <v>0</v>
      </c>
      <c r="DC112" s="21">
        <f t="shared" si="693"/>
        <v>0</v>
      </c>
      <c r="DD112" s="21">
        <f t="shared" si="693"/>
        <v>0</v>
      </c>
      <c r="DE112" s="21">
        <f t="shared" si="693"/>
        <v>0</v>
      </c>
      <c r="DF112" s="21">
        <f t="shared" si="693"/>
        <v>0</v>
      </c>
      <c r="DG112" s="21">
        <f t="shared" si="693"/>
        <v>0</v>
      </c>
      <c r="DH112" s="21">
        <f t="shared" si="693"/>
        <v>54000</v>
      </c>
      <c r="DI112" s="21">
        <f t="shared" si="693"/>
        <v>0</v>
      </c>
      <c r="DJ112" s="21">
        <f t="shared" si="694"/>
        <v>0</v>
      </c>
      <c r="DK112" s="21">
        <f t="shared" si="694"/>
        <v>0</v>
      </c>
      <c r="DL112" s="21">
        <f t="shared" si="694"/>
        <v>0</v>
      </c>
      <c r="DM112" s="21">
        <f t="shared" si="694"/>
        <v>24507.4</v>
      </c>
      <c r="DN112" s="21">
        <f t="shared" si="694"/>
        <v>24507.4</v>
      </c>
      <c r="DO112" s="21">
        <f t="shared" si="694"/>
        <v>0</v>
      </c>
      <c r="DP112" s="21"/>
      <c r="DQ112" s="248"/>
      <c r="DR112" s="248"/>
      <c r="DS112" s="248"/>
      <c r="DT112" s="248"/>
      <c r="DU112" s="248"/>
      <c r="DV112" s="248"/>
      <c r="DW112" s="248"/>
      <c r="DX112" s="248"/>
      <c r="DY112" s="248"/>
      <c r="ED112" s="429"/>
      <c r="EE112" s="23"/>
      <c r="EF112" s="23"/>
      <c r="EG112" s="23"/>
      <c r="EH112" s="24" t="s">
        <v>97</v>
      </c>
      <c r="EI112" s="24" t="s">
        <v>97</v>
      </c>
      <c r="EJ112" s="18">
        <f t="shared" si="594"/>
        <v>0</v>
      </c>
      <c r="EK112" s="24">
        <f t="shared" si="637"/>
        <v>0.16666666666666666</v>
      </c>
      <c r="EL112" s="24" t="s">
        <v>97</v>
      </c>
      <c r="EM112" s="24" t="s">
        <v>97</v>
      </c>
      <c r="EN112" s="24">
        <f>EJ112/EG87</f>
        <v>0</v>
      </c>
      <c r="EO112" s="46" t="str">
        <f t="shared" si="644"/>
        <v>Æ</v>
      </c>
      <c r="EP112" s="46" t="str">
        <f t="shared" si="645"/>
        <v>Æ</v>
      </c>
      <c r="EQ112" s="24" t="s">
        <v>97</v>
      </c>
      <c r="ER112" s="24" t="s">
        <v>97</v>
      </c>
      <c r="ES112" s="2">
        <f>IF(EN112&gt;=0.9,1,IF(EN112&lt;0.75,2,3))</f>
        <v>2</v>
      </c>
    </row>
    <row r="113" spans="1:149" ht="12.75" customHeight="1">
      <c r="A113" s="6" t="s">
        <v>23</v>
      </c>
      <c r="B113" s="2" t="s">
        <v>0</v>
      </c>
      <c r="C113" s="3" t="s">
        <v>59</v>
      </c>
      <c r="E113" s="3" t="s">
        <v>16</v>
      </c>
      <c r="G113" s="28" t="s">
        <v>92</v>
      </c>
      <c r="H113" s="28"/>
      <c r="I113" s="29"/>
      <c r="J113" s="30">
        <f t="shared" ref="J113:U113" si="695">IF(J100&lt;&gt;"",+J100-I100,"")</f>
        <v>15</v>
      </c>
      <c r="K113" s="30">
        <f t="shared" si="695"/>
        <v>17</v>
      </c>
      <c r="L113" s="30">
        <f t="shared" si="695"/>
        <v>6</v>
      </c>
      <c r="M113" s="30">
        <f t="shared" si="695"/>
        <v>20</v>
      </c>
      <c r="N113" s="30">
        <f t="shared" si="695"/>
        <v>9</v>
      </c>
      <c r="O113" s="30">
        <f t="shared" si="695"/>
        <v>8</v>
      </c>
      <c r="P113" s="30">
        <f t="shared" si="695"/>
        <v>11</v>
      </c>
      <c r="Q113" s="30">
        <f t="shared" si="695"/>
        <v>19</v>
      </c>
      <c r="R113" s="30">
        <f t="shared" si="695"/>
        <v>14</v>
      </c>
      <c r="S113" s="30">
        <f t="shared" si="695"/>
        <v>16</v>
      </c>
      <c r="T113" s="30">
        <f t="shared" si="695"/>
        <v>14</v>
      </c>
      <c r="U113" s="30">
        <f t="shared" si="695"/>
        <v>12</v>
      </c>
      <c r="V113" s="30">
        <f>IF(V93&lt;&gt;"",+V93-U93,"")</f>
        <v>14</v>
      </c>
      <c r="W113" s="30">
        <f>IF(W100&lt;&gt;"",+W100-V100,"")</f>
        <v>18</v>
      </c>
      <c r="X113" s="30">
        <f>IF(X100&lt;&gt;"",+X100-W100,"")</f>
        <v>18</v>
      </c>
      <c r="Y113" s="226">
        <f>IF(Y100&lt;&gt;"",+Y100-X100,0)</f>
        <v>25</v>
      </c>
      <c r="Z113" s="30">
        <f t="shared" ref="Z113:AG114" si="696">IF(Z100&lt;&gt;"",+Z100-Y100,"")</f>
        <v>9</v>
      </c>
      <c r="AA113" s="30">
        <f t="shared" si="696"/>
        <v>6</v>
      </c>
      <c r="AB113" s="30">
        <f t="shared" si="696"/>
        <v>15</v>
      </c>
      <c r="AC113" s="30">
        <f t="shared" si="696"/>
        <v>17</v>
      </c>
      <c r="AD113" s="30">
        <f t="shared" si="696"/>
        <v>22</v>
      </c>
      <c r="AE113" s="30">
        <f t="shared" si="696"/>
        <v>14</v>
      </c>
      <c r="AF113" s="30">
        <f t="shared" si="696"/>
        <v>15</v>
      </c>
      <c r="AG113" s="30">
        <f t="shared" si="696"/>
        <v>9</v>
      </c>
      <c r="AH113" s="30">
        <f>IF(AH100&lt;&gt;"",+AH100,"")</f>
        <v>18</v>
      </c>
      <c r="AI113" s="30">
        <f>IF(AI100&lt;&gt;"",+AI100-AH100,"")</f>
        <v>17</v>
      </c>
      <c r="AJ113" s="30" t="str">
        <f>IF(AJ100&lt;&gt;"",+AJ100-AI100,"")</f>
        <v/>
      </c>
      <c r="AK113" s="408"/>
      <c r="AL113" s="48">
        <f t="shared" si="627"/>
        <v>15</v>
      </c>
      <c r="AM113" s="48">
        <f t="shared" ref="AM113:AV114" si="697">K113</f>
        <v>17</v>
      </c>
      <c r="AN113" s="48">
        <f t="shared" si="697"/>
        <v>6</v>
      </c>
      <c r="AO113" s="48">
        <f t="shared" si="697"/>
        <v>20</v>
      </c>
      <c r="AP113" s="48">
        <f t="shared" si="697"/>
        <v>9</v>
      </c>
      <c r="AQ113" s="48">
        <f t="shared" si="697"/>
        <v>8</v>
      </c>
      <c r="AR113" s="48">
        <f t="shared" si="697"/>
        <v>11</v>
      </c>
      <c r="AS113" s="48">
        <f t="shared" si="697"/>
        <v>19</v>
      </c>
      <c r="AT113" s="48">
        <f t="shared" si="697"/>
        <v>14</v>
      </c>
      <c r="AU113" s="48">
        <f t="shared" si="697"/>
        <v>16</v>
      </c>
      <c r="AV113" s="48">
        <f t="shared" si="697"/>
        <v>14</v>
      </c>
      <c r="AW113" s="48">
        <f t="shared" ref="AW113:BF114" si="698">U113</f>
        <v>12</v>
      </c>
      <c r="AX113" s="48">
        <f t="shared" si="698"/>
        <v>14</v>
      </c>
      <c r="AY113" s="48">
        <f t="shared" si="698"/>
        <v>18</v>
      </c>
      <c r="AZ113" s="48">
        <f t="shared" si="698"/>
        <v>18</v>
      </c>
      <c r="BA113" s="48">
        <f t="shared" si="698"/>
        <v>25</v>
      </c>
      <c r="BB113" s="48">
        <f t="shared" si="698"/>
        <v>9</v>
      </c>
      <c r="BC113" s="48">
        <f t="shared" si="698"/>
        <v>6</v>
      </c>
      <c r="BD113" s="48">
        <f t="shared" si="698"/>
        <v>15</v>
      </c>
      <c r="BE113" s="48">
        <f t="shared" si="698"/>
        <v>17</v>
      </c>
      <c r="BF113" s="48">
        <f t="shared" si="698"/>
        <v>22</v>
      </c>
      <c r="BG113" s="48">
        <f t="shared" ref="BG113:BL114" si="699">AE113</f>
        <v>14</v>
      </c>
      <c r="BH113" s="48">
        <f t="shared" si="699"/>
        <v>15</v>
      </c>
      <c r="BI113" s="48">
        <f t="shared" si="699"/>
        <v>9</v>
      </c>
      <c r="BJ113" s="48">
        <f t="shared" si="699"/>
        <v>18</v>
      </c>
      <c r="BK113" s="48">
        <f t="shared" si="699"/>
        <v>17</v>
      </c>
      <c r="BL113" s="48" t="str">
        <f t="shared" si="699"/>
        <v/>
      </c>
      <c r="BM113" s="408"/>
      <c r="BN113" s="48">
        <f>+AL113</f>
        <v>15</v>
      </c>
      <c r="BO113" s="48">
        <f t="shared" ref="BO113:BP115" si="700">+BN113+AM113</f>
        <v>32</v>
      </c>
      <c r="BP113" s="48">
        <f t="shared" si="700"/>
        <v>38</v>
      </c>
      <c r="BQ113" s="48">
        <f>+AO113</f>
        <v>20</v>
      </c>
      <c r="BR113" s="48">
        <f t="shared" ref="BR113:BS115" si="701">+BQ113+AP113</f>
        <v>29</v>
      </c>
      <c r="BS113" s="48">
        <f t="shared" si="701"/>
        <v>37</v>
      </c>
      <c r="BT113" s="48">
        <f>+AR113</f>
        <v>11</v>
      </c>
      <c r="BU113" s="48">
        <f t="shared" ref="BU113:BV115" si="702">+BT113+AS113</f>
        <v>30</v>
      </c>
      <c r="BV113" s="48">
        <f t="shared" si="702"/>
        <v>44</v>
      </c>
      <c r="BW113" s="48">
        <f>+AU113</f>
        <v>16</v>
      </c>
      <c r="BX113" s="48">
        <f t="shared" ref="BX113:BY115" si="703">+BW113+AV113</f>
        <v>30</v>
      </c>
      <c r="BY113" s="48">
        <f t="shared" si="703"/>
        <v>42</v>
      </c>
      <c r="BZ113" s="48">
        <f>+AX113</f>
        <v>14</v>
      </c>
      <c r="CA113" s="48">
        <f t="shared" ref="CA113:CB115" si="704">+BZ113+AY113</f>
        <v>32</v>
      </c>
      <c r="CB113" s="48">
        <f t="shared" si="704"/>
        <v>50</v>
      </c>
      <c r="CC113" s="48">
        <f>+BA113</f>
        <v>25</v>
      </c>
      <c r="CD113" s="48">
        <f t="shared" ref="CD113:CE115" si="705">+CC113+BB113</f>
        <v>34</v>
      </c>
      <c r="CE113" s="48">
        <f t="shared" si="705"/>
        <v>40</v>
      </c>
      <c r="CF113" s="48">
        <f>+BD113</f>
        <v>15</v>
      </c>
      <c r="CG113" s="48">
        <f t="shared" ref="CG113:CH115" si="706">+CF113+BE113</f>
        <v>32</v>
      </c>
      <c r="CH113" s="48">
        <f t="shared" si="706"/>
        <v>54</v>
      </c>
      <c r="CI113" s="48">
        <f>+BG113</f>
        <v>14</v>
      </c>
      <c r="CJ113" s="48">
        <f t="shared" ref="CJ113:CK115" si="707">+CI113+BH113</f>
        <v>29</v>
      </c>
      <c r="CK113" s="48">
        <f t="shared" si="707"/>
        <v>38</v>
      </c>
      <c r="CL113" s="48">
        <f>+BJ113</f>
        <v>18</v>
      </c>
      <c r="CM113" s="48">
        <f t="shared" ref="CM113:CN115" si="708">+CL113+BK113</f>
        <v>35</v>
      </c>
      <c r="CN113" s="48" t="e">
        <f t="shared" si="708"/>
        <v>#VALUE!</v>
      </c>
      <c r="CO113" s="406"/>
      <c r="CP113" s="40">
        <f>AL113</f>
        <v>15</v>
      </c>
      <c r="CQ113" s="40">
        <f t="shared" ref="CQ113:DA114" si="709">CP113+AM113</f>
        <v>32</v>
      </c>
      <c r="CR113" s="40">
        <f t="shared" si="709"/>
        <v>38</v>
      </c>
      <c r="CS113" s="40">
        <f t="shared" si="709"/>
        <v>58</v>
      </c>
      <c r="CT113" s="40">
        <f t="shared" si="709"/>
        <v>67</v>
      </c>
      <c r="CU113" s="40">
        <f t="shared" si="709"/>
        <v>75</v>
      </c>
      <c r="CV113" s="40">
        <f t="shared" si="709"/>
        <v>86</v>
      </c>
      <c r="CW113" s="40">
        <f t="shared" si="709"/>
        <v>105</v>
      </c>
      <c r="CX113" s="40">
        <f t="shared" si="709"/>
        <v>119</v>
      </c>
      <c r="CY113" s="40">
        <f t="shared" si="709"/>
        <v>135</v>
      </c>
      <c r="CZ113" s="40">
        <f t="shared" si="709"/>
        <v>149</v>
      </c>
      <c r="DA113" s="40">
        <f t="shared" si="709"/>
        <v>161</v>
      </c>
      <c r="DB113" s="40">
        <f>AX113</f>
        <v>14</v>
      </c>
      <c r="DC113" s="40">
        <f t="shared" ref="DC113:DM114" si="710">DB113+AY113</f>
        <v>32</v>
      </c>
      <c r="DD113" s="40">
        <f t="shared" si="710"/>
        <v>50</v>
      </c>
      <c r="DE113" s="40">
        <f t="shared" si="710"/>
        <v>75</v>
      </c>
      <c r="DF113" s="40">
        <f t="shared" si="710"/>
        <v>84</v>
      </c>
      <c r="DG113" s="40">
        <f t="shared" si="710"/>
        <v>90</v>
      </c>
      <c r="DH113" s="40">
        <f t="shared" si="710"/>
        <v>105</v>
      </c>
      <c r="DI113" s="40">
        <f t="shared" si="710"/>
        <v>122</v>
      </c>
      <c r="DJ113" s="40">
        <f t="shared" si="710"/>
        <v>144</v>
      </c>
      <c r="DK113" s="40">
        <f t="shared" si="710"/>
        <v>158</v>
      </c>
      <c r="DL113" s="40">
        <f t="shared" si="710"/>
        <v>173</v>
      </c>
      <c r="DM113" s="40">
        <f t="shared" si="710"/>
        <v>182</v>
      </c>
      <c r="DN113" s="40">
        <f>BJ113</f>
        <v>18</v>
      </c>
      <c r="DO113" s="40">
        <f>DN113+BK113</f>
        <v>35</v>
      </c>
      <c r="DP113" s="40"/>
      <c r="DQ113" s="40"/>
      <c r="DR113" s="40"/>
      <c r="DS113" s="40"/>
      <c r="DT113" s="40"/>
      <c r="DU113" s="40"/>
      <c r="DV113" s="40"/>
      <c r="DW113" s="40"/>
      <c r="DX113" s="40"/>
      <c r="DY113" s="40"/>
      <c r="EA113" s="53"/>
      <c r="EB113" s="53"/>
      <c r="EC113" s="53"/>
      <c r="ED113" s="429"/>
      <c r="EE113" s="54"/>
      <c r="EF113" s="54"/>
      <c r="EG113" s="54"/>
      <c r="EH113" s="18">
        <f>HLOOKUP($I$1,Month,ROW()-1)</f>
        <v>17</v>
      </c>
      <c r="EI113" s="18">
        <f>HLOOKUP($I$1,Qtr,ROW()-1)</f>
        <v>35</v>
      </c>
      <c r="EJ113" s="18">
        <f t="shared" si="594"/>
        <v>35</v>
      </c>
      <c r="EK113" s="57">
        <f t="shared" si="637"/>
        <v>0.16666666666666666</v>
      </c>
      <c r="EL113" s="14">
        <f>EH113/EE88</f>
        <v>1.686006148963602</v>
      </c>
      <c r="EM113" s="14">
        <f>EI113/EF88</f>
        <v>1.1200000000000001</v>
      </c>
      <c r="EN113" s="14">
        <f>EJ113/EG88</f>
        <v>0.28000000000000003</v>
      </c>
      <c r="EO113" s="46" t="str">
        <f t="shared" si="644"/>
        <v>Ç</v>
      </c>
      <c r="EP113" s="46" t="str">
        <f t="shared" si="645"/>
        <v>Ç</v>
      </c>
      <c r="EQ113" s="2">
        <f>IF(EL113&gt;=0.9,1,IF(EL113&lt;0.75,2,3))</f>
        <v>1</v>
      </c>
      <c r="ER113" s="2">
        <f>IF(EM113&gt;=0.9,1,IF(EM113&lt;0.75,2,3))</f>
        <v>1</v>
      </c>
      <c r="ES113" s="2">
        <f>IF(EN113&gt;=0.9,1,IF(EN113&lt;0.75,2,3))</f>
        <v>2</v>
      </c>
    </row>
    <row r="114" spans="1:149" ht="12.75" customHeight="1">
      <c r="A114" s="6" t="s">
        <v>23</v>
      </c>
      <c r="B114" s="2" t="s">
        <v>1</v>
      </c>
      <c r="C114" s="3" t="s">
        <v>60</v>
      </c>
      <c r="E114" s="3" t="s">
        <v>16</v>
      </c>
      <c r="G114" s="28" t="s">
        <v>92</v>
      </c>
      <c r="H114" s="28"/>
      <c r="I114" s="29"/>
      <c r="J114" s="30">
        <f>IF(J101&lt;&gt;"",,"")+J101-I101</f>
        <v>2</v>
      </c>
      <c r="K114" s="30">
        <f t="shared" ref="K114:U114" si="711">IF(K101&lt;&gt;"",+K101-J101,"")</f>
        <v>2</v>
      </c>
      <c r="L114" s="30">
        <f t="shared" si="711"/>
        <v>0</v>
      </c>
      <c r="M114" s="30">
        <f t="shared" si="711"/>
        <v>1</v>
      </c>
      <c r="N114" s="30">
        <f t="shared" si="711"/>
        <v>0</v>
      </c>
      <c r="O114" s="30">
        <f t="shared" si="711"/>
        <v>1</v>
      </c>
      <c r="P114" s="30">
        <f t="shared" si="711"/>
        <v>0</v>
      </c>
      <c r="Q114" s="30">
        <f t="shared" si="711"/>
        <v>1</v>
      </c>
      <c r="R114" s="30">
        <f t="shared" si="711"/>
        <v>1</v>
      </c>
      <c r="S114" s="30">
        <f t="shared" si="711"/>
        <v>5</v>
      </c>
      <c r="T114" s="30">
        <f t="shared" si="711"/>
        <v>0</v>
      </c>
      <c r="U114" s="30">
        <f t="shared" si="711"/>
        <v>1</v>
      </c>
      <c r="V114" s="30">
        <f>IF(V101&lt;&gt;"",+V101,"")</f>
        <v>3</v>
      </c>
      <c r="W114" s="30">
        <f>IF(W101&lt;&gt;"",+W101-V101,"")</f>
        <v>1</v>
      </c>
      <c r="X114" s="30">
        <f>IF(X101&lt;&gt;"",+X101-W101,"")</f>
        <v>0</v>
      </c>
      <c r="Y114" s="30">
        <f>IF(Y101&lt;&gt;"",+Y101-X101,"")</f>
        <v>4</v>
      </c>
      <c r="Z114" s="30">
        <f t="shared" si="696"/>
        <v>2</v>
      </c>
      <c r="AA114" s="30">
        <f t="shared" si="696"/>
        <v>1</v>
      </c>
      <c r="AB114" s="30">
        <f t="shared" si="696"/>
        <v>1</v>
      </c>
      <c r="AC114" s="30">
        <f t="shared" si="696"/>
        <v>3</v>
      </c>
      <c r="AD114" s="30">
        <f t="shared" si="696"/>
        <v>7</v>
      </c>
      <c r="AE114" s="30">
        <f t="shared" si="696"/>
        <v>2</v>
      </c>
      <c r="AF114" s="30">
        <f t="shared" si="696"/>
        <v>1</v>
      </c>
      <c r="AG114" s="30">
        <f t="shared" si="696"/>
        <v>1</v>
      </c>
      <c r="AH114" s="30">
        <f>IF(AH101&lt;&gt;"",+AH101,"")</f>
        <v>3</v>
      </c>
      <c r="AI114" s="30">
        <f>IF(AI101&lt;&gt;"",+AI101-AH101,"")</f>
        <v>1</v>
      </c>
      <c r="AJ114" s="30" t="str">
        <f>IF(AJ101&lt;&gt;"",+AJ101-AI101,"")</f>
        <v/>
      </c>
      <c r="AK114" s="408"/>
      <c r="AL114" s="48">
        <f t="shared" si="627"/>
        <v>2</v>
      </c>
      <c r="AM114" s="48">
        <f t="shared" si="697"/>
        <v>2</v>
      </c>
      <c r="AN114" s="48">
        <f t="shared" si="697"/>
        <v>0</v>
      </c>
      <c r="AO114" s="48">
        <f t="shared" si="697"/>
        <v>1</v>
      </c>
      <c r="AP114" s="48">
        <f t="shared" si="697"/>
        <v>0</v>
      </c>
      <c r="AQ114" s="48">
        <f t="shared" si="697"/>
        <v>1</v>
      </c>
      <c r="AR114" s="48">
        <f t="shared" si="697"/>
        <v>0</v>
      </c>
      <c r="AS114" s="48">
        <f t="shared" si="697"/>
        <v>1</v>
      </c>
      <c r="AT114" s="48">
        <f t="shared" si="697"/>
        <v>1</v>
      </c>
      <c r="AU114" s="48">
        <f t="shared" si="697"/>
        <v>5</v>
      </c>
      <c r="AV114" s="48">
        <f t="shared" si="697"/>
        <v>0</v>
      </c>
      <c r="AW114" s="48">
        <f t="shared" si="698"/>
        <v>1</v>
      </c>
      <c r="AX114" s="48">
        <f t="shared" si="698"/>
        <v>3</v>
      </c>
      <c r="AY114" s="48">
        <f t="shared" si="698"/>
        <v>1</v>
      </c>
      <c r="AZ114" s="48">
        <f t="shared" si="698"/>
        <v>0</v>
      </c>
      <c r="BA114" s="48">
        <f t="shared" si="698"/>
        <v>4</v>
      </c>
      <c r="BB114" s="48">
        <f t="shared" si="698"/>
        <v>2</v>
      </c>
      <c r="BC114" s="48">
        <f t="shared" si="698"/>
        <v>1</v>
      </c>
      <c r="BD114" s="48">
        <f t="shared" si="698"/>
        <v>1</v>
      </c>
      <c r="BE114" s="48">
        <f t="shared" si="698"/>
        <v>3</v>
      </c>
      <c r="BF114" s="48">
        <f t="shared" si="698"/>
        <v>7</v>
      </c>
      <c r="BG114" s="48">
        <f t="shared" si="699"/>
        <v>2</v>
      </c>
      <c r="BH114" s="48">
        <f t="shared" si="699"/>
        <v>1</v>
      </c>
      <c r="BI114" s="48">
        <f t="shared" si="699"/>
        <v>1</v>
      </c>
      <c r="BJ114" s="48">
        <f t="shared" si="699"/>
        <v>3</v>
      </c>
      <c r="BK114" s="48">
        <f t="shared" si="699"/>
        <v>1</v>
      </c>
      <c r="BL114" s="48" t="str">
        <f t="shared" si="699"/>
        <v/>
      </c>
      <c r="BM114" s="408"/>
      <c r="BN114" s="48">
        <f>+AL114</f>
        <v>2</v>
      </c>
      <c r="BO114" s="48">
        <f t="shared" si="700"/>
        <v>4</v>
      </c>
      <c r="BP114" s="48">
        <f t="shared" si="700"/>
        <v>4</v>
      </c>
      <c r="BQ114" s="48">
        <f>+AO114</f>
        <v>1</v>
      </c>
      <c r="BR114" s="48">
        <f t="shared" si="701"/>
        <v>1</v>
      </c>
      <c r="BS114" s="48">
        <f t="shared" si="701"/>
        <v>2</v>
      </c>
      <c r="BT114" s="48">
        <f>+AR114</f>
        <v>0</v>
      </c>
      <c r="BU114" s="48">
        <f t="shared" si="702"/>
        <v>1</v>
      </c>
      <c r="BV114" s="48">
        <f t="shared" si="702"/>
        <v>2</v>
      </c>
      <c r="BW114" s="48">
        <f>+AU114</f>
        <v>5</v>
      </c>
      <c r="BX114" s="48">
        <f t="shared" si="703"/>
        <v>5</v>
      </c>
      <c r="BY114" s="48">
        <f t="shared" si="703"/>
        <v>6</v>
      </c>
      <c r="BZ114" s="48">
        <f>+AX114</f>
        <v>3</v>
      </c>
      <c r="CA114" s="48">
        <f t="shared" si="704"/>
        <v>4</v>
      </c>
      <c r="CB114" s="48">
        <f t="shared" si="704"/>
        <v>4</v>
      </c>
      <c r="CC114" s="48">
        <f>+BA114</f>
        <v>4</v>
      </c>
      <c r="CD114" s="48">
        <f t="shared" si="705"/>
        <v>6</v>
      </c>
      <c r="CE114" s="48">
        <f t="shared" si="705"/>
        <v>7</v>
      </c>
      <c r="CF114" s="48">
        <f>+BD114</f>
        <v>1</v>
      </c>
      <c r="CG114" s="48">
        <f t="shared" si="706"/>
        <v>4</v>
      </c>
      <c r="CH114" s="48">
        <f t="shared" si="706"/>
        <v>11</v>
      </c>
      <c r="CI114" s="48">
        <f>+BG114</f>
        <v>2</v>
      </c>
      <c r="CJ114" s="48">
        <f t="shared" si="707"/>
        <v>3</v>
      </c>
      <c r="CK114" s="48">
        <f t="shared" si="707"/>
        <v>4</v>
      </c>
      <c r="CL114" s="48">
        <f>+BJ114</f>
        <v>3</v>
      </c>
      <c r="CM114" s="48">
        <f t="shared" si="708"/>
        <v>4</v>
      </c>
      <c r="CN114" s="48" t="e">
        <f t="shared" si="708"/>
        <v>#VALUE!</v>
      </c>
      <c r="CO114" s="406"/>
      <c r="CP114" s="40">
        <f>AL114</f>
        <v>2</v>
      </c>
      <c r="CQ114" s="40">
        <f t="shared" si="709"/>
        <v>4</v>
      </c>
      <c r="CR114" s="40">
        <f t="shared" si="709"/>
        <v>4</v>
      </c>
      <c r="CS114" s="40">
        <f t="shared" si="709"/>
        <v>5</v>
      </c>
      <c r="CT114" s="40">
        <f t="shared" si="709"/>
        <v>5</v>
      </c>
      <c r="CU114" s="40">
        <f t="shared" si="709"/>
        <v>6</v>
      </c>
      <c r="CV114" s="40">
        <f t="shared" si="709"/>
        <v>6</v>
      </c>
      <c r="CW114" s="40">
        <f t="shared" si="709"/>
        <v>7</v>
      </c>
      <c r="CX114" s="40">
        <f t="shared" si="709"/>
        <v>8</v>
      </c>
      <c r="CY114" s="40">
        <f t="shared" si="709"/>
        <v>13</v>
      </c>
      <c r="CZ114" s="40">
        <f t="shared" si="709"/>
        <v>13</v>
      </c>
      <c r="DA114" s="40">
        <f t="shared" si="709"/>
        <v>14</v>
      </c>
      <c r="DB114" s="40">
        <f>AX114</f>
        <v>3</v>
      </c>
      <c r="DC114" s="40">
        <f t="shared" si="710"/>
        <v>4</v>
      </c>
      <c r="DD114" s="40">
        <f t="shared" si="710"/>
        <v>4</v>
      </c>
      <c r="DE114" s="40">
        <f t="shared" si="710"/>
        <v>8</v>
      </c>
      <c r="DF114" s="40">
        <f t="shared" si="710"/>
        <v>10</v>
      </c>
      <c r="DG114" s="40">
        <f t="shared" si="710"/>
        <v>11</v>
      </c>
      <c r="DH114" s="40">
        <f t="shared" si="710"/>
        <v>12</v>
      </c>
      <c r="DI114" s="40">
        <f t="shared" si="710"/>
        <v>15</v>
      </c>
      <c r="DJ114" s="40">
        <f t="shared" si="710"/>
        <v>22</v>
      </c>
      <c r="DK114" s="40">
        <f t="shared" si="710"/>
        <v>24</v>
      </c>
      <c r="DL114" s="40">
        <f t="shared" si="710"/>
        <v>25</v>
      </c>
      <c r="DM114" s="40">
        <f t="shared" si="710"/>
        <v>26</v>
      </c>
      <c r="DN114" s="40">
        <f>BJ114</f>
        <v>3</v>
      </c>
      <c r="DO114" s="40">
        <f>DN114+BK114</f>
        <v>4</v>
      </c>
      <c r="DP114" s="40"/>
      <c r="DQ114" s="40"/>
      <c r="DR114" s="40"/>
      <c r="DS114" s="40"/>
      <c r="DT114" s="40"/>
      <c r="DU114" s="40"/>
      <c r="DV114" s="40"/>
      <c r="DW114" s="40"/>
      <c r="DX114" s="40"/>
      <c r="DY114" s="40"/>
      <c r="EA114" s="53"/>
      <c r="EB114" s="53"/>
      <c r="EC114" s="53"/>
      <c r="ED114" s="429"/>
      <c r="EE114" s="54"/>
      <c r="EF114" s="54"/>
      <c r="EG114" s="54"/>
      <c r="EH114" s="18">
        <f>HLOOKUP($I$1,Month,ROW()-1)</f>
        <v>1</v>
      </c>
      <c r="EI114" s="18">
        <f>HLOOKUP($I$1,Qtr,ROW()-1)</f>
        <v>4</v>
      </c>
      <c r="EJ114" s="18">
        <f t="shared" si="594"/>
        <v>4</v>
      </c>
      <c r="EK114" s="57">
        <f t="shared" si="637"/>
        <v>0.16666666666666666</v>
      </c>
      <c r="EL114" s="14">
        <f>EH114/EE89</f>
        <v>0.8</v>
      </c>
      <c r="EM114" s="14">
        <f>EI114/EF89</f>
        <v>1.6</v>
      </c>
      <c r="EN114" s="14">
        <f>EJ114/EG89</f>
        <v>0.22857142857155918</v>
      </c>
      <c r="EO114" s="46" t="str">
        <f t="shared" si="644"/>
        <v>È</v>
      </c>
      <c r="EP114" s="46" t="str">
        <f t="shared" si="645"/>
        <v>Ç</v>
      </c>
      <c r="EQ114" s="2">
        <f>IF(EL114&gt;=0.9,1,IF(EL114&lt;0.75,2,3))</f>
        <v>3</v>
      </c>
      <c r="ER114" s="2">
        <f>IF(EM114&gt;=0.9,1,IF(EM114&lt;0.75,2,3))</f>
        <v>1</v>
      </c>
      <c r="ES114" s="2">
        <f>IF(EN114&gt;=0.9,1,IF(EN114&lt;0.75,2,3))</f>
        <v>2</v>
      </c>
    </row>
    <row r="115" spans="1:149">
      <c r="A115" s="6" t="s">
        <v>23</v>
      </c>
      <c r="B115" s="2" t="s">
        <v>98</v>
      </c>
      <c r="G115" s="28" t="s">
        <v>92</v>
      </c>
      <c r="H115" s="28"/>
      <c r="I115" s="29"/>
      <c r="J115" s="32">
        <f>J102*J103</f>
        <v>0</v>
      </c>
      <c r="K115" s="32">
        <f t="shared" ref="K115:AJ115" si="712">K102*K103</f>
        <v>1</v>
      </c>
      <c r="L115" s="32">
        <f t="shared" si="712"/>
        <v>1</v>
      </c>
      <c r="M115" s="32">
        <f t="shared" si="712"/>
        <v>2</v>
      </c>
      <c r="N115" s="32">
        <f t="shared" si="712"/>
        <v>3</v>
      </c>
      <c r="O115" s="32">
        <f t="shared" si="712"/>
        <v>3</v>
      </c>
      <c r="P115" s="32">
        <f t="shared" si="712"/>
        <v>0.4</v>
      </c>
      <c r="Q115" s="32">
        <f t="shared" si="712"/>
        <v>2.79</v>
      </c>
      <c r="R115" s="32">
        <f t="shared" si="712"/>
        <v>2</v>
      </c>
      <c r="S115" s="32">
        <f t="shared" si="712"/>
        <v>3</v>
      </c>
      <c r="T115" s="32">
        <f t="shared" si="712"/>
        <v>5</v>
      </c>
      <c r="U115" s="32">
        <f t="shared" si="712"/>
        <v>5.4</v>
      </c>
      <c r="V115" s="32">
        <f t="shared" si="712"/>
        <v>4</v>
      </c>
      <c r="W115" s="32">
        <f t="shared" si="712"/>
        <v>4.4000000000000004</v>
      </c>
      <c r="X115" s="32">
        <f t="shared" si="712"/>
        <v>5</v>
      </c>
      <c r="Y115" s="32">
        <f t="shared" si="712"/>
        <v>6</v>
      </c>
      <c r="Z115" s="32">
        <f t="shared" si="712"/>
        <v>2</v>
      </c>
      <c r="AA115" s="32">
        <f t="shared" si="712"/>
        <v>2</v>
      </c>
      <c r="AB115" s="32">
        <f t="shared" si="712"/>
        <v>2</v>
      </c>
      <c r="AC115" s="32">
        <f t="shared" si="712"/>
        <v>3</v>
      </c>
      <c r="AD115" s="32">
        <f t="shared" si="712"/>
        <v>3</v>
      </c>
      <c r="AE115" s="32">
        <f t="shared" si="712"/>
        <v>8</v>
      </c>
      <c r="AF115" s="32">
        <f t="shared" si="712"/>
        <v>4</v>
      </c>
      <c r="AG115" s="32">
        <f t="shared" si="712"/>
        <v>3.8</v>
      </c>
      <c r="AH115" s="32">
        <f t="shared" si="712"/>
        <v>7</v>
      </c>
      <c r="AI115" s="32">
        <f t="shared" si="712"/>
        <v>3</v>
      </c>
      <c r="AJ115" s="32">
        <f t="shared" si="712"/>
        <v>0</v>
      </c>
      <c r="AK115" s="408"/>
      <c r="AL115" s="56">
        <f t="shared" ref="AL115:BL115" si="713">AL102*AL103</f>
        <v>0</v>
      </c>
      <c r="AM115" s="56">
        <f t="shared" si="713"/>
        <v>1</v>
      </c>
      <c r="AN115" s="56">
        <f t="shared" si="713"/>
        <v>1</v>
      </c>
      <c r="AO115" s="56">
        <f t="shared" si="713"/>
        <v>2</v>
      </c>
      <c r="AP115" s="56">
        <f t="shared" si="713"/>
        <v>3</v>
      </c>
      <c r="AQ115" s="56">
        <f t="shared" si="713"/>
        <v>3</v>
      </c>
      <c r="AR115" s="56">
        <f t="shared" si="713"/>
        <v>0.4</v>
      </c>
      <c r="AS115" s="56">
        <f t="shared" si="713"/>
        <v>2.79</v>
      </c>
      <c r="AT115" s="56">
        <f t="shared" si="713"/>
        <v>2</v>
      </c>
      <c r="AU115" s="56">
        <f t="shared" si="713"/>
        <v>3</v>
      </c>
      <c r="AV115" s="56">
        <f t="shared" si="713"/>
        <v>5</v>
      </c>
      <c r="AW115" s="56">
        <f t="shared" si="713"/>
        <v>5.4</v>
      </c>
      <c r="AX115" s="56">
        <f t="shared" si="713"/>
        <v>4</v>
      </c>
      <c r="AY115" s="56">
        <f t="shared" si="713"/>
        <v>4.4000000000000004</v>
      </c>
      <c r="AZ115" s="56">
        <f t="shared" si="713"/>
        <v>5</v>
      </c>
      <c r="BA115" s="56">
        <f t="shared" si="713"/>
        <v>6</v>
      </c>
      <c r="BB115" s="56">
        <f t="shared" si="713"/>
        <v>2</v>
      </c>
      <c r="BC115" s="56">
        <f t="shared" si="713"/>
        <v>2</v>
      </c>
      <c r="BD115" s="56">
        <f t="shared" si="713"/>
        <v>2</v>
      </c>
      <c r="BE115" s="56">
        <f t="shared" si="713"/>
        <v>3</v>
      </c>
      <c r="BF115" s="56">
        <f t="shared" si="713"/>
        <v>3</v>
      </c>
      <c r="BG115" s="56">
        <f t="shared" si="713"/>
        <v>8</v>
      </c>
      <c r="BH115" s="56">
        <f t="shared" si="713"/>
        <v>4</v>
      </c>
      <c r="BI115" s="56">
        <f t="shared" si="713"/>
        <v>3.8</v>
      </c>
      <c r="BJ115" s="56">
        <f t="shared" si="713"/>
        <v>7</v>
      </c>
      <c r="BK115" s="56">
        <f t="shared" si="713"/>
        <v>-4</v>
      </c>
      <c r="BL115" s="56">
        <f t="shared" si="713"/>
        <v>0</v>
      </c>
      <c r="BM115" s="408"/>
      <c r="BN115" s="56">
        <f>+AL115</f>
        <v>0</v>
      </c>
      <c r="BO115" s="56">
        <f t="shared" si="700"/>
        <v>1</v>
      </c>
      <c r="BP115" s="56">
        <f t="shared" si="700"/>
        <v>2</v>
      </c>
      <c r="BQ115" s="56">
        <f>+AO115</f>
        <v>2</v>
      </c>
      <c r="BR115" s="56">
        <f t="shared" si="701"/>
        <v>5</v>
      </c>
      <c r="BS115" s="56">
        <f t="shared" si="701"/>
        <v>8</v>
      </c>
      <c r="BT115" s="56">
        <f>+AR115</f>
        <v>0.4</v>
      </c>
      <c r="BU115" s="56">
        <f t="shared" si="702"/>
        <v>3.19</v>
      </c>
      <c r="BV115" s="56">
        <f t="shared" si="702"/>
        <v>5.1899999999999995</v>
      </c>
      <c r="BW115" s="56">
        <f>+AU115</f>
        <v>3</v>
      </c>
      <c r="BX115" s="56">
        <f t="shared" si="703"/>
        <v>8</v>
      </c>
      <c r="BY115" s="56">
        <f t="shared" si="703"/>
        <v>13.4</v>
      </c>
      <c r="BZ115" s="56">
        <f>+AX115</f>
        <v>4</v>
      </c>
      <c r="CA115" s="56">
        <f t="shared" si="704"/>
        <v>8.4</v>
      </c>
      <c r="CB115" s="56">
        <f t="shared" si="704"/>
        <v>13.4</v>
      </c>
      <c r="CC115" s="56">
        <f>+BA115</f>
        <v>6</v>
      </c>
      <c r="CD115" s="56">
        <f t="shared" si="705"/>
        <v>8</v>
      </c>
      <c r="CE115" s="56">
        <f t="shared" si="705"/>
        <v>10</v>
      </c>
      <c r="CF115" s="56">
        <f>+BD115</f>
        <v>2</v>
      </c>
      <c r="CG115" s="56">
        <f t="shared" si="706"/>
        <v>5</v>
      </c>
      <c r="CH115" s="56">
        <f t="shared" si="706"/>
        <v>8</v>
      </c>
      <c r="CI115" s="56">
        <f>+BG115</f>
        <v>8</v>
      </c>
      <c r="CJ115" s="56">
        <f t="shared" si="707"/>
        <v>12</v>
      </c>
      <c r="CK115" s="56">
        <f t="shared" si="707"/>
        <v>15.8</v>
      </c>
      <c r="CL115" s="56">
        <f>+BJ115</f>
        <v>7</v>
      </c>
      <c r="CM115" s="56">
        <f t="shared" si="708"/>
        <v>3</v>
      </c>
      <c r="CN115" s="56">
        <f t="shared" si="708"/>
        <v>3</v>
      </c>
      <c r="CO115" s="406"/>
      <c r="CP115" s="60">
        <f>J115</f>
        <v>0</v>
      </c>
      <c r="CQ115" s="60">
        <f t="shared" ref="CQ115:DA115" si="714">CP115+K115</f>
        <v>1</v>
      </c>
      <c r="CR115" s="60">
        <f t="shared" si="714"/>
        <v>2</v>
      </c>
      <c r="CS115" s="60">
        <f t="shared" si="714"/>
        <v>4</v>
      </c>
      <c r="CT115" s="60">
        <f t="shared" si="714"/>
        <v>7</v>
      </c>
      <c r="CU115" s="60">
        <f t="shared" si="714"/>
        <v>10</v>
      </c>
      <c r="CV115" s="60">
        <f t="shared" si="714"/>
        <v>10.4</v>
      </c>
      <c r="CW115" s="60">
        <f t="shared" si="714"/>
        <v>13.190000000000001</v>
      </c>
      <c r="CX115" s="60">
        <f t="shared" si="714"/>
        <v>15.190000000000001</v>
      </c>
      <c r="CY115" s="60">
        <f t="shared" si="714"/>
        <v>18.190000000000001</v>
      </c>
      <c r="CZ115" s="60">
        <f t="shared" si="714"/>
        <v>23.19</v>
      </c>
      <c r="DA115" s="60">
        <f t="shared" si="714"/>
        <v>28.590000000000003</v>
      </c>
      <c r="DB115" s="60">
        <f>V115</f>
        <v>4</v>
      </c>
      <c r="DC115" s="60">
        <f t="shared" ref="DC115:DM115" si="715">DB115+W115</f>
        <v>8.4</v>
      </c>
      <c r="DD115" s="60">
        <f t="shared" si="715"/>
        <v>13.4</v>
      </c>
      <c r="DE115" s="60">
        <f t="shared" si="715"/>
        <v>19.399999999999999</v>
      </c>
      <c r="DF115" s="60">
        <f t="shared" si="715"/>
        <v>21.4</v>
      </c>
      <c r="DG115" s="60">
        <f t="shared" si="715"/>
        <v>23.4</v>
      </c>
      <c r="DH115" s="60">
        <f t="shared" si="715"/>
        <v>25.4</v>
      </c>
      <c r="DI115" s="60">
        <f t="shared" si="715"/>
        <v>28.4</v>
      </c>
      <c r="DJ115" s="60">
        <f t="shared" si="715"/>
        <v>31.4</v>
      </c>
      <c r="DK115" s="60">
        <f t="shared" si="715"/>
        <v>39.4</v>
      </c>
      <c r="DL115" s="60">
        <f t="shared" si="715"/>
        <v>43.4</v>
      </c>
      <c r="DM115" s="60">
        <f t="shared" si="715"/>
        <v>47.199999999999996</v>
      </c>
      <c r="DN115" s="60">
        <f>AH115</f>
        <v>7</v>
      </c>
      <c r="DO115" s="60">
        <f>DN115+AI115</f>
        <v>10</v>
      </c>
      <c r="DP115" s="60"/>
      <c r="DQ115" s="60"/>
      <c r="DR115" s="60"/>
      <c r="DS115" s="60"/>
      <c r="DT115" s="60"/>
      <c r="DU115" s="60"/>
      <c r="DV115" s="60"/>
      <c r="DW115" s="60"/>
      <c r="DX115" s="60"/>
      <c r="DY115" s="60"/>
      <c r="EA115" s="53"/>
      <c r="EB115" s="53"/>
      <c r="EC115" s="53"/>
      <c r="ED115" s="429"/>
      <c r="EE115" s="54"/>
      <c r="EF115" s="54"/>
      <c r="EG115" s="54"/>
      <c r="EH115" s="18">
        <f>HLOOKUP($I$1,Month,ROW()-1)</f>
        <v>-4</v>
      </c>
      <c r="EI115" s="18">
        <f>HLOOKUP($I$1,Qtr,ROW()-1)</f>
        <v>3</v>
      </c>
      <c r="EJ115" s="18">
        <f t="shared" si="594"/>
        <v>10</v>
      </c>
      <c r="EK115" s="57">
        <f t="shared" si="637"/>
        <v>0.16666666666666666</v>
      </c>
      <c r="EL115" s="14"/>
      <c r="EM115" s="14" t="e">
        <f>EI115/EF91</f>
        <v>#DIV/0!</v>
      </c>
      <c r="EN115" s="14"/>
      <c r="EO115" s="46">
        <f>IF(EH115&lt;0,,IF(EH115&lt;EE91,"È",IF(EH115=EE91,"Æ","Ç")))</f>
        <v>0</v>
      </c>
      <c r="EP115" s="46" t="str">
        <f>IF(EI115&lt;0,,IF(EI115&lt;EF91,"È",IF(EI115=EF91,"Æ","Ç")))</f>
        <v>Ç</v>
      </c>
    </row>
    <row r="116" spans="1:149" ht="13.5" thickBot="1">
      <c r="K116" s="42" t="s">
        <v>114</v>
      </c>
      <c r="AL116" s="14"/>
      <c r="CN116" s="23" t="s">
        <v>152</v>
      </c>
      <c r="CP116" s="2">
        <v>10</v>
      </c>
      <c r="CQ116" s="2">
        <v>11</v>
      </c>
      <c r="CR116" s="2">
        <v>12</v>
      </c>
      <c r="CS116" s="2">
        <v>1</v>
      </c>
      <c r="CT116" s="2">
        <v>2</v>
      </c>
      <c r="CU116" s="2">
        <v>3</v>
      </c>
      <c r="CV116" s="2">
        <v>4</v>
      </c>
      <c r="CW116" s="2">
        <v>5</v>
      </c>
      <c r="CX116" s="2">
        <v>6</v>
      </c>
      <c r="CY116" s="2">
        <v>7</v>
      </c>
      <c r="CZ116" s="2">
        <v>8</v>
      </c>
      <c r="DA116" s="2">
        <v>9</v>
      </c>
      <c r="DB116" s="2">
        <v>10</v>
      </c>
      <c r="DC116" s="2">
        <v>11</v>
      </c>
      <c r="DD116" s="2">
        <v>12</v>
      </c>
      <c r="DE116" s="2">
        <v>1</v>
      </c>
      <c r="DF116" s="2">
        <v>2</v>
      </c>
      <c r="DG116" s="2">
        <v>3</v>
      </c>
      <c r="DH116" s="2">
        <v>4</v>
      </c>
      <c r="DI116" s="2">
        <v>5</v>
      </c>
      <c r="DJ116" s="2">
        <v>6</v>
      </c>
      <c r="DK116" s="2">
        <v>7</v>
      </c>
      <c r="DL116" s="2">
        <v>8</v>
      </c>
      <c r="DM116" s="2">
        <v>9</v>
      </c>
      <c r="DN116" s="2">
        <v>10</v>
      </c>
      <c r="DO116" s="2">
        <v>11</v>
      </c>
      <c r="ED116" s="429"/>
      <c r="EE116" s="23"/>
      <c r="EF116" s="23"/>
      <c r="EG116" s="23"/>
      <c r="EH116" s="23"/>
      <c r="EI116" s="23"/>
      <c r="EJ116" s="23"/>
      <c r="EK116" s="23"/>
    </row>
    <row r="117" spans="1:149" ht="13.5" thickBot="1">
      <c r="E117" s="666" t="s">
        <v>88</v>
      </c>
      <c r="F117" s="667"/>
      <c r="G117" s="667"/>
      <c r="H117" s="667"/>
      <c r="I117" s="668"/>
      <c r="CN117" s="23" t="s">
        <v>153</v>
      </c>
      <c r="CP117" s="2">
        <v>1</v>
      </c>
      <c r="CQ117" s="2">
        <v>2</v>
      </c>
      <c r="CR117" s="2">
        <v>3</v>
      </c>
      <c r="CS117" s="2">
        <v>4</v>
      </c>
      <c r="CT117" s="2">
        <v>5</v>
      </c>
      <c r="CU117" s="2">
        <v>6</v>
      </c>
      <c r="CV117" s="2">
        <v>7</v>
      </c>
      <c r="CW117" s="2">
        <v>8</v>
      </c>
      <c r="CX117" s="2">
        <v>9</v>
      </c>
      <c r="CY117" s="2">
        <v>10</v>
      </c>
      <c r="CZ117" s="2">
        <v>11</v>
      </c>
      <c r="DA117" s="2">
        <v>12</v>
      </c>
      <c r="DB117" s="2">
        <v>1</v>
      </c>
      <c r="DC117" s="2">
        <v>2</v>
      </c>
      <c r="DD117" s="2">
        <v>3</v>
      </c>
      <c r="DE117" s="2">
        <v>4</v>
      </c>
      <c r="DF117" s="2">
        <v>5</v>
      </c>
      <c r="DG117" s="2">
        <v>6</v>
      </c>
      <c r="DH117" s="2">
        <v>7</v>
      </c>
      <c r="DI117" s="2">
        <v>8</v>
      </c>
      <c r="DJ117" s="2">
        <v>9</v>
      </c>
      <c r="DK117" s="2">
        <v>10</v>
      </c>
      <c r="DL117" s="2">
        <v>11</v>
      </c>
      <c r="DM117" s="2">
        <v>12</v>
      </c>
      <c r="ED117" s="429"/>
      <c r="EE117" s="23"/>
      <c r="EF117" s="23"/>
      <c r="EG117" s="23"/>
      <c r="EH117" s="23"/>
      <c r="EI117" s="23"/>
      <c r="EJ117" s="23"/>
      <c r="EK117" s="23"/>
    </row>
    <row r="118" spans="1:149" ht="13.5" thickBot="1">
      <c r="A118" s="6" t="s">
        <v>30</v>
      </c>
      <c r="C118" s="11" t="s">
        <v>73</v>
      </c>
      <c r="E118" s="8" t="s">
        <v>34</v>
      </c>
      <c r="F118" s="11" t="s">
        <v>33</v>
      </c>
      <c r="G118" s="9" t="s">
        <v>34</v>
      </c>
      <c r="H118" s="11" t="s">
        <v>33</v>
      </c>
      <c r="I118" s="11" t="s">
        <v>34</v>
      </c>
      <c r="AL118" s="109"/>
    </row>
    <row r="119" spans="1:149">
      <c r="A119" s="6" t="s">
        <v>23</v>
      </c>
      <c r="B119" s="2" t="s">
        <v>24</v>
      </c>
      <c r="C119" s="3" t="s">
        <v>74</v>
      </c>
      <c r="E119" s="4" t="str">
        <f>C76</f>
        <v>BInBusNew</v>
      </c>
      <c r="F119" s="4" t="s">
        <v>31</v>
      </c>
      <c r="G119" s="28" t="str">
        <f>C75</f>
        <v>BAllNew</v>
      </c>
      <c r="H119" s="28"/>
      <c r="I119" s="28"/>
      <c r="J119" s="62">
        <f t="shared" ref="J119:AJ119" si="716">J76/J75</f>
        <v>0.30089570202728477</v>
      </c>
      <c r="K119" s="62">
        <f t="shared" si="716"/>
        <v>0.30089570202728477</v>
      </c>
      <c r="L119" s="62">
        <f t="shared" si="716"/>
        <v>0.30089570202728477</v>
      </c>
      <c r="M119" s="62">
        <f t="shared" si="716"/>
        <v>0.30089570202728477</v>
      </c>
      <c r="N119" s="62">
        <f t="shared" si="716"/>
        <v>0.30089570202728477</v>
      </c>
      <c r="O119" s="62">
        <f t="shared" si="716"/>
        <v>0.30089570202728477</v>
      </c>
      <c r="P119" s="62">
        <f t="shared" si="716"/>
        <v>0.30089570202728483</v>
      </c>
      <c r="Q119" s="62">
        <f t="shared" si="716"/>
        <v>0.30089570202728477</v>
      </c>
      <c r="R119" s="62">
        <f t="shared" si="716"/>
        <v>0.30089570202728477</v>
      </c>
      <c r="S119" s="62">
        <f t="shared" si="716"/>
        <v>0.30089570202728477</v>
      </c>
      <c r="T119" s="62">
        <f t="shared" si="716"/>
        <v>0.30089570202728472</v>
      </c>
      <c r="U119" s="62">
        <f t="shared" si="716"/>
        <v>0.30089570202728472</v>
      </c>
      <c r="V119" s="62">
        <f t="shared" si="716"/>
        <v>0.49254025397166545</v>
      </c>
      <c r="W119" s="62">
        <f t="shared" si="716"/>
        <v>0.49254025397166545</v>
      </c>
      <c r="X119" s="62">
        <f t="shared" si="716"/>
        <v>0.49254025397166551</v>
      </c>
      <c r="Y119" s="62">
        <f t="shared" si="716"/>
        <v>0.49254025397166545</v>
      </c>
      <c r="Z119" s="62">
        <f t="shared" si="716"/>
        <v>0.49254025397166545</v>
      </c>
      <c r="AA119" s="62">
        <f t="shared" si="716"/>
        <v>0.49254025397166551</v>
      </c>
      <c r="AB119" s="62">
        <f t="shared" si="716"/>
        <v>0.49254025397166545</v>
      </c>
      <c r="AC119" s="62">
        <f t="shared" si="716"/>
        <v>0.49254025397166545</v>
      </c>
      <c r="AD119" s="62">
        <f t="shared" si="716"/>
        <v>0.49254025397166545</v>
      </c>
      <c r="AE119" s="62">
        <f t="shared" si="716"/>
        <v>0.49254025397166545</v>
      </c>
      <c r="AF119" s="62">
        <f t="shared" si="716"/>
        <v>0.49254025397166545</v>
      </c>
      <c r="AG119" s="62">
        <f t="shared" si="716"/>
        <v>0.49254025397166551</v>
      </c>
      <c r="AH119" s="62">
        <f t="shared" si="716"/>
        <v>0.49090909090909096</v>
      </c>
      <c r="AI119" s="62" t="e">
        <f t="shared" ref="AI119" si="717">AI76/AI75</f>
        <v>#DIV/0!</v>
      </c>
      <c r="AJ119" s="62" t="e">
        <f t="shared" si="716"/>
        <v>#DIV/0!</v>
      </c>
      <c r="AK119" s="412"/>
      <c r="AL119" s="14">
        <f t="shared" ref="AL119:BL119" si="718">AL76/AL75</f>
        <v>0.30089570202728477</v>
      </c>
      <c r="AM119" s="14">
        <f t="shared" si="718"/>
        <v>0.30089570202728477</v>
      </c>
      <c r="AN119" s="14">
        <f t="shared" si="718"/>
        <v>0.30089570202728483</v>
      </c>
      <c r="AO119" s="14">
        <f t="shared" si="718"/>
        <v>0.30089570202728472</v>
      </c>
      <c r="AP119" s="14">
        <f t="shared" si="718"/>
        <v>0.30089570202728488</v>
      </c>
      <c r="AQ119" s="14">
        <f t="shared" si="718"/>
        <v>0.30089570202728472</v>
      </c>
      <c r="AR119" s="14">
        <f t="shared" si="718"/>
        <v>0.30089570202728494</v>
      </c>
      <c r="AS119" s="14">
        <f t="shared" si="718"/>
        <v>0.30089570202728455</v>
      </c>
      <c r="AT119" s="14">
        <f t="shared" si="718"/>
        <v>0.30089570202728455</v>
      </c>
      <c r="AU119" s="14">
        <f t="shared" si="718"/>
        <v>0.30089570202728488</v>
      </c>
      <c r="AV119" s="14">
        <f t="shared" si="718"/>
        <v>0.30089570202728455</v>
      </c>
      <c r="AW119" s="14">
        <f t="shared" si="718"/>
        <v>0.30089570202728455</v>
      </c>
      <c r="AX119" s="14">
        <f t="shared" si="718"/>
        <v>0.49254025397166545</v>
      </c>
      <c r="AY119" s="14">
        <f t="shared" si="718"/>
        <v>0.49254025397166545</v>
      </c>
      <c r="AZ119" s="14">
        <f t="shared" si="718"/>
        <v>0.49254025397166556</v>
      </c>
      <c r="BA119" s="14">
        <f t="shared" si="718"/>
        <v>0.4925402539716654</v>
      </c>
      <c r="BB119" s="14">
        <f t="shared" si="718"/>
        <v>0.4925402539716654</v>
      </c>
      <c r="BC119" s="14">
        <f t="shared" si="718"/>
        <v>0.49254025397166573</v>
      </c>
      <c r="BD119" s="14">
        <f t="shared" si="718"/>
        <v>0.4925402539716654</v>
      </c>
      <c r="BE119" s="14">
        <f t="shared" si="718"/>
        <v>0.4925402539716654</v>
      </c>
      <c r="BF119" s="14">
        <f t="shared" si="718"/>
        <v>0.4925402539716654</v>
      </c>
      <c r="BG119" s="14">
        <f t="shared" si="718"/>
        <v>0.4925402539716654</v>
      </c>
      <c r="BH119" s="14">
        <f t="shared" si="718"/>
        <v>0.4925402539716654</v>
      </c>
      <c r="BI119" s="14">
        <f t="shared" si="718"/>
        <v>0.49254025397166601</v>
      </c>
      <c r="BJ119" s="14">
        <f t="shared" si="718"/>
        <v>0.49090909090909096</v>
      </c>
      <c r="BK119" s="14" t="e">
        <f t="shared" si="718"/>
        <v>#DIV/0!</v>
      </c>
      <c r="BL119" s="14" t="e">
        <f t="shared" si="718"/>
        <v>#DIV/0!</v>
      </c>
      <c r="BM119" s="412"/>
      <c r="BN119" s="14">
        <f t="shared" ref="BN119:CN119" si="719">BN76/BN75</f>
        <v>0.30089570202728477</v>
      </c>
      <c r="BO119" s="14">
        <f t="shared" si="719"/>
        <v>0.30089570202728477</v>
      </c>
      <c r="BP119" s="14">
        <f t="shared" si="719"/>
        <v>0.30089570202728477</v>
      </c>
      <c r="BQ119" s="14">
        <f t="shared" si="719"/>
        <v>0.30089570202728477</v>
      </c>
      <c r="BR119" s="14">
        <f t="shared" si="719"/>
        <v>0.30089570202728477</v>
      </c>
      <c r="BS119" s="14">
        <f t="shared" si="719"/>
        <v>0.30089570202728477</v>
      </c>
      <c r="BT119" s="14">
        <f t="shared" si="719"/>
        <v>0.30089570202728466</v>
      </c>
      <c r="BU119" s="14">
        <f t="shared" si="719"/>
        <v>0.30089570202728466</v>
      </c>
      <c r="BV119" s="14">
        <f t="shared" si="719"/>
        <v>0.30089570202728466</v>
      </c>
      <c r="BW119" s="14">
        <f t="shared" si="719"/>
        <v>0.30089570202728466</v>
      </c>
      <c r="BX119" s="14">
        <f t="shared" si="719"/>
        <v>0.30089570202728466</v>
      </c>
      <c r="BY119" s="14">
        <f t="shared" si="719"/>
        <v>0.30089570202728466</v>
      </c>
      <c r="BZ119" s="14">
        <f t="shared" si="719"/>
        <v>0.49254025397166551</v>
      </c>
      <c r="CA119" s="14">
        <f t="shared" si="719"/>
        <v>0.49254025397166551</v>
      </c>
      <c r="CB119" s="14">
        <f t="shared" si="719"/>
        <v>0.49254025397166551</v>
      </c>
      <c r="CC119" s="14">
        <f t="shared" si="719"/>
        <v>0.49254025397166551</v>
      </c>
      <c r="CD119" s="14">
        <f t="shared" si="719"/>
        <v>0.49254025397166551</v>
      </c>
      <c r="CE119" s="14">
        <f t="shared" si="719"/>
        <v>0.49254025397166551</v>
      </c>
      <c r="CF119" s="14">
        <f t="shared" si="719"/>
        <v>0.49254025397166545</v>
      </c>
      <c r="CG119" s="14">
        <f t="shared" si="719"/>
        <v>0.49254025397166545</v>
      </c>
      <c r="CH119" s="14">
        <f t="shared" si="719"/>
        <v>0.49254025397166545</v>
      </c>
      <c r="CI119" s="14">
        <f t="shared" si="719"/>
        <v>0.49254025397166551</v>
      </c>
      <c r="CJ119" s="14">
        <f t="shared" si="719"/>
        <v>0.49254025397166551</v>
      </c>
      <c r="CK119" s="14">
        <f t="shared" si="719"/>
        <v>0.49254025397166551</v>
      </c>
      <c r="CL119" s="14">
        <f t="shared" si="719"/>
        <v>0.49090909090909091</v>
      </c>
      <c r="CM119" s="14">
        <f t="shared" si="719"/>
        <v>0.49090909090909091</v>
      </c>
      <c r="CN119" s="14">
        <f t="shared" si="719"/>
        <v>0.49090909090909091</v>
      </c>
      <c r="CO119" s="412"/>
      <c r="CP119" s="14">
        <f t="shared" ref="CP119:DP119" si="720">CP76/CP75</f>
        <v>0.30089570202728477</v>
      </c>
      <c r="CQ119" s="14">
        <f t="shared" si="720"/>
        <v>0.30089570202728477</v>
      </c>
      <c r="CR119" s="14">
        <f t="shared" si="720"/>
        <v>0.30089570202728477</v>
      </c>
      <c r="CS119" s="14">
        <f t="shared" si="720"/>
        <v>0.30089570202728477</v>
      </c>
      <c r="CT119" s="14">
        <f t="shared" si="720"/>
        <v>0.30089570202728477</v>
      </c>
      <c r="CU119" s="14">
        <f t="shared" si="720"/>
        <v>0.30089570202728477</v>
      </c>
      <c r="CV119" s="14">
        <f t="shared" si="720"/>
        <v>0.30089570202728483</v>
      </c>
      <c r="CW119" s="14">
        <f t="shared" si="720"/>
        <v>0.30089570202728477</v>
      </c>
      <c r="CX119" s="14">
        <f t="shared" si="720"/>
        <v>0.30089570202728477</v>
      </c>
      <c r="CY119" s="14">
        <f t="shared" si="720"/>
        <v>0.30089570202728477</v>
      </c>
      <c r="CZ119" s="14">
        <f t="shared" si="720"/>
        <v>0.30089570202728472</v>
      </c>
      <c r="DA119" s="14">
        <f t="shared" si="720"/>
        <v>0.30089570202728472</v>
      </c>
      <c r="DB119" s="14">
        <f t="shared" si="720"/>
        <v>0.49254025397166545</v>
      </c>
      <c r="DC119" s="14">
        <f t="shared" si="720"/>
        <v>0.49254025397166545</v>
      </c>
      <c r="DD119" s="14">
        <f t="shared" si="720"/>
        <v>0.49254025397166551</v>
      </c>
      <c r="DE119" s="14">
        <f t="shared" si="720"/>
        <v>0.49254025397166545</v>
      </c>
      <c r="DF119" s="14">
        <f t="shared" si="720"/>
        <v>0.49254025397166545</v>
      </c>
      <c r="DG119" s="14">
        <f t="shared" si="720"/>
        <v>0.49254025397166551</v>
      </c>
      <c r="DH119" s="14">
        <f t="shared" si="720"/>
        <v>0.49254025397166545</v>
      </c>
      <c r="DI119" s="14">
        <f t="shared" si="720"/>
        <v>0.49254025397166545</v>
      </c>
      <c r="DJ119" s="14">
        <f t="shared" si="720"/>
        <v>0.49254025397166545</v>
      </c>
      <c r="DK119" s="14">
        <f t="shared" si="720"/>
        <v>0.49254025397166545</v>
      </c>
      <c r="DL119" s="14">
        <f t="shared" si="720"/>
        <v>0.49254025397166545</v>
      </c>
      <c r="DM119" s="14">
        <f t="shared" si="720"/>
        <v>0.49254025397166551</v>
      </c>
      <c r="DN119" s="14">
        <f t="shared" si="720"/>
        <v>0.49090909090909096</v>
      </c>
      <c r="DO119" s="14" t="e">
        <f t="shared" si="720"/>
        <v>#DIV/0!</v>
      </c>
      <c r="DP119" s="14" t="e">
        <f t="shared" si="720"/>
        <v>#DIV/0!</v>
      </c>
      <c r="DQ119" s="14"/>
      <c r="DR119" s="14"/>
      <c r="DS119" s="14"/>
      <c r="DT119" s="14"/>
      <c r="DU119" s="14"/>
      <c r="DV119" s="14"/>
      <c r="DW119" s="14"/>
      <c r="DX119" s="14"/>
      <c r="DY119" s="14"/>
      <c r="DZ119" s="14"/>
      <c r="EA119" s="14">
        <f>EA76/EA75</f>
        <v>0.30089570202728472</v>
      </c>
      <c r="EB119" s="14">
        <f>EB76/EB75</f>
        <v>0.49254025397166551</v>
      </c>
      <c r="EC119" s="14"/>
      <c r="ED119" s="429"/>
      <c r="EE119" s="14">
        <v>0.49</v>
      </c>
      <c r="EF119" s="14">
        <f>EF76/EF75</f>
        <v>0.49090909090909091</v>
      </c>
      <c r="EG119" s="14">
        <v>0.49</v>
      </c>
      <c r="EK119" s="24"/>
      <c r="EL119" s="47"/>
      <c r="EM119" s="47"/>
      <c r="EN119" s="47"/>
    </row>
    <row r="120" spans="1:149">
      <c r="A120" s="6" t="s">
        <v>23</v>
      </c>
      <c r="B120" s="2" t="s">
        <v>25</v>
      </c>
      <c r="C120" s="3" t="s">
        <v>75</v>
      </c>
      <c r="E120" s="4" t="str">
        <f>C89</f>
        <v>BSEE</v>
      </c>
      <c r="F120" s="4" t="s">
        <v>31</v>
      </c>
      <c r="G120" s="28" t="str">
        <f>C88</f>
        <v>BSUniq</v>
      </c>
      <c r="H120" s="28"/>
      <c r="I120" s="28"/>
      <c r="J120" s="62">
        <f t="shared" ref="J120:AJ120" si="721">J89/J88</f>
        <v>4.2000000000000037E-2</v>
      </c>
      <c r="K120" s="62">
        <f t="shared" si="721"/>
        <v>4.1999999999999996E-2</v>
      </c>
      <c r="L120" s="62">
        <f t="shared" si="721"/>
        <v>4.1999999999999996E-2</v>
      </c>
      <c r="M120" s="62">
        <f t="shared" si="721"/>
        <v>0.34246594107668005</v>
      </c>
      <c r="N120" s="62">
        <f t="shared" si="721"/>
        <v>0.16666666666640001</v>
      </c>
      <c r="O120" s="62">
        <f t="shared" si="721"/>
        <v>0.16666666666640004</v>
      </c>
      <c r="P120" s="62">
        <f t="shared" si="721"/>
        <v>0.16666666666639993</v>
      </c>
      <c r="Q120" s="62">
        <f t="shared" si="721"/>
        <v>0.16666666666639998</v>
      </c>
      <c r="R120" s="62">
        <f t="shared" si="721"/>
        <v>0.16666666666639998</v>
      </c>
      <c r="S120" s="62">
        <f t="shared" si="721"/>
        <v>0.16666666666639998</v>
      </c>
      <c r="T120" s="62">
        <f t="shared" si="721"/>
        <v>0.16666666666640012</v>
      </c>
      <c r="U120" s="62">
        <f t="shared" si="721"/>
        <v>0.16666666666639998</v>
      </c>
      <c r="V120" s="62">
        <f t="shared" si="721"/>
        <v>0.20661840060795394</v>
      </c>
      <c r="W120" s="62">
        <f t="shared" si="721"/>
        <v>0.10330920030397697</v>
      </c>
      <c r="X120" s="62">
        <f t="shared" si="721"/>
        <v>6.887280020265131E-2</v>
      </c>
      <c r="Y120" s="62">
        <f t="shared" si="721"/>
        <v>3.0992760091242685E-2</v>
      </c>
      <c r="Z120" s="62">
        <f t="shared" si="721"/>
        <v>2.4794208072994151E-2</v>
      </c>
      <c r="AA120" s="62">
        <f t="shared" si="721"/>
        <v>2.0661840060828458E-2</v>
      </c>
      <c r="AB120" s="62">
        <f t="shared" si="721"/>
        <v>1.7710148623567248E-2</v>
      </c>
      <c r="AC120" s="62">
        <f t="shared" si="721"/>
        <v>1.5496380045621342E-2</v>
      </c>
      <c r="AD120" s="62">
        <f t="shared" si="721"/>
        <v>1.3774560040552304E-2</v>
      </c>
      <c r="AE120" s="62">
        <f t="shared" si="721"/>
        <v>1.2397104036497075E-2</v>
      </c>
      <c r="AF120" s="62">
        <f t="shared" si="721"/>
        <v>1.1270094578633705E-2</v>
      </c>
      <c r="AG120" s="62">
        <f t="shared" si="721"/>
        <v>1.0330920030414229E-2</v>
      </c>
      <c r="AH120" s="62">
        <f t="shared" si="721"/>
        <v>0.12000000000000001</v>
      </c>
      <c r="AI120" s="62">
        <f t="shared" ref="AI120" si="722">AI89/AI88</f>
        <v>0.12000000000000001</v>
      </c>
      <c r="AJ120" s="62">
        <f t="shared" si="721"/>
        <v>0.12000000000000001</v>
      </c>
      <c r="AK120" s="412"/>
      <c r="AL120" s="14">
        <f t="shared" ref="AL120:BL120" si="723">AL89/AL88</f>
        <v>4.2000000000000037E-2</v>
      </c>
      <c r="AM120" s="14">
        <f t="shared" si="723"/>
        <v>4.1999999999999996E-2</v>
      </c>
      <c r="AN120" s="14">
        <f t="shared" si="723"/>
        <v>4.1999999999999996E-2</v>
      </c>
      <c r="AO120" s="14">
        <f t="shared" si="723"/>
        <v>0.34246594107668005</v>
      </c>
      <c r="AP120" s="14">
        <f t="shared" si="723"/>
        <v>0.16666666666640001</v>
      </c>
      <c r="AQ120" s="14">
        <f t="shared" si="723"/>
        <v>0.16666666666640004</v>
      </c>
      <c r="AR120" s="14">
        <f t="shared" si="723"/>
        <v>0.16666666666639993</v>
      </c>
      <c r="AS120" s="14">
        <f t="shared" si="723"/>
        <v>0.16666666666639998</v>
      </c>
      <c r="AT120" s="14">
        <f t="shared" si="723"/>
        <v>0.16666666666639998</v>
      </c>
      <c r="AU120" s="14">
        <f t="shared" si="723"/>
        <v>0.16666666666639998</v>
      </c>
      <c r="AV120" s="14">
        <f t="shared" si="723"/>
        <v>0.16666666666640012</v>
      </c>
      <c r="AW120" s="14">
        <f t="shared" si="723"/>
        <v>0.16666666666639998</v>
      </c>
      <c r="AX120" s="14">
        <f t="shared" si="723"/>
        <v>0.20661840060795394</v>
      </c>
      <c r="AY120" s="14">
        <f t="shared" si="723"/>
        <v>0.20661840060795394</v>
      </c>
      <c r="AZ120" s="14">
        <f t="shared" si="723"/>
        <v>0.20661840060795394</v>
      </c>
      <c r="BA120" s="14">
        <f t="shared" si="723"/>
        <v>0.12397104036497074</v>
      </c>
      <c r="BB120" s="14">
        <f t="shared" si="723"/>
        <v>0.12397104036497074</v>
      </c>
      <c r="BC120" s="14">
        <f t="shared" si="723"/>
        <v>0.12397104036497074</v>
      </c>
      <c r="BD120" s="14">
        <f t="shared" si="723"/>
        <v>0.12397104036497074</v>
      </c>
      <c r="BE120" s="14">
        <f t="shared" si="723"/>
        <v>0.12397104036497074</v>
      </c>
      <c r="BF120" s="14">
        <f t="shared" si="723"/>
        <v>0.12397104036497074</v>
      </c>
      <c r="BG120" s="14">
        <f t="shared" si="723"/>
        <v>0.12397104036497074</v>
      </c>
      <c r="BH120" s="14">
        <f t="shared" si="723"/>
        <v>0.12397104036497074</v>
      </c>
      <c r="BI120" s="14">
        <f t="shared" si="723"/>
        <v>0.12397104036497074</v>
      </c>
      <c r="BJ120" s="14">
        <f t="shared" si="723"/>
        <v>0.12397104036497074</v>
      </c>
      <c r="BK120" s="14">
        <f t="shared" si="723"/>
        <v>0.12397104036497074</v>
      </c>
      <c r="BL120" s="14">
        <f t="shared" si="723"/>
        <v>0.12397104036497074</v>
      </c>
      <c r="BM120" s="412"/>
      <c r="BN120" s="14">
        <f t="shared" ref="BN120:CN120" si="724">BN89/BN88</f>
        <v>4.2000000000000037E-2</v>
      </c>
      <c r="BO120" s="14">
        <f t="shared" si="724"/>
        <v>4.2000000000000016E-2</v>
      </c>
      <c r="BP120" s="14">
        <f t="shared" si="724"/>
        <v>4.200000000000001E-2</v>
      </c>
      <c r="BQ120" s="14">
        <f t="shared" si="724"/>
        <v>0.34246594107668005</v>
      </c>
      <c r="BR120" s="14">
        <f t="shared" si="724"/>
        <v>0.22421528685440123</v>
      </c>
      <c r="BS120" s="14">
        <f t="shared" si="724"/>
        <v>0.20107240762138423</v>
      </c>
      <c r="BT120" s="14">
        <f t="shared" si="724"/>
        <v>0.16666666666639993</v>
      </c>
      <c r="BU120" s="14">
        <f t="shared" si="724"/>
        <v>0.16666666666639995</v>
      </c>
      <c r="BV120" s="14">
        <f t="shared" si="724"/>
        <v>0.16666666666639998</v>
      </c>
      <c r="BW120" s="14">
        <f t="shared" si="724"/>
        <v>0.16666666666639998</v>
      </c>
      <c r="BX120" s="14">
        <f t="shared" si="724"/>
        <v>0.16666666666640004</v>
      </c>
      <c r="BY120" s="14">
        <f t="shared" si="724"/>
        <v>0.16666666666640004</v>
      </c>
      <c r="BZ120" s="14">
        <f t="shared" si="724"/>
        <v>6.9444444444333328E-2</v>
      </c>
      <c r="CA120" s="14">
        <f t="shared" si="724"/>
        <v>0.13888888888866666</v>
      </c>
      <c r="CB120" s="14">
        <f t="shared" si="724"/>
        <v>0.20661840060795394</v>
      </c>
      <c r="CC120" s="14">
        <f t="shared" si="724"/>
        <v>2.0661840060828458E-2</v>
      </c>
      <c r="CD120" s="14">
        <f t="shared" si="724"/>
        <v>4.1323680121656915E-2</v>
      </c>
      <c r="CE120" s="14">
        <f t="shared" si="724"/>
        <v>6.1985520182485376E-2</v>
      </c>
      <c r="CF120" s="14">
        <f t="shared" si="724"/>
        <v>1.3774560040552304E-2</v>
      </c>
      <c r="CG120" s="14">
        <f t="shared" si="724"/>
        <v>2.7549120081104609E-2</v>
      </c>
      <c r="CH120" s="14">
        <f t="shared" si="724"/>
        <v>4.1323680121656915E-2</v>
      </c>
      <c r="CI120" s="14">
        <f t="shared" si="724"/>
        <v>1.0330578512396695E-2</v>
      </c>
      <c r="CJ120" s="14">
        <f t="shared" si="724"/>
        <v>2.0661157024793389E-2</v>
      </c>
      <c r="CK120" s="14">
        <f t="shared" si="724"/>
        <v>3.0992760091242688E-2</v>
      </c>
      <c r="CL120" s="14">
        <f t="shared" si="724"/>
        <v>0.04</v>
      </c>
      <c r="CM120" s="14">
        <f t="shared" si="724"/>
        <v>0.08</v>
      </c>
      <c r="CN120" s="14">
        <f t="shared" si="724"/>
        <v>0.12</v>
      </c>
      <c r="CO120" s="412"/>
      <c r="CP120" s="14">
        <f t="shared" ref="CP120:DP120" si="725">CP89/CP88</f>
        <v>4.2000000000000037E-2</v>
      </c>
      <c r="CQ120" s="14">
        <f t="shared" si="725"/>
        <v>4.2000000000000016E-2</v>
      </c>
      <c r="CR120" s="14">
        <f t="shared" si="725"/>
        <v>4.200000000000001E-2</v>
      </c>
      <c r="CS120" s="14">
        <f t="shared" si="725"/>
        <v>9.2655897704840437E-2</v>
      </c>
      <c r="CT120" s="14">
        <f t="shared" si="725"/>
        <v>0.11169812087108892</v>
      </c>
      <c r="CU120" s="14">
        <f t="shared" si="725"/>
        <v>0.12294680070634657</v>
      </c>
      <c r="CV120" s="14">
        <f t="shared" si="725"/>
        <v>0.13037373184007844</v>
      </c>
      <c r="CW120" s="14">
        <f t="shared" si="725"/>
        <v>0.13564376130256578</v>
      </c>
      <c r="CX120" s="14">
        <f t="shared" si="725"/>
        <v>0.13957735045042605</v>
      </c>
      <c r="CY120" s="14">
        <f t="shared" si="725"/>
        <v>0.14262566069373325</v>
      </c>
      <c r="CZ120" s="14">
        <f t="shared" si="725"/>
        <v>0.14505732016316442</v>
      </c>
      <c r="DA120" s="14">
        <f t="shared" si="725"/>
        <v>0.14704225712267627</v>
      </c>
      <c r="DB120" s="14">
        <f t="shared" si="725"/>
        <v>0.20661840060795394</v>
      </c>
      <c r="DC120" s="14">
        <f t="shared" si="725"/>
        <v>0.20661840060795394</v>
      </c>
      <c r="DD120" s="14">
        <f t="shared" si="725"/>
        <v>0.20661840060795394</v>
      </c>
      <c r="DE120" s="14">
        <f t="shared" si="725"/>
        <v>0.18595656054720813</v>
      </c>
      <c r="DF120" s="14">
        <f t="shared" si="725"/>
        <v>0.17355945651076068</v>
      </c>
      <c r="DG120" s="14">
        <f t="shared" si="725"/>
        <v>0.16529472048646235</v>
      </c>
      <c r="DH120" s="14">
        <f t="shared" si="725"/>
        <v>0.15939133761196353</v>
      </c>
      <c r="DI120" s="14">
        <f t="shared" si="725"/>
        <v>0.15496380045608946</v>
      </c>
      <c r="DJ120" s="14">
        <f t="shared" si="725"/>
        <v>0.15152016044596514</v>
      </c>
      <c r="DK120" s="14">
        <f t="shared" si="725"/>
        <v>0.1487652484378657</v>
      </c>
      <c r="DL120" s="14">
        <f t="shared" si="725"/>
        <v>0.14651122952214798</v>
      </c>
      <c r="DM120" s="14">
        <f t="shared" si="725"/>
        <v>0.14463288042571656</v>
      </c>
      <c r="DN120" s="14">
        <f t="shared" si="725"/>
        <v>0.12000000000000001</v>
      </c>
      <c r="DO120" s="14">
        <f t="shared" si="725"/>
        <v>0.24000000000000002</v>
      </c>
      <c r="DP120" s="14">
        <f t="shared" si="725"/>
        <v>0.36000000000000004</v>
      </c>
      <c r="DQ120" s="14"/>
      <c r="DR120" s="14"/>
      <c r="DS120" s="14"/>
      <c r="DT120" s="14"/>
      <c r="DU120" s="14"/>
      <c r="DV120" s="14"/>
      <c r="DW120" s="14"/>
      <c r="DX120" s="14"/>
      <c r="DY120" s="14"/>
      <c r="DZ120" s="14"/>
      <c r="EA120" s="14">
        <f>EA89/EA88</f>
        <v>0.14704225712267627</v>
      </c>
      <c r="EB120" s="14">
        <f>EB89/EB88</f>
        <v>0.14463288042571656</v>
      </c>
      <c r="EC120" s="14"/>
      <c r="ED120" s="429"/>
      <c r="EE120" s="14">
        <f>EE89/EE88</f>
        <v>0.12397104036497074</v>
      </c>
      <c r="EF120" s="14">
        <f>EF89/EF88</f>
        <v>0.08</v>
      </c>
      <c r="EG120" s="14">
        <f>+EF120</f>
        <v>0.08</v>
      </c>
      <c r="EK120" s="24"/>
      <c r="EL120" s="47"/>
      <c r="EM120" s="47"/>
      <c r="EN120" s="47"/>
    </row>
    <row r="121" spans="1:149">
      <c r="A121" s="6" t="s">
        <v>23</v>
      </c>
      <c r="B121" s="2" t="s">
        <v>160</v>
      </c>
      <c r="C121" s="3" t="s">
        <v>76</v>
      </c>
      <c r="E121" s="3" t="str">
        <f>C78</f>
        <v>BSatRate</v>
      </c>
      <c r="F121" s="3" t="s">
        <v>32</v>
      </c>
      <c r="G121" s="28" t="str">
        <f>C75</f>
        <v>BAllNew</v>
      </c>
      <c r="H121" s="63" t="s">
        <v>31</v>
      </c>
      <c r="I121" s="28" t="str">
        <f>C77</f>
        <v>BSatResp</v>
      </c>
      <c r="J121" s="62">
        <f t="shared" ref="J121:AJ121" si="726">J78*J77/J75</f>
        <v>0.18716429084435274</v>
      </c>
      <c r="K121" s="62">
        <f t="shared" si="726"/>
        <v>9.3582145422176369E-2</v>
      </c>
      <c r="L121" s="62">
        <f t="shared" si="726"/>
        <v>6.2388096948117575E-2</v>
      </c>
      <c r="M121" s="62">
        <f t="shared" si="726"/>
        <v>4.6791072711088184E-2</v>
      </c>
      <c r="N121" s="62">
        <f t="shared" si="726"/>
        <v>3.7432858168870542E-2</v>
      </c>
      <c r="O121" s="62">
        <f t="shared" si="726"/>
        <v>3.1194048474058787E-2</v>
      </c>
      <c r="P121" s="62">
        <f t="shared" si="726"/>
        <v>2.6737755834907534E-2</v>
      </c>
      <c r="Q121" s="62">
        <f t="shared" si="726"/>
        <v>2.3395536355544092E-2</v>
      </c>
      <c r="R121" s="62">
        <f t="shared" si="726"/>
        <v>2.079603231603919E-2</v>
      </c>
      <c r="S121" s="62">
        <f t="shared" si="726"/>
        <v>1.8716429084435271E-2</v>
      </c>
      <c r="T121" s="62">
        <f t="shared" si="726"/>
        <v>1.701493553130479E-2</v>
      </c>
      <c r="U121" s="62">
        <f t="shared" si="726"/>
        <v>1.559702423702939E-2</v>
      </c>
      <c r="V121" s="62">
        <f t="shared" si="726"/>
        <v>0.23821037737538728</v>
      </c>
      <c r="W121" s="62">
        <f t="shared" si="726"/>
        <v>0.23821037737538728</v>
      </c>
      <c r="X121" s="62">
        <f t="shared" si="726"/>
        <v>0.23821037737538728</v>
      </c>
      <c r="Y121" s="62">
        <f t="shared" si="726"/>
        <v>0.23821037737538728</v>
      </c>
      <c r="Z121" s="62">
        <f t="shared" si="726"/>
        <v>0.23821037737538728</v>
      </c>
      <c r="AA121" s="62">
        <f t="shared" si="726"/>
        <v>0.23821037737538731</v>
      </c>
      <c r="AB121" s="62">
        <f t="shared" si="726"/>
        <v>0.23821037737538731</v>
      </c>
      <c r="AC121" s="62">
        <f t="shared" si="726"/>
        <v>0.23821037737538731</v>
      </c>
      <c r="AD121" s="62">
        <f t="shared" si="726"/>
        <v>0.23821037737538731</v>
      </c>
      <c r="AE121" s="62">
        <f t="shared" si="726"/>
        <v>0.23821037737538731</v>
      </c>
      <c r="AF121" s="62">
        <f t="shared" si="726"/>
        <v>0.23821037737538731</v>
      </c>
      <c r="AG121" s="62">
        <f t="shared" si="726"/>
        <v>0.23821037737538731</v>
      </c>
      <c r="AH121" s="62">
        <f t="shared" si="726"/>
        <v>0</v>
      </c>
      <c r="AI121" s="62" t="e">
        <f t="shared" ref="AI121" si="727">AI78*AI77/AI75</f>
        <v>#DIV/0!</v>
      </c>
      <c r="AJ121" s="62" t="e">
        <f t="shared" si="726"/>
        <v>#DIV/0!</v>
      </c>
      <c r="AK121" s="412"/>
      <c r="AL121" s="14">
        <f t="shared" ref="AL121:BL121" si="728">AL78*AL77/AL75</f>
        <v>0.18716429084435274</v>
      </c>
      <c r="AM121" s="14">
        <f t="shared" si="728"/>
        <v>0.18716429084435274</v>
      </c>
      <c r="AN121" s="14">
        <f t="shared" si="728"/>
        <v>0.18716429084435274</v>
      </c>
      <c r="AO121" s="14">
        <f t="shared" si="728"/>
        <v>0.18716429084435274</v>
      </c>
      <c r="AP121" s="14">
        <f t="shared" si="728"/>
        <v>0.18716429084435274</v>
      </c>
      <c r="AQ121" s="14">
        <f t="shared" si="728"/>
        <v>0.18716429084435274</v>
      </c>
      <c r="AR121" s="14">
        <f t="shared" si="728"/>
        <v>0.18716429084435285</v>
      </c>
      <c r="AS121" s="14">
        <f t="shared" si="728"/>
        <v>0.1871642908443526</v>
      </c>
      <c r="AT121" s="14">
        <f t="shared" si="728"/>
        <v>0.1871642908443526</v>
      </c>
      <c r="AU121" s="14">
        <f t="shared" si="728"/>
        <v>0.1871642908443526</v>
      </c>
      <c r="AV121" s="14">
        <f t="shared" si="728"/>
        <v>0.1871642908443526</v>
      </c>
      <c r="AW121" s="14">
        <f t="shared" si="728"/>
        <v>0.1871642908443526</v>
      </c>
      <c r="AX121" s="14">
        <f t="shared" si="728"/>
        <v>0.23821037737538728</v>
      </c>
      <c r="AY121" s="14">
        <f t="shared" si="728"/>
        <v>0.23821037737538728</v>
      </c>
      <c r="AZ121" s="14">
        <f t="shared" si="728"/>
        <v>0.23821037737538722</v>
      </c>
      <c r="BA121" s="14">
        <f t="shared" si="728"/>
        <v>0.23821037737538731</v>
      </c>
      <c r="BB121" s="14">
        <f t="shared" si="728"/>
        <v>0.23821037737538731</v>
      </c>
      <c r="BC121" s="14">
        <f t="shared" si="728"/>
        <v>0.23821037737538747</v>
      </c>
      <c r="BD121" s="14">
        <f t="shared" si="728"/>
        <v>0.23821037737538731</v>
      </c>
      <c r="BE121" s="14">
        <f t="shared" si="728"/>
        <v>0.23821037737538731</v>
      </c>
      <c r="BF121" s="14">
        <f t="shared" si="728"/>
        <v>0.23821037737538731</v>
      </c>
      <c r="BG121" s="14">
        <f t="shared" si="728"/>
        <v>0.23821037737538731</v>
      </c>
      <c r="BH121" s="14">
        <f t="shared" si="728"/>
        <v>0.23821037737538731</v>
      </c>
      <c r="BI121" s="14">
        <f t="shared" si="728"/>
        <v>0.23821037737538731</v>
      </c>
      <c r="BJ121" s="14">
        <f t="shared" si="728"/>
        <v>0</v>
      </c>
      <c r="BK121" s="14" t="e">
        <f t="shared" si="728"/>
        <v>#DIV/0!</v>
      </c>
      <c r="BL121" s="14" t="e">
        <f t="shared" si="728"/>
        <v>#DIV/0!</v>
      </c>
      <c r="BM121" s="412"/>
      <c r="BN121" s="14">
        <f t="shared" ref="BN121:CN121" si="729">BN78*BN77/BN75</f>
        <v>0.18716429084435274</v>
      </c>
      <c r="BO121" s="14">
        <f t="shared" si="729"/>
        <v>0.18716429084435274</v>
      </c>
      <c r="BP121" s="14">
        <f t="shared" si="729"/>
        <v>0.18716429084435274</v>
      </c>
      <c r="BQ121" s="14">
        <f t="shared" si="729"/>
        <v>0.18716429084435274</v>
      </c>
      <c r="BR121" s="14">
        <f t="shared" si="729"/>
        <v>0.18716429084435274</v>
      </c>
      <c r="BS121" s="14">
        <f t="shared" si="729"/>
        <v>0.18716429084435274</v>
      </c>
      <c r="BT121" s="14">
        <f t="shared" si="729"/>
        <v>0.18716429084435268</v>
      </c>
      <c r="BU121" s="14">
        <f t="shared" si="729"/>
        <v>0.18716429084435268</v>
      </c>
      <c r="BV121" s="14">
        <f t="shared" si="729"/>
        <v>0.18716429084435268</v>
      </c>
      <c r="BW121" s="14">
        <f t="shared" si="729"/>
        <v>0.1871642908443526</v>
      </c>
      <c r="BX121" s="14">
        <f t="shared" si="729"/>
        <v>0.1871642908443526</v>
      </c>
      <c r="BY121" s="14">
        <f t="shared" si="729"/>
        <v>0.1871642908443526</v>
      </c>
      <c r="BZ121" s="14">
        <f t="shared" si="729"/>
        <v>0.23821037737538728</v>
      </c>
      <c r="CA121" s="14">
        <f t="shared" si="729"/>
        <v>0.23821037737538728</v>
      </c>
      <c r="CB121" s="14">
        <f t="shared" si="729"/>
        <v>0.23821037737538728</v>
      </c>
      <c r="CC121" s="14">
        <f t="shared" si="729"/>
        <v>0.23821037737538731</v>
      </c>
      <c r="CD121" s="14">
        <f t="shared" si="729"/>
        <v>0.23821037737538731</v>
      </c>
      <c r="CE121" s="14">
        <f t="shared" si="729"/>
        <v>0.23821037737538731</v>
      </c>
      <c r="CF121" s="14">
        <f t="shared" si="729"/>
        <v>0.23821037737538731</v>
      </c>
      <c r="CG121" s="14">
        <f t="shared" si="729"/>
        <v>0.23821037737538731</v>
      </c>
      <c r="CH121" s="14">
        <f t="shared" si="729"/>
        <v>0.23821037737538731</v>
      </c>
      <c r="CI121" s="14">
        <f t="shared" si="729"/>
        <v>0.23821037737538731</v>
      </c>
      <c r="CJ121" s="14">
        <f t="shared" si="729"/>
        <v>0.23821037737538731</v>
      </c>
      <c r="CK121" s="14">
        <f t="shared" si="729"/>
        <v>0.23821037737538731</v>
      </c>
      <c r="CL121" s="14">
        <f t="shared" si="729"/>
        <v>0</v>
      </c>
      <c r="CM121" s="14">
        <f t="shared" si="729"/>
        <v>0</v>
      </c>
      <c r="CN121" s="14">
        <f t="shared" si="729"/>
        <v>0</v>
      </c>
      <c r="CO121" s="412"/>
      <c r="CP121" s="14">
        <f t="shared" ref="CP121:DP121" si="730">CP78*CP77/CP75</f>
        <v>0.18716429084435274</v>
      </c>
      <c r="CQ121" s="14">
        <f t="shared" si="730"/>
        <v>0.18716429084435274</v>
      </c>
      <c r="CR121" s="14">
        <f t="shared" si="730"/>
        <v>0.18716429084435274</v>
      </c>
      <c r="CS121" s="14">
        <f t="shared" si="730"/>
        <v>0.18716429084435274</v>
      </c>
      <c r="CT121" s="14">
        <f t="shared" si="730"/>
        <v>0.18716429084435274</v>
      </c>
      <c r="CU121" s="14">
        <f t="shared" si="730"/>
        <v>0.18716429084435274</v>
      </c>
      <c r="CV121" s="14">
        <f t="shared" si="730"/>
        <v>0.18716429084435274</v>
      </c>
      <c r="CW121" s="14">
        <f t="shared" si="730"/>
        <v>0.18716429084435274</v>
      </c>
      <c r="CX121" s="14">
        <f t="shared" si="730"/>
        <v>0.18716429084435271</v>
      </c>
      <c r="CY121" s="14">
        <f t="shared" si="730"/>
        <v>0.18716429084435271</v>
      </c>
      <c r="CZ121" s="14">
        <f t="shared" si="730"/>
        <v>0.18716429084435268</v>
      </c>
      <c r="DA121" s="14">
        <f t="shared" si="730"/>
        <v>0.18716429084435268</v>
      </c>
      <c r="DB121" s="14">
        <f t="shared" si="730"/>
        <v>0.23821037737538731</v>
      </c>
      <c r="DC121" s="14">
        <f t="shared" si="730"/>
        <v>0.23821037737538731</v>
      </c>
      <c r="DD121" s="14">
        <f t="shared" si="730"/>
        <v>0.23821037737538731</v>
      </c>
      <c r="DE121" s="14">
        <f t="shared" si="730"/>
        <v>0.23821037737538731</v>
      </c>
      <c r="DF121" s="14">
        <f t="shared" si="730"/>
        <v>0.23821037737538731</v>
      </c>
      <c r="DG121" s="14">
        <f t="shared" si="730"/>
        <v>0.23821037737538736</v>
      </c>
      <c r="DH121" s="14">
        <f t="shared" si="730"/>
        <v>0.23821037737538731</v>
      </c>
      <c r="DI121" s="14">
        <f t="shared" si="730"/>
        <v>0.23821037737538736</v>
      </c>
      <c r="DJ121" s="14">
        <f t="shared" si="730"/>
        <v>0.23821037737538733</v>
      </c>
      <c r="DK121" s="14">
        <f t="shared" si="730"/>
        <v>0.23821037737538733</v>
      </c>
      <c r="DL121" s="14">
        <f t="shared" si="730"/>
        <v>0.23821037737538733</v>
      </c>
      <c r="DM121" s="14">
        <f t="shared" si="730"/>
        <v>0.23821037737538736</v>
      </c>
      <c r="DN121" s="14">
        <f t="shared" si="730"/>
        <v>0</v>
      </c>
      <c r="DO121" s="14" t="e">
        <f t="shared" si="730"/>
        <v>#DIV/0!</v>
      </c>
      <c r="DP121" s="14" t="e">
        <f t="shared" si="730"/>
        <v>#DIV/0!</v>
      </c>
      <c r="DQ121" s="14"/>
      <c r="DR121" s="14"/>
      <c r="DS121" s="14"/>
      <c r="DT121" s="14"/>
      <c r="DU121" s="14"/>
      <c r="DV121" s="14"/>
      <c r="DW121" s="14"/>
      <c r="DX121" s="14"/>
      <c r="DY121" s="14"/>
      <c r="DZ121" s="14"/>
      <c r="EA121" s="14">
        <f>EA78*EA77/EA75</f>
        <v>0.18716429084435268</v>
      </c>
      <c r="EB121" s="14">
        <f>EB78*EB77/EB75</f>
        <v>0.23821037737538736</v>
      </c>
      <c r="EC121" s="14"/>
      <c r="ED121" s="429"/>
      <c r="EE121" s="14" t="e">
        <f>EE77*EE78/EE77</f>
        <v>#DIV/0!</v>
      </c>
      <c r="EF121" s="14" t="e">
        <f>EF78*EF77/EF77</f>
        <v>#DIV/0!</v>
      </c>
      <c r="EG121" s="14">
        <f>EG77*EG78/EG77</f>
        <v>0.95000000000000007</v>
      </c>
      <c r="EK121" s="24"/>
      <c r="EL121" s="47"/>
      <c r="EM121" s="47"/>
      <c r="EN121" s="47"/>
    </row>
    <row r="122" spans="1:149">
      <c r="A122" s="6" t="s">
        <v>23</v>
      </c>
      <c r="B122" s="2" t="s">
        <v>26</v>
      </c>
      <c r="C122" s="3" t="s">
        <v>84</v>
      </c>
      <c r="E122" s="3" t="str">
        <f>C79</f>
        <v>BSpec1</v>
      </c>
      <c r="F122" s="4" t="s">
        <v>31</v>
      </c>
      <c r="G122" s="28" t="str">
        <f>C88</f>
        <v>BSUniq</v>
      </c>
      <c r="H122" s="28"/>
      <c r="I122" s="28"/>
      <c r="J122" s="62">
        <f t="shared" ref="J122:AJ122" si="731">J79/J88</f>
        <v>0.125</v>
      </c>
      <c r="K122" s="62">
        <f t="shared" si="731"/>
        <v>0.25</v>
      </c>
      <c r="L122" s="62">
        <f t="shared" si="731"/>
        <v>0.375</v>
      </c>
      <c r="M122" s="62">
        <f t="shared" si="731"/>
        <v>0.82191825858534717</v>
      </c>
      <c r="N122" s="62">
        <f t="shared" si="731"/>
        <v>0.5</v>
      </c>
      <c r="O122" s="62">
        <f t="shared" si="731"/>
        <v>0.6</v>
      </c>
      <c r="P122" s="62">
        <f t="shared" si="731"/>
        <v>0.69999999999999984</v>
      </c>
      <c r="Q122" s="62">
        <f t="shared" si="731"/>
        <v>0.8</v>
      </c>
      <c r="R122" s="62">
        <f t="shared" si="731"/>
        <v>0.9</v>
      </c>
      <c r="S122" s="62">
        <f t="shared" si="731"/>
        <v>1</v>
      </c>
      <c r="T122" s="62">
        <f t="shared" si="731"/>
        <v>1.1000000000000001</v>
      </c>
      <c r="U122" s="62">
        <f t="shared" si="731"/>
        <v>1.2</v>
      </c>
      <c r="V122" s="62">
        <f t="shared" si="731"/>
        <v>0.1156401864524447</v>
      </c>
      <c r="W122" s="62">
        <f t="shared" si="731"/>
        <v>0.1156401864524447</v>
      </c>
      <c r="X122" s="62">
        <f t="shared" si="731"/>
        <v>0.1156401864524447</v>
      </c>
      <c r="Y122" s="62">
        <f t="shared" si="731"/>
        <v>0.1156401864524447</v>
      </c>
      <c r="Z122" s="62">
        <f t="shared" si="731"/>
        <v>0.11564018645244471</v>
      </c>
      <c r="AA122" s="62">
        <f t="shared" si="731"/>
        <v>0.11564018645244473</v>
      </c>
      <c r="AB122" s="62">
        <f t="shared" si="731"/>
        <v>0.11564018645244471</v>
      </c>
      <c r="AC122" s="62">
        <f t="shared" si="731"/>
        <v>0.11564018645244473</v>
      </c>
      <c r="AD122" s="62">
        <f t="shared" si="731"/>
        <v>0.11564018645244473</v>
      </c>
      <c r="AE122" s="62">
        <f t="shared" si="731"/>
        <v>0.11564018645244473</v>
      </c>
      <c r="AF122" s="62">
        <f t="shared" si="731"/>
        <v>0.11564018645244473</v>
      </c>
      <c r="AG122" s="62">
        <f t="shared" si="731"/>
        <v>0.11564018645244474</v>
      </c>
      <c r="AH122" s="62">
        <f t="shared" si="731"/>
        <v>0</v>
      </c>
      <c r="AI122" s="62">
        <f t="shared" ref="AI122" si="732">AI79/AI88</f>
        <v>0</v>
      </c>
      <c r="AJ122" s="62">
        <f t="shared" si="731"/>
        <v>0</v>
      </c>
      <c r="AK122" s="412"/>
      <c r="AL122" s="14">
        <f t="shared" ref="AL122:BL122" si="733">AL79/AL88</f>
        <v>0.125</v>
      </c>
      <c r="AM122" s="14">
        <f t="shared" si="733"/>
        <v>0.125</v>
      </c>
      <c r="AN122" s="14">
        <f t="shared" si="733"/>
        <v>0.125</v>
      </c>
      <c r="AO122" s="14">
        <f t="shared" si="733"/>
        <v>0.20547956464633679</v>
      </c>
      <c r="AP122" s="14">
        <f t="shared" si="733"/>
        <v>0.1</v>
      </c>
      <c r="AQ122" s="14">
        <f t="shared" si="733"/>
        <v>0.1</v>
      </c>
      <c r="AR122" s="14">
        <f t="shared" si="733"/>
        <v>9.9999999999999978E-2</v>
      </c>
      <c r="AS122" s="14">
        <f t="shared" si="733"/>
        <v>0.1</v>
      </c>
      <c r="AT122" s="14">
        <f t="shared" si="733"/>
        <v>0.1</v>
      </c>
      <c r="AU122" s="14">
        <f t="shared" si="733"/>
        <v>0.1</v>
      </c>
      <c r="AV122" s="14">
        <f t="shared" si="733"/>
        <v>0.1</v>
      </c>
      <c r="AW122" s="14">
        <f t="shared" si="733"/>
        <v>0.1</v>
      </c>
      <c r="AX122" s="14">
        <f t="shared" si="733"/>
        <v>0.1156401864524447</v>
      </c>
      <c r="AY122" s="14">
        <f t="shared" si="733"/>
        <v>0.1156401864524447</v>
      </c>
      <c r="AZ122" s="14">
        <f t="shared" si="733"/>
        <v>0.1156401864524447</v>
      </c>
      <c r="BA122" s="14">
        <f t="shared" si="733"/>
        <v>0.1156401864524447</v>
      </c>
      <c r="BB122" s="14">
        <f t="shared" si="733"/>
        <v>0.11564018645244474</v>
      </c>
      <c r="BC122" s="14">
        <f t="shared" si="733"/>
        <v>0.11564018645244474</v>
      </c>
      <c r="BD122" s="14">
        <f t="shared" si="733"/>
        <v>0.11564018645244474</v>
      </c>
      <c r="BE122" s="14">
        <f t="shared" si="733"/>
        <v>0.11564018645244474</v>
      </c>
      <c r="BF122" s="14">
        <f t="shared" si="733"/>
        <v>0.11564018645244474</v>
      </c>
      <c r="BG122" s="14">
        <f t="shared" si="733"/>
        <v>0.11564018645244474</v>
      </c>
      <c r="BH122" s="14">
        <f t="shared" si="733"/>
        <v>0.11564018645244474</v>
      </c>
      <c r="BI122" s="14">
        <f t="shared" si="733"/>
        <v>0.11564018645244474</v>
      </c>
      <c r="BJ122" s="14">
        <f t="shared" si="733"/>
        <v>0</v>
      </c>
      <c r="BK122" s="14">
        <f t="shared" si="733"/>
        <v>0</v>
      </c>
      <c r="BL122" s="14">
        <f t="shared" si="733"/>
        <v>0</v>
      </c>
      <c r="BM122" s="412"/>
      <c r="BN122" s="14">
        <f t="shared" ref="BN122:CN122" si="734">BN79/BN88</f>
        <v>0.375</v>
      </c>
      <c r="BO122" s="14">
        <f t="shared" si="734"/>
        <v>0.1875</v>
      </c>
      <c r="BP122" s="14">
        <f t="shared" si="734"/>
        <v>0.125</v>
      </c>
      <c r="BQ122" s="14">
        <f t="shared" si="734"/>
        <v>0.61643869393901041</v>
      </c>
      <c r="BR122" s="14">
        <f t="shared" si="734"/>
        <v>0.20179375816928397</v>
      </c>
      <c r="BS122" s="14">
        <f t="shared" si="734"/>
        <v>0.12064344457302355</v>
      </c>
      <c r="BT122" s="14">
        <f t="shared" si="734"/>
        <v>0.29999999999999993</v>
      </c>
      <c r="BU122" s="14">
        <f t="shared" si="734"/>
        <v>0.14999999999999997</v>
      </c>
      <c r="BV122" s="14">
        <f t="shared" si="734"/>
        <v>0.1</v>
      </c>
      <c r="BW122" s="14">
        <f t="shared" si="734"/>
        <v>0.3</v>
      </c>
      <c r="BX122" s="14">
        <f t="shared" si="734"/>
        <v>0.15</v>
      </c>
      <c r="BY122" s="14">
        <f t="shared" si="734"/>
        <v>0.1</v>
      </c>
      <c r="BZ122" s="14">
        <f t="shared" si="734"/>
        <v>0.1166</v>
      </c>
      <c r="CA122" s="14">
        <f t="shared" si="734"/>
        <v>0.1166</v>
      </c>
      <c r="CB122" s="14">
        <f t="shared" si="734"/>
        <v>0.1156401864524447</v>
      </c>
      <c r="CC122" s="14">
        <f t="shared" si="734"/>
        <v>0.11564018645244473</v>
      </c>
      <c r="CD122" s="14">
        <f t="shared" si="734"/>
        <v>0.11564018645244473</v>
      </c>
      <c r="CE122" s="14">
        <f t="shared" si="734"/>
        <v>0.11564018645244473</v>
      </c>
      <c r="CF122" s="14">
        <f t="shared" si="734"/>
        <v>0.13884756520876726</v>
      </c>
      <c r="CG122" s="14">
        <f t="shared" si="734"/>
        <v>0.13884756520876726</v>
      </c>
      <c r="CH122" s="14">
        <f t="shared" si="734"/>
        <v>0.13884756520876726</v>
      </c>
      <c r="CI122" s="14">
        <f t="shared" si="734"/>
        <v>0.11563636363636366</v>
      </c>
      <c r="CJ122" s="14">
        <f t="shared" si="734"/>
        <v>0.11563636363636366</v>
      </c>
      <c r="CK122" s="14">
        <f t="shared" si="734"/>
        <v>0.11564018645244474</v>
      </c>
      <c r="CL122" s="14">
        <f t="shared" si="734"/>
        <v>0</v>
      </c>
      <c r="CM122" s="14">
        <f t="shared" si="734"/>
        <v>0</v>
      </c>
      <c r="CN122" s="14">
        <f t="shared" si="734"/>
        <v>0</v>
      </c>
      <c r="CO122" s="412"/>
      <c r="CP122" s="14">
        <f t="shared" ref="CP122:DP122" si="735">CP79/CP88</f>
        <v>0.125</v>
      </c>
      <c r="CQ122" s="14">
        <f t="shared" si="735"/>
        <v>0.125</v>
      </c>
      <c r="CR122" s="14">
        <f t="shared" si="735"/>
        <v>0.125</v>
      </c>
      <c r="CS122" s="14">
        <f t="shared" si="735"/>
        <v>0.13856814213100618</v>
      </c>
      <c r="CT122" s="14">
        <f t="shared" si="735"/>
        <v>0.12864494879210625</v>
      </c>
      <c r="CU122" s="14">
        <f t="shared" si="735"/>
        <v>0.12278308991995034</v>
      </c>
      <c r="CV122" s="14">
        <f t="shared" si="735"/>
        <v>0.11891280266875663</v>
      </c>
      <c r="CW122" s="14">
        <f t="shared" si="735"/>
        <v>0.11616650982251732</v>
      </c>
      <c r="CX122" s="14">
        <f t="shared" si="735"/>
        <v>0.11411665643674239</v>
      </c>
      <c r="CY122" s="14">
        <f t="shared" si="735"/>
        <v>0.11252813540969649</v>
      </c>
      <c r="CZ122" s="14">
        <f t="shared" si="735"/>
        <v>0.11126096051951342</v>
      </c>
      <c r="DA122" s="14">
        <f t="shared" si="735"/>
        <v>0.11022657955239633</v>
      </c>
      <c r="DB122" s="14">
        <f t="shared" si="735"/>
        <v>0.1156401864524447</v>
      </c>
      <c r="DC122" s="14">
        <f t="shared" si="735"/>
        <v>0.1156401864524447</v>
      </c>
      <c r="DD122" s="14">
        <f t="shared" si="735"/>
        <v>0.1156401864524447</v>
      </c>
      <c r="DE122" s="14">
        <f t="shared" si="735"/>
        <v>0.1156401864524447</v>
      </c>
      <c r="DF122" s="14">
        <f t="shared" si="735"/>
        <v>0.11564018645244471</v>
      </c>
      <c r="DG122" s="14">
        <f t="shared" si="735"/>
        <v>0.11564018645244473</v>
      </c>
      <c r="DH122" s="14">
        <f t="shared" si="735"/>
        <v>0.11564018645244471</v>
      </c>
      <c r="DI122" s="14">
        <f t="shared" si="735"/>
        <v>0.11564018645244473</v>
      </c>
      <c r="DJ122" s="14">
        <f t="shared" si="735"/>
        <v>0.11564018645244473</v>
      </c>
      <c r="DK122" s="14">
        <f t="shared" si="735"/>
        <v>0.11564018645244473</v>
      </c>
      <c r="DL122" s="14">
        <f t="shared" si="735"/>
        <v>0.11564018645244473</v>
      </c>
      <c r="DM122" s="14">
        <f t="shared" si="735"/>
        <v>0.11564018645244474</v>
      </c>
      <c r="DN122" s="14">
        <f t="shared" si="735"/>
        <v>0</v>
      </c>
      <c r="DO122" s="14">
        <f t="shared" si="735"/>
        <v>0</v>
      </c>
      <c r="DP122" s="14">
        <f t="shared" si="735"/>
        <v>0</v>
      </c>
      <c r="DQ122" s="14"/>
      <c r="DR122" s="14"/>
      <c r="DS122" s="14"/>
      <c r="DT122" s="14"/>
      <c r="DU122" s="14"/>
      <c r="DV122" s="14"/>
      <c r="DW122" s="14"/>
      <c r="DX122" s="14"/>
      <c r="DY122" s="14"/>
      <c r="DZ122" s="14"/>
      <c r="EA122" s="14">
        <f>EA79/EA88</f>
        <v>0.11022657955239633</v>
      </c>
      <c r="EB122" s="14">
        <f>EB79/EB88</f>
        <v>0.11564018645244474</v>
      </c>
      <c r="EC122" s="14"/>
      <c r="ED122" s="429"/>
      <c r="EE122" s="14">
        <f>EE79/EE88</f>
        <v>0</v>
      </c>
      <c r="EF122" s="14">
        <f>EF79/EF88</f>
        <v>0</v>
      </c>
      <c r="EG122" s="14">
        <f>EG79/EG88</f>
        <v>0.11193600000000002</v>
      </c>
      <c r="EK122" s="24"/>
      <c r="EL122" s="47"/>
      <c r="EM122" s="47"/>
      <c r="EN122" s="47"/>
    </row>
    <row r="123" spans="1:149">
      <c r="A123" s="6" t="s">
        <v>23</v>
      </c>
      <c r="B123" s="2" t="s">
        <v>27</v>
      </c>
      <c r="C123" s="3" t="s">
        <v>77</v>
      </c>
      <c r="E123" s="3" t="str">
        <f>C81</f>
        <v>BOnlHrs</v>
      </c>
      <c r="F123" s="4" t="s">
        <v>31</v>
      </c>
      <c r="G123" s="28" t="str">
        <f>C80</f>
        <v>BTotHrs</v>
      </c>
      <c r="H123" s="28"/>
      <c r="I123" s="28"/>
      <c r="J123" s="62">
        <f t="shared" ref="J123:AJ123" si="736">J81/J80</f>
        <v>0.1</v>
      </c>
      <c r="K123" s="62">
        <f t="shared" si="736"/>
        <v>0.1</v>
      </c>
      <c r="L123" s="62">
        <f t="shared" si="736"/>
        <v>0.1</v>
      </c>
      <c r="M123" s="62">
        <f t="shared" si="736"/>
        <v>0.1</v>
      </c>
      <c r="N123" s="62">
        <f t="shared" si="736"/>
        <v>0.1</v>
      </c>
      <c r="O123" s="62">
        <f t="shared" si="736"/>
        <v>0.1</v>
      </c>
      <c r="P123" s="62">
        <f t="shared" si="736"/>
        <v>0.1</v>
      </c>
      <c r="Q123" s="62">
        <f t="shared" si="736"/>
        <v>0.1</v>
      </c>
      <c r="R123" s="62">
        <f t="shared" si="736"/>
        <v>0.1</v>
      </c>
      <c r="S123" s="62">
        <f t="shared" si="736"/>
        <v>0.1</v>
      </c>
      <c r="T123" s="62">
        <f t="shared" si="736"/>
        <v>0.10000000000000002</v>
      </c>
      <c r="U123" s="62">
        <f t="shared" si="736"/>
        <v>0.1</v>
      </c>
      <c r="V123" s="62">
        <f t="shared" si="736"/>
        <v>0.14993075649560192</v>
      </c>
      <c r="W123" s="62">
        <f t="shared" si="736"/>
        <v>0.14993075649560192</v>
      </c>
      <c r="X123" s="62">
        <f t="shared" si="736"/>
        <v>0.14993075649560192</v>
      </c>
      <c r="Y123" s="62">
        <f t="shared" si="736"/>
        <v>0.14993075649560192</v>
      </c>
      <c r="Z123" s="62">
        <f t="shared" si="736"/>
        <v>0.14993075649560192</v>
      </c>
      <c r="AA123" s="62">
        <f t="shared" si="736"/>
        <v>0.14993075649560192</v>
      </c>
      <c r="AB123" s="62">
        <f t="shared" si="736"/>
        <v>0.14993075649560192</v>
      </c>
      <c r="AC123" s="62">
        <f t="shared" si="736"/>
        <v>0.14993075649560192</v>
      </c>
      <c r="AD123" s="62">
        <f t="shared" si="736"/>
        <v>0.14993075649560192</v>
      </c>
      <c r="AE123" s="62">
        <f t="shared" si="736"/>
        <v>0.14993075649560189</v>
      </c>
      <c r="AF123" s="62">
        <f t="shared" si="736"/>
        <v>0.14993075649560189</v>
      </c>
      <c r="AG123" s="62">
        <f t="shared" si="736"/>
        <v>0.14993075649560189</v>
      </c>
      <c r="AH123" s="62">
        <f t="shared" si="736"/>
        <v>0</v>
      </c>
      <c r="AI123" s="62">
        <f t="shared" ref="AI123" si="737">AI81/AI80</f>
        <v>0</v>
      </c>
      <c r="AJ123" s="62">
        <f t="shared" si="736"/>
        <v>0</v>
      </c>
      <c r="AK123" s="412"/>
      <c r="AL123" s="14">
        <f t="shared" ref="AL123:BL123" si="738">AL81/AL80</f>
        <v>0.1</v>
      </c>
      <c r="AM123" s="14">
        <f t="shared" si="738"/>
        <v>0.1</v>
      </c>
      <c r="AN123" s="14">
        <f t="shared" si="738"/>
        <v>0.1</v>
      </c>
      <c r="AO123" s="14">
        <f t="shared" si="738"/>
        <v>0.1</v>
      </c>
      <c r="AP123" s="14">
        <f t="shared" si="738"/>
        <v>9.9999999999999964E-2</v>
      </c>
      <c r="AQ123" s="14">
        <f t="shared" si="738"/>
        <v>0.10000000000000006</v>
      </c>
      <c r="AR123" s="14">
        <f t="shared" si="738"/>
        <v>9.9999999999999964E-2</v>
      </c>
      <c r="AS123" s="14">
        <f t="shared" si="738"/>
        <v>0.10000000000000006</v>
      </c>
      <c r="AT123" s="14">
        <f t="shared" si="738"/>
        <v>9.9999999999999964E-2</v>
      </c>
      <c r="AU123" s="14">
        <f t="shared" si="738"/>
        <v>9.9999999999999964E-2</v>
      </c>
      <c r="AV123" s="14">
        <f t="shared" si="738"/>
        <v>0.10000000000000016</v>
      </c>
      <c r="AW123" s="14">
        <f t="shared" si="738"/>
        <v>9.9999999999999964E-2</v>
      </c>
      <c r="AX123" s="14">
        <f t="shared" si="738"/>
        <v>0.14993075649560192</v>
      </c>
      <c r="AY123" s="14">
        <f t="shared" si="738"/>
        <v>0.14993075649560192</v>
      </c>
      <c r="AZ123" s="14">
        <f t="shared" si="738"/>
        <v>0.14993075649560189</v>
      </c>
      <c r="BA123" s="14">
        <f t="shared" si="738"/>
        <v>0.14993075649560192</v>
      </c>
      <c r="BB123" s="14">
        <f t="shared" si="738"/>
        <v>0.149930756495602</v>
      </c>
      <c r="BC123" s="14">
        <f t="shared" si="738"/>
        <v>0.14993075649560192</v>
      </c>
      <c r="BD123" s="14">
        <f t="shared" si="738"/>
        <v>0.14993075649560192</v>
      </c>
      <c r="BE123" s="14">
        <f t="shared" si="738"/>
        <v>0.14993075649560181</v>
      </c>
      <c r="BF123" s="14">
        <f t="shared" si="738"/>
        <v>0.14993075649560195</v>
      </c>
      <c r="BG123" s="14">
        <f t="shared" si="738"/>
        <v>0.14993075649560181</v>
      </c>
      <c r="BH123" s="14">
        <f t="shared" si="738"/>
        <v>0.14993075649560181</v>
      </c>
      <c r="BI123" s="14">
        <f t="shared" si="738"/>
        <v>0.14993075649560181</v>
      </c>
      <c r="BJ123" s="14">
        <f t="shared" si="738"/>
        <v>0</v>
      </c>
      <c r="BK123" s="14">
        <f t="shared" si="738"/>
        <v>0</v>
      </c>
      <c r="BL123" s="14">
        <f t="shared" si="738"/>
        <v>0</v>
      </c>
      <c r="BM123" s="412"/>
      <c r="BN123" s="14">
        <f t="shared" ref="BN123:CN123" si="739">BN81/BN80</f>
        <v>0.1</v>
      </c>
      <c r="BO123" s="14">
        <f t="shared" si="739"/>
        <v>0.1</v>
      </c>
      <c r="BP123" s="14">
        <f t="shared" si="739"/>
        <v>0.1</v>
      </c>
      <c r="BQ123" s="14">
        <f t="shared" si="739"/>
        <v>0.1</v>
      </c>
      <c r="BR123" s="14">
        <f t="shared" si="739"/>
        <v>0.1</v>
      </c>
      <c r="BS123" s="14">
        <f t="shared" si="739"/>
        <v>0.1</v>
      </c>
      <c r="BT123" s="14">
        <f t="shared" si="739"/>
        <v>9.9999999999999992E-2</v>
      </c>
      <c r="BU123" s="14">
        <f t="shared" si="739"/>
        <v>9.9999999999999992E-2</v>
      </c>
      <c r="BV123" s="14">
        <f t="shared" si="739"/>
        <v>9.9999999999999992E-2</v>
      </c>
      <c r="BW123" s="14">
        <f t="shared" si="739"/>
        <v>0.10000000000000002</v>
      </c>
      <c r="BX123" s="14">
        <f t="shared" si="739"/>
        <v>0.10000000000000002</v>
      </c>
      <c r="BY123" s="14">
        <f t="shared" si="739"/>
        <v>0.10000000000000002</v>
      </c>
      <c r="BZ123" s="14">
        <f t="shared" si="739"/>
        <v>0.14993075649560192</v>
      </c>
      <c r="CA123" s="14">
        <f t="shared" si="739"/>
        <v>0.14993075649560192</v>
      </c>
      <c r="CB123" s="14">
        <f t="shared" si="739"/>
        <v>0.14993075649560192</v>
      </c>
      <c r="CC123" s="14">
        <f t="shared" si="739"/>
        <v>0.14993075649560192</v>
      </c>
      <c r="CD123" s="14">
        <f t="shared" si="739"/>
        <v>0.14993075649560192</v>
      </c>
      <c r="CE123" s="14">
        <f t="shared" si="739"/>
        <v>0.14993075649560192</v>
      </c>
      <c r="CF123" s="14">
        <f t="shared" si="739"/>
        <v>0.14993075649560192</v>
      </c>
      <c r="CG123" s="14">
        <f t="shared" si="739"/>
        <v>0.14993075649560192</v>
      </c>
      <c r="CH123" s="14">
        <f t="shared" si="739"/>
        <v>0.14993075649560192</v>
      </c>
      <c r="CI123" s="14">
        <f t="shared" si="739"/>
        <v>0.14993075649560189</v>
      </c>
      <c r="CJ123" s="14">
        <f t="shared" si="739"/>
        <v>0.14993075649560189</v>
      </c>
      <c r="CK123" s="14">
        <f t="shared" si="739"/>
        <v>0.14993075649560189</v>
      </c>
      <c r="CL123" s="14">
        <f t="shared" si="739"/>
        <v>0</v>
      </c>
      <c r="CM123" s="14">
        <f t="shared" si="739"/>
        <v>0</v>
      </c>
      <c r="CN123" s="14">
        <f t="shared" si="739"/>
        <v>0</v>
      </c>
      <c r="CO123" s="412"/>
      <c r="CP123" s="14">
        <f t="shared" ref="CP123:DP123" si="740">CP81/CP80</f>
        <v>0.1</v>
      </c>
      <c r="CQ123" s="14">
        <f t="shared" si="740"/>
        <v>0.1</v>
      </c>
      <c r="CR123" s="14">
        <f t="shared" si="740"/>
        <v>0.1</v>
      </c>
      <c r="CS123" s="14">
        <f t="shared" si="740"/>
        <v>0.1</v>
      </c>
      <c r="CT123" s="14">
        <f t="shared" si="740"/>
        <v>0.1</v>
      </c>
      <c r="CU123" s="14">
        <f t="shared" si="740"/>
        <v>0.1</v>
      </c>
      <c r="CV123" s="14">
        <f t="shared" si="740"/>
        <v>0.1</v>
      </c>
      <c r="CW123" s="14">
        <f t="shared" si="740"/>
        <v>0.1</v>
      </c>
      <c r="CX123" s="14">
        <f t="shared" si="740"/>
        <v>0.1</v>
      </c>
      <c r="CY123" s="14">
        <f t="shared" si="740"/>
        <v>0.1</v>
      </c>
      <c r="CZ123" s="14">
        <f t="shared" si="740"/>
        <v>0.10000000000000002</v>
      </c>
      <c r="DA123" s="14">
        <f t="shared" si="740"/>
        <v>0.1</v>
      </c>
      <c r="DB123" s="14">
        <f t="shared" si="740"/>
        <v>0.14993075649560192</v>
      </c>
      <c r="DC123" s="14">
        <f t="shared" si="740"/>
        <v>0.14993075649560192</v>
      </c>
      <c r="DD123" s="14">
        <f t="shared" si="740"/>
        <v>0.14993075649560192</v>
      </c>
      <c r="DE123" s="14">
        <f t="shared" si="740"/>
        <v>0.14993075649560192</v>
      </c>
      <c r="DF123" s="14">
        <f t="shared" si="740"/>
        <v>0.14993075649560192</v>
      </c>
      <c r="DG123" s="14">
        <f t="shared" si="740"/>
        <v>0.14993075649560192</v>
      </c>
      <c r="DH123" s="14">
        <f t="shared" si="740"/>
        <v>0.14993075649560192</v>
      </c>
      <c r="DI123" s="14">
        <f t="shared" si="740"/>
        <v>0.14993075649560192</v>
      </c>
      <c r="DJ123" s="14">
        <f t="shared" si="740"/>
        <v>0.14993075649560192</v>
      </c>
      <c r="DK123" s="14">
        <f t="shared" si="740"/>
        <v>0.14993075649560189</v>
      </c>
      <c r="DL123" s="14">
        <f t="shared" si="740"/>
        <v>0.14993075649560189</v>
      </c>
      <c r="DM123" s="14">
        <f t="shared" si="740"/>
        <v>0.14993075649560189</v>
      </c>
      <c r="DN123" s="14">
        <f t="shared" si="740"/>
        <v>0</v>
      </c>
      <c r="DO123" s="14">
        <f t="shared" si="740"/>
        <v>0</v>
      </c>
      <c r="DP123" s="14">
        <f t="shared" si="740"/>
        <v>0</v>
      </c>
      <c r="DQ123" s="14"/>
      <c r="DR123" s="14"/>
      <c r="DS123" s="14"/>
      <c r="DT123" s="14"/>
      <c r="DU123" s="14"/>
      <c r="DV123" s="14"/>
      <c r="DW123" s="14"/>
      <c r="DX123" s="14"/>
      <c r="DY123" s="14"/>
      <c r="DZ123" s="14"/>
      <c r="EA123" s="14">
        <f>EA81/EA80</f>
        <v>0.1</v>
      </c>
      <c r="EB123" s="14">
        <f>EB81/EB80</f>
        <v>0.14993075649560189</v>
      </c>
      <c r="EC123" s="14"/>
      <c r="ED123" s="429"/>
      <c r="EE123" s="14">
        <f>EE81/EE80</f>
        <v>0</v>
      </c>
      <c r="EF123" s="14">
        <f>EF81/EF80</f>
        <v>0</v>
      </c>
      <c r="EG123" s="14">
        <f>EG81/EG80</f>
        <v>0.14993075649560189</v>
      </c>
      <c r="EK123" s="24"/>
      <c r="EL123" s="47"/>
      <c r="EM123" s="47"/>
      <c r="EN123" s="47"/>
    </row>
    <row r="124" spans="1:149">
      <c r="A124" s="6" t="s">
        <v>23</v>
      </c>
      <c r="B124" s="2" t="s">
        <v>28</v>
      </c>
      <c r="C124" s="3" t="s">
        <v>78</v>
      </c>
      <c r="E124" s="3" t="str">
        <f>C86</f>
        <v>BColCash</v>
      </c>
      <c r="F124" s="4" t="s">
        <v>31</v>
      </c>
      <c r="G124" s="28" t="str">
        <f>C87</f>
        <v>BFSFunds</v>
      </c>
      <c r="H124" s="28"/>
      <c r="I124" s="28"/>
      <c r="J124" s="62" t="str">
        <f t="shared" ref="J124:AJ124" si="741">IF(J87&lt;&gt;0,J86/J87,"")</f>
        <v/>
      </c>
      <c r="K124" s="62" t="str">
        <f t="shared" si="741"/>
        <v/>
      </c>
      <c r="L124" s="62">
        <f t="shared" si="741"/>
        <v>0.5</v>
      </c>
      <c r="M124" s="62">
        <f t="shared" si="741"/>
        <v>0.5</v>
      </c>
      <c r="N124" s="62">
        <f t="shared" si="741"/>
        <v>0.5</v>
      </c>
      <c r="O124" s="62">
        <f t="shared" si="741"/>
        <v>0.5</v>
      </c>
      <c r="P124" s="62">
        <f t="shared" si="741"/>
        <v>0.5</v>
      </c>
      <c r="Q124" s="62">
        <f t="shared" si="741"/>
        <v>0.5</v>
      </c>
      <c r="R124" s="62">
        <f t="shared" si="741"/>
        <v>0.5</v>
      </c>
      <c r="S124" s="62">
        <f t="shared" si="741"/>
        <v>0.5</v>
      </c>
      <c r="T124" s="62">
        <f t="shared" si="741"/>
        <v>0.5</v>
      </c>
      <c r="U124" s="62">
        <f t="shared" si="741"/>
        <v>0.5</v>
      </c>
      <c r="V124" s="62" t="str">
        <f t="shared" si="741"/>
        <v/>
      </c>
      <c r="W124" s="62" t="str">
        <f t="shared" si="741"/>
        <v/>
      </c>
      <c r="X124" s="62" t="str">
        <f t="shared" si="741"/>
        <v/>
      </c>
      <c r="Y124" s="62" t="str">
        <f t="shared" si="741"/>
        <v/>
      </c>
      <c r="Z124" s="62" t="str">
        <f t="shared" si="741"/>
        <v/>
      </c>
      <c r="AA124" s="62">
        <f t="shared" si="741"/>
        <v>0.7234814814814815</v>
      </c>
      <c r="AB124" s="62">
        <f t="shared" si="741"/>
        <v>0.7234814814814815</v>
      </c>
      <c r="AC124" s="62">
        <f t="shared" si="741"/>
        <v>0.7234814814814815</v>
      </c>
      <c r="AD124" s="62">
        <f t="shared" si="741"/>
        <v>0.7234814814814815</v>
      </c>
      <c r="AE124" s="62">
        <f t="shared" si="741"/>
        <v>0.7234814814814815</v>
      </c>
      <c r="AF124" s="62">
        <f t="shared" si="741"/>
        <v>0.7234814814814815</v>
      </c>
      <c r="AG124" s="62">
        <f t="shared" si="741"/>
        <v>0.7234814814814815</v>
      </c>
      <c r="AH124" s="62" t="str">
        <f t="shared" si="741"/>
        <v/>
      </c>
      <c r="AI124" s="62" t="str">
        <f t="shared" ref="AI124" si="742">IF(AI87&lt;&gt;0,AI86/AI87,"")</f>
        <v/>
      </c>
      <c r="AJ124" s="62" t="str">
        <f t="shared" si="741"/>
        <v/>
      </c>
      <c r="AK124" s="412"/>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412"/>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412"/>
      <c r="CP124" s="14" t="str">
        <f t="shared" ref="CP124:DP124" si="743">IF(CP87&lt;&gt;0,CP86/CP87,"")</f>
        <v/>
      </c>
      <c r="CQ124" s="14" t="str">
        <f t="shared" si="743"/>
        <v/>
      </c>
      <c r="CR124" s="14">
        <f t="shared" si="743"/>
        <v>0.5</v>
      </c>
      <c r="CS124" s="14">
        <f t="shared" si="743"/>
        <v>0.5</v>
      </c>
      <c r="CT124" s="14">
        <f t="shared" si="743"/>
        <v>0.5</v>
      </c>
      <c r="CU124" s="14">
        <f t="shared" si="743"/>
        <v>0.5</v>
      </c>
      <c r="CV124" s="14">
        <f t="shared" si="743"/>
        <v>0.5</v>
      </c>
      <c r="CW124" s="14">
        <f t="shared" si="743"/>
        <v>0.5</v>
      </c>
      <c r="CX124" s="14">
        <f t="shared" si="743"/>
        <v>0.5</v>
      </c>
      <c r="CY124" s="14">
        <f t="shared" si="743"/>
        <v>0.5</v>
      </c>
      <c r="CZ124" s="14">
        <f t="shared" si="743"/>
        <v>0.5</v>
      </c>
      <c r="DA124" s="14">
        <f t="shared" si="743"/>
        <v>0.5</v>
      </c>
      <c r="DB124" s="14" t="str">
        <f t="shared" si="743"/>
        <v/>
      </c>
      <c r="DC124" s="14" t="str">
        <f t="shared" si="743"/>
        <v/>
      </c>
      <c r="DD124" s="14" t="str">
        <f t="shared" si="743"/>
        <v/>
      </c>
      <c r="DE124" s="14" t="str">
        <f t="shared" si="743"/>
        <v/>
      </c>
      <c r="DF124" s="14" t="str">
        <f t="shared" si="743"/>
        <v/>
      </c>
      <c r="DG124" s="14">
        <f t="shared" si="743"/>
        <v>0.7234814814814815</v>
      </c>
      <c r="DH124" s="14">
        <f t="shared" si="743"/>
        <v>0.7234814814814815</v>
      </c>
      <c r="DI124" s="14">
        <f t="shared" si="743"/>
        <v>0.7234814814814815</v>
      </c>
      <c r="DJ124" s="14">
        <f t="shared" si="743"/>
        <v>0.7234814814814815</v>
      </c>
      <c r="DK124" s="14">
        <f t="shared" si="743"/>
        <v>0.7234814814814815</v>
      </c>
      <c r="DL124" s="14">
        <f t="shared" si="743"/>
        <v>0.7234814814814815</v>
      </c>
      <c r="DM124" s="14">
        <f t="shared" si="743"/>
        <v>0.7234814814814815</v>
      </c>
      <c r="DN124" s="14" t="str">
        <f t="shared" si="743"/>
        <v/>
      </c>
      <c r="DO124" s="14" t="str">
        <f t="shared" si="743"/>
        <v/>
      </c>
      <c r="DP124" s="14" t="str">
        <f t="shared" si="743"/>
        <v/>
      </c>
      <c r="DQ124" s="14"/>
      <c r="DR124" s="14"/>
      <c r="DS124" s="14"/>
      <c r="DT124" s="14"/>
      <c r="DU124" s="14"/>
      <c r="DV124" s="14"/>
      <c r="DW124" s="14"/>
      <c r="DX124" s="14"/>
      <c r="DY124" s="14"/>
      <c r="DZ124" s="14"/>
      <c r="EA124" s="14">
        <f>IF(EA87&lt;&gt;0,EA86/EA87,"")</f>
        <v>0.5</v>
      </c>
      <c r="EB124" s="14">
        <f>IF(EB87&lt;&gt;0,EB86/EB87,"")</f>
        <v>0.7234814814814815</v>
      </c>
      <c r="EC124" s="14"/>
      <c r="ED124" s="429"/>
      <c r="EE124" s="14"/>
      <c r="EF124" s="14"/>
      <c r="EG124" s="14">
        <f>IF(EG87&lt;&gt;0,EG86/EG87,"")</f>
        <v>0.5048209028459274</v>
      </c>
      <c r="EK124" s="24"/>
      <c r="EL124" s="65"/>
      <c r="EM124" s="65"/>
      <c r="EN124" s="47"/>
    </row>
    <row r="125" spans="1:149">
      <c r="A125" s="6" t="s">
        <v>29</v>
      </c>
      <c r="G125" s="28"/>
      <c r="H125" s="28"/>
      <c r="I125" s="28"/>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ED125" s="429"/>
      <c r="EE125" s="23"/>
      <c r="EF125" s="23"/>
      <c r="EG125" s="23"/>
      <c r="EH125" s="25"/>
      <c r="EI125" s="25"/>
      <c r="EJ125" s="25"/>
      <c r="EK125" s="23"/>
    </row>
    <row r="126" spans="1:149">
      <c r="A126" s="6" t="s">
        <v>23</v>
      </c>
      <c r="B126" s="2" t="s">
        <v>24</v>
      </c>
      <c r="C126" s="3" t="s">
        <v>83</v>
      </c>
      <c r="E126" s="4" t="str">
        <f>C99</f>
        <v>AInBusNew</v>
      </c>
      <c r="F126" s="4" t="s">
        <v>31</v>
      </c>
      <c r="G126" s="28" t="str">
        <f>C98</f>
        <v>AAllNew</v>
      </c>
      <c r="H126" s="28"/>
      <c r="I126" s="28"/>
      <c r="J126" s="62">
        <f t="shared" ref="J126:AJ126" si="744">IF(J98&lt;&gt;0,J99/J98,"")</f>
        <v>0.33333333333333331</v>
      </c>
      <c r="K126" s="62">
        <f t="shared" si="744"/>
        <v>0.375</v>
      </c>
      <c r="L126" s="62">
        <f t="shared" si="744"/>
        <v>0.33333333333333331</v>
      </c>
      <c r="M126" s="62">
        <f t="shared" si="744"/>
        <v>0.45945945945945948</v>
      </c>
      <c r="N126" s="62">
        <f t="shared" si="744"/>
        <v>0.45652173913043476</v>
      </c>
      <c r="O126" s="62">
        <f t="shared" si="744"/>
        <v>0.46</v>
      </c>
      <c r="P126" s="62">
        <f t="shared" si="744"/>
        <v>0.43103448275862066</v>
      </c>
      <c r="Q126" s="62">
        <f t="shared" si="744"/>
        <v>0.48</v>
      </c>
      <c r="R126" s="62">
        <f t="shared" si="744"/>
        <v>0.47126436781609193</v>
      </c>
      <c r="S126" s="62">
        <f t="shared" si="744"/>
        <v>0.44</v>
      </c>
      <c r="T126" s="62">
        <f t="shared" si="744"/>
        <v>0.47787610619469029</v>
      </c>
      <c r="U126" s="62">
        <f t="shared" si="744"/>
        <v>0.49193548387096775</v>
      </c>
      <c r="V126" s="62">
        <f t="shared" si="744"/>
        <v>0.61538461538461542</v>
      </c>
      <c r="W126" s="62">
        <f t="shared" si="744"/>
        <v>0.47826086956521741</v>
      </c>
      <c r="X126" s="62">
        <f t="shared" si="744"/>
        <v>0.3783783783783784</v>
      </c>
      <c r="Y126" s="62">
        <f t="shared" si="744"/>
        <v>0.33962264150943394</v>
      </c>
      <c r="Z126" s="62">
        <f t="shared" si="744"/>
        <v>0.3559322033898305</v>
      </c>
      <c r="AA126" s="62">
        <f t="shared" si="744"/>
        <v>0.375</v>
      </c>
      <c r="AB126" s="62">
        <f t="shared" si="744"/>
        <v>0.3783783783783784</v>
      </c>
      <c r="AC126" s="62">
        <f t="shared" si="744"/>
        <v>0.40909090909090912</v>
      </c>
      <c r="AD126" s="62">
        <f t="shared" si="744"/>
        <v>0.43396226415094341</v>
      </c>
      <c r="AE126" s="62">
        <f t="shared" si="744"/>
        <v>0.44067796610169491</v>
      </c>
      <c r="AF126" s="62">
        <f t="shared" si="744"/>
        <v>0.42857142857142855</v>
      </c>
      <c r="AG126" s="62">
        <f t="shared" si="744"/>
        <v>0.44366197183098594</v>
      </c>
      <c r="AH126" s="62">
        <f t="shared" si="744"/>
        <v>0.75</v>
      </c>
      <c r="AI126" s="62">
        <f t="shared" ref="AI126" si="745">IF(AI98&lt;&gt;0,AI99/AI98,"")</f>
        <v>0.47058823529411764</v>
      </c>
      <c r="AJ126" s="62" t="str">
        <f t="shared" si="744"/>
        <v/>
      </c>
      <c r="AK126" s="412"/>
      <c r="AL126" s="14">
        <f t="shared" ref="AL126:BL126" si="746">IF(AL98&lt;&gt;0,AL99/AL98,"")</f>
        <v>0.33333333333333331</v>
      </c>
      <c r="AM126" s="14">
        <f t="shared" si="746"/>
        <v>0.4</v>
      </c>
      <c r="AN126" s="14">
        <f t="shared" si="746"/>
        <v>0.2</v>
      </c>
      <c r="AO126" s="14">
        <f t="shared" si="746"/>
        <v>0.625</v>
      </c>
      <c r="AP126" s="14">
        <f t="shared" si="746"/>
        <v>0.44444444444444442</v>
      </c>
      <c r="AQ126" s="14">
        <f t="shared" si="746"/>
        <v>0.5</v>
      </c>
      <c r="AR126" s="14">
        <f t="shared" si="746"/>
        <v>0.25</v>
      </c>
      <c r="AS126" s="14">
        <f t="shared" si="746"/>
        <v>0.6470588235294118</v>
      </c>
      <c r="AT126" s="14">
        <f t="shared" si="746"/>
        <v>0.41666666666666669</v>
      </c>
      <c r="AU126" s="14">
        <f t="shared" si="746"/>
        <v>0.23076923076923078</v>
      </c>
      <c r="AV126" s="14">
        <f t="shared" si="746"/>
        <v>0.76923076923076927</v>
      </c>
      <c r="AW126" s="14">
        <f t="shared" si="746"/>
        <v>0.63636363636363635</v>
      </c>
      <c r="AX126" s="14">
        <f t="shared" si="746"/>
        <v>0.61538461538461542</v>
      </c>
      <c r="AY126" s="14">
        <f t="shared" si="746"/>
        <v>0.3</v>
      </c>
      <c r="AZ126" s="14">
        <f t="shared" si="746"/>
        <v>0.21428571428571427</v>
      </c>
      <c r="BA126" s="14">
        <f t="shared" si="746"/>
        <v>0.25</v>
      </c>
      <c r="BB126" s="14">
        <f t="shared" si="746"/>
        <v>0.5</v>
      </c>
      <c r="BC126" s="14">
        <f t="shared" si="746"/>
        <v>0.6</v>
      </c>
      <c r="BD126" s="14">
        <f t="shared" si="746"/>
        <v>0.4</v>
      </c>
      <c r="BE126" s="14">
        <f t="shared" si="746"/>
        <v>0.5714285714285714</v>
      </c>
      <c r="BF126" s="14">
        <f t="shared" si="746"/>
        <v>0.55555555555555558</v>
      </c>
      <c r="BG126" s="14">
        <f t="shared" si="746"/>
        <v>0.5</v>
      </c>
      <c r="BH126" s="14">
        <f t="shared" si="746"/>
        <v>0.33333333333333331</v>
      </c>
      <c r="BI126" s="14">
        <f t="shared" si="746"/>
        <v>0.66666666666666663</v>
      </c>
      <c r="BJ126" s="14">
        <f t="shared" si="746"/>
        <v>0.75</v>
      </c>
      <c r="BK126" s="14">
        <f t="shared" si="746"/>
        <v>0.38461538461538464</v>
      </c>
      <c r="BL126" s="14" t="str">
        <f t="shared" si="746"/>
        <v/>
      </c>
      <c r="BM126" s="412"/>
      <c r="BN126" s="14">
        <f t="shared" ref="BN126:CN126" si="747">IF(BN98&lt;&gt;0,BN99/BN98,"")</f>
        <v>0.33333333333333331</v>
      </c>
      <c r="BO126" s="14">
        <f t="shared" si="747"/>
        <v>0.33333333333333331</v>
      </c>
      <c r="BP126" s="14">
        <f t="shared" si="747"/>
        <v>0.33333333333333331</v>
      </c>
      <c r="BQ126" s="14">
        <f t="shared" si="747"/>
        <v>0.55172413793103448</v>
      </c>
      <c r="BR126" s="14">
        <f t="shared" si="747"/>
        <v>0.55172413793103448</v>
      </c>
      <c r="BS126" s="14">
        <f t="shared" si="747"/>
        <v>0.55172413793103448</v>
      </c>
      <c r="BT126" s="14">
        <f t="shared" si="747"/>
        <v>0.48648648648648651</v>
      </c>
      <c r="BU126" s="14">
        <f t="shared" si="747"/>
        <v>0.48648648648648651</v>
      </c>
      <c r="BV126" s="14">
        <f t="shared" si="747"/>
        <v>0.48648648648648651</v>
      </c>
      <c r="BW126" s="14">
        <f t="shared" si="747"/>
        <v>0.54054054054054057</v>
      </c>
      <c r="BX126" s="14">
        <f t="shared" si="747"/>
        <v>0.54054054054054057</v>
      </c>
      <c r="BY126" s="14">
        <f t="shared" si="747"/>
        <v>0.54054054054054057</v>
      </c>
      <c r="BZ126" s="14">
        <f t="shared" si="747"/>
        <v>0.3783783783783784</v>
      </c>
      <c r="CA126" s="14">
        <f t="shared" si="747"/>
        <v>0.3783783783783784</v>
      </c>
      <c r="CB126" s="14">
        <f t="shared" si="747"/>
        <v>0.3783783783783784</v>
      </c>
      <c r="CC126" s="14">
        <f t="shared" si="747"/>
        <v>0.37037037037037035</v>
      </c>
      <c r="CD126" s="14">
        <f t="shared" si="747"/>
        <v>0.37037037037037035</v>
      </c>
      <c r="CE126" s="14">
        <f t="shared" si="747"/>
        <v>0.37037037037037035</v>
      </c>
      <c r="CF126" s="14">
        <f t="shared" si="747"/>
        <v>0.52380952380952384</v>
      </c>
      <c r="CG126" s="14">
        <f t="shared" si="747"/>
        <v>0.52380952380952384</v>
      </c>
      <c r="CH126" s="14">
        <f t="shared" si="747"/>
        <v>0.52380952380952384</v>
      </c>
      <c r="CI126" s="14">
        <f t="shared" si="747"/>
        <v>0.47222222222222221</v>
      </c>
      <c r="CJ126" s="14">
        <f t="shared" si="747"/>
        <v>0.47222222222222221</v>
      </c>
      <c r="CK126" s="14">
        <f t="shared" si="747"/>
        <v>0.47222222222222221</v>
      </c>
      <c r="CL126" s="14">
        <f t="shared" si="747"/>
        <v>0.47058823529411764</v>
      </c>
      <c r="CM126" s="14">
        <f t="shared" si="747"/>
        <v>0.47058823529411764</v>
      </c>
      <c r="CN126" s="14">
        <f t="shared" si="747"/>
        <v>0.47058823529411764</v>
      </c>
      <c r="CO126" s="412"/>
      <c r="CP126" s="14">
        <f t="shared" ref="CP126:DP126" si="748">IF(CP98&lt;&gt;0,CP99/CP98,"")</f>
        <v>0.33333333333333331</v>
      </c>
      <c r="CQ126" s="14">
        <f t="shared" si="748"/>
        <v>0.375</v>
      </c>
      <c r="CR126" s="14">
        <f t="shared" si="748"/>
        <v>0.33333333333333331</v>
      </c>
      <c r="CS126" s="14">
        <f t="shared" si="748"/>
        <v>0.45945945945945948</v>
      </c>
      <c r="CT126" s="14">
        <f t="shared" si="748"/>
        <v>0.45652173913043476</v>
      </c>
      <c r="CU126" s="14">
        <f t="shared" si="748"/>
        <v>0.46</v>
      </c>
      <c r="CV126" s="14">
        <f t="shared" si="748"/>
        <v>0.43103448275862066</v>
      </c>
      <c r="CW126" s="14">
        <f t="shared" si="748"/>
        <v>0.48</v>
      </c>
      <c r="CX126" s="14">
        <f t="shared" si="748"/>
        <v>0.47126436781609193</v>
      </c>
      <c r="CY126" s="14">
        <f t="shared" si="748"/>
        <v>0.44</v>
      </c>
      <c r="CZ126" s="14">
        <f t="shared" si="748"/>
        <v>0.47787610619469029</v>
      </c>
      <c r="DA126" s="14">
        <f t="shared" si="748"/>
        <v>0.49193548387096775</v>
      </c>
      <c r="DB126" s="14">
        <f t="shared" si="748"/>
        <v>0.61538461538461542</v>
      </c>
      <c r="DC126" s="14">
        <f t="shared" si="748"/>
        <v>0.47826086956521741</v>
      </c>
      <c r="DD126" s="14">
        <f t="shared" si="748"/>
        <v>0.3783783783783784</v>
      </c>
      <c r="DE126" s="14">
        <f t="shared" si="748"/>
        <v>0.33962264150943394</v>
      </c>
      <c r="DF126" s="14">
        <f t="shared" si="748"/>
        <v>0.3559322033898305</v>
      </c>
      <c r="DG126" s="14">
        <f t="shared" si="748"/>
        <v>0.375</v>
      </c>
      <c r="DH126" s="14">
        <f t="shared" si="748"/>
        <v>0.3783783783783784</v>
      </c>
      <c r="DI126" s="14">
        <f t="shared" si="748"/>
        <v>0.40909090909090912</v>
      </c>
      <c r="DJ126" s="14">
        <f t="shared" si="748"/>
        <v>0.43396226415094341</v>
      </c>
      <c r="DK126" s="14">
        <f t="shared" si="748"/>
        <v>0.44067796610169491</v>
      </c>
      <c r="DL126" s="14">
        <f t="shared" si="748"/>
        <v>0.42857142857142855</v>
      </c>
      <c r="DM126" s="14">
        <f t="shared" si="748"/>
        <v>0.44366197183098594</v>
      </c>
      <c r="DN126" s="14">
        <f t="shared" si="748"/>
        <v>0.75</v>
      </c>
      <c r="DO126" s="14">
        <f t="shared" si="748"/>
        <v>0.47058823529411764</v>
      </c>
      <c r="DP126" s="14" t="str">
        <f t="shared" si="748"/>
        <v/>
      </c>
      <c r="DQ126" s="14"/>
      <c r="DR126" s="14"/>
      <c r="DS126" s="14"/>
      <c r="DT126" s="14"/>
      <c r="DU126" s="14"/>
      <c r="DV126" s="14"/>
      <c r="DW126" s="14"/>
      <c r="DX126" s="14"/>
      <c r="DY126" s="14"/>
      <c r="ED126" s="429"/>
      <c r="EE126" s="23"/>
      <c r="EF126" s="23"/>
      <c r="EG126" s="23"/>
      <c r="EH126" s="14">
        <f>IF(EH98&lt;&gt;0,EH99/EH98,"")</f>
        <v>0.38461538461538464</v>
      </c>
      <c r="EI126" s="14">
        <f>IF(EI98&lt;&gt;0,EI99/EI98,"")</f>
        <v>0.47058823529411764</v>
      </c>
      <c r="EJ126" s="14">
        <f>IF(EJ98&lt;&gt;0,EJ99/EJ98,"")</f>
        <v>0.47058823529411764</v>
      </c>
      <c r="EK126" s="24"/>
      <c r="EL126" s="47">
        <f t="shared" ref="EL126:EN130" si="749">+EH126-EE119</f>
        <v>-0.10538461538461535</v>
      </c>
      <c r="EM126" s="47">
        <f t="shared" si="749"/>
        <v>-2.0320855614973266E-2</v>
      </c>
      <c r="EN126" s="47">
        <f t="shared" si="749"/>
        <v>-1.9411764705882351E-2</v>
      </c>
      <c r="EO126" s="46" t="str">
        <f t="shared" ref="EO126:EP130" si="750">IF(EH126&lt;0,,IF(EH126&lt;EE119,"È",IF(EH126=EE119,"Æ","Ç")))</f>
        <v>È</v>
      </c>
      <c r="EP126" s="46" t="str">
        <f t="shared" si="750"/>
        <v>È</v>
      </c>
      <c r="EQ126" s="2">
        <f t="shared" ref="EQ126:ES130" si="751">IF(EH126/EE119&gt;=0.9,1,IF(EH126/EE119&lt;0.75,3,2))</f>
        <v>2</v>
      </c>
      <c r="ER126" s="2">
        <f t="shared" si="751"/>
        <v>1</v>
      </c>
      <c r="ES126" s="2">
        <f t="shared" si="751"/>
        <v>1</v>
      </c>
    </row>
    <row r="127" spans="1:149">
      <c r="A127" s="6" t="s">
        <v>23</v>
      </c>
      <c r="B127" s="2" t="s">
        <v>25</v>
      </c>
      <c r="C127" s="3" t="s">
        <v>79</v>
      </c>
      <c r="E127" s="4" t="str">
        <f>C114</f>
        <v>ASEE</v>
      </c>
      <c r="F127" s="4" t="s">
        <v>31</v>
      </c>
      <c r="G127" s="28" t="str">
        <f>C113</f>
        <v>ASUniq</v>
      </c>
      <c r="H127" s="28"/>
      <c r="I127" s="28"/>
      <c r="J127" s="62">
        <f>IF(J113&lt;&gt;0,J114/J113,"")</f>
        <v>0.13333333333333333</v>
      </c>
      <c r="K127" s="62">
        <f>IF(K113&lt;&gt;0,K114/K113,"")</f>
        <v>0.11764705882352941</v>
      </c>
      <c r="L127" s="62">
        <f>IF(L113&lt;&gt;0,L114/L113,"")</f>
        <v>0</v>
      </c>
      <c r="M127" s="62">
        <f>IF(M113&lt;&gt;0,M114/M113,"")</f>
        <v>0.05</v>
      </c>
      <c r="N127" s="62">
        <f>IF(N113&lt;&gt;0,N114/N113,"")</f>
        <v>0</v>
      </c>
      <c r="O127" s="62">
        <f>IF(O113&lt;&gt;"",O114/O113,"")</f>
        <v>0.125</v>
      </c>
      <c r="P127" s="62">
        <f t="shared" ref="P127:AJ127" si="752">IF(P113&lt;&gt;"",P114/P113,"")</f>
        <v>0</v>
      </c>
      <c r="Q127" s="62">
        <f t="shared" si="752"/>
        <v>5.2631578947368418E-2</v>
      </c>
      <c r="R127" s="62">
        <f t="shared" si="752"/>
        <v>7.1428571428571425E-2</v>
      </c>
      <c r="S127" s="62">
        <f t="shared" si="752"/>
        <v>0.3125</v>
      </c>
      <c r="T127" s="62">
        <f t="shared" si="752"/>
        <v>0</v>
      </c>
      <c r="U127" s="62">
        <f t="shared" si="752"/>
        <v>8.3333333333333329E-2</v>
      </c>
      <c r="V127" s="62">
        <f t="shared" si="752"/>
        <v>0.21428571428571427</v>
      </c>
      <c r="W127" s="62">
        <f t="shared" si="752"/>
        <v>5.5555555555555552E-2</v>
      </c>
      <c r="X127" s="62">
        <f t="shared" si="752"/>
        <v>0</v>
      </c>
      <c r="Y127" s="62">
        <f t="shared" si="752"/>
        <v>0.16</v>
      </c>
      <c r="Z127" s="62">
        <f t="shared" si="752"/>
        <v>0.22222222222222221</v>
      </c>
      <c r="AA127" s="62">
        <f t="shared" si="752"/>
        <v>0.16666666666666666</v>
      </c>
      <c r="AB127" s="62">
        <f t="shared" si="752"/>
        <v>6.6666666666666666E-2</v>
      </c>
      <c r="AC127" s="62">
        <f t="shared" si="752"/>
        <v>0.17647058823529413</v>
      </c>
      <c r="AD127" s="62">
        <f t="shared" si="752"/>
        <v>0.31818181818181818</v>
      </c>
      <c r="AE127" s="62">
        <f t="shared" si="752"/>
        <v>0.14285714285714285</v>
      </c>
      <c r="AF127" s="62">
        <f t="shared" si="752"/>
        <v>6.6666666666666666E-2</v>
      </c>
      <c r="AG127" s="62">
        <f t="shared" si="752"/>
        <v>0.1111111111111111</v>
      </c>
      <c r="AH127" s="62">
        <f t="shared" si="752"/>
        <v>0.16666666666666666</v>
      </c>
      <c r="AI127" s="62">
        <f t="shared" ref="AI127" si="753">IF(AI113&lt;&gt;"",AI114/AI113,"")</f>
        <v>5.8823529411764705E-2</v>
      </c>
      <c r="AJ127" s="62" t="str">
        <f t="shared" si="752"/>
        <v/>
      </c>
      <c r="AK127" s="412"/>
      <c r="AL127" s="14">
        <f t="shared" ref="AL127:BL127" si="754">IF(AL113&lt;&gt;0,AL114/AL113,"")</f>
        <v>0.13333333333333333</v>
      </c>
      <c r="AM127" s="14">
        <f t="shared" si="754"/>
        <v>0.11764705882352941</v>
      </c>
      <c r="AN127" s="14">
        <f t="shared" si="754"/>
        <v>0</v>
      </c>
      <c r="AO127" s="14">
        <f t="shared" si="754"/>
        <v>0.05</v>
      </c>
      <c r="AP127" s="14">
        <f t="shared" si="754"/>
        <v>0</v>
      </c>
      <c r="AQ127" s="14">
        <f t="shared" si="754"/>
        <v>0.125</v>
      </c>
      <c r="AR127" s="14">
        <f t="shared" si="754"/>
        <v>0</v>
      </c>
      <c r="AS127" s="14">
        <f t="shared" si="754"/>
        <v>5.2631578947368418E-2</v>
      </c>
      <c r="AT127" s="14">
        <f t="shared" si="754"/>
        <v>7.1428571428571425E-2</v>
      </c>
      <c r="AU127" s="14">
        <f t="shared" si="754"/>
        <v>0.3125</v>
      </c>
      <c r="AV127" s="14">
        <f t="shared" si="754"/>
        <v>0</v>
      </c>
      <c r="AW127" s="14">
        <f t="shared" si="754"/>
        <v>8.3333333333333329E-2</v>
      </c>
      <c r="AX127" s="14">
        <f t="shared" si="754"/>
        <v>0.21428571428571427</v>
      </c>
      <c r="AY127" s="14">
        <f t="shared" si="754"/>
        <v>5.5555555555555552E-2</v>
      </c>
      <c r="AZ127" s="14">
        <f t="shared" si="754"/>
        <v>0</v>
      </c>
      <c r="BA127" s="14">
        <f t="shared" si="754"/>
        <v>0.16</v>
      </c>
      <c r="BB127" s="14">
        <f t="shared" si="754"/>
        <v>0.22222222222222221</v>
      </c>
      <c r="BC127" s="14">
        <f t="shared" si="754"/>
        <v>0.16666666666666666</v>
      </c>
      <c r="BD127" s="14">
        <f t="shared" si="754"/>
        <v>6.6666666666666666E-2</v>
      </c>
      <c r="BE127" s="14">
        <f t="shared" si="754"/>
        <v>0.17647058823529413</v>
      </c>
      <c r="BF127" s="14">
        <f t="shared" si="754"/>
        <v>0.31818181818181818</v>
      </c>
      <c r="BG127" s="14">
        <f t="shared" si="754"/>
        <v>0.14285714285714285</v>
      </c>
      <c r="BH127" s="14">
        <f t="shared" si="754"/>
        <v>6.6666666666666666E-2</v>
      </c>
      <c r="BI127" s="14">
        <f t="shared" si="754"/>
        <v>0.1111111111111111</v>
      </c>
      <c r="BJ127" s="14">
        <f t="shared" si="754"/>
        <v>0.16666666666666666</v>
      </c>
      <c r="BK127" s="14">
        <f t="shared" si="754"/>
        <v>5.8823529411764705E-2</v>
      </c>
      <c r="BL127" s="14" t="e">
        <f t="shared" si="754"/>
        <v>#VALUE!</v>
      </c>
      <c r="BM127" s="412"/>
      <c r="BN127" s="14">
        <f t="shared" ref="BN127:CN127" si="755">IF(BN113&lt;&gt;0,BN114/BN113,"")</f>
        <v>0.13333333333333333</v>
      </c>
      <c r="BO127" s="14">
        <f t="shared" si="755"/>
        <v>0.125</v>
      </c>
      <c r="BP127" s="14">
        <f t="shared" si="755"/>
        <v>0.10526315789473684</v>
      </c>
      <c r="BQ127" s="14">
        <f t="shared" si="755"/>
        <v>0.05</v>
      </c>
      <c r="BR127" s="14">
        <f t="shared" si="755"/>
        <v>3.4482758620689655E-2</v>
      </c>
      <c r="BS127" s="14">
        <f t="shared" si="755"/>
        <v>5.4054054054054057E-2</v>
      </c>
      <c r="BT127" s="14">
        <f t="shared" si="755"/>
        <v>0</v>
      </c>
      <c r="BU127" s="14">
        <f t="shared" si="755"/>
        <v>3.3333333333333333E-2</v>
      </c>
      <c r="BV127" s="14">
        <f t="shared" si="755"/>
        <v>4.5454545454545456E-2</v>
      </c>
      <c r="BW127" s="14">
        <f t="shared" si="755"/>
        <v>0.3125</v>
      </c>
      <c r="BX127" s="14">
        <f t="shared" si="755"/>
        <v>0.16666666666666666</v>
      </c>
      <c r="BY127" s="14">
        <f t="shared" si="755"/>
        <v>0.14285714285714285</v>
      </c>
      <c r="BZ127" s="14">
        <f t="shared" si="755"/>
        <v>0.21428571428571427</v>
      </c>
      <c r="CA127" s="14">
        <f t="shared" si="755"/>
        <v>0.125</v>
      </c>
      <c r="CB127" s="14">
        <f t="shared" si="755"/>
        <v>0.08</v>
      </c>
      <c r="CC127" s="14">
        <f t="shared" si="755"/>
        <v>0.16</v>
      </c>
      <c r="CD127" s="14">
        <f t="shared" si="755"/>
        <v>0.17647058823529413</v>
      </c>
      <c r="CE127" s="14">
        <f t="shared" si="755"/>
        <v>0.17499999999999999</v>
      </c>
      <c r="CF127" s="14">
        <f t="shared" si="755"/>
        <v>6.6666666666666666E-2</v>
      </c>
      <c r="CG127" s="14">
        <f t="shared" si="755"/>
        <v>0.125</v>
      </c>
      <c r="CH127" s="14">
        <f t="shared" si="755"/>
        <v>0.20370370370370369</v>
      </c>
      <c r="CI127" s="14">
        <f t="shared" si="755"/>
        <v>0.14285714285714285</v>
      </c>
      <c r="CJ127" s="14">
        <f t="shared" si="755"/>
        <v>0.10344827586206896</v>
      </c>
      <c r="CK127" s="14">
        <f t="shared" si="755"/>
        <v>0.10526315789473684</v>
      </c>
      <c r="CL127" s="14">
        <f t="shared" si="755"/>
        <v>0.16666666666666666</v>
      </c>
      <c r="CM127" s="14">
        <f t="shared" si="755"/>
        <v>0.11428571428571428</v>
      </c>
      <c r="CN127" s="14" t="e">
        <f t="shared" si="755"/>
        <v>#VALUE!</v>
      </c>
      <c r="CO127" s="412"/>
      <c r="CP127" s="14">
        <f t="shared" ref="CP127:DP127" si="756">IF(CP113&lt;&gt;0,CP114/CP113,"")</f>
        <v>0.13333333333333333</v>
      </c>
      <c r="CQ127" s="14">
        <f t="shared" si="756"/>
        <v>0.125</v>
      </c>
      <c r="CR127" s="14">
        <f t="shared" si="756"/>
        <v>0.10526315789473684</v>
      </c>
      <c r="CS127" s="14">
        <f t="shared" si="756"/>
        <v>8.6206896551724144E-2</v>
      </c>
      <c r="CT127" s="14">
        <f t="shared" si="756"/>
        <v>7.4626865671641784E-2</v>
      </c>
      <c r="CU127" s="14">
        <f t="shared" si="756"/>
        <v>0.08</v>
      </c>
      <c r="CV127" s="14">
        <f t="shared" si="756"/>
        <v>6.9767441860465115E-2</v>
      </c>
      <c r="CW127" s="14">
        <f t="shared" si="756"/>
        <v>6.6666666666666666E-2</v>
      </c>
      <c r="CX127" s="14">
        <f t="shared" si="756"/>
        <v>6.7226890756302518E-2</v>
      </c>
      <c r="CY127" s="14">
        <f t="shared" si="756"/>
        <v>9.6296296296296297E-2</v>
      </c>
      <c r="CZ127" s="14">
        <f t="shared" si="756"/>
        <v>8.7248322147651006E-2</v>
      </c>
      <c r="DA127" s="14">
        <f t="shared" si="756"/>
        <v>8.6956521739130432E-2</v>
      </c>
      <c r="DB127" s="14">
        <f t="shared" si="756"/>
        <v>0.21428571428571427</v>
      </c>
      <c r="DC127" s="14">
        <f t="shared" si="756"/>
        <v>0.125</v>
      </c>
      <c r="DD127" s="14">
        <f t="shared" si="756"/>
        <v>0.08</v>
      </c>
      <c r="DE127" s="14">
        <f t="shared" si="756"/>
        <v>0.10666666666666667</v>
      </c>
      <c r="DF127" s="14">
        <f t="shared" si="756"/>
        <v>0.11904761904761904</v>
      </c>
      <c r="DG127" s="14">
        <f t="shared" si="756"/>
        <v>0.12222222222222222</v>
      </c>
      <c r="DH127" s="14">
        <f t="shared" si="756"/>
        <v>0.11428571428571428</v>
      </c>
      <c r="DI127" s="14">
        <f t="shared" si="756"/>
        <v>0.12295081967213115</v>
      </c>
      <c r="DJ127" s="14">
        <f t="shared" si="756"/>
        <v>0.15277777777777779</v>
      </c>
      <c r="DK127" s="14">
        <f t="shared" si="756"/>
        <v>0.15189873417721519</v>
      </c>
      <c r="DL127" s="14">
        <f t="shared" si="756"/>
        <v>0.14450867052023122</v>
      </c>
      <c r="DM127" s="14">
        <f t="shared" si="756"/>
        <v>0.14285714285714285</v>
      </c>
      <c r="DN127" s="14">
        <f t="shared" si="756"/>
        <v>0.16666666666666666</v>
      </c>
      <c r="DO127" s="14">
        <f t="shared" si="756"/>
        <v>0.11428571428571428</v>
      </c>
      <c r="DP127" s="14" t="str">
        <f t="shared" si="756"/>
        <v/>
      </c>
      <c r="DQ127" s="14"/>
      <c r="DR127" s="14"/>
      <c r="DS127" s="14"/>
      <c r="DT127" s="14"/>
      <c r="DU127" s="14"/>
      <c r="DV127" s="14"/>
      <c r="DW127" s="14"/>
      <c r="DX127" s="14"/>
      <c r="DY127" s="14"/>
      <c r="ED127" s="429"/>
      <c r="EE127" s="23"/>
      <c r="EF127" s="23"/>
      <c r="EG127" s="23"/>
      <c r="EH127" s="14">
        <f>IF(EH113&lt;&gt;0,EH114/EH113,"")</f>
        <v>5.8823529411764705E-2</v>
      </c>
      <c r="EI127" s="14">
        <f>IF(EI113&lt;&gt;0,EI114/EI113,"")</f>
        <v>0.11428571428571428</v>
      </c>
      <c r="EJ127" s="14">
        <f>IF(EJ113&lt;&gt;0,EJ114/EJ113,"")</f>
        <v>0.11428571428571428</v>
      </c>
      <c r="EK127" s="24"/>
      <c r="EL127" s="47">
        <f t="shared" si="749"/>
        <v>-6.5147510953206034E-2</v>
      </c>
      <c r="EM127" s="47">
        <f t="shared" si="749"/>
        <v>3.428571428571428E-2</v>
      </c>
      <c r="EN127" s="47">
        <f t="shared" si="749"/>
        <v>3.428571428571428E-2</v>
      </c>
      <c r="EO127" s="46" t="str">
        <f t="shared" si="750"/>
        <v>È</v>
      </c>
      <c r="EP127" s="46" t="str">
        <f t="shared" si="750"/>
        <v>Ç</v>
      </c>
      <c r="EQ127" s="2">
        <f t="shared" si="751"/>
        <v>3</v>
      </c>
      <c r="ER127" s="2">
        <f t="shared" si="751"/>
        <v>1</v>
      </c>
      <c r="ES127" s="2">
        <f t="shared" si="751"/>
        <v>1</v>
      </c>
    </row>
    <row r="128" spans="1:149">
      <c r="A128" s="6" t="s">
        <v>23</v>
      </c>
      <c r="B128" s="2" t="s">
        <v>160</v>
      </c>
      <c r="C128" s="3" t="s">
        <v>80</v>
      </c>
      <c r="E128" s="3" t="str">
        <f>C103</f>
        <v>ASatRate</v>
      </c>
      <c r="F128" s="3" t="s">
        <v>32</v>
      </c>
      <c r="G128" s="28" t="str">
        <f>C98</f>
        <v>AAllNew</v>
      </c>
      <c r="H128" s="63" t="s">
        <v>31</v>
      </c>
      <c r="I128" s="28" t="str">
        <f>C102</f>
        <v>ASatResp</v>
      </c>
      <c r="J128" s="62">
        <f t="shared" ref="J128:AJ128" si="757">IF(J98&lt;&gt;0,J103*J102/J98,"")</f>
        <v>0</v>
      </c>
      <c r="K128" s="62">
        <f t="shared" si="757"/>
        <v>6.25E-2</v>
      </c>
      <c r="L128" s="62">
        <f t="shared" si="757"/>
        <v>4.7619047619047616E-2</v>
      </c>
      <c r="M128" s="62">
        <f t="shared" si="757"/>
        <v>5.4054054054054057E-2</v>
      </c>
      <c r="N128" s="62">
        <f t="shared" si="757"/>
        <v>6.5217391304347824E-2</v>
      </c>
      <c r="O128" s="62">
        <f t="shared" si="757"/>
        <v>0.06</v>
      </c>
      <c r="P128" s="62">
        <f t="shared" si="757"/>
        <v>6.8965517241379318E-3</v>
      </c>
      <c r="Q128" s="62">
        <f t="shared" si="757"/>
        <v>3.7200000000000004E-2</v>
      </c>
      <c r="R128" s="62">
        <f t="shared" si="757"/>
        <v>2.2988505747126436E-2</v>
      </c>
      <c r="S128" s="62">
        <f t="shared" si="757"/>
        <v>0.03</v>
      </c>
      <c r="T128" s="62">
        <f t="shared" si="757"/>
        <v>4.4247787610619468E-2</v>
      </c>
      <c r="U128" s="62">
        <f t="shared" si="757"/>
        <v>4.3548387096774194E-2</v>
      </c>
      <c r="V128" s="62">
        <f t="shared" si="757"/>
        <v>0.30769230769230771</v>
      </c>
      <c r="W128" s="62">
        <f t="shared" si="757"/>
        <v>0.19130434782608696</v>
      </c>
      <c r="X128" s="62">
        <f t="shared" si="757"/>
        <v>0.13513513513513514</v>
      </c>
      <c r="Y128" s="62">
        <f t="shared" si="757"/>
        <v>0.11320754716981132</v>
      </c>
      <c r="Z128" s="62">
        <f t="shared" si="757"/>
        <v>3.3898305084745763E-2</v>
      </c>
      <c r="AA128" s="62">
        <f t="shared" si="757"/>
        <v>3.125E-2</v>
      </c>
      <c r="AB128" s="62">
        <f t="shared" si="757"/>
        <v>2.7027027027027029E-2</v>
      </c>
      <c r="AC128" s="62">
        <f t="shared" si="757"/>
        <v>3.4090909090909088E-2</v>
      </c>
      <c r="AD128" s="62">
        <f t="shared" si="757"/>
        <v>2.8301886792452831E-2</v>
      </c>
      <c r="AE128" s="62">
        <f t="shared" si="757"/>
        <v>6.7796610169491525E-2</v>
      </c>
      <c r="AF128" s="62">
        <f t="shared" si="757"/>
        <v>3.007518796992481E-2</v>
      </c>
      <c r="AG128" s="62">
        <f t="shared" si="757"/>
        <v>2.6760563380281689E-2</v>
      </c>
      <c r="AH128" s="62">
        <f t="shared" si="757"/>
        <v>1.75</v>
      </c>
      <c r="AI128" s="62">
        <f t="shared" ref="AI128" si="758">IF(AI98&lt;&gt;0,AI103*AI102/AI98,"")</f>
        <v>0.17647058823529413</v>
      </c>
      <c r="AJ128" s="62" t="str">
        <f t="shared" si="757"/>
        <v/>
      </c>
      <c r="AK128" s="412"/>
      <c r="AL128" s="14">
        <f t="shared" ref="AL128:BL128" si="759">IF(AL98&lt;&gt;0,AL103*AL102/AL98,"")</f>
        <v>0</v>
      </c>
      <c r="AM128" s="14">
        <f t="shared" si="759"/>
        <v>0.1</v>
      </c>
      <c r="AN128" s="14">
        <f t="shared" si="759"/>
        <v>0.2</v>
      </c>
      <c r="AO128" s="14">
        <f t="shared" si="759"/>
        <v>0.125</v>
      </c>
      <c r="AP128" s="14">
        <f t="shared" si="759"/>
        <v>0.33333333333333331</v>
      </c>
      <c r="AQ128" s="14">
        <f t="shared" si="759"/>
        <v>0.75</v>
      </c>
      <c r="AR128" s="14">
        <f t="shared" si="759"/>
        <v>0.05</v>
      </c>
      <c r="AS128" s="14">
        <f t="shared" si="759"/>
        <v>0.16411764705882353</v>
      </c>
      <c r="AT128" s="14">
        <f t="shared" si="759"/>
        <v>0.16666666666666666</v>
      </c>
      <c r="AU128" s="14">
        <f t="shared" si="759"/>
        <v>0.23076923076923078</v>
      </c>
      <c r="AV128" s="14">
        <f t="shared" si="759"/>
        <v>0.38461538461538464</v>
      </c>
      <c r="AW128" s="14">
        <f t="shared" si="759"/>
        <v>0.49090909090909096</v>
      </c>
      <c r="AX128" s="14">
        <f t="shared" si="759"/>
        <v>0.30769230769230771</v>
      </c>
      <c r="AY128" s="14">
        <f t="shared" si="759"/>
        <v>0.44000000000000006</v>
      </c>
      <c r="AZ128" s="14">
        <f t="shared" si="759"/>
        <v>0.35714285714285715</v>
      </c>
      <c r="BA128" s="14">
        <f t="shared" si="759"/>
        <v>0.375</v>
      </c>
      <c r="BB128" s="14">
        <f t="shared" si="759"/>
        <v>0.33333333333333331</v>
      </c>
      <c r="BC128" s="14">
        <f t="shared" si="759"/>
        <v>0.4</v>
      </c>
      <c r="BD128" s="14">
        <f t="shared" si="759"/>
        <v>0.2</v>
      </c>
      <c r="BE128" s="14">
        <f t="shared" si="759"/>
        <v>0.21428571428571427</v>
      </c>
      <c r="BF128" s="14">
        <f t="shared" si="759"/>
        <v>0.16666666666666666</v>
      </c>
      <c r="BG128" s="14">
        <f t="shared" si="759"/>
        <v>0.66666666666666663</v>
      </c>
      <c r="BH128" s="14">
        <f t="shared" si="759"/>
        <v>0.26666666666666666</v>
      </c>
      <c r="BI128" s="14">
        <f t="shared" si="759"/>
        <v>0.42222222222222222</v>
      </c>
      <c r="BJ128" s="14">
        <f t="shared" si="759"/>
        <v>1.75</v>
      </c>
      <c r="BK128" s="14">
        <f t="shared" si="759"/>
        <v>-0.30769230769230771</v>
      </c>
      <c r="BL128" s="14" t="str">
        <f t="shared" si="759"/>
        <v/>
      </c>
      <c r="BM128" s="412"/>
      <c r="BN128" s="14">
        <f t="shared" ref="BN128:CN128" si="760">IF(BN98&lt;&gt;0,BN103*BN102/BN98,"")</f>
        <v>9.5238095238095233E-2</v>
      </c>
      <c r="BO128" s="14">
        <f t="shared" si="760"/>
        <v>9.5238095238095233E-2</v>
      </c>
      <c r="BP128" s="14">
        <f t="shared" si="760"/>
        <v>9.5238095238095233E-2</v>
      </c>
      <c r="BQ128" s="14">
        <f t="shared" si="760"/>
        <v>0.27586206896551724</v>
      </c>
      <c r="BR128" s="14">
        <f t="shared" si="760"/>
        <v>0.27586206896551724</v>
      </c>
      <c r="BS128" s="14">
        <f t="shared" si="760"/>
        <v>0.27586206896551724</v>
      </c>
      <c r="BT128" s="14">
        <f t="shared" si="760"/>
        <v>0.14027027027027025</v>
      </c>
      <c r="BU128" s="14">
        <f t="shared" si="760"/>
        <v>0.14027027027027025</v>
      </c>
      <c r="BV128" s="14">
        <f t="shared" si="760"/>
        <v>0.14027027027027025</v>
      </c>
      <c r="BW128" s="14">
        <f t="shared" si="760"/>
        <v>0.36216216216216218</v>
      </c>
      <c r="BX128" s="14">
        <f t="shared" si="760"/>
        <v>0.36216216216216218</v>
      </c>
      <c r="BY128" s="14">
        <f t="shared" si="760"/>
        <v>0.36216216216216218</v>
      </c>
      <c r="BZ128" s="14">
        <f t="shared" si="760"/>
        <v>0.36216216216216218</v>
      </c>
      <c r="CA128" s="14">
        <f t="shared" si="760"/>
        <v>0.36216216216216218</v>
      </c>
      <c r="CB128" s="14">
        <f t="shared" si="760"/>
        <v>0.36216216216216218</v>
      </c>
      <c r="CC128" s="14">
        <f t="shared" si="760"/>
        <v>0.37037037037037035</v>
      </c>
      <c r="CD128" s="14">
        <f t="shared" si="760"/>
        <v>0.37037037037037035</v>
      </c>
      <c r="CE128" s="14">
        <f t="shared" si="760"/>
        <v>0.37037037037037035</v>
      </c>
      <c r="CF128" s="14">
        <f t="shared" si="760"/>
        <v>0.19047619047619047</v>
      </c>
      <c r="CG128" s="14">
        <f t="shared" si="760"/>
        <v>0.19047619047619047</v>
      </c>
      <c r="CH128" s="14">
        <f t="shared" si="760"/>
        <v>0.19047619047619047</v>
      </c>
      <c r="CI128" s="14">
        <f t="shared" si="760"/>
        <v>0.43888888888888888</v>
      </c>
      <c r="CJ128" s="14">
        <f t="shared" si="760"/>
        <v>0.43888888888888888</v>
      </c>
      <c r="CK128" s="14">
        <f t="shared" si="760"/>
        <v>0.43888888888888888</v>
      </c>
      <c r="CL128" s="14">
        <f t="shared" si="760"/>
        <v>0.17647058823529413</v>
      </c>
      <c r="CM128" s="14">
        <f t="shared" si="760"/>
        <v>0.17647058823529413</v>
      </c>
      <c r="CN128" s="14">
        <f t="shared" si="760"/>
        <v>0.17647058823529413</v>
      </c>
      <c r="CO128" s="412"/>
      <c r="CP128" s="14">
        <f t="shared" ref="CP128:DP128" si="761">IF(CP98&lt;&gt;0,CP103*CP102/CP98,"")</f>
        <v>0</v>
      </c>
      <c r="CQ128" s="14">
        <f t="shared" si="761"/>
        <v>6.25E-2</v>
      </c>
      <c r="CR128" s="14">
        <f t="shared" si="761"/>
        <v>9.5238095238095233E-2</v>
      </c>
      <c r="CS128" s="14">
        <f t="shared" si="761"/>
        <v>0.10810810810810811</v>
      </c>
      <c r="CT128" s="14">
        <f t="shared" si="761"/>
        <v>0.15217391304347827</v>
      </c>
      <c r="CU128" s="14">
        <f t="shared" si="761"/>
        <v>0.2</v>
      </c>
      <c r="CV128" s="14">
        <f t="shared" si="761"/>
        <v>0.1793103448275862</v>
      </c>
      <c r="CW128" s="14">
        <f t="shared" si="761"/>
        <v>0.17586666666666667</v>
      </c>
      <c r="CX128" s="14">
        <f t="shared" si="761"/>
        <v>0.1745977011494253</v>
      </c>
      <c r="CY128" s="14">
        <f t="shared" si="761"/>
        <v>0.18190000000000001</v>
      </c>
      <c r="CZ128" s="14">
        <f t="shared" si="761"/>
        <v>0.20522123893805311</v>
      </c>
      <c r="DA128" s="14">
        <f t="shared" si="761"/>
        <v>0.23056451612903228</v>
      </c>
      <c r="DB128" s="14">
        <f t="shared" si="761"/>
        <v>0.30769230769230771</v>
      </c>
      <c r="DC128" s="14">
        <f t="shared" si="761"/>
        <v>0.36521739130434783</v>
      </c>
      <c r="DD128" s="14">
        <f t="shared" si="761"/>
        <v>0.36216216216216218</v>
      </c>
      <c r="DE128" s="14">
        <f t="shared" si="761"/>
        <v>0.36603773584905658</v>
      </c>
      <c r="DF128" s="14">
        <f t="shared" si="761"/>
        <v>0.36271186440677966</v>
      </c>
      <c r="DG128" s="14">
        <f t="shared" si="761"/>
        <v>0.36562499999999998</v>
      </c>
      <c r="DH128" s="14">
        <f t="shared" si="761"/>
        <v>0.34324324324324323</v>
      </c>
      <c r="DI128" s="14">
        <f t="shared" si="761"/>
        <v>0.3227272727272727</v>
      </c>
      <c r="DJ128" s="14">
        <f t="shared" si="761"/>
        <v>0.29622641509433961</v>
      </c>
      <c r="DK128" s="14">
        <f t="shared" si="761"/>
        <v>0.33389830508474577</v>
      </c>
      <c r="DL128" s="14">
        <f t="shared" si="761"/>
        <v>0.32631578947368423</v>
      </c>
      <c r="DM128" s="14">
        <f t="shared" si="761"/>
        <v>0.33239436619718304</v>
      </c>
      <c r="DN128" s="14">
        <f t="shared" si="761"/>
        <v>1.75</v>
      </c>
      <c r="DO128" s="14">
        <f t="shared" si="761"/>
        <v>0.17647058823529413</v>
      </c>
      <c r="DP128" s="14" t="str">
        <f t="shared" si="761"/>
        <v/>
      </c>
      <c r="DQ128" s="14"/>
      <c r="DR128" s="14"/>
      <c r="DS128" s="14"/>
      <c r="DT128" s="14"/>
      <c r="DU128" s="14"/>
      <c r="DV128" s="14"/>
      <c r="DW128" s="14"/>
      <c r="DX128" s="14"/>
      <c r="DY128" s="14"/>
      <c r="ED128" s="429"/>
      <c r="EE128" s="23"/>
      <c r="EF128" s="23"/>
      <c r="EG128" s="23"/>
      <c r="EH128" s="14">
        <f>IF(EH102&lt;&gt;0,EH103*EH102/EH102,"")</f>
        <v>1</v>
      </c>
      <c r="EI128" s="14">
        <f>IF(EI102&lt;&gt;0,EI103*EI102/EI102,"")</f>
        <v>1</v>
      </c>
      <c r="EJ128" s="14">
        <f>IF(EJ102&lt;&gt;0,EJ103*EJ102/EJ102,"")</f>
        <v>1</v>
      </c>
      <c r="EK128" s="24"/>
      <c r="EL128" s="47" t="e">
        <f t="shared" si="749"/>
        <v>#DIV/0!</v>
      </c>
      <c r="EM128" s="47" t="e">
        <f t="shared" si="749"/>
        <v>#DIV/0!</v>
      </c>
      <c r="EN128" s="47">
        <f t="shared" si="749"/>
        <v>4.9999999999999933E-2</v>
      </c>
      <c r="EO128" s="46" t="e">
        <f t="shared" si="750"/>
        <v>#DIV/0!</v>
      </c>
      <c r="EP128" s="46" t="e">
        <f t="shared" si="750"/>
        <v>#DIV/0!</v>
      </c>
      <c r="EQ128" s="2" t="e">
        <f t="shared" si="751"/>
        <v>#DIV/0!</v>
      </c>
      <c r="ER128" s="2" t="e">
        <f t="shared" si="751"/>
        <v>#DIV/0!</v>
      </c>
      <c r="ES128" s="2">
        <f t="shared" si="751"/>
        <v>1</v>
      </c>
    </row>
    <row r="129" spans="1:150">
      <c r="A129" s="6" t="s">
        <v>23</v>
      </c>
      <c r="B129" s="2" t="s">
        <v>26</v>
      </c>
      <c r="C129" s="3" t="s">
        <v>85</v>
      </c>
      <c r="E129" s="3" t="str">
        <f>C104</f>
        <v>ASpec1</v>
      </c>
      <c r="F129" s="4" t="s">
        <v>31</v>
      </c>
      <c r="G129" s="28" t="str">
        <f>C113</f>
        <v>ASUniq</v>
      </c>
      <c r="H129" s="28"/>
      <c r="I129" s="28"/>
      <c r="J129" s="62">
        <f>IF(J113&lt;&gt;0,J104/J113,"")</f>
        <v>0</v>
      </c>
      <c r="K129" s="62">
        <f>IF(K113&lt;&gt;0,K104/K113,"")</f>
        <v>0</v>
      </c>
      <c r="L129" s="62">
        <f>IF(L113&lt;&gt;0,L104/L113,"")</f>
        <v>0</v>
      </c>
      <c r="M129" s="62">
        <f>IF(M113&lt;&gt;0,M104/M113,"")</f>
        <v>0</v>
      </c>
      <c r="N129" s="62">
        <f>IF(N113&lt;&gt;0,N104/N113,"")</f>
        <v>0</v>
      </c>
      <c r="O129" s="62">
        <f>IF(O113&lt;&gt;"",O104/O113,"")</f>
        <v>0</v>
      </c>
      <c r="P129" s="62">
        <f t="shared" ref="P129:AJ129" si="762">IF(P113&lt;&gt;"",P104/P113,"")</f>
        <v>0.27272727272727271</v>
      </c>
      <c r="Q129" s="62">
        <f t="shared" si="762"/>
        <v>0.31578947368421051</v>
      </c>
      <c r="R129" s="62">
        <f t="shared" si="762"/>
        <v>0.42857142857142855</v>
      </c>
      <c r="S129" s="62">
        <f t="shared" si="762"/>
        <v>0.375</v>
      </c>
      <c r="T129" s="62">
        <f t="shared" si="762"/>
        <v>0.5</v>
      </c>
      <c r="U129" s="62">
        <f t="shared" si="762"/>
        <v>0.58333333333333337</v>
      </c>
      <c r="V129" s="62">
        <f t="shared" si="762"/>
        <v>0</v>
      </c>
      <c r="W129" s="62">
        <f t="shared" si="762"/>
        <v>0</v>
      </c>
      <c r="X129" s="62">
        <f t="shared" si="762"/>
        <v>0</v>
      </c>
      <c r="Y129" s="62">
        <f t="shared" si="762"/>
        <v>0.72</v>
      </c>
      <c r="Z129" s="62">
        <f t="shared" si="762"/>
        <v>2.3333333333333335</v>
      </c>
      <c r="AA129" s="62">
        <f t="shared" si="762"/>
        <v>3.5</v>
      </c>
      <c r="AB129" s="62">
        <f t="shared" si="762"/>
        <v>1.8</v>
      </c>
      <c r="AC129" s="62">
        <f t="shared" si="762"/>
        <v>1.7058823529411764</v>
      </c>
      <c r="AD129" s="62">
        <f t="shared" si="762"/>
        <v>1.5909090909090908</v>
      </c>
      <c r="AE129" s="62">
        <f t="shared" si="762"/>
        <v>2.7142857142857144</v>
      </c>
      <c r="AF129" s="62">
        <f t="shared" si="762"/>
        <v>2.5333333333333332</v>
      </c>
      <c r="AG129" s="62">
        <f t="shared" si="762"/>
        <v>4.2222222222222223</v>
      </c>
      <c r="AH129" s="62">
        <f t="shared" si="762"/>
        <v>0</v>
      </c>
      <c r="AI129" s="62">
        <f t="shared" ref="AI129" si="763">IF(AI113&lt;&gt;"",AI104/AI113,"")</f>
        <v>0</v>
      </c>
      <c r="AJ129" s="62" t="str">
        <f t="shared" si="762"/>
        <v/>
      </c>
      <c r="AK129" s="412"/>
      <c r="AL129" s="14">
        <f t="shared" ref="AL129:BL129" si="764">IF(AL113&lt;&gt;0,AL104/AL113,"")</f>
        <v>0</v>
      </c>
      <c r="AM129" s="14">
        <f t="shared" si="764"/>
        <v>0</v>
      </c>
      <c r="AN129" s="14">
        <f t="shared" si="764"/>
        <v>0</v>
      </c>
      <c r="AO129" s="14">
        <f t="shared" si="764"/>
        <v>0</v>
      </c>
      <c r="AP129" s="14">
        <f t="shared" si="764"/>
        <v>0</v>
      </c>
      <c r="AQ129" s="14">
        <f t="shared" si="764"/>
        <v>0</v>
      </c>
      <c r="AR129" s="14">
        <f t="shared" si="764"/>
        <v>0.27272727272727271</v>
      </c>
      <c r="AS129" s="14">
        <f t="shared" si="764"/>
        <v>0.15789473684210525</v>
      </c>
      <c r="AT129" s="14">
        <f t="shared" si="764"/>
        <v>0</v>
      </c>
      <c r="AU129" s="14">
        <f t="shared" si="764"/>
        <v>0</v>
      </c>
      <c r="AV129" s="14">
        <f t="shared" si="764"/>
        <v>7.1428571428571425E-2</v>
      </c>
      <c r="AW129" s="14">
        <f t="shared" si="764"/>
        <v>0</v>
      </c>
      <c r="AX129" s="14">
        <f t="shared" si="764"/>
        <v>0</v>
      </c>
      <c r="AY129" s="14">
        <f t="shared" si="764"/>
        <v>0</v>
      </c>
      <c r="AZ129" s="14">
        <f t="shared" si="764"/>
        <v>0</v>
      </c>
      <c r="BA129" s="14">
        <f t="shared" si="764"/>
        <v>0.72</v>
      </c>
      <c r="BB129" s="14">
        <f t="shared" si="764"/>
        <v>0.33333333333333331</v>
      </c>
      <c r="BC129" s="14">
        <f t="shared" si="764"/>
        <v>0</v>
      </c>
      <c r="BD129" s="14">
        <f t="shared" si="764"/>
        <v>0.4</v>
      </c>
      <c r="BE129" s="14">
        <f t="shared" si="764"/>
        <v>0.11764705882352941</v>
      </c>
      <c r="BF129" s="14">
        <f t="shared" si="764"/>
        <v>0.27272727272727271</v>
      </c>
      <c r="BG129" s="14">
        <f t="shared" si="764"/>
        <v>0.21428571428571427</v>
      </c>
      <c r="BH129" s="14">
        <f t="shared" si="764"/>
        <v>0</v>
      </c>
      <c r="BI129" s="14">
        <f t="shared" si="764"/>
        <v>0</v>
      </c>
      <c r="BJ129" s="14">
        <f t="shared" si="764"/>
        <v>-2.1111111111111112</v>
      </c>
      <c r="BK129" s="14">
        <f t="shared" si="764"/>
        <v>0</v>
      </c>
      <c r="BL129" s="14" t="e">
        <f t="shared" si="764"/>
        <v>#VALUE!</v>
      </c>
      <c r="BM129" s="412"/>
      <c r="BN129" s="14">
        <f t="shared" ref="BN129:CN129" si="765">IF(BN113&lt;&gt;0,BN104/BN113,"")</f>
        <v>0</v>
      </c>
      <c r="BO129" s="14">
        <f t="shared" si="765"/>
        <v>0</v>
      </c>
      <c r="BP129" s="14">
        <f t="shared" si="765"/>
        <v>0</v>
      </c>
      <c r="BQ129" s="14">
        <f t="shared" si="765"/>
        <v>0</v>
      </c>
      <c r="BR129" s="14">
        <f t="shared" si="765"/>
        <v>0</v>
      </c>
      <c r="BS129" s="14">
        <f t="shared" si="765"/>
        <v>0</v>
      </c>
      <c r="BT129" s="14">
        <f t="shared" si="765"/>
        <v>0.54545454545454541</v>
      </c>
      <c r="BU129" s="14">
        <f t="shared" si="765"/>
        <v>0.2</v>
      </c>
      <c r="BV129" s="14">
        <f t="shared" si="765"/>
        <v>0.13636363636363635</v>
      </c>
      <c r="BW129" s="14">
        <f t="shared" si="765"/>
        <v>6.25E-2</v>
      </c>
      <c r="BX129" s="14">
        <f t="shared" si="765"/>
        <v>3.3333333333333333E-2</v>
      </c>
      <c r="BY129" s="14">
        <f t="shared" si="765"/>
        <v>2.3809523809523808E-2</v>
      </c>
      <c r="BZ129" s="14">
        <f t="shared" si="765"/>
        <v>0</v>
      </c>
      <c r="CA129" s="14">
        <f t="shared" si="765"/>
        <v>0</v>
      </c>
      <c r="CB129" s="14">
        <f t="shared" si="765"/>
        <v>0</v>
      </c>
      <c r="CC129" s="14">
        <f t="shared" si="765"/>
        <v>0.84</v>
      </c>
      <c r="CD129" s="14">
        <f t="shared" si="765"/>
        <v>0.61764705882352944</v>
      </c>
      <c r="CE129" s="14">
        <f t="shared" si="765"/>
        <v>0.52500000000000002</v>
      </c>
      <c r="CF129" s="14">
        <f t="shared" si="765"/>
        <v>0.93333333333333335</v>
      </c>
      <c r="CG129" s="14">
        <f t="shared" si="765"/>
        <v>0.4375</v>
      </c>
      <c r="CH129" s="14">
        <f t="shared" si="765"/>
        <v>0.25925925925925924</v>
      </c>
      <c r="CI129" s="14">
        <f t="shared" si="765"/>
        <v>0.21428571428571427</v>
      </c>
      <c r="CJ129" s="14">
        <f t="shared" si="765"/>
        <v>0.10344827586206896</v>
      </c>
      <c r="CK129" s="14">
        <f t="shared" si="765"/>
        <v>7.8947368421052627E-2</v>
      </c>
      <c r="CL129" s="14">
        <f t="shared" si="765"/>
        <v>-2.1111111111111112</v>
      </c>
      <c r="CM129" s="14">
        <f t="shared" si="765"/>
        <v>-1.0857142857142856</v>
      </c>
      <c r="CN129" s="14" t="e">
        <f t="shared" si="765"/>
        <v>#VALUE!</v>
      </c>
      <c r="CO129" s="412"/>
      <c r="CP129" s="14">
        <f t="shared" ref="CP129:DP129" si="766">IF(CP113&lt;&gt;0,CP104/CP113,"")</f>
        <v>0</v>
      </c>
      <c r="CQ129" s="14">
        <f t="shared" si="766"/>
        <v>0</v>
      </c>
      <c r="CR129" s="14">
        <f t="shared" si="766"/>
        <v>0</v>
      </c>
      <c r="CS129" s="14">
        <f t="shared" si="766"/>
        <v>0</v>
      </c>
      <c r="CT129" s="14">
        <f t="shared" si="766"/>
        <v>0</v>
      </c>
      <c r="CU129" s="14">
        <f t="shared" si="766"/>
        <v>0</v>
      </c>
      <c r="CV129" s="14">
        <f t="shared" si="766"/>
        <v>3.4883720930232558E-2</v>
      </c>
      <c r="CW129" s="14">
        <f t="shared" si="766"/>
        <v>5.7142857142857141E-2</v>
      </c>
      <c r="CX129" s="14">
        <f t="shared" si="766"/>
        <v>5.0420168067226892E-2</v>
      </c>
      <c r="CY129" s="14">
        <f t="shared" si="766"/>
        <v>4.4444444444444446E-2</v>
      </c>
      <c r="CZ129" s="14">
        <f t="shared" si="766"/>
        <v>4.6979865771812082E-2</v>
      </c>
      <c r="DA129" s="14">
        <f t="shared" si="766"/>
        <v>4.3478260869565216E-2</v>
      </c>
      <c r="DB129" s="14">
        <f t="shared" si="766"/>
        <v>0</v>
      </c>
      <c r="DC129" s="14">
        <f t="shared" si="766"/>
        <v>0</v>
      </c>
      <c r="DD129" s="14">
        <f t="shared" si="766"/>
        <v>0</v>
      </c>
      <c r="DE129" s="14">
        <f t="shared" si="766"/>
        <v>0.24</v>
      </c>
      <c r="DF129" s="14">
        <f t="shared" si="766"/>
        <v>0.25</v>
      </c>
      <c r="DG129" s="14">
        <f t="shared" si="766"/>
        <v>0.23333333333333334</v>
      </c>
      <c r="DH129" s="14">
        <f t="shared" si="766"/>
        <v>0.25714285714285712</v>
      </c>
      <c r="DI129" s="14">
        <f t="shared" si="766"/>
        <v>0.23770491803278687</v>
      </c>
      <c r="DJ129" s="14">
        <f t="shared" si="766"/>
        <v>0.24305555555555555</v>
      </c>
      <c r="DK129" s="14">
        <f t="shared" si="766"/>
        <v>0.24050632911392406</v>
      </c>
      <c r="DL129" s="14">
        <f t="shared" si="766"/>
        <v>0.21965317919075145</v>
      </c>
      <c r="DM129" s="14">
        <f t="shared" si="766"/>
        <v>0.2087912087912088</v>
      </c>
      <c r="DN129" s="14">
        <f t="shared" si="766"/>
        <v>-2.1111111111111112</v>
      </c>
      <c r="DO129" s="14">
        <f t="shared" si="766"/>
        <v>-1.0857142857142856</v>
      </c>
      <c r="DP129" s="14" t="str">
        <f t="shared" si="766"/>
        <v/>
      </c>
      <c r="DQ129" s="14"/>
      <c r="DR129" s="14"/>
      <c r="DS129" s="14"/>
      <c r="DT129" s="14"/>
      <c r="DU129" s="14"/>
      <c r="DV129" s="14"/>
      <c r="DW129" s="14"/>
      <c r="DX129" s="14"/>
      <c r="DY129" s="14"/>
      <c r="ED129" s="429"/>
      <c r="EE129" s="23"/>
      <c r="EF129" s="23"/>
      <c r="EG129" s="23"/>
      <c r="EH129" s="14">
        <f>IF(EH100&lt;&gt;0,EH104/EH100,"0%")</f>
        <v>0</v>
      </c>
      <c r="EI129" s="14">
        <f>IF(EI100&lt;&gt;"",EI104/EI100,"0%")</f>
        <v>-1.0857142857142856</v>
      </c>
      <c r="EJ129" s="14">
        <f>IF(EJ100&lt;&gt;0,EJ104/EJ100,"0%")</f>
        <v>-1.0857142857142856</v>
      </c>
      <c r="EK129" s="24"/>
      <c r="EL129" s="47">
        <f t="shared" si="749"/>
        <v>0</v>
      </c>
      <c r="EM129" s="47">
        <f t="shared" si="749"/>
        <v>-1.0857142857142856</v>
      </c>
      <c r="EN129" s="47">
        <f t="shared" si="749"/>
        <v>-1.1976502857142857</v>
      </c>
      <c r="EO129" s="46" t="str">
        <f t="shared" si="750"/>
        <v>Æ</v>
      </c>
      <c r="EP129" s="46">
        <f t="shared" si="750"/>
        <v>0</v>
      </c>
      <c r="EQ129" s="2" t="e">
        <f t="shared" si="751"/>
        <v>#DIV/0!</v>
      </c>
      <c r="ER129" s="2" t="e">
        <f t="shared" si="751"/>
        <v>#DIV/0!</v>
      </c>
      <c r="ES129" s="2">
        <f t="shared" si="751"/>
        <v>3</v>
      </c>
    </row>
    <row r="130" spans="1:150">
      <c r="A130" s="6" t="s">
        <v>23</v>
      </c>
      <c r="B130" s="2" t="s">
        <v>27</v>
      </c>
      <c r="C130" s="3" t="s">
        <v>81</v>
      </c>
      <c r="E130" s="3" t="str">
        <f>C106</f>
        <v>AOnlHrs</v>
      </c>
      <c r="F130" s="4" t="s">
        <v>31</v>
      </c>
      <c r="G130" s="28" t="str">
        <f>C105</f>
        <v>ATotHrs</v>
      </c>
      <c r="H130" s="28"/>
      <c r="I130" s="28"/>
      <c r="J130" s="62">
        <f t="shared" ref="J130:AJ130" si="767">IF(J105&lt;&gt;0,J106/J105,"")</f>
        <v>3.6585365853658534E-2</v>
      </c>
      <c r="K130" s="62">
        <f t="shared" si="767"/>
        <v>0.11178378378378379</v>
      </c>
      <c r="L130" s="62">
        <f t="shared" si="767"/>
        <v>8.7139726950952304E-2</v>
      </c>
      <c r="M130" s="62">
        <f t="shared" si="767"/>
        <v>5.9185803757828809E-2</v>
      </c>
      <c r="N130" s="62">
        <f t="shared" si="767"/>
        <v>8.2493702770780858E-2</v>
      </c>
      <c r="O130" s="62">
        <f t="shared" si="767"/>
        <v>9.9812118365429789E-2</v>
      </c>
      <c r="P130" s="62">
        <f t="shared" si="767"/>
        <v>0.10428438595236392</v>
      </c>
      <c r="Q130" s="62">
        <f t="shared" si="767"/>
        <v>0.10559981392103274</v>
      </c>
      <c r="R130" s="62">
        <f t="shared" si="767"/>
        <v>0.10044395116537182</v>
      </c>
      <c r="S130" s="62">
        <f t="shared" si="767"/>
        <v>8.2531853678586092E-2</v>
      </c>
      <c r="T130" s="62">
        <f t="shared" si="767"/>
        <v>8.0199280791129771E-2</v>
      </c>
      <c r="U130" s="62">
        <f t="shared" si="767"/>
        <v>8.0444940372410914E-2</v>
      </c>
      <c r="V130" s="62">
        <f t="shared" si="767"/>
        <v>0.20475089342022285</v>
      </c>
      <c r="W130" s="62">
        <f t="shared" si="767"/>
        <v>0.21038313307639989</v>
      </c>
      <c r="X130" s="62">
        <f t="shared" si="767"/>
        <v>0.20406824146981625</v>
      </c>
      <c r="Y130" s="62">
        <f t="shared" si="767"/>
        <v>0.16264696314884522</v>
      </c>
      <c r="Z130" s="62">
        <f t="shared" si="767"/>
        <v>0.1693194590478953</v>
      </c>
      <c r="AA130" s="62">
        <f t="shared" si="767"/>
        <v>0.23384172834327152</v>
      </c>
      <c r="AB130" s="62">
        <f t="shared" si="767"/>
        <v>0.23944740801531939</v>
      </c>
      <c r="AC130" s="62">
        <f t="shared" si="767"/>
        <v>0.23392432483341574</v>
      </c>
      <c r="AD130" s="62">
        <f t="shared" si="767"/>
        <v>0.36082176274370492</v>
      </c>
      <c r="AE130" s="62">
        <f t="shared" si="767"/>
        <v>0.52425341892269051</v>
      </c>
      <c r="AF130" s="62">
        <f t="shared" si="767"/>
        <v>0.51284102358994865</v>
      </c>
      <c r="AG130" s="62">
        <f t="shared" si="767"/>
        <v>0.50347113826576873</v>
      </c>
      <c r="AH130" s="62">
        <f t="shared" si="767"/>
        <v>0.39543838862559244</v>
      </c>
      <c r="AI130" s="62">
        <f t="shared" ref="AI130" si="768">IF(AI105&lt;&gt;0,AI106/AI105,"")</f>
        <v>0.27795438838977193</v>
      </c>
      <c r="AJ130" s="62" t="str">
        <f t="shared" si="767"/>
        <v/>
      </c>
      <c r="AK130" s="412"/>
      <c r="AL130" s="14">
        <f t="shared" ref="AL130:BL130" si="769">IF(AL105&lt;&gt;0,AL106/AL105,"")</f>
        <v>3.6585365853658534E-2</v>
      </c>
      <c r="AM130" s="14">
        <f t="shared" si="769"/>
        <v>0.17165048543689321</v>
      </c>
      <c r="AN130" s="14">
        <f t="shared" si="769"/>
        <v>0</v>
      </c>
      <c r="AO130" s="14">
        <f t="shared" si="769"/>
        <v>1.3709898546750754E-2</v>
      </c>
      <c r="AP130" s="14">
        <f t="shared" si="769"/>
        <v>0.22786458333333334</v>
      </c>
      <c r="AQ130" s="14">
        <f t="shared" si="769"/>
        <v>0.21592279855247287</v>
      </c>
      <c r="AR130" s="14">
        <f t="shared" si="769"/>
        <v>0.15161557580778781</v>
      </c>
      <c r="AS130" s="14">
        <f t="shared" si="769"/>
        <v>0.11131840796019903</v>
      </c>
      <c r="AT130" s="14">
        <f t="shared" si="769"/>
        <v>6.6666666666666666E-2</v>
      </c>
      <c r="AU130" s="14">
        <f t="shared" si="769"/>
        <v>3.7710736468500022E-3</v>
      </c>
      <c r="AV130" s="14">
        <f t="shared" si="769"/>
        <v>5.6213017751479445E-2</v>
      </c>
      <c r="AW130" s="14">
        <f t="shared" si="769"/>
        <v>8.3753784056508615E-2</v>
      </c>
      <c r="AX130" s="14">
        <f t="shared" si="769"/>
        <v>0.20475089342022285</v>
      </c>
      <c r="AY130" s="14">
        <f t="shared" si="769"/>
        <v>0.21697416974169739</v>
      </c>
      <c r="AZ130" s="14">
        <f t="shared" si="769"/>
        <v>0.1926849203105844</v>
      </c>
      <c r="BA130" s="14">
        <f t="shared" si="769"/>
        <v>8.9837242086377056E-2</v>
      </c>
      <c r="BB130" s="14">
        <f t="shared" si="769"/>
        <v>0.19300560870999672</v>
      </c>
      <c r="BC130" s="14">
        <f t="shared" si="769"/>
        <v>0.54109116022099435</v>
      </c>
      <c r="BD130" s="14">
        <f t="shared" si="769"/>
        <v>0.29824010056568184</v>
      </c>
      <c r="BE130" s="14">
        <f t="shared" si="769"/>
        <v>0.19979716024340771</v>
      </c>
      <c r="BF130" s="14">
        <f t="shared" si="769"/>
        <v>0.49366526990386989</v>
      </c>
      <c r="BG130" s="14">
        <f t="shared" si="769"/>
        <v>0.84460862996884167</v>
      </c>
      <c r="BH130" s="14">
        <f t="shared" si="769"/>
        <v>0.20225694444444239</v>
      </c>
      <c r="BI130" s="14">
        <f t="shared" si="769"/>
        <v>0.23425414364640934</v>
      </c>
      <c r="BJ130" s="14">
        <f t="shared" si="769"/>
        <v>0.39543838862559244</v>
      </c>
      <c r="BK130" s="14">
        <f t="shared" si="769"/>
        <v>0.17517491578129049</v>
      </c>
      <c r="BL130" s="14" t="str">
        <f t="shared" si="769"/>
        <v/>
      </c>
      <c r="BM130" s="412"/>
      <c r="BN130" s="14">
        <f t="shared" ref="BN130:CN130" si="770">IF(BN105&lt;&gt;0,BN106/BN105,"")</f>
        <v>8.7139726950952304E-2</v>
      </c>
      <c r="BO130" s="14">
        <f t="shared" si="770"/>
        <v>8.7139726950952304E-2</v>
      </c>
      <c r="BP130" s="14">
        <f t="shared" si="770"/>
        <v>8.7139726950952304E-2</v>
      </c>
      <c r="BQ130" s="14">
        <f t="shared" si="770"/>
        <v>0.11080251425230229</v>
      </c>
      <c r="BR130" s="14">
        <f t="shared" si="770"/>
        <v>0.11080251425230229</v>
      </c>
      <c r="BS130" s="14">
        <f t="shared" si="770"/>
        <v>0.11080251425230229</v>
      </c>
      <c r="BT130" s="14">
        <f t="shared" si="770"/>
        <v>0.10158910329171396</v>
      </c>
      <c r="BU130" s="14">
        <f t="shared" si="770"/>
        <v>0.10158910329171396</v>
      </c>
      <c r="BV130" s="14">
        <f t="shared" si="770"/>
        <v>0.10158910329171396</v>
      </c>
      <c r="BW130" s="14">
        <f t="shared" si="770"/>
        <v>3.5682023486901547E-2</v>
      </c>
      <c r="BX130" s="14">
        <f t="shared" si="770"/>
        <v>3.5682023486901547E-2</v>
      </c>
      <c r="BY130" s="14">
        <f t="shared" si="770"/>
        <v>3.5682023486901547E-2</v>
      </c>
      <c r="BZ130" s="14">
        <f t="shared" si="770"/>
        <v>0.20406824146981625</v>
      </c>
      <c r="CA130" s="14">
        <f t="shared" si="770"/>
        <v>0.20406824146981625</v>
      </c>
      <c r="CB130" s="14">
        <f t="shared" si="770"/>
        <v>0.20406824146981625</v>
      </c>
      <c r="CC130" s="14">
        <f t="shared" si="770"/>
        <v>0.25461667599328486</v>
      </c>
      <c r="CD130" s="14">
        <f t="shared" si="770"/>
        <v>0.25461667599328486</v>
      </c>
      <c r="CE130" s="14">
        <f t="shared" si="770"/>
        <v>0.25461667599328486</v>
      </c>
      <c r="CF130" s="14">
        <f t="shared" si="770"/>
        <v>0.44614238543931706</v>
      </c>
      <c r="CG130" s="14">
        <f t="shared" si="770"/>
        <v>0.44614238543931706</v>
      </c>
      <c r="CH130" s="14">
        <f t="shared" si="770"/>
        <v>0.44614238543931706</v>
      </c>
      <c r="CI130" s="14">
        <f t="shared" si="770"/>
        <v>0.73349903877895783</v>
      </c>
      <c r="CJ130" s="14">
        <f t="shared" si="770"/>
        <v>0.73349903877895783</v>
      </c>
      <c r="CK130" s="14">
        <f t="shared" si="770"/>
        <v>0.73349903877895783</v>
      </c>
      <c r="CL130" s="14">
        <f t="shared" si="770"/>
        <v>0.27795438838977193</v>
      </c>
      <c r="CM130" s="14">
        <f t="shared" si="770"/>
        <v>0.27795438838977193</v>
      </c>
      <c r="CN130" s="14">
        <f t="shared" si="770"/>
        <v>0.27795438838977193</v>
      </c>
      <c r="CO130" s="412"/>
      <c r="CP130" s="14">
        <f t="shared" ref="CP130:DP130" si="771">IF(CP105&lt;&gt;0,CP106/CP105,"")</f>
        <v>3.6585365853658534E-2</v>
      </c>
      <c r="CQ130" s="14">
        <f t="shared" si="771"/>
        <v>0.11178378378378379</v>
      </c>
      <c r="CR130" s="14">
        <f t="shared" si="771"/>
        <v>8.7139726950952304E-2</v>
      </c>
      <c r="CS130" s="14">
        <f t="shared" si="771"/>
        <v>5.9185803757828809E-2</v>
      </c>
      <c r="CT130" s="14">
        <f t="shared" si="771"/>
        <v>8.2493702770780858E-2</v>
      </c>
      <c r="CU130" s="14">
        <f t="shared" si="771"/>
        <v>9.9812118365429789E-2</v>
      </c>
      <c r="CV130" s="14">
        <f t="shared" si="771"/>
        <v>0.10428438595236392</v>
      </c>
      <c r="CW130" s="14">
        <f t="shared" si="771"/>
        <v>0.10559981392103274</v>
      </c>
      <c r="CX130" s="14">
        <f t="shared" si="771"/>
        <v>0.10044395116537182</v>
      </c>
      <c r="CY130" s="14">
        <f t="shared" si="771"/>
        <v>8.2531853678586092E-2</v>
      </c>
      <c r="CZ130" s="14">
        <f t="shared" si="771"/>
        <v>8.0199280791129771E-2</v>
      </c>
      <c r="DA130" s="14">
        <f t="shared" si="771"/>
        <v>8.0444940372410914E-2</v>
      </c>
      <c r="DB130" s="14">
        <f t="shared" si="771"/>
        <v>0.20475089342022285</v>
      </c>
      <c r="DC130" s="14">
        <f t="shared" si="771"/>
        <v>0.21038313307639989</v>
      </c>
      <c r="DD130" s="14">
        <f t="shared" si="771"/>
        <v>0.20406824146981625</v>
      </c>
      <c r="DE130" s="14">
        <f t="shared" si="771"/>
        <v>0.16264696314884522</v>
      </c>
      <c r="DF130" s="14">
        <f t="shared" si="771"/>
        <v>0.1693194590478953</v>
      </c>
      <c r="DG130" s="14">
        <f t="shared" si="771"/>
        <v>0.23384172834327152</v>
      </c>
      <c r="DH130" s="14">
        <f t="shared" si="771"/>
        <v>0.23944740801531939</v>
      </c>
      <c r="DI130" s="14">
        <f t="shared" si="771"/>
        <v>0.23392432483341574</v>
      </c>
      <c r="DJ130" s="14">
        <f t="shared" si="771"/>
        <v>0.36082176274370492</v>
      </c>
      <c r="DK130" s="14">
        <f t="shared" si="771"/>
        <v>0.52425341892269051</v>
      </c>
      <c r="DL130" s="14">
        <f t="shared" si="771"/>
        <v>0.51284102358994865</v>
      </c>
      <c r="DM130" s="14">
        <f t="shared" si="771"/>
        <v>0.50347113826576873</v>
      </c>
      <c r="DN130" s="14">
        <f t="shared" si="771"/>
        <v>0.39543838862559244</v>
      </c>
      <c r="DO130" s="14">
        <f t="shared" si="771"/>
        <v>0.27795438838977193</v>
      </c>
      <c r="DP130" s="14" t="str">
        <f t="shared" si="771"/>
        <v/>
      </c>
      <c r="DQ130" s="14"/>
      <c r="DR130" s="14"/>
      <c r="DS130" s="14"/>
      <c r="DT130" s="14"/>
      <c r="DU130" s="14"/>
      <c r="DV130" s="14"/>
      <c r="DW130" s="14"/>
      <c r="DX130" s="14"/>
      <c r="DY130" s="14"/>
      <c r="ED130" s="429"/>
      <c r="EE130" s="23"/>
      <c r="EF130" s="23"/>
      <c r="EG130" s="23"/>
      <c r="EH130" s="14">
        <f>IF(EH105&lt;&gt;0,EH106/EH105,"")</f>
        <v>0.17517491578129049</v>
      </c>
      <c r="EI130" s="14">
        <f>IF(EI105&lt;&gt;0,EI106/EI105,"")</f>
        <v>0.27795438838977193</v>
      </c>
      <c r="EJ130" s="14">
        <f>IF(EJ105&lt;&gt;0,EJ106/EJ105,"")</f>
        <v>0.27795438838977193</v>
      </c>
      <c r="EK130" s="24"/>
      <c r="EL130" s="47">
        <f t="shared" si="749"/>
        <v>0.17517491578129049</v>
      </c>
      <c r="EM130" s="47">
        <f t="shared" si="749"/>
        <v>0.27795438838977193</v>
      </c>
      <c r="EN130" s="47">
        <f t="shared" si="749"/>
        <v>0.12802363189417004</v>
      </c>
      <c r="EO130" s="46" t="str">
        <f t="shared" si="750"/>
        <v>Ç</v>
      </c>
      <c r="EP130" s="46" t="str">
        <f t="shared" si="750"/>
        <v>Ç</v>
      </c>
      <c r="EQ130" s="2" t="e">
        <f t="shared" si="751"/>
        <v>#DIV/0!</v>
      </c>
      <c r="ER130" s="2" t="e">
        <f t="shared" si="751"/>
        <v>#DIV/0!</v>
      </c>
      <c r="ES130" s="2">
        <f t="shared" si="751"/>
        <v>1</v>
      </c>
    </row>
    <row r="131" spans="1:150">
      <c r="A131" s="6" t="s">
        <v>23</v>
      </c>
      <c r="B131" s="2" t="s">
        <v>28</v>
      </c>
      <c r="C131" s="3" t="s">
        <v>82</v>
      </c>
      <c r="E131" s="3" t="str">
        <f>C111</f>
        <v>AColCash</v>
      </c>
      <c r="F131" s="4" t="s">
        <v>31</v>
      </c>
      <c r="G131" s="28" t="str">
        <f>C112</f>
        <v>AFSFunds</v>
      </c>
      <c r="H131" s="28"/>
      <c r="I131" s="28"/>
      <c r="J131" s="62" t="str">
        <f t="shared" ref="J131:AJ131" si="772">IF(J112&lt;&gt;0,J111/J112,"")</f>
        <v/>
      </c>
      <c r="K131" s="62" t="str">
        <f t="shared" si="772"/>
        <v/>
      </c>
      <c r="L131" s="62">
        <f t="shared" si="772"/>
        <v>0.64324894514767927</v>
      </c>
      <c r="M131" s="62">
        <f t="shared" si="772"/>
        <v>0.64324894514767927</v>
      </c>
      <c r="N131" s="62">
        <f t="shared" si="772"/>
        <v>0.64324894514767927</v>
      </c>
      <c r="O131" s="62">
        <f t="shared" si="772"/>
        <v>0.64324387425799467</v>
      </c>
      <c r="P131" s="62">
        <f t="shared" si="772"/>
        <v>0.60893634967179533</v>
      </c>
      <c r="Q131" s="62">
        <f t="shared" si="772"/>
        <v>0.60893634967179533</v>
      </c>
      <c r="R131" s="62">
        <f t="shared" si="772"/>
        <v>0.60894636276784497</v>
      </c>
      <c r="S131" s="62">
        <f t="shared" si="772"/>
        <v>0.60894636276784497</v>
      </c>
      <c r="T131" s="62">
        <f t="shared" si="772"/>
        <v>0.60894636276784497</v>
      </c>
      <c r="U131" s="62">
        <f t="shared" si="772"/>
        <v>0.60894636276784497</v>
      </c>
      <c r="V131" s="62" t="str">
        <f t="shared" si="772"/>
        <v/>
      </c>
      <c r="W131" s="62" t="str">
        <f t="shared" si="772"/>
        <v/>
      </c>
      <c r="X131" s="62" t="str">
        <f t="shared" si="772"/>
        <v/>
      </c>
      <c r="Y131" s="62" t="str">
        <f t="shared" si="772"/>
        <v/>
      </c>
      <c r="Z131" s="62" t="str">
        <f t="shared" si="772"/>
        <v/>
      </c>
      <c r="AA131" s="62" t="str">
        <f t="shared" si="772"/>
        <v/>
      </c>
      <c r="AB131" s="62">
        <f t="shared" si="772"/>
        <v>0.64808962962962957</v>
      </c>
      <c r="AC131" s="62" t="str">
        <f t="shared" si="772"/>
        <v/>
      </c>
      <c r="AD131" s="62" t="str">
        <f t="shared" si="772"/>
        <v/>
      </c>
      <c r="AE131" s="62" t="str">
        <f t="shared" si="772"/>
        <v/>
      </c>
      <c r="AF131" s="62" t="str">
        <f t="shared" si="772"/>
        <v/>
      </c>
      <c r="AG131" s="62">
        <f t="shared" si="772"/>
        <v>0.71167728930853535</v>
      </c>
      <c r="AH131" s="62">
        <f t="shared" si="772"/>
        <v>0.71167728930853535</v>
      </c>
      <c r="AI131" s="62" t="str">
        <f t="shared" ref="AI131" si="773">IF(AI112&lt;&gt;0,AI111/AI112,"")</f>
        <v/>
      </c>
      <c r="AJ131" s="62" t="str">
        <f t="shared" si="772"/>
        <v/>
      </c>
      <c r="AK131" s="412"/>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412"/>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412"/>
      <c r="CP131" s="14" t="str">
        <f t="shared" ref="CP131:DP131" si="774">IF(CP112&lt;&gt;0,CP111/CP112,"")</f>
        <v/>
      </c>
      <c r="CQ131" s="14" t="str">
        <f t="shared" si="774"/>
        <v/>
      </c>
      <c r="CR131" s="14">
        <f t="shared" si="774"/>
        <v>0.64324894514767927</v>
      </c>
      <c r="CS131" s="14">
        <f t="shared" si="774"/>
        <v>0.64324894514767927</v>
      </c>
      <c r="CT131" s="14">
        <f t="shared" si="774"/>
        <v>0.64324894514767927</v>
      </c>
      <c r="CU131" s="14">
        <f t="shared" si="774"/>
        <v>0.64324387425799467</v>
      </c>
      <c r="CV131" s="14">
        <f t="shared" si="774"/>
        <v>0.60893634967179533</v>
      </c>
      <c r="CW131" s="14">
        <f t="shared" si="774"/>
        <v>0.60893634967179533</v>
      </c>
      <c r="CX131" s="14">
        <f t="shared" si="774"/>
        <v>0.60894636276784497</v>
      </c>
      <c r="CY131" s="14">
        <f t="shared" si="774"/>
        <v>0.60894636276784497</v>
      </c>
      <c r="CZ131" s="14">
        <f t="shared" si="774"/>
        <v>0.60894636276784497</v>
      </c>
      <c r="DA131" s="14">
        <f t="shared" si="774"/>
        <v>0.60894636276784497</v>
      </c>
      <c r="DB131" s="14" t="str">
        <f t="shared" si="774"/>
        <v/>
      </c>
      <c r="DC131" s="14" t="str">
        <f t="shared" si="774"/>
        <v/>
      </c>
      <c r="DD131" s="14" t="str">
        <f t="shared" si="774"/>
        <v/>
      </c>
      <c r="DE131" s="14" t="str">
        <f t="shared" si="774"/>
        <v/>
      </c>
      <c r="DF131" s="14" t="str">
        <f t="shared" si="774"/>
        <v/>
      </c>
      <c r="DG131" s="14" t="str">
        <f t="shared" si="774"/>
        <v/>
      </c>
      <c r="DH131" s="14">
        <f t="shared" si="774"/>
        <v>0.64808962962962957</v>
      </c>
      <c r="DI131" s="14" t="str">
        <f t="shared" si="774"/>
        <v/>
      </c>
      <c r="DJ131" s="14" t="str">
        <f t="shared" si="774"/>
        <v/>
      </c>
      <c r="DK131" s="14" t="str">
        <f t="shared" si="774"/>
        <v/>
      </c>
      <c r="DL131" s="14" t="str">
        <f t="shared" si="774"/>
        <v/>
      </c>
      <c r="DM131" s="14">
        <f t="shared" si="774"/>
        <v>0.71167728930853535</v>
      </c>
      <c r="DN131" s="14">
        <f t="shared" si="774"/>
        <v>0.71167728930853535</v>
      </c>
      <c r="DO131" s="14" t="str">
        <f t="shared" si="774"/>
        <v/>
      </c>
      <c r="DP131" s="14" t="str">
        <f t="shared" si="774"/>
        <v/>
      </c>
      <c r="DQ131" s="14"/>
      <c r="DR131" s="14"/>
      <c r="DS131" s="14"/>
      <c r="DT131" s="14"/>
      <c r="DU131" s="14"/>
      <c r="DV131" s="14"/>
      <c r="DW131" s="14"/>
      <c r="DX131" s="14"/>
      <c r="DY131" s="14"/>
      <c r="ED131" s="429"/>
      <c r="EE131" s="23"/>
      <c r="EF131" s="23"/>
      <c r="EG131" s="23"/>
      <c r="EH131" s="24" t="s">
        <v>97</v>
      </c>
      <c r="EI131" s="24" t="s">
        <v>97</v>
      </c>
      <c r="EJ131" s="14" t="str">
        <f>IF(EJ112&lt;&gt;0,EJ111/EJ112,"")</f>
        <v/>
      </c>
      <c r="EK131" s="24"/>
      <c r="EL131" s="24" t="s">
        <v>97</v>
      </c>
      <c r="EM131" s="24" t="s">
        <v>97</v>
      </c>
      <c r="EN131" s="47" t="str">
        <f>IF(EJ131="","",+EJ131-EG124)</f>
        <v/>
      </c>
      <c r="EO131" s="100" t="s">
        <v>97</v>
      </c>
      <c r="EP131" s="100" t="s">
        <v>97</v>
      </c>
      <c r="EQ131" s="24" t="s">
        <v>97</v>
      </c>
      <c r="ER131" s="24" t="s">
        <v>97</v>
      </c>
      <c r="ES131" s="2" t="e">
        <f>IF(EJ131/EG124&gt;=0.9,1,IF(EJ131/EG124&lt;0.75,3,2))</f>
        <v>#VALUE!</v>
      </c>
    </row>
    <row r="132" spans="1:150">
      <c r="ED132" s="429"/>
      <c r="EE132" s="23"/>
      <c r="EF132" s="23"/>
      <c r="EG132" s="23"/>
      <c r="EH132" s="23"/>
      <c r="EI132" s="23"/>
      <c r="EJ132" s="23"/>
      <c r="EK132" s="23"/>
    </row>
    <row r="133" spans="1:150" ht="13.5" thickBot="1">
      <c r="A133" s="6" t="s">
        <v>169</v>
      </c>
      <c r="C133" s="3" t="s">
        <v>170</v>
      </c>
      <c r="E133" s="107">
        <f>I133</f>
        <v>40391</v>
      </c>
      <c r="G133" s="132" t="s">
        <v>161</v>
      </c>
      <c r="I133" s="107">
        <f>$I$1</f>
        <v>40391</v>
      </c>
      <c r="J133" s="669" t="s">
        <v>95</v>
      </c>
      <c r="K133" s="669"/>
      <c r="L133" s="669"/>
      <c r="M133" s="669"/>
      <c r="N133" s="669"/>
      <c r="O133" s="669"/>
      <c r="P133" s="669"/>
      <c r="Q133" s="669"/>
      <c r="R133" s="669"/>
      <c r="S133" s="669"/>
      <c r="T133" s="669"/>
      <c r="U133" s="669"/>
      <c r="V133" s="669"/>
      <c r="W133" s="669"/>
      <c r="X133" s="669"/>
      <c r="Y133" s="669"/>
      <c r="Z133" s="669"/>
      <c r="AA133" s="669"/>
      <c r="AB133" s="669"/>
      <c r="AC133" s="669"/>
      <c r="AD133" s="669"/>
      <c r="AE133" s="669"/>
      <c r="AF133" s="669"/>
      <c r="AG133" s="669"/>
      <c r="AH133" s="669"/>
      <c r="AI133" s="669"/>
      <c r="AJ133" s="669"/>
      <c r="AL133" s="669" t="s">
        <v>115</v>
      </c>
      <c r="AM133" s="669"/>
      <c r="AN133" s="669"/>
      <c r="AO133" s="669"/>
      <c r="AP133" s="669"/>
      <c r="AQ133" s="669"/>
      <c r="AR133" s="669"/>
      <c r="AS133" s="669"/>
      <c r="AT133" s="669"/>
      <c r="AU133" s="669"/>
      <c r="AV133" s="669"/>
      <c r="AW133" s="669"/>
      <c r="AX133" s="669"/>
      <c r="AY133" s="669"/>
      <c r="AZ133" s="669"/>
      <c r="BA133" s="669"/>
      <c r="BB133" s="669"/>
      <c r="BC133" s="669"/>
      <c r="BD133" s="669"/>
      <c r="BE133" s="669"/>
      <c r="BF133" s="669"/>
      <c r="BG133" s="669"/>
      <c r="BH133" s="669"/>
      <c r="BI133" s="669"/>
      <c r="BJ133" s="669"/>
      <c r="BK133" s="669"/>
      <c r="BL133" s="669"/>
      <c r="BN133" s="669" t="s">
        <v>116</v>
      </c>
      <c r="BO133" s="669"/>
      <c r="BP133" s="669"/>
      <c r="BQ133" s="669"/>
      <c r="BR133" s="669"/>
      <c r="BS133" s="669"/>
      <c r="BT133" s="669"/>
      <c r="BU133" s="669"/>
      <c r="BV133" s="669"/>
      <c r="BW133" s="669"/>
      <c r="BX133" s="669"/>
      <c r="BY133" s="669"/>
      <c r="BZ133" s="669"/>
      <c r="CA133" s="669"/>
      <c r="CB133" s="669"/>
      <c r="CC133" s="669"/>
      <c r="CD133" s="669"/>
      <c r="CE133" s="669"/>
      <c r="CF133" s="669"/>
      <c r="CG133" s="669"/>
      <c r="CH133" s="669"/>
      <c r="CI133" s="669"/>
      <c r="CJ133" s="669"/>
      <c r="CK133" s="669"/>
      <c r="CL133" s="669"/>
      <c r="CM133" s="669"/>
      <c r="CN133" s="669"/>
      <c r="CP133" s="669" t="s">
        <v>117</v>
      </c>
      <c r="CQ133" s="669"/>
      <c r="CR133" s="669"/>
      <c r="CS133" s="669"/>
      <c r="CT133" s="669"/>
      <c r="CU133" s="669"/>
      <c r="CV133" s="669"/>
      <c r="CW133" s="669"/>
      <c r="CX133" s="669"/>
      <c r="CY133" s="669"/>
      <c r="CZ133" s="669"/>
      <c r="DA133" s="669"/>
      <c r="DB133" s="669"/>
      <c r="DC133" s="669"/>
      <c r="DD133" s="669"/>
      <c r="DE133" s="669"/>
      <c r="DF133" s="669"/>
      <c r="DG133" s="669"/>
      <c r="DH133" s="669"/>
      <c r="DI133" s="669"/>
      <c r="DJ133" s="669"/>
      <c r="DK133" s="669"/>
      <c r="DL133" s="669"/>
      <c r="DM133" s="669"/>
      <c r="DN133" s="669"/>
      <c r="DO133" s="669"/>
      <c r="DP133" s="669"/>
      <c r="DQ133" s="578"/>
      <c r="DR133" s="578"/>
      <c r="DS133" s="578"/>
      <c r="DT133" s="578"/>
      <c r="DU133" s="578"/>
      <c r="DV133" s="578"/>
      <c r="DW133" s="578"/>
      <c r="DX133" s="578"/>
      <c r="DY133" s="578"/>
      <c r="DZ133" s="670" t="s">
        <v>118</v>
      </c>
      <c r="EA133" s="671"/>
      <c r="EB133" s="672"/>
      <c r="EC133" s="579"/>
      <c r="ED133" s="427"/>
      <c r="EE133" s="669" t="s">
        <v>112</v>
      </c>
      <c r="EF133" s="669"/>
      <c r="EG133" s="669"/>
      <c r="EH133" s="669" t="s">
        <v>111</v>
      </c>
      <c r="EI133" s="669"/>
      <c r="EJ133" s="669"/>
      <c r="EK133" s="45">
        <f>IF(MONTH(I133)&gt;9,MONTH(I133)-9,MONTH(I133)+3)</f>
        <v>11</v>
      </c>
      <c r="EL133" s="673" t="s">
        <v>119</v>
      </c>
      <c r="EM133" s="674"/>
      <c r="EN133" s="674"/>
      <c r="EO133" s="674"/>
      <c r="EP133" s="674"/>
      <c r="EQ133" s="674"/>
      <c r="ER133" s="674"/>
      <c r="ES133" s="674"/>
    </row>
    <row r="134" spans="1:150" ht="26.25" thickBot="1">
      <c r="A134" s="665" t="s">
        <v>19</v>
      </c>
      <c r="B134" s="665"/>
      <c r="C134" s="8" t="s">
        <v>34</v>
      </c>
      <c r="D134" s="9"/>
      <c r="E134" s="10" t="s">
        <v>93</v>
      </c>
      <c r="F134" s="1"/>
      <c r="G134" s="17" t="s">
        <v>90</v>
      </c>
      <c r="H134" s="1"/>
      <c r="I134" s="1" t="s">
        <v>96</v>
      </c>
      <c r="J134" s="13">
        <v>39630</v>
      </c>
      <c r="K134" s="13">
        <v>39661</v>
      </c>
      <c r="L134" s="13">
        <v>39692</v>
      </c>
      <c r="M134" s="13">
        <v>39722</v>
      </c>
      <c r="N134" s="13">
        <v>39753</v>
      </c>
      <c r="O134" s="13">
        <v>39783</v>
      </c>
      <c r="P134" s="13">
        <v>39814</v>
      </c>
      <c r="Q134" s="13">
        <v>39845</v>
      </c>
      <c r="R134" s="13">
        <v>39873</v>
      </c>
      <c r="S134" s="13">
        <v>39904</v>
      </c>
      <c r="T134" s="13">
        <v>39934</v>
      </c>
      <c r="U134" s="13">
        <v>39965</v>
      </c>
      <c r="V134" s="13">
        <v>39995</v>
      </c>
      <c r="W134" s="13">
        <v>40026</v>
      </c>
      <c r="X134" s="13">
        <v>40057</v>
      </c>
      <c r="Y134" s="13">
        <v>40087</v>
      </c>
      <c r="Z134" s="13">
        <v>40118</v>
      </c>
      <c r="AA134" s="13">
        <v>40148</v>
      </c>
      <c r="AB134" s="13">
        <v>40179</v>
      </c>
      <c r="AC134" s="13">
        <v>40210</v>
      </c>
      <c r="AD134" s="13">
        <v>40238</v>
      </c>
      <c r="AE134" s="13">
        <v>40269</v>
      </c>
      <c r="AF134" s="13">
        <v>40299</v>
      </c>
      <c r="AG134" s="13">
        <v>40330</v>
      </c>
      <c r="AH134" s="13">
        <v>40360</v>
      </c>
      <c r="AI134" s="13">
        <v>40391</v>
      </c>
      <c r="AJ134" s="13">
        <v>40422</v>
      </c>
      <c r="AK134" s="406"/>
      <c r="AL134" s="13">
        <v>39630</v>
      </c>
      <c r="AM134" s="13">
        <v>39661</v>
      </c>
      <c r="AN134" s="13">
        <v>39692</v>
      </c>
      <c r="AO134" s="13">
        <v>39722</v>
      </c>
      <c r="AP134" s="13">
        <v>39753</v>
      </c>
      <c r="AQ134" s="13">
        <v>39783</v>
      </c>
      <c r="AR134" s="13">
        <v>39814</v>
      </c>
      <c r="AS134" s="13">
        <v>39845</v>
      </c>
      <c r="AT134" s="13">
        <v>39873</v>
      </c>
      <c r="AU134" s="13">
        <v>39904</v>
      </c>
      <c r="AV134" s="13">
        <v>39934</v>
      </c>
      <c r="AW134" s="13">
        <v>39965</v>
      </c>
      <c r="AX134" s="13">
        <v>39995</v>
      </c>
      <c r="AY134" s="13">
        <v>40026</v>
      </c>
      <c r="AZ134" s="13">
        <v>40057</v>
      </c>
      <c r="BA134" s="13">
        <v>40087</v>
      </c>
      <c r="BB134" s="13">
        <v>40118</v>
      </c>
      <c r="BC134" s="13">
        <v>40148</v>
      </c>
      <c r="BD134" s="13">
        <v>40179</v>
      </c>
      <c r="BE134" s="13">
        <v>40210</v>
      </c>
      <c r="BF134" s="13">
        <v>40238</v>
      </c>
      <c r="BG134" s="13">
        <v>40269</v>
      </c>
      <c r="BH134" s="13">
        <v>40299</v>
      </c>
      <c r="BI134" s="13">
        <v>40330</v>
      </c>
      <c r="BJ134" s="13">
        <v>40360</v>
      </c>
      <c r="BK134" s="13">
        <v>40391</v>
      </c>
      <c r="BL134" s="13">
        <v>40422</v>
      </c>
      <c r="BM134" s="406"/>
      <c r="BN134" s="13">
        <v>39630</v>
      </c>
      <c r="BO134" s="13">
        <v>39661</v>
      </c>
      <c r="BP134" s="13">
        <v>39692</v>
      </c>
      <c r="BQ134" s="13">
        <v>39722</v>
      </c>
      <c r="BR134" s="13">
        <v>39753</v>
      </c>
      <c r="BS134" s="13">
        <v>39783</v>
      </c>
      <c r="BT134" s="13">
        <v>39814</v>
      </c>
      <c r="BU134" s="13">
        <v>39845</v>
      </c>
      <c r="BV134" s="13">
        <v>39873</v>
      </c>
      <c r="BW134" s="13">
        <v>39904</v>
      </c>
      <c r="BX134" s="13">
        <v>39934</v>
      </c>
      <c r="BY134" s="13">
        <v>39965</v>
      </c>
      <c r="BZ134" s="13">
        <v>39995</v>
      </c>
      <c r="CA134" s="13">
        <v>40026</v>
      </c>
      <c r="CB134" s="13">
        <v>40057</v>
      </c>
      <c r="CC134" s="13">
        <v>40087</v>
      </c>
      <c r="CD134" s="13">
        <v>40118</v>
      </c>
      <c r="CE134" s="13">
        <v>40148</v>
      </c>
      <c r="CF134" s="13">
        <v>40179</v>
      </c>
      <c r="CG134" s="13">
        <v>40210</v>
      </c>
      <c r="CH134" s="13">
        <v>40238</v>
      </c>
      <c r="CI134" s="13">
        <v>40269</v>
      </c>
      <c r="CJ134" s="13">
        <v>40299</v>
      </c>
      <c r="CK134" s="13">
        <v>40330</v>
      </c>
      <c r="CL134" s="13">
        <v>40360</v>
      </c>
      <c r="CM134" s="13">
        <v>40391</v>
      </c>
      <c r="CN134" s="13">
        <v>40422</v>
      </c>
      <c r="CO134" s="420"/>
      <c r="CP134" s="13">
        <v>39630</v>
      </c>
      <c r="CQ134" s="13">
        <v>39661</v>
      </c>
      <c r="CR134" s="13">
        <v>39692</v>
      </c>
      <c r="CS134" s="13">
        <v>39722</v>
      </c>
      <c r="CT134" s="13">
        <v>39753</v>
      </c>
      <c r="CU134" s="13">
        <v>39783</v>
      </c>
      <c r="CV134" s="13">
        <v>39814</v>
      </c>
      <c r="CW134" s="13">
        <v>39845</v>
      </c>
      <c r="CX134" s="13">
        <v>39873</v>
      </c>
      <c r="CY134" s="13">
        <v>39904</v>
      </c>
      <c r="CZ134" s="13">
        <v>39934</v>
      </c>
      <c r="DA134" s="13">
        <v>39965</v>
      </c>
      <c r="DB134" s="13">
        <v>39995</v>
      </c>
      <c r="DC134" s="13">
        <v>40026</v>
      </c>
      <c r="DD134" s="13">
        <v>40057</v>
      </c>
      <c r="DE134" s="13">
        <v>40087</v>
      </c>
      <c r="DF134" s="13">
        <v>40118</v>
      </c>
      <c r="DG134" s="13">
        <v>40148</v>
      </c>
      <c r="DH134" s="13">
        <v>40179</v>
      </c>
      <c r="DI134" s="13">
        <v>40210</v>
      </c>
      <c r="DJ134" s="13">
        <v>40238</v>
      </c>
      <c r="DK134" s="13">
        <v>40269</v>
      </c>
      <c r="DL134" s="13">
        <v>40299</v>
      </c>
      <c r="DM134" s="13">
        <v>40330</v>
      </c>
      <c r="DN134" s="13">
        <v>40360</v>
      </c>
      <c r="DO134" s="13">
        <v>40391</v>
      </c>
      <c r="DP134" s="13">
        <v>40422</v>
      </c>
      <c r="DQ134" s="580"/>
      <c r="DR134" s="580"/>
      <c r="DS134" s="580"/>
      <c r="DT134" s="580"/>
      <c r="DU134" s="580"/>
      <c r="DV134" s="580"/>
      <c r="DW134" s="580"/>
      <c r="DX134" s="580"/>
      <c r="DY134" s="580"/>
      <c r="DZ134" s="1">
        <v>2008</v>
      </c>
      <c r="EA134" s="135">
        <v>2009</v>
      </c>
      <c r="EB134" s="135">
        <v>2010</v>
      </c>
      <c r="EC134" s="577"/>
      <c r="ED134" s="428"/>
      <c r="EE134" s="115" t="s">
        <v>89</v>
      </c>
      <c r="EF134" s="115" t="s">
        <v>110</v>
      </c>
      <c r="EG134" s="115" t="s">
        <v>128</v>
      </c>
      <c r="EH134" s="115" t="s">
        <v>89</v>
      </c>
      <c r="EI134" s="115" t="s">
        <v>110</v>
      </c>
      <c r="EJ134" s="115" t="s">
        <v>91</v>
      </c>
      <c r="EK134" s="45">
        <f>IF(MONTH(I133)&gt;6,MONTH(I133)-6,MONTH(I133)+6)</f>
        <v>2</v>
      </c>
      <c r="EL134" s="115" t="s">
        <v>124</v>
      </c>
      <c r="EM134" s="115" t="s">
        <v>125</v>
      </c>
      <c r="EN134" s="115" t="s">
        <v>126</v>
      </c>
      <c r="EO134" s="115" t="s">
        <v>122</v>
      </c>
      <c r="EP134" s="115" t="s">
        <v>123</v>
      </c>
      <c r="EQ134" s="115" t="s">
        <v>120</v>
      </c>
      <c r="ER134" s="115" t="s">
        <v>127</v>
      </c>
      <c r="ES134" s="115" t="s">
        <v>121</v>
      </c>
      <c r="ET134" s="1"/>
    </row>
    <row r="135" spans="1:150">
      <c r="A135" s="36" t="s">
        <v>20</v>
      </c>
      <c r="B135" s="36"/>
      <c r="C135" s="37"/>
      <c r="D135" s="37"/>
      <c r="E135" s="37"/>
      <c r="F135" s="37"/>
      <c r="G135" s="37"/>
      <c r="H135" s="37"/>
      <c r="I135" s="37"/>
      <c r="J135" s="38"/>
      <c r="K135" s="38"/>
      <c r="L135" s="10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407"/>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407"/>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407"/>
      <c r="CP135" s="245"/>
      <c r="CQ135" s="245"/>
      <c r="CR135" s="245"/>
      <c r="CS135" s="245"/>
      <c r="CT135" s="245"/>
      <c r="CU135" s="245"/>
      <c r="CV135" s="245"/>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7"/>
      <c r="EA135" s="37"/>
      <c r="EB135" s="37"/>
      <c r="EC135" s="37"/>
      <c r="ED135" s="408"/>
      <c r="EE135" s="40"/>
      <c r="EF135" s="37"/>
      <c r="EG135" s="37"/>
      <c r="EH135" s="37"/>
      <c r="EI135" s="110" t="s">
        <v>155</v>
      </c>
      <c r="EJ135" s="110">
        <f>IF(I133&lt;M134,2008,IF(AND(I133&gt;=M134,I133&lt;=X134),2009,2010))</f>
        <v>2010</v>
      </c>
      <c r="EK135" s="40"/>
      <c r="EL135" s="37"/>
      <c r="EM135" s="37"/>
      <c r="EN135" s="37"/>
      <c r="EO135" s="37"/>
      <c r="EP135" s="37"/>
      <c r="EQ135" s="37"/>
      <c r="ER135" s="37"/>
      <c r="ES135" s="37"/>
      <c r="ET135" s="37"/>
    </row>
    <row r="136" spans="1:150">
      <c r="A136" s="134" t="s">
        <v>22</v>
      </c>
      <c r="B136" s="2" t="s">
        <v>0</v>
      </c>
      <c r="C136" s="3" t="s">
        <v>35</v>
      </c>
      <c r="E136" s="3" t="s">
        <v>16</v>
      </c>
      <c r="F136" s="1"/>
      <c r="G136" s="1" t="s">
        <v>91</v>
      </c>
      <c r="H136" s="1"/>
      <c r="I136" s="18">
        <f>6.67*9</f>
        <v>60.03</v>
      </c>
      <c r="J136" s="19">
        <f>6.67*10</f>
        <v>66.7</v>
      </c>
      <c r="K136" s="19">
        <f>J136+6.67</f>
        <v>73.37</v>
      </c>
      <c r="L136" s="19">
        <f>K136+6.67</f>
        <v>80.040000000000006</v>
      </c>
      <c r="M136" s="20">
        <f>109/12</f>
        <v>9.0833333333333339</v>
      </c>
      <c r="N136" s="19">
        <f>M136+9.08</f>
        <v>18.163333333333334</v>
      </c>
      <c r="O136" s="19">
        <f t="shared" ref="O136:X136" si="775">N136+9.08</f>
        <v>27.243333333333332</v>
      </c>
      <c r="P136" s="19">
        <f t="shared" si="775"/>
        <v>36.323333333333331</v>
      </c>
      <c r="Q136" s="19">
        <f t="shared" si="775"/>
        <v>45.403333333333329</v>
      </c>
      <c r="R136" s="19">
        <f t="shared" si="775"/>
        <v>54.483333333333327</v>
      </c>
      <c r="S136" s="19">
        <f t="shared" si="775"/>
        <v>63.563333333333325</v>
      </c>
      <c r="T136" s="19">
        <f t="shared" si="775"/>
        <v>72.643333333333331</v>
      </c>
      <c r="U136" s="19">
        <f t="shared" si="775"/>
        <v>81.723333333333329</v>
      </c>
      <c r="V136" s="19">
        <f t="shared" si="775"/>
        <v>90.803333333333327</v>
      </c>
      <c r="W136" s="19">
        <f t="shared" si="775"/>
        <v>99.883333333333326</v>
      </c>
      <c r="X136" s="19">
        <f t="shared" si="775"/>
        <v>108.96333333333332</v>
      </c>
      <c r="Y136" s="219">
        <v>10.5</v>
      </c>
      <c r="Z136" s="246">
        <f>Y136+10.5</f>
        <v>21</v>
      </c>
      <c r="AA136" s="376">
        <f t="shared" ref="AA136:AJ136" si="776">Z136+10.5</f>
        <v>31.5</v>
      </c>
      <c r="AB136" s="376">
        <f t="shared" si="776"/>
        <v>42</v>
      </c>
      <c r="AC136" s="376">
        <f t="shared" si="776"/>
        <v>52.5</v>
      </c>
      <c r="AD136" s="376">
        <f t="shared" si="776"/>
        <v>63</v>
      </c>
      <c r="AE136" s="376">
        <f t="shared" si="776"/>
        <v>73.5</v>
      </c>
      <c r="AF136" s="376">
        <f t="shared" si="776"/>
        <v>84</v>
      </c>
      <c r="AG136" s="376">
        <f t="shared" si="776"/>
        <v>94.5</v>
      </c>
      <c r="AH136" s="376">
        <f t="shared" si="776"/>
        <v>105</v>
      </c>
      <c r="AI136" s="376">
        <f t="shared" si="776"/>
        <v>115.5</v>
      </c>
      <c r="AJ136" s="376">
        <f t="shared" si="776"/>
        <v>126</v>
      </c>
      <c r="AK136" s="408"/>
      <c r="AL136" s="48">
        <f>J136-I136</f>
        <v>6.6700000000000017</v>
      </c>
      <c r="AM136" s="48">
        <f t="shared" ref="AM136:AM142" si="777">K136-J136</f>
        <v>6.6700000000000017</v>
      </c>
      <c r="AN136" s="48">
        <f t="shared" ref="AN136:AN142" si="778">L136-K136</f>
        <v>6.6700000000000017</v>
      </c>
      <c r="AO136" s="48">
        <f>M136</f>
        <v>9.0833333333333339</v>
      </c>
      <c r="AP136" s="48">
        <f t="shared" ref="AP136:AP142" si="779">N136-M136</f>
        <v>9.08</v>
      </c>
      <c r="AQ136" s="48">
        <f t="shared" ref="AQ136:AQ142" si="780">O136-N136</f>
        <v>9.0799999999999983</v>
      </c>
      <c r="AR136" s="48">
        <f t="shared" ref="AR136:AR142" si="781">P136-O136</f>
        <v>9.0799999999999983</v>
      </c>
      <c r="AS136" s="48">
        <f t="shared" ref="AS136:AS142" si="782">Q136-P136</f>
        <v>9.0799999999999983</v>
      </c>
      <c r="AT136" s="48">
        <f t="shared" ref="AT136:AT142" si="783">R136-Q136</f>
        <v>9.0799999999999983</v>
      </c>
      <c r="AU136" s="48">
        <f t="shared" ref="AU136:AU142" si="784">S136-R136</f>
        <v>9.0799999999999983</v>
      </c>
      <c r="AV136" s="48">
        <f t="shared" ref="AV136:AV142" si="785">T136-S136</f>
        <v>9.0800000000000054</v>
      </c>
      <c r="AW136" s="48">
        <f t="shared" ref="AW136:AW142" si="786">U136-T136</f>
        <v>9.0799999999999983</v>
      </c>
      <c r="AX136" s="48">
        <f>V136-U136</f>
        <v>9.0799999999999983</v>
      </c>
      <c r="AY136" s="48">
        <f t="shared" ref="AY136:AY142" si="787">W136-V136</f>
        <v>9.0799999999999983</v>
      </c>
      <c r="AZ136" s="48">
        <f t="shared" ref="AZ136:AZ142" si="788">X136-W136</f>
        <v>9.0799999999999983</v>
      </c>
      <c r="BA136" s="48">
        <f>Y136</f>
        <v>10.5</v>
      </c>
      <c r="BB136" s="48">
        <f t="shared" ref="BB136:BB142" si="789">Z136-Y136</f>
        <v>10.5</v>
      </c>
      <c r="BC136" s="48">
        <f t="shared" ref="BC136:BC142" si="790">AA136-Z136</f>
        <v>10.5</v>
      </c>
      <c r="BD136" s="48">
        <f t="shared" ref="BD136:BD142" si="791">AB136-AA136</f>
        <v>10.5</v>
      </c>
      <c r="BE136" s="48">
        <f t="shared" ref="BE136:BE142" si="792">AC136-AB136</f>
        <v>10.5</v>
      </c>
      <c r="BF136" s="48">
        <f t="shared" ref="BF136:BF142" si="793">AD136-AC136</f>
        <v>10.5</v>
      </c>
      <c r="BG136" s="48">
        <f t="shared" ref="BG136:BG142" si="794">AE136-AD136</f>
        <v>10.5</v>
      </c>
      <c r="BH136" s="48">
        <f t="shared" ref="BH136:BH142" si="795">AF136-AE136</f>
        <v>10.5</v>
      </c>
      <c r="BI136" s="48">
        <f t="shared" ref="BI136:BI142" si="796">AG136-AF136</f>
        <v>10.5</v>
      </c>
      <c r="BJ136" s="48">
        <f t="shared" ref="BJ136:BL140" si="797">AH136-AG136</f>
        <v>10.5</v>
      </c>
      <c r="BK136" s="48">
        <f t="shared" si="797"/>
        <v>10.5</v>
      </c>
      <c r="BL136" s="48">
        <f t="shared" si="797"/>
        <v>10.5</v>
      </c>
      <c r="BM136" s="408"/>
      <c r="BN136" s="48">
        <f>BP136</f>
        <v>20.010000000000005</v>
      </c>
      <c r="BO136" s="48">
        <f>BP136</f>
        <v>20.010000000000005</v>
      </c>
      <c r="BP136" s="48">
        <f>SUM(AL136:AN136)</f>
        <v>20.010000000000005</v>
      </c>
      <c r="BQ136" s="48">
        <f>BS136</f>
        <v>27.243333333333332</v>
      </c>
      <c r="BR136" s="48">
        <f>BS136</f>
        <v>27.243333333333332</v>
      </c>
      <c r="BS136" s="48">
        <f>SUM(AO136:AQ136)</f>
        <v>27.243333333333332</v>
      </c>
      <c r="BT136" s="48">
        <f>BV136</f>
        <v>27.239999999999995</v>
      </c>
      <c r="BU136" s="48">
        <f>BV136</f>
        <v>27.239999999999995</v>
      </c>
      <c r="BV136" s="48">
        <f>SUM(AR136:AT136)</f>
        <v>27.239999999999995</v>
      </c>
      <c r="BW136" s="48">
        <f>BY136</f>
        <v>27.240000000000002</v>
      </c>
      <c r="BX136" s="48">
        <f>BY136</f>
        <v>27.240000000000002</v>
      </c>
      <c r="BY136" s="48">
        <f>SUM(AU136:AW136)</f>
        <v>27.240000000000002</v>
      </c>
      <c r="BZ136" s="48">
        <f>CB136</f>
        <v>27.239999999999995</v>
      </c>
      <c r="CA136" s="48">
        <f>CB136</f>
        <v>27.239999999999995</v>
      </c>
      <c r="CB136" s="48">
        <f>SUM(AX136:AZ136)</f>
        <v>27.239999999999995</v>
      </c>
      <c r="CC136" s="48">
        <f>CE136</f>
        <v>31.5</v>
      </c>
      <c r="CD136" s="48">
        <f>CE136</f>
        <v>31.5</v>
      </c>
      <c r="CE136" s="48">
        <f>SUM(BA136:BC136)</f>
        <v>31.5</v>
      </c>
      <c r="CF136" s="48">
        <f>CH136</f>
        <v>31.5</v>
      </c>
      <c r="CG136" s="48">
        <f>CH136</f>
        <v>31.5</v>
      </c>
      <c r="CH136" s="48">
        <f>SUM(BD136:BF136)</f>
        <v>31.5</v>
      </c>
      <c r="CI136" s="48">
        <f>CK136</f>
        <v>31.5</v>
      </c>
      <c r="CJ136" s="48">
        <f>CK136</f>
        <v>31.5</v>
      </c>
      <c r="CK136" s="48">
        <f>SUM(BG136:BI136)</f>
        <v>31.5</v>
      </c>
      <c r="CL136" s="48">
        <f>CN136</f>
        <v>31.5</v>
      </c>
      <c r="CM136" s="48">
        <f>CN136</f>
        <v>31.5</v>
      </c>
      <c r="CN136" s="48">
        <f t="shared" ref="CN136:CN143" si="798">SUM(BJ136:BL136)</f>
        <v>31.5</v>
      </c>
      <c r="CO136" s="406"/>
      <c r="CP136" s="48">
        <f t="shared" ref="CP136:CR140" si="799">I136+AL136</f>
        <v>66.7</v>
      </c>
      <c r="CQ136" s="48">
        <f t="shared" si="799"/>
        <v>73.37</v>
      </c>
      <c r="CR136" s="48">
        <f t="shared" si="799"/>
        <v>80.040000000000006</v>
      </c>
      <c r="CS136" s="48">
        <f>AO136</f>
        <v>9.0833333333333339</v>
      </c>
      <c r="CT136" s="48">
        <f t="shared" ref="CT136:DD140" si="800">M136+AP136</f>
        <v>18.163333333333334</v>
      </c>
      <c r="CU136" s="48">
        <f t="shared" si="800"/>
        <v>27.243333333333332</v>
      </c>
      <c r="CV136" s="48">
        <f t="shared" si="800"/>
        <v>36.323333333333331</v>
      </c>
      <c r="CW136" s="48">
        <f t="shared" si="800"/>
        <v>45.403333333333329</v>
      </c>
      <c r="CX136" s="48">
        <f t="shared" si="800"/>
        <v>54.483333333333327</v>
      </c>
      <c r="CY136" s="48">
        <f t="shared" si="800"/>
        <v>63.563333333333325</v>
      </c>
      <c r="CZ136" s="48">
        <f t="shared" si="800"/>
        <v>72.643333333333331</v>
      </c>
      <c r="DA136" s="48">
        <f t="shared" si="800"/>
        <v>81.723333333333329</v>
      </c>
      <c r="DB136" s="48">
        <f t="shared" si="800"/>
        <v>90.803333333333327</v>
      </c>
      <c r="DC136" s="48">
        <f t="shared" si="800"/>
        <v>99.883333333333326</v>
      </c>
      <c r="DD136" s="48">
        <f t="shared" si="800"/>
        <v>108.96333333333332</v>
      </c>
      <c r="DE136" s="48">
        <f>+BA136</f>
        <v>10.5</v>
      </c>
      <c r="DF136" s="48">
        <f t="shared" ref="DF136:DP140" si="801">Y136+BB136</f>
        <v>21</v>
      </c>
      <c r="DG136" s="48">
        <f t="shared" si="801"/>
        <v>31.5</v>
      </c>
      <c r="DH136" s="48">
        <f t="shared" si="801"/>
        <v>42</v>
      </c>
      <c r="DI136" s="48">
        <f t="shared" si="801"/>
        <v>52.5</v>
      </c>
      <c r="DJ136" s="48">
        <f t="shared" si="801"/>
        <v>63</v>
      </c>
      <c r="DK136" s="48">
        <f t="shared" si="801"/>
        <v>73.5</v>
      </c>
      <c r="DL136" s="48">
        <f t="shared" si="801"/>
        <v>84</v>
      </c>
      <c r="DM136" s="48">
        <f t="shared" si="801"/>
        <v>94.5</v>
      </c>
      <c r="DN136" s="48">
        <f t="shared" si="801"/>
        <v>105</v>
      </c>
      <c r="DO136" s="48">
        <f t="shared" si="801"/>
        <v>115.5</v>
      </c>
      <c r="DP136" s="48">
        <f t="shared" si="801"/>
        <v>126</v>
      </c>
      <c r="DQ136" s="48"/>
      <c r="DR136" s="48"/>
      <c r="DS136" s="48"/>
      <c r="DT136" s="48"/>
      <c r="DU136" s="48"/>
      <c r="DV136" s="48"/>
      <c r="DW136" s="48"/>
      <c r="DX136" s="48"/>
      <c r="DY136" s="48"/>
      <c r="DZ136" s="1">
        <f>'Input &amp; Calc'!L136</f>
        <v>80.040000000000006</v>
      </c>
      <c r="EA136" s="49">
        <f>DD136</f>
        <v>108.96333333333332</v>
      </c>
      <c r="EB136" s="50">
        <f>DP136</f>
        <v>126</v>
      </c>
      <c r="EC136" s="50"/>
      <c r="ED136" s="408"/>
      <c r="EE136" s="51">
        <f t="shared" ref="EE136:EE151" si="802">HLOOKUP($I$1,Month,ROW()-1)</f>
        <v>10.5</v>
      </c>
      <c r="EF136" s="51">
        <f t="shared" ref="EF136:EF151" si="803">HLOOKUP($I$1,Qtr,ROW()-1)</f>
        <v>31.5</v>
      </c>
      <c r="EG136" s="51">
        <f>HLOOKUP($EJ$3,Budget,ROW()-1)</f>
        <v>126</v>
      </c>
      <c r="EH136" s="40"/>
      <c r="EI136" s="110" t="s">
        <v>154</v>
      </c>
      <c r="EJ136" s="110">
        <f>IF(AND(I133&gt;=J134,I133&lt;=U134),2009,2010)</f>
        <v>2010</v>
      </c>
      <c r="EK136" s="675" t="s">
        <v>129</v>
      </c>
      <c r="EL136" s="37"/>
      <c r="EM136" s="37"/>
      <c r="EN136" s="37"/>
      <c r="EO136" s="49"/>
      <c r="EP136" s="49"/>
      <c r="EQ136" s="49"/>
      <c r="ER136" s="1"/>
      <c r="ES136" s="1"/>
      <c r="ET136" s="1"/>
    </row>
    <row r="137" spans="1:150">
      <c r="A137" s="134" t="s">
        <v>22</v>
      </c>
      <c r="B137" s="2" t="s">
        <v>1</v>
      </c>
      <c r="C137" s="3" t="s">
        <v>36</v>
      </c>
      <c r="E137" s="3" t="s">
        <v>16</v>
      </c>
      <c r="F137" s="1"/>
      <c r="G137" s="1" t="s">
        <v>91</v>
      </c>
      <c r="H137" s="1"/>
      <c r="I137" s="18">
        <f>1.33*9</f>
        <v>11.97</v>
      </c>
      <c r="J137" s="21">
        <f>1.33*10</f>
        <v>13.3</v>
      </c>
      <c r="K137" s="21">
        <f>J137+1.33</f>
        <v>14.63</v>
      </c>
      <c r="L137" s="21">
        <f>K137+1.33</f>
        <v>15.96</v>
      </c>
      <c r="M137" s="20">
        <f>30/12</f>
        <v>2.5</v>
      </c>
      <c r="N137" s="19">
        <f>M137+2.5</f>
        <v>5</v>
      </c>
      <c r="O137" s="19">
        <f t="shared" ref="O137:X137" si="804">N137+2.5</f>
        <v>7.5</v>
      </c>
      <c r="P137" s="19">
        <f t="shared" si="804"/>
        <v>10</v>
      </c>
      <c r="Q137" s="19">
        <f t="shared" si="804"/>
        <v>12.5</v>
      </c>
      <c r="R137" s="19">
        <f t="shared" si="804"/>
        <v>15</v>
      </c>
      <c r="S137" s="19">
        <f t="shared" si="804"/>
        <v>17.5</v>
      </c>
      <c r="T137" s="19">
        <f t="shared" si="804"/>
        <v>20</v>
      </c>
      <c r="U137" s="19">
        <f t="shared" si="804"/>
        <v>22.5</v>
      </c>
      <c r="V137" s="19">
        <f t="shared" si="804"/>
        <v>25</v>
      </c>
      <c r="W137" s="19">
        <f t="shared" si="804"/>
        <v>27.5</v>
      </c>
      <c r="X137" s="19">
        <f t="shared" si="804"/>
        <v>30</v>
      </c>
      <c r="Y137" s="219">
        <v>2.0832999999999999</v>
      </c>
      <c r="Z137" s="246">
        <f>Y137+2.0833</f>
        <v>4.1665999999999999</v>
      </c>
      <c r="AA137" s="376">
        <f t="shared" ref="AA137:AJ137" si="805">Z137+2.0833</f>
        <v>6.2499000000000002</v>
      </c>
      <c r="AB137" s="376">
        <f t="shared" si="805"/>
        <v>8.3331999999999997</v>
      </c>
      <c r="AC137" s="376">
        <f t="shared" si="805"/>
        <v>10.416499999999999</v>
      </c>
      <c r="AD137" s="376">
        <f t="shared" si="805"/>
        <v>12.499799999999999</v>
      </c>
      <c r="AE137" s="376">
        <f t="shared" si="805"/>
        <v>14.583099999999998</v>
      </c>
      <c r="AF137" s="376">
        <f t="shared" si="805"/>
        <v>16.666399999999999</v>
      </c>
      <c r="AG137" s="376">
        <f t="shared" si="805"/>
        <v>18.749700000000001</v>
      </c>
      <c r="AH137" s="376">
        <f t="shared" si="805"/>
        <v>20.833000000000002</v>
      </c>
      <c r="AI137" s="376">
        <f t="shared" si="805"/>
        <v>22.916300000000003</v>
      </c>
      <c r="AJ137" s="263">
        <f t="shared" si="805"/>
        <v>24.999600000000004</v>
      </c>
      <c r="AK137" s="408"/>
      <c r="AL137" s="48">
        <f>J137-I137</f>
        <v>1.33</v>
      </c>
      <c r="AM137" s="48">
        <f t="shared" si="777"/>
        <v>1.33</v>
      </c>
      <c r="AN137" s="48">
        <f t="shared" si="778"/>
        <v>1.33</v>
      </c>
      <c r="AO137" s="48">
        <f>M137</f>
        <v>2.5</v>
      </c>
      <c r="AP137" s="48">
        <f t="shared" si="779"/>
        <v>2.5</v>
      </c>
      <c r="AQ137" s="48">
        <f t="shared" si="780"/>
        <v>2.5</v>
      </c>
      <c r="AR137" s="48">
        <f t="shared" si="781"/>
        <v>2.5</v>
      </c>
      <c r="AS137" s="48">
        <f t="shared" si="782"/>
        <v>2.5</v>
      </c>
      <c r="AT137" s="48">
        <f t="shared" si="783"/>
        <v>2.5</v>
      </c>
      <c r="AU137" s="48">
        <f t="shared" si="784"/>
        <v>2.5</v>
      </c>
      <c r="AV137" s="48">
        <f t="shared" si="785"/>
        <v>2.5</v>
      </c>
      <c r="AW137" s="48">
        <f t="shared" si="786"/>
        <v>2.5</v>
      </c>
      <c r="AX137" s="48">
        <f>V137-U137</f>
        <v>2.5</v>
      </c>
      <c r="AY137" s="48">
        <f t="shared" si="787"/>
        <v>2.5</v>
      </c>
      <c r="AZ137" s="48">
        <f t="shared" si="788"/>
        <v>2.5</v>
      </c>
      <c r="BA137" s="48">
        <f>Y137</f>
        <v>2.0832999999999999</v>
      </c>
      <c r="BB137" s="48">
        <f t="shared" si="789"/>
        <v>2.0832999999999999</v>
      </c>
      <c r="BC137" s="48">
        <f t="shared" si="790"/>
        <v>2.0833000000000004</v>
      </c>
      <c r="BD137" s="48">
        <f t="shared" si="791"/>
        <v>2.0832999999999995</v>
      </c>
      <c r="BE137" s="48">
        <f t="shared" si="792"/>
        <v>2.0832999999999995</v>
      </c>
      <c r="BF137" s="48">
        <f t="shared" si="793"/>
        <v>2.0832999999999995</v>
      </c>
      <c r="BG137" s="48">
        <f t="shared" si="794"/>
        <v>2.0832999999999995</v>
      </c>
      <c r="BH137" s="48">
        <f t="shared" si="795"/>
        <v>2.0833000000000013</v>
      </c>
      <c r="BI137" s="48">
        <f t="shared" si="796"/>
        <v>2.0833000000000013</v>
      </c>
      <c r="BJ137" s="48">
        <f t="shared" si="797"/>
        <v>2.0833000000000013</v>
      </c>
      <c r="BK137" s="48">
        <f t="shared" si="797"/>
        <v>2.0833000000000013</v>
      </c>
      <c r="BL137" s="48">
        <f t="shared" si="797"/>
        <v>2.0833000000000013</v>
      </c>
      <c r="BM137" s="408"/>
      <c r="BN137" s="48">
        <f t="shared" ref="BN137:BN151" si="806">BP137</f>
        <v>3.99</v>
      </c>
      <c r="BO137" s="48">
        <f t="shared" ref="BO137:BO151" si="807">BP137</f>
        <v>3.99</v>
      </c>
      <c r="BP137" s="48">
        <f t="shared" ref="BP137:BP142" si="808">SUM(AL137:AN137)</f>
        <v>3.99</v>
      </c>
      <c r="BQ137" s="48">
        <f t="shared" ref="BQ137:BQ151" si="809">BS137</f>
        <v>7.5</v>
      </c>
      <c r="BR137" s="48">
        <f t="shared" ref="BR137:BR151" si="810">BS137</f>
        <v>7.5</v>
      </c>
      <c r="BS137" s="48">
        <f t="shared" ref="BS137:BS142" si="811">SUM(AO137:AQ137)</f>
        <v>7.5</v>
      </c>
      <c r="BT137" s="48">
        <f t="shared" ref="BT137:BT151" si="812">BV137</f>
        <v>7.5</v>
      </c>
      <c r="BU137" s="48">
        <f t="shared" ref="BU137:BU151" si="813">BV137</f>
        <v>7.5</v>
      </c>
      <c r="BV137" s="48">
        <f t="shared" ref="BV137:BV142" si="814">SUM(AR137:AT137)</f>
        <v>7.5</v>
      </c>
      <c r="BW137" s="48">
        <f t="shared" ref="BW137:BW151" si="815">BY137</f>
        <v>7.5</v>
      </c>
      <c r="BX137" s="48">
        <f t="shared" ref="BX137:BX151" si="816">BY137</f>
        <v>7.5</v>
      </c>
      <c r="BY137" s="48">
        <f t="shared" ref="BY137:BY142" si="817">SUM(AU137:AW137)</f>
        <v>7.5</v>
      </c>
      <c r="BZ137" s="48">
        <f t="shared" ref="BZ137:BZ151" si="818">CB137</f>
        <v>7.5</v>
      </c>
      <c r="CA137" s="48">
        <f t="shared" ref="CA137:CA151" si="819">CB137</f>
        <v>7.5</v>
      </c>
      <c r="CB137" s="48">
        <f t="shared" ref="CB137:CB147" si="820">SUM(AX137:AZ137)</f>
        <v>7.5</v>
      </c>
      <c r="CC137" s="48">
        <f t="shared" ref="CC137:CC151" si="821">CE137</f>
        <v>6.2499000000000002</v>
      </c>
      <c r="CD137" s="48">
        <f t="shared" ref="CD137:CD151" si="822">CE137</f>
        <v>6.2499000000000002</v>
      </c>
      <c r="CE137" s="48">
        <f t="shared" ref="CE137:CE142" si="823">SUM(BA137:BC137)</f>
        <v>6.2499000000000002</v>
      </c>
      <c r="CF137" s="48">
        <f t="shared" ref="CF137:CF151" si="824">CH137</f>
        <v>6.2498999999999985</v>
      </c>
      <c r="CG137" s="48">
        <f t="shared" ref="CG137:CG151" si="825">CH137</f>
        <v>6.2498999999999985</v>
      </c>
      <c r="CH137" s="48">
        <f t="shared" ref="CH137:CH142" si="826">SUM(BD137:BF137)</f>
        <v>6.2498999999999985</v>
      </c>
      <c r="CI137" s="48">
        <f t="shared" ref="CI137:CI151" si="827">CK137</f>
        <v>6.249900000000002</v>
      </c>
      <c r="CJ137" s="48">
        <f t="shared" ref="CJ137:CJ151" si="828">CK137</f>
        <v>6.249900000000002</v>
      </c>
      <c r="CK137" s="48">
        <f t="shared" ref="CK137:CK142" si="829">SUM(BG137:BI137)</f>
        <v>6.249900000000002</v>
      </c>
      <c r="CL137" s="48">
        <f t="shared" ref="CL137:CL151" si="830">CN137</f>
        <v>6.2499000000000038</v>
      </c>
      <c r="CM137" s="48">
        <f t="shared" ref="CM137:CM151" si="831">CN137</f>
        <v>6.2499000000000038</v>
      </c>
      <c r="CN137" s="48">
        <f t="shared" si="798"/>
        <v>6.2499000000000038</v>
      </c>
      <c r="CO137" s="406"/>
      <c r="CP137" s="48">
        <f t="shared" si="799"/>
        <v>13.3</v>
      </c>
      <c r="CQ137" s="48">
        <f t="shared" si="799"/>
        <v>14.63</v>
      </c>
      <c r="CR137" s="48">
        <f t="shared" si="799"/>
        <v>15.96</v>
      </c>
      <c r="CS137" s="48">
        <f>AO137</f>
        <v>2.5</v>
      </c>
      <c r="CT137" s="48">
        <f t="shared" si="800"/>
        <v>5</v>
      </c>
      <c r="CU137" s="48">
        <f t="shared" si="800"/>
        <v>7.5</v>
      </c>
      <c r="CV137" s="48">
        <f t="shared" si="800"/>
        <v>10</v>
      </c>
      <c r="CW137" s="48">
        <f t="shared" si="800"/>
        <v>12.5</v>
      </c>
      <c r="CX137" s="48">
        <f t="shared" si="800"/>
        <v>15</v>
      </c>
      <c r="CY137" s="48">
        <f t="shared" si="800"/>
        <v>17.5</v>
      </c>
      <c r="CZ137" s="48">
        <f t="shared" si="800"/>
        <v>20</v>
      </c>
      <c r="DA137" s="48">
        <f t="shared" si="800"/>
        <v>22.5</v>
      </c>
      <c r="DB137" s="48">
        <f t="shared" si="800"/>
        <v>25</v>
      </c>
      <c r="DC137" s="48">
        <f t="shared" si="800"/>
        <v>27.5</v>
      </c>
      <c r="DD137" s="48">
        <f t="shared" si="800"/>
        <v>30</v>
      </c>
      <c r="DE137" s="48">
        <f>+BA137</f>
        <v>2.0832999999999999</v>
      </c>
      <c r="DF137" s="48">
        <f t="shared" si="801"/>
        <v>4.1665999999999999</v>
      </c>
      <c r="DG137" s="48">
        <f t="shared" si="801"/>
        <v>6.2499000000000002</v>
      </c>
      <c r="DH137" s="48">
        <f t="shared" si="801"/>
        <v>8.3331999999999997</v>
      </c>
      <c r="DI137" s="48">
        <f t="shared" si="801"/>
        <v>10.416499999999999</v>
      </c>
      <c r="DJ137" s="48">
        <f t="shared" si="801"/>
        <v>12.499799999999999</v>
      </c>
      <c r="DK137" s="48">
        <f t="shared" si="801"/>
        <v>14.583099999999998</v>
      </c>
      <c r="DL137" s="48">
        <f t="shared" si="801"/>
        <v>16.666399999999999</v>
      </c>
      <c r="DM137" s="48">
        <f t="shared" si="801"/>
        <v>18.749700000000001</v>
      </c>
      <c r="DN137" s="48">
        <f t="shared" si="801"/>
        <v>20.833000000000002</v>
      </c>
      <c r="DO137" s="48">
        <f t="shared" si="801"/>
        <v>22.916300000000003</v>
      </c>
      <c r="DP137" s="48">
        <f t="shared" si="801"/>
        <v>24.999600000000004</v>
      </c>
      <c r="DQ137" s="48"/>
      <c r="DR137" s="48"/>
      <c r="DS137" s="48"/>
      <c r="DT137" s="48"/>
      <c r="DU137" s="48"/>
      <c r="DV137" s="48"/>
      <c r="DW137" s="48"/>
      <c r="DX137" s="48"/>
      <c r="DY137" s="48"/>
      <c r="DZ137" s="1">
        <f>'Input &amp; Calc'!L137</f>
        <v>15.96</v>
      </c>
      <c r="EA137" s="49">
        <f>DD137</f>
        <v>30</v>
      </c>
      <c r="EB137" s="50">
        <f>DP137</f>
        <v>24.999600000000004</v>
      </c>
      <c r="EC137" s="50"/>
      <c r="ED137" s="408"/>
      <c r="EE137" s="51">
        <f t="shared" si="802"/>
        <v>2.0833000000000013</v>
      </c>
      <c r="EF137" s="51">
        <f t="shared" si="803"/>
        <v>6.2499000000000038</v>
      </c>
      <c r="EG137" s="51">
        <f>HLOOKUP($EJ$3,Budget,ROW()-1)</f>
        <v>24.999600000000004</v>
      </c>
      <c r="EH137" s="40"/>
      <c r="EI137" s="111" t="s">
        <v>157</v>
      </c>
      <c r="EJ137" s="113">
        <f>HLOOKUP($I$1,YTD,47)</f>
        <v>70</v>
      </c>
      <c r="EK137" s="675"/>
      <c r="EL137" s="37"/>
      <c r="EM137" s="37"/>
      <c r="EN137" s="37"/>
      <c r="EO137" s="49"/>
      <c r="EP137" s="49"/>
      <c r="EQ137" s="49"/>
      <c r="ER137" s="1"/>
      <c r="ES137" s="1"/>
      <c r="ET137" s="1"/>
    </row>
    <row r="138" spans="1:150">
      <c r="A138" s="134" t="s">
        <v>22</v>
      </c>
      <c r="B138" s="2" t="s">
        <v>2</v>
      </c>
      <c r="C138" s="3" t="s">
        <v>37</v>
      </c>
      <c r="E138" s="3" t="s">
        <v>16</v>
      </c>
      <c r="F138" s="1"/>
      <c r="G138" s="1" t="s">
        <v>91</v>
      </c>
      <c r="H138" s="1"/>
      <c r="I138" s="18">
        <f>2*9</f>
        <v>18</v>
      </c>
      <c r="J138" s="21">
        <f>2*10</f>
        <v>20</v>
      </c>
      <c r="K138" s="21">
        <f>J138+2</f>
        <v>22</v>
      </c>
      <c r="L138" s="21">
        <f>K138+2</f>
        <v>24</v>
      </c>
      <c r="M138" s="20">
        <f>30/12</f>
        <v>2.5</v>
      </c>
      <c r="N138" s="19">
        <f>M138+2.5</f>
        <v>5</v>
      </c>
      <c r="O138" s="19">
        <f t="shared" ref="O138:X138" si="832">N138+2.5</f>
        <v>7.5</v>
      </c>
      <c r="P138" s="19">
        <f t="shared" si="832"/>
        <v>10</v>
      </c>
      <c r="Q138" s="19">
        <f t="shared" si="832"/>
        <v>12.5</v>
      </c>
      <c r="R138" s="19">
        <f t="shared" si="832"/>
        <v>15</v>
      </c>
      <c r="S138" s="19">
        <f t="shared" si="832"/>
        <v>17.5</v>
      </c>
      <c r="T138" s="19">
        <f t="shared" si="832"/>
        <v>20</v>
      </c>
      <c r="U138" s="19">
        <f t="shared" si="832"/>
        <v>22.5</v>
      </c>
      <c r="V138" s="19">
        <f t="shared" si="832"/>
        <v>25</v>
      </c>
      <c r="W138" s="19">
        <f t="shared" si="832"/>
        <v>27.5</v>
      </c>
      <c r="X138" s="19">
        <f t="shared" si="832"/>
        <v>30</v>
      </c>
      <c r="Y138" s="219">
        <f>ROUND(Z138/2,0)</f>
        <v>2</v>
      </c>
      <c r="Z138" s="246">
        <f t="shared" ref="Z138:AH138" si="833">AA138-(AB138-AA138)</f>
        <v>4</v>
      </c>
      <c r="AA138" s="246">
        <f t="shared" si="833"/>
        <v>6</v>
      </c>
      <c r="AB138" s="246">
        <f t="shared" si="833"/>
        <v>8</v>
      </c>
      <c r="AC138" s="246">
        <f t="shared" si="833"/>
        <v>10</v>
      </c>
      <c r="AD138" s="246">
        <f t="shared" si="833"/>
        <v>12</v>
      </c>
      <c r="AE138" s="246">
        <f t="shared" si="833"/>
        <v>14</v>
      </c>
      <c r="AF138" s="246">
        <f t="shared" si="833"/>
        <v>16</v>
      </c>
      <c r="AG138" s="246">
        <f t="shared" si="833"/>
        <v>18</v>
      </c>
      <c r="AH138" s="246">
        <f t="shared" si="833"/>
        <v>20</v>
      </c>
      <c r="AI138" s="246">
        <f>-ROUND(AJ138/12,0)+AJ138</f>
        <v>22</v>
      </c>
      <c r="AJ138" s="246">
        <v>24</v>
      </c>
      <c r="AK138" s="408"/>
      <c r="AL138" s="48">
        <f>J138-I138</f>
        <v>2</v>
      </c>
      <c r="AM138" s="48">
        <f t="shared" si="777"/>
        <v>2</v>
      </c>
      <c r="AN138" s="48">
        <f t="shared" si="778"/>
        <v>2</v>
      </c>
      <c r="AO138" s="48">
        <f>M138</f>
        <v>2.5</v>
      </c>
      <c r="AP138" s="48">
        <f t="shared" si="779"/>
        <v>2.5</v>
      </c>
      <c r="AQ138" s="48">
        <f t="shared" si="780"/>
        <v>2.5</v>
      </c>
      <c r="AR138" s="48">
        <f t="shared" si="781"/>
        <v>2.5</v>
      </c>
      <c r="AS138" s="48">
        <f t="shared" si="782"/>
        <v>2.5</v>
      </c>
      <c r="AT138" s="48">
        <f t="shared" si="783"/>
        <v>2.5</v>
      </c>
      <c r="AU138" s="48">
        <f t="shared" si="784"/>
        <v>2.5</v>
      </c>
      <c r="AV138" s="48">
        <f t="shared" si="785"/>
        <v>2.5</v>
      </c>
      <c r="AW138" s="48">
        <f t="shared" si="786"/>
        <v>2.5</v>
      </c>
      <c r="AX138" s="48">
        <f>V138-U138</f>
        <v>2.5</v>
      </c>
      <c r="AY138" s="48">
        <f t="shared" si="787"/>
        <v>2.5</v>
      </c>
      <c r="AZ138" s="48">
        <f t="shared" si="788"/>
        <v>2.5</v>
      </c>
      <c r="BA138" s="48">
        <f>Y138</f>
        <v>2</v>
      </c>
      <c r="BB138" s="48">
        <f t="shared" si="789"/>
        <v>2</v>
      </c>
      <c r="BC138" s="48">
        <f t="shared" si="790"/>
        <v>2</v>
      </c>
      <c r="BD138" s="48">
        <f t="shared" si="791"/>
        <v>2</v>
      </c>
      <c r="BE138" s="48">
        <f t="shared" si="792"/>
        <v>2</v>
      </c>
      <c r="BF138" s="48">
        <f t="shared" si="793"/>
        <v>2</v>
      </c>
      <c r="BG138" s="48">
        <f t="shared" si="794"/>
        <v>2</v>
      </c>
      <c r="BH138" s="48">
        <f t="shared" si="795"/>
        <v>2</v>
      </c>
      <c r="BI138" s="48">
        <f t="shared" si="796"/>
        <v>2</v>
      </c>
      <c r="BJ138" s="48">
        <f t="shared" si="797"/>
        <v>2</v>
      </c>
      <c r="BK138" s="48">
        <f t="shared" si="797"/>
        <v>2</v>
      </c>
      <c r="BL138" s="48">
        <f t="shared" si="797"/>
        <v>2</v>
      </c>
      <c r="BM138" s="408"/>
      <c r="BN138" s="48">
        <f t="shared" si="806"/>
        <v>6</v>
      </c>
      <c r="BO138" s="48">
        <f t="shared" si="807"/>
        <v>6</v>
      </c>
      <c r="BP138" s="48">
        <f t="shared" si="808"/>
        <v>6</v>
      </c>
      <c r="BQ138" s="48">
        <f t="shared" si="809"/>
        <v>7.5</v>
      </c>
      <c r="BR138" s="48">
        <f t="shared" si="810"/>
        <v>7.5</v>
      </c>
      <c r="BS138" s="48">
        <f t="shared" si="811"/>
        <v>7.5</v>
      </c>
      <c r="BT138" s="48">
        <f t="shared" si="812"/>
        <v>7.5</v>
      </c>
      <c r="BU138" s="48">
        <f t="shared" si="813"/>
        <v>7.5</v>
      </c>
      <c r="BV138" s="48">
        <f t="shared" si="814"/>
        <v>7.5</v>
      </c>
      <c r="BW138" s="48">
        <f t="shared" si="815"/>
        <v>7.5</v>
      </c>
      <c r="BX138" s="48">
        <f t="shared" si="816"/>
        <v>7.5</v>
      </c>
      <c r="BY138" s="48">
        <f t="shared" si="817"/>
        <v>7.5</v>
      </c>
      <c r="BZ138" s="48">
        <f t="shared" si="818"/>
        <v>7.5</v>
      </c>
      <c r="CA138" s="48">
        <f t="shared" si="819"/>
        <v>7.5</v>
      </c>
      <c r="CB138" s="48">
        <f t="shared" si="820"/>
        <v>7.5</v>
      </c>
      <c r="CC138" s="48">
        <f t="shared" si="821"/>
        <v>6</v>
      </c>
      <c r="CD138" s="48">
        <f t="shared" si="822"/>
        <v>6</v>
      </c>
      <c r="CE138" s="48">
        <f t="shared" si="823"/>
        <v>6</v>
      </c>
      <c r="CF138" s="48">
        <f t="shared" si="824"/>
        <v>6</v>
      </c>
      <c r="CG138" s="48">
        <f t="shared" si="825"/>
        <v>6</v>
      </c>
      <c r="CH138" s="48">
        <f t="shared" si="826"/>
        <v>6</v>
      </c>
      <c r="CI138" s="48">
        <f t="shared" si="827"/>
        <v>6</v>
      </c>
      <c r="CJ138" s="48">
        <f t="shared" si="828"/>
        <v>6</v>
      </c>
      <c r="CK138" s="48">
        <f t="shared" si="829"/>
        <v>6</v>
      </c>
      <c r="CL138" s="48">
        <f t="shared" si="830"/>
        <v>6</v>
      </c>
      <c r="CM138" s="48">
        <f t="shared" si="831"/>
        <v>6</v>
      </c>
      <c r="CN138" s="48">
        <f t="shared" si="798"/>
        <v>6</v>
      </c>
      <c r="CO138" s="406"/>
      <c r="CP138" s="48">
        <f t="shared" si="799"/>
        <v>20</v>
      </c>
      <c r="CQ138" s="48">
        <f t="shared" si="799"/>
        <v>22</v>
      </c>
      <c r="CR138" s="48">
        <f t="shared" si="799"/>
        <v>24</v>
      </c>
      <c r="CS138" s="48">
        <f>AO138</f>
        <v>2.5</v>
      </c>
      <c r="CT138" s="48">
        <f t="shared" si="800"/>
        <v>5</v>
      </c>
      <c r="CU138" s="48">
        <f t="shared" si="800"/>
        <v>7.5</v>
      </c>
      <c r="CV138" s="48">
        <f t="shared" si="800"/>
        <v>10</v>
      </c>
      <c r="CW138" s="48">
        <f t="shared" si="800"/>
        <v>12.5</v>
      </c>
      <c r="CX138" s="48">
        <f t="shared" si="800"/>
        <v>15</v>
      </c>
      <c r="CY138" s="48">
        <f t="shared" si="800"/>
        <v>17.5</v>
      </c>
      <c r="CZ138" s="48">
        <f t="shared" si="800"/>
        <v>20</v>
      </c>
      <c r="DA138" s="48">
        <f t="shared" si="800"/>
        <v>22.5</v>
      </c>
      <c r="DB138" s="48">
        <f t="shared" si="800"/>
        <v>25</v>
      </c>
      <c r="DC138" s="48">
        <f t="shared" si="800"/>
        <v>27.5</v>
      </c>
      <c r="DD138" s="48">
        <f t="shared" si="800"/>
        <v>30</v>
      </c>
      <c r="DE138" s="48">
        <f>+BA138</f>
        <v>2</v>
      </c>
      <c r="DF138" s="48">
        <f t="shared" si="801"/>
        <v>4</v>
      </c>
      <c r="DG138" s="48">
        <f t="shared" si="801"/>
        <v>6</v>
      </c>
      <c r="DH138" s="48">
        <f t="shared" si="801"/>
        <v>8</v>
      </c>
      <c r="DI138" s="48">
        <f t="shared" si="801"/>
        <v>10</v>
      </c>
      <c r="DJ138" s="48">
        <f t="shared" si="801"/>
        <v>12</v>
      </c>
      <c r="DK138" s="48">
        <f t="shared" si="801"/>
        <v>14</v>
      </c>
      <c r="DL138" s="48">
        <f t="shared" si="801"/>
        <v>16</v>
      </c>
      <c r="DM138" s="48">
        <f t="shared" si="801"/>
        <v>18</v>
      </c>
      <c r="DN138" s="48">
        <f t="shared" si="801"/>
        <v>20</v>
      </c>
      <c r="DO138" s="48">
        <f t="shared" si="801"/>
        <v>22</v>
      </c>
      <c r="DP138" s="48">
        <f t="shared" si="801"/>
        <v>24</v>
      </c>
      <c r="DQ138" s="48"/>
      <c r="DR138" s="48"/>
      <c r="DS138" s="48"/>
      <c r="DT138" s="48"/>
      <c r="DU138" s="48"/>
      <c r="DV138" s="48"/>
      <c r="DW138" s="48"/>
      <c r="DX138" s="48"/>
      <c r="DY138" s="48"/>
      <c r="DZ138" s="1">
        <f>'Input &amp; Calc'!L138</f>
        <v>24</v>
      </c>
      <c r="EA138" s="49">
        <f>DD138</f>
        <v>30</v>
      </c>
      <c r="EB138" s="50">
        <f>DP138</f>
        <v>24</v>
      </c>
      <c r="EC138" s="50"/>
      <c r="ED138" s="408"/>
      <c r="EE138" s="51">
        <f t="shared" si="802"/>
        <v>2</v>
      </c>
      <c r="EF138" s="51">
        <f t="shared" si="803"/>
        <v>6</v>
      </c>
      <c r="EG138" s="51">
        <f>HLOOKUP($EJ$3,Budget,ROW()-1)</f>
        <v>24</v>
      </c>
      <c r="EH138" s="40"/>
      <c r="EI138" s="112" t="s">
        <v>156</v>
      </c>
      <c r="EJ138" s="113">
        <f>HLOOKUP($I$1,YTD,48)</f>
        <v>0</v>
      </c>
      <c r="EK138" s="675"/>
      <c r="EL138" s="37"/>
      <c r="EM138" s="37"/>
      <c r="EN138" s="37"/>
      <c r="EO138" s="49"/>
      <c r="EP138" s="49"/>
      <c r="EQ138" s="49"/>
      <c r="ER138" s="1"/>
      <c r="ES138" s="1"/>
      <c r="ET138" s="1"/>
    </row>
    <row r="139" spans="1:150">
      <c r="A139" s="134" t="s">
        <v>22</v>
      </c>
      <c r="B139" s="2" t="s">
        <v>3</v>
      </c>
      <c r="C139" s="3" t="s">
        <v>38</v>
      </c>
      <c r="E139" s="3" t="s">
        <v>16</v>
      </c>
      <c r="F139" s="1"/>
      <c r="G139" s="1" t="s">
        <v>91</v>
      </c>
      <c r="H139" s="1"/>
      <c r="I139" s="18">
        <f>0.67*9</f>
        <v>6.03</v>
      </c>
      <c r="J139" s="19">
        <f>0.67*10</f>
        <v>6.7</v>
      </c>
      <c r="K139" s="19">
        <f>J139+0.67</f>
        <v>7.37</v>
      </c>
      <c r="L139" s="19">
        <f>K139+0.67</f>
        <v>8.0400000000000009</v>
      </c>
      <c r="M139" s="20">
        <f>10/12</f>
        <v>0.83333333333333337</v>
      </c>
      <c r="N139" s="19">
        <f>M139+0.8333</f>
        <v>1.6666333333333334</v>
      </c>
      <c r="O139" s="19">
        <f t="shared" ref="O139:X139" si="834">N139+0.8333</f>
        <v>2.4999333333333333</v>
      </c>
      <c r="P139" s="19">
        <f t="shared" si="834"/>
        <v>3.3332333333333333</v>
      </c>
      <c r="Q139" s="19">
        <f t="shared" si="834"/>
        <v>4.1665333333333336</v>
      </c>
      <c r="R139" s="19">
        <f t="shared" si="834"/>
        <v>4.999833333333334</v>
      </c>
      <c r="S139" s="19">
        <f t="shared" si="834"/>
        <v>5.8331333333333344</v>
      </c>
      <c r="T139" s="19">
        <f t="shared" si="834"/>
        <v>6.6664333333333348</v>
      </c>
      <c r="U139" s="19">
        <f t="shared" si="834"/>
        <v>7.4997333333333351</v>
      </c>
      <c r="V139" s="19">
        <f t="shared" si="834"/>
        <v>8.3330333333333346</v>
      </c>
      <c r="W139" s="19">
        <f t="shared" si="834"/>
        <v>9.1663333333333341</v>
      </c>
      <c r="X139" s="19">
        <f t="shared" si="834"/>
        <v>9.9996333333333336</v>
      </c>
      <c r="Y139" s="219">
        <v>0.66</v>
      </c>
      <c r="Z139" s="263">
        <f>Y139+0.66</f>
        <v>1.32</v>
      </c>
      <c r="AA139" s="263">
        <f t="shared" ref="AA139:AJ139" si="835">Z139+0.66</f>
        <v>1.98</v>
      </c>
      <c r="AB139" s="263">
        <f t="shared" si="835"/>
        <v>2.64</v>
      </c>
      <c r="AC139" s="263">
        <f t="shared" si="835"/>
        <v>3.3000000000000003</v>
      </c>
      <c r="AD139" s="263">
        <f t="shared" si="835"/>
        <v>3.9600000000000004</v>
      </c>
      <c r="AE139" s="263">
        <f t="shared" si="835"/>
        <v>4.62</v>
      </c>
      <c r="AF139" s="263">
        <f t="shared" si="835"/>
        <v>5.28</v>
      </c>
      <c r="AG139" s="263">
        <f t="shared" si="835"/>
        <v>5.94</v>
      </c>
      <c r="AH139" s="263">
        <f t="shared" si="835"/>
        <v>6.6000000000000005</v>
      </c>
      <c r="AI139" s="263">
        <f t="shared" si="835"/>
        <v>7.2600000000000007</v>
      </c>
      <c r="AJ139" s="263">
        <f t="shared" si="835"/>
        <v>7.9200000000000008</v>
      </c>
      <c r="AK139" s="408"/>
      <c r="AL139" s="48">
        <f>J139-I139</f>
        <v>0.66999999999999993</v>
      </c>
      <c r="AM139" s="48">
        <f t="shared" si="777"/>
        <v>0.66999999999999993</v>
      </c>
      <c r="AN139" s="48">
        <f t="shared" si="778"/>
        <v>0.67000000000000082</v>
      </c>
      <c r="AO139" s="48">
        <f>M139</f>
        <v>0.83333333333333337</v>
      </c>
      <c r="AP139" s="48">
        <f t="shared" si="779"/>
        <v>0.83330000000000004</v>
      </c>
      <c r="AQ139" s="48">
        <f t="shared" si="780"/>
        <v>0.83329999999999993</v>
      </c>
      <c r="AR139" s="48">
        <f t="shared" si="781"/>
        <v>0.83329999999999993</v>
      </c>
      <c r="AS139" s="48">
        <f t="shared" si="782"/>
        <v>0.83330000000000037</v>
      </c>
      <c r="AT139" s="48">
        <f t="shared" si="783"/>
        <v>0.83330000000000037</v>
      </c>
      <c r="AU139" s="48">
        <f t="shared" si="784"/>
        <v>0.83330000000000037</v>
      </c>
      <c r="AV139" s="48">
        <f t="shared" si="785"/>
        <v>0.83330000000000037</v>
      </c>
      <c r="AW139" s="48">
        <f t="shared" si="786"/>
        <v>0.83330000000000037</v>
      </c>
      <c r="AX139" s="48">
        <f>V139-U139</f>
        <v>0.83329999999999949</v>
      </c>
      <c r="AY139" s="48">
        <f t="shared" si="787"/>
        <v>0.83329999999999949</v>
      </c>
      <c r="AZ139" s="48">
        <f t="shared" si="788"/>
        <v>0.83329999999999949</v>
      </c>
      <c r="BA139" s="48">
        <f>Y139</f>
        <v>0.66</v>
      </c>
      <c r="BB139" s="48">
        <f t="shared" si="789"/>
        <v>0.66</v>
      </c>
      <c r="BC139" s="48">
        <f t="shared" si="790"/>
        <v>0.65999999999999992</v>
      </c>
      <c r="BD139" s="48">
        <f t="shared" si="791"/>
        <v>0.66000000000000014</v>
      </c>
      <c r="BE139" s="48">
        <f t="shared" si="792"/>
        <v>0.66000000000000014</v>
      </c>
      <c r="BF139" s="48">
        <f t="shared" si="793"/>
        <v>0.66000000000000014</v>
      </c>
      <c r="BG139" s="48">
        <f t="shared" si="794"/>
        <v>0.6599999999999997</v>
      </c>
      <c r="BH139" s="48">
        <f t="shared" si="795"/>
        <v>0.66000000000000014</v>
      </c>
      <c r="BI139" s="48">
        <f t="shared" si="796"/>
        <v>0.66000000000000014</v>
      </c>
      <c r="BJ139" s="48">
        <f t="shared" si="797"/>
        <v>0.66000000000000014</v>
      </c>
      <c r="BK139" s="48">
        <f t="shared" si="797"/>
        <v>0.66000000000000014</v>
      </c>
      <c r="BL139" s="48">
        <f t="shared" si="797"/>
        <v>0.66000000000000014</v>
      </c>
      <c r="BM139" s="408"/>
      <c r="BN139" s="48">
        <f t="shared" si="806"/>
        <v>2.0100000000000007</v>
      </c>
      <c r="BO139" s="48">
        <f t="shared" si="807"/>
        <v>2.0100000000000007</v>
      </c>
      <c r="BP139" s="48">
        <f t="shared" si="808"/>
        <v>2.0100000000000007</v>
      </c>
      <c r="BQ139" s="48">
        <f t="shared" si="809"/>
        <v>2.4999333333333333</v>
      </c>
      <c r="BR139" s="48">
        <f t="shared" si="810"/>
        <v>2.4999333333333333</v>
      </c>
      <c r="BS139" s="48">
        <f t="shared" si="811"/>
        <v>2.4999333333333333</v>
      </c>
      <c r="BT139" s="48">
        <f t="shared" si="812"/>
        <v>2.4999000000000007</v>
      </c>
      <c r="BU139" s="48">
        <f t="shared" si="813"/>
        <v>2.4999000000000007</v>
      </c>
      <c r="BV139" s="48">
        <f t="shared" si="814"/>
        <v>2.4999000000000007</v>
      </c>
      <c r="BW139" s="48">
        <f t="shared" si="815"/>
        <v>2.4999000000000011</v>
      </c>
      <c r="BX139" s="48">
        <f t="shared" si="816"/>
        <v>2.4999000000000011</v>
      </c>
      <c r="BY139" s="48">
        <f t="shared" si="817"/>
        <v>2.4999000000000011</v>
      </c>
      <c r="BZ139" s="48">
        <f t="shared" si="818"/>
        <v>2.4998999999999985</v>
      </c>
      <c r="CA139" s="48">
        <f t="shared" si="819"/>
        <v>2.4998999999999985</v>
      </c>
      <c r="CB139" s="48">
        <f t="shared" si="820"/>
        <v>2.4998999999999985</v>
      </c>
      <c r="CC139" s="48">
        <f t="shared" si="821"/>
        <v>1.98</v>
      </c>
      <c r="CD139" s="48">
        <f t="shared" si="822"/>
        <v>1.98</v>
      </c>
      <c r="CE139" s="48">
        <f t="shared" si="823"/>
        <v>1.98</v>
      </c>
      <c r="CF139" s="48">
        <f t="shared" si="824"/>
        <v>1.9800000000000004</v>
      </c>
      <c r="CG139" s="48">
        <f t="shared" si="825"/>
        <v>1.9800000000000004</v>
      </c>
      <c r="CH139" s="48">
        <f t="shared" si="826"/>
        <v>1.9800000000000004</v>
      </c>
      <c r="CI139" s="48">
        <f t="shared" si="827"/>
        <v>1.98</v>
      </c>
      <c r="CJ139" s="48">
        <f t="shared" si="828"/>
        <v>1.98</v>
      </c>
      <c r="CK139" s="48">
        <f t="shared" si="829"/>
        <v>1.98</v>
      </c>
      <c r="CL139" s="48">
        <f t="shared" si="830"/>
        <v>1.9800000000000004</v>
      </c>
      <c r="CM139" s="48">
        <f t="shared" si="831"/>
        <v>1.9800000000000004</v>
      </c>
      <c r="CN139" s="48">
        <f t="shared" si="798"/>
        <v>1.9800000000000004</v>
      </c>
      <c r="CO139" s="406"/>
      <c r="CP139" s="48">
        <f t="shared" si="799"/>
        <v>6.7</v>
      </c>
      <c r="CQ139" s="48">
        <f t="shared" si="799"/>
        <v>7.37</v>
      </c>
      <c r="CR139" s="48">
        <f t="shared" si="799"/>
        <v>8.0400000000000009</v>
      </c>
      <c r="CS139" s="48">
        <f>AO139</f>
        <v>0.83333333333333337</v>
      </c>
      <c r="CT139" s="48">
        <f t="shared" si="800"/>
        <v>1.6666333333333334</v>
      </c>
      <c r="CU139" s="48">
        <f t="shared" si="800"/>
        <v>2.4999333333333333</v>
      </c>
      <c r="CV139" s="48">
        <f t="shared" si="800"/>
        <v>3.3332333333333333</v>
      </c>
      <c r="CW139" s="48">
        <f t="shared" si="800"/>
        <v>4.1665333333333336</v>
      </c>
      <c r="CX139" s="48">
        <f t="shared" si="800"/>
        <v>4.999833333333334</v>
      </c>
      <c r="CY139" s="48">
        <f t="shared" si="800"/>
        <v>5.8331333333333344</v>
      </c>
      <c r="CZ139" s="48">
        <f t="shared" si="800"/>
        <v>6.6664333333333348</v>
      </c>
      <c r="DA139" s="48">
        <f t="shared" si="800"/>
        <v>7.4997333333333351</v>
      </c>
      <c r="DB139" s="48">
        <f t="shared" si="800"/>
        <v>8.3330333333333346</v>
      </c>
      <c r="DC139" s="48">
        <f t="shared" si="800"/>
        <v>9.1663333333333341</v>
      </c>
      <c r="DD139" s="48">
        <f t="shared" si="800"/>
        <v>9.9996333333333336</v>
      </c>
      <c r="DE139" s="48">
        <f>+BA139</f>
        <v>0.66</v>
      </c>
      <c r="DF139" s="48">
        <f t="shared" si="801"/>
        <v>1.32</v>
      </c>
      <c r="DG139" s="48">
        <f t="shared" si="801"/>
        <v>1.98</v>
      </c>
      <c r="DH139" s="48">
        <f t="shared" si="801"/>
        <v>2.64</v>
      </c>
      <c r="DI139" s="48">
        <f t="shared" si="801"/>
        <v>3.3000000000000003</v>
      </c>
      <c r="DJ139" s="48">
        <f t="shared" si="801"/>
        <v>3.9600000000000004</v>
      </c>
      <c r="DK139" s="48">
        <f t="shared" si="801"/>
        <v>4.62</v>
      </c>
      <c r="DL139" s="48">
        <f t="shared" si="801"/>
        <v>5.28</v>
      </c>
      <c r="DM139" s="48">
        <f t="shared" si="801"/>
        <v>5.94</v>
      </c>
      <c r="DN139" s="48">
        <f t="shared" si="801"/>
        <v>6.6000000000000005</v>
      </c>
      <c r="DO139" s="48">
        <f t="shared" si="801"/>
        <v>7.2600000000000007</v>
      </c>
      <c r="DP139" s="48">
        <f t="shared" si="801"/>
        <v>7.9200000000000008</v>
      </c>
      <c r="DQ139" s="48"/>
      <c r="DR139" s="48"/>
      <c r="DS139" s="48"/>
      <c r="DT139" s="48"/>
      <c r="DU139" s="48"/>
      <c r="DV139" s="48"/>
      <c r="DW139" s="48"/>
      <c r="DX139" s="48"/>
      <c r="DY139" s="48"/>
      <c r="DZ139" s="1">
        <f>'Input &amp; Calc'!L139</f>
        <v>8.0400000000000009</v>
      </c>
      <c r="EA139" s="49">
        <f>DD139</f>
        <v>9.9996333333333336</v>
      </c>
      <c r="EB139" s="50">
        <f>DP139</f>
        <v>7.9200000000000008</v>
      </c>
      <c r="EC139" s="50"/>
      <c r="ED139" s="408"/>
      <c r="EE139" s="51">
        <f t="shared" si="802"/>
        <v>0.66000000000000014</v>
      </c>
      <c r="EF139" s="51">
        <f t="shared" si="803"/>
        <v>1.9800000000000004</v>
      </c>
      <c r="EG139" s="51">
        <f>HLOOKUP($EJ$3,Budget,ROW()-1)</f>
        <v>7.9200000000000008</v>
      </c>
      <c r="EH139" s="40"/>
      <c r="EI139" s="114" t="s">
        <v>158</v>
      </c>
      <c r="EJ139" s="133">
        <f>I133</f>
        <v>40391</v>
      </c>
      <c r="EK139" s="675"/>
      <c r="EL139" s="37"/>
      <c r="EM139" s="37"/>
      <c r="EN139" s="37"/>
      <c r="EO139" s="49"/>
      <c r="EP139" s="49"/>
      <c r="EQ139" s="49"/>
      <c r="ER139" s="1"/>
      <c r="ES139" s="1"/>
      <c r="ET139" s="1"/>
    </row>
    <row r="140" spans="1:150" ht="13.5" thickBot="1">
      <c r="A140" s="134" t="s">
        <v>22</v>
      </c>
      <c r="B140" s="2" t="s">
        <v>94</v>
      </c>
      <c r="C140" s="3" t="s">
        <v>39</v>
      </c>
      <c r="E140" s="3" t="s">
        <v>16</v>
      </c>
      <c r="F140" s="1"/>
      <c r="G140" s="1" t="s">
        <v>91</v>
      </c>
      <c r="H140" s="1"/>
      <c r="I140" s="116">
        <f>0.030833*9</f>
        <v>0.27749699999999999</v>
      </c>
      <c r="J140" s="116">
        <f>0.030833*10</f>
        <v>0.30832999999999999</v>
      </c>
      <c r="K140" s="116">
        <f>J140+0.030833</f>
        <v>0.33916299999999999</v>
      </c>
      <c r="L140" s="116">
        <f>K140+0.030833</f>
        <v>0.36999599999999999</v>
      </c>
      <c r="M140" s="260">
        <f>0.8/12</f>
        <v>6.6666666666666666E-2</v>
      </c>
      <c r="N140" s="201">
        <f>M140+0.067</f>
        <v>0.13366666666666666</v>
      </c>
      <c r="O140" s="201">
        <f t="shared" ref="O140:X140" si="836">N140+0.067</f>
        <v>0.20066666666666666</v>
      </c>
      <c r="P140" s="201">
        <f t="shared" si="836"/>
        <v>0.26766666666666666</v>
      </c>
      <c r="Q140" s="201">
        <f t="shared" si="836"/>
        <v>0.33466666666666667</v>
      </c>
      <c r="R140" s="201">
        <f t="shared" si="836"/>
        <v>0.40166666666666667</v>
      </c>
      <c r="S140" s="201">
        <f t="shared" si="836"/>
        <v>0.46866666666666668</v>
      </c>
      <c r="T140" s="201">
        <f t="shared" si="836"/>
        <v>0.53566666666666674</v>
      </c>
      <c r="U140" s="201">
        <f t="shared" si="836"/>
        <v>0.60266666666666668</v>
      </c>
      <c r="V140" s="201">
        <f t="shared" si="836"/>
        <v>0.66966666666666663</v>
      </c>
      <c r="W140" s="201">
        <f t="shared" si="836"/>
        <v>0.73666666666666658</v>
      </c>
      <c r="X140" s="201">
        <f t="shared" si="836"/>
        <v>0.80366666666666653</v>
      </c>
      <c r="Y140" s="221">
        <v>0.25</v>
      </c>
      <c r="Z140" s="246">
        <f>Y140+0.25</f>
        <v>0.5</v>
      </c>
      <c r="AA140" s="376">
        <f t="shared" ref="AA140:AJ140" si="837">Z140+0.25</f>
        <v>0.75</v>
      </c>
      <c r="AB140" s="376">
        <f t="shared" si="837"/>
        <v>1</v>
      </c>
      <c r="AC140" s="376">
        <f t="shared" si="837"/>
        <v>1.25</v>
      </c>
      <c r="AD140" s="376">
        <f t="shared" si="837"/>
        <v>1.5</v>
      </c>
      <c r="AE140" s="376">
        <f t="shared" si="837"/>
        <v>1.75</v>
      </c>
      <c r="AF140" s="376">
        <f t="shared" si="837"/>
        <v>2</v>
      </c>
      <c r="AG140" s="376">
        <f t="shared" si="837"/>
        <v>2.25</v>
      </c>
      <c r="AH140" s="376">
        <f t="shared" si="837"/>
        <v>2.5</v>
      </c>
      <c r="AI140" s="376">
        <f t="shared" si="837"/>
        <v>2.75</v>
      </c>
      <c r="AJ140" s="376">
        <f t="shared" si="837"/>
        <v>3</v>
      </c>
      <c r="AK140" s="416"/>
      <c r="AL140" s="118">
        <f>J140-I140</f>
        <v>3.0832999999999999E-2</v>
      </c>
      <c r="AM140" s="118">
        <f t="shared" si="777"/>
        <v>3.0832999999999999E-2</v>
      </c>
      <c r="AN140" s="118">
        <f t="shared" si="778"/>
        <v>3.0832999999999999E-2</v>
      </c>
      <c r="AO140" s="119">
        <f>M140</f>
        <v>6.6666666666666666E-2</v>
      </c>
      <c r="AP140" s="118">
        <f t="shared" si="779"/>
        <v>6.699999999999999E-2</v>
      </c>
      <c r="AQ140" s="118">
        <f t="shared" si="780"/>
        <v>6.7000000000000004E-2</v>
      </c>
      <c r="AR140" s="118">
        <f t="shared" si="781"/>
        <v>6.7000000000000004E-2</v>
      </c>
      <c r="AS140" s="118">
        <f t="shared" si="782"/>
        <v>6.7000000000000004E-2</v>
      </c>
      <c r="AT140" s="118">
        <f t="shared" si="783"/>
        <v>6.7000000000000004E-2</v>
      </c>
      <c r="AU140" s="118">
        <f t="shared" si="784"/>
        <v>6.7000000000000004E-2</v>
      </c>
      <c r="AV140" s="118">
        <f t="shared" si="785"/>
        <v>6.700000000000006E-2</v>
      </c>
      <c r="AW140" s="118">
        <f t="shared" si="786"/>
        <v>6.6999999999999948E-2</v>
      </c>
      <c r="AX140" s="118">
        <f>V140-U140</f>
        <v>6.6999999999999948E-2</v>
      </c>
      <c r="AY140" s="118">
        <f t="shared" si="787"/>
        <v>6.6999999999999948E-2</v>
      </c>
      <c r="AZ140" s="118">
        <f t="shared" si="788"/>
        <v>6.6999999999999948E-2</v>
      </c>
      <c r="BA140" s="118">
        <f>Y140</f>
        <v>0.25</v>
      </c>
      <c r="BB140" s="118">
        <f t="shared" si="789"/>
        <v>0.25</v>
      </c>
      <c r="BC140" s="118">
        <f t="shared" si="790"/>
        <v>0.25</v>
      </c>
      <c r="BD140" s="118">
        <f t="shared" si="791"/>
        <v>0.25</v>
      </c>
      <c r="BE140" s="118">
        <f t="shared" si="792"/>
        <v>0.25</v>
      </c>
      <c r="BF140" s="118">
        <f t="shared" si="793"/>
        <v>0.25</v>
      </c>
      <c r="BG140" s="118">
        <f t="shared" si="794"/>
        <v>0.25</v>
      </c>
      <c r="BH140" s="118">
        <f t="shared" si="795"/>
        <v>0.25</v>
      </c>
      <c r="BI140" s="118">
        <f t="shared" si="796"/>
        <v>0.25</v>
      </c>
      <c r="BJ140" s="118">
        <f t="shared" si="797"/>
        <v>0.25</v>
      </c>
      <c r="BK140" s="118">
        <f t="shared" si="797"/>
        <v>0.25</v>
      </c>
      <c r="BL140" s="118">
        <f t="shared" si="797"/>
        <v>0.25</v>
      </c>
      <c r="BM140" s="409"/>
      <c r="BN140" s="119">
        <f t="shared" si="806"/>
        <v>9.2498999999999998E-2</v>
      </c>
      <c r="BO140" s="119">
        <f t="shared" si="807"/>
        <v>9.2498999999999998E-2</v>
      </c>
      <c r="BP140" s="119">
        <f t="shared" si="808"/>
        <v>9.2498999999999998E-2</v>
      </c>
      <c r="BQ140" s="119">
        <f t="shared" si="809"/>
        <v>0.20066666666666666</v>
      </c>
      <c r="BR140" s="119">
        <f t="shared" si="810"/>
        <v>0.20066666666666666</v>
      </c>
      <c r="BS140" s="119">
        <f t="shared" si="811"/>
        <v>0.20066666666666666</v>
      </c>
      <c r="BT140" s="119">
        <f t="shared" si="812"/>
        <v>0.20100000000000001</v>
      </c>
      <c r="BU140" s="119">
        <f t="shared" si="813"/>
        <v>0.20100000000000001</v>
      </c>
      <c r="BV140" s="119">
        <f t="shared" si="814"/>
        <v>0.20100000000000001</v>
      </c>
      <c r="BW140" s="119">
        <f t="shared" si="815"/>
        <v>0.20100000000000001</v>
      </c>
      <c r="BX140" s="119">
        <f t="shared" si="816"/>
        <v>0.20100000000000001</v>
      </c>
      <c r="BY140" s="119">
        <f t="shared" si="817"/>
        <v>0.20100000000000001</v>
      </c>
      <c r="BZ140" s="119">
        <f t="shared" si="818"/>
        <v>0.20099999999999985</v>
      </c>
      <c r="CA140" s="119">
        <f t="shared" si="819"/>
        <v>0.20099999999999985</v>
      </c>
      <c r="CB140" s="119">
        <f t="shared" si="820"/>
        <v>0.20099999999999985</v>
      </c>
      <c r="CC140" s="119">
        <f t="shared" si="821"/>
        <v>0.75</v>
      </c>
      <c r="CD140" s="119">
        <f t="shared" si="822"/>
        <v>0.75</v>
      </c>
      <c r="CE140" s="119">
        <f t="shared" si="823"/>
        <v>0.75</v>
      </c>
      <c r="CF140" s="119">
        <f t="shared" si="824"/>
        <v>0.75</v>
      </c>
      <c r="CG140" s="119">
        <f t="shared" si="825"/>
        <v>0.75</v>
      </c>
      <c r="CH140" s="119">
        <f t="shared" si="826"/>
        <v>0.75</v>
      </c>
      <c r="CI140" s="119">
        <f t="shared" si="827"/>
        <v>0.75</v>
      </c>
      <c r="CJ140" s="119">
        <f t="shared" si="828"/>
        <v>0.75</v>
      </c>
      <c r="CK140" s="119">
        <f t="shared" si="829"/>
        <v>0.75</v>
      </c>
      <c r="CL140" s="119">
        <f t="shared" si="830"/>
        <v>0.75</v>
      </c>
      <c r="CM140" s="119">
        <f t="shared" si="831"/>
        <v>0.75</v>
      </c>
      <c r="CN140" s="48">
        <f t="shared" si="798"/>
        <v>0.75</v>
      </c>
      <c r="CO140" s="421"/>
      <c r="CP140" s="118">
        <f t="shared" si="799"/>
        <v>0.30832999999999999</v>
      </c>
      <c r="CQ140" s="118">
        <f t="shared" si="799"/>
        <v>0.33916299999999999</v>
      </c>
      <c r="CR140" s="118">
        <f t="shared" si="799"/>
        <v>0.36999599999999999</v>
      </c>
      <c r="CS140" s="118">
        <f>AO140</f>
        <v>6.6666666666666666E-2</v>
      </c>
      <c r="CT140" s="118">
        <f t="shared" si="800"/>
        <v>0.13366666666666666</v>
      </c>
      <c r="CU140" s="118">
        <f t="shared" si="800"/>
        <v>0.20066666666666666</v>
      </c>
      <c r="CV140" s="118">
        <f t="shared" si="800"/>
        <v>0.26766666666666666</v>
      </c>
      <c r="CW140" s="118">
        <f t="shared" si="800"/>
        <v>0.33466666666666667</v>
      </c>
      <c r="CX140" s="118">
        <f t="shared" si="800"/>
        <v>0.40166666666666667</v>
      </c>
      <c r="CY140" s="118">
        <f t="shared" si="800"/>
        <v>0.46866666666666668</v>
      </c>
      <c r="CZ140" s="118">
        <f t="shared" si="800"/>
        <v>0.53566666666666674</v>
      </c>
      <c r="DA140" s="118">
        <f t="shared" si="800"/>
        <v>0.60266666666666668</v>
      </c>
      <c r="DB140" s="118">
        <f t="shared" si="800"/>
        <v>0.66966666666666663</v>
      </c>
      <c r="DC140" s="118">
        <f t="shared" si="800"/>
        <v>0.73666666666666658</v>
      </c>
      <c r="DD140" s="118">
        <f t="shared" si="800"/>
        <v>0.80366666666666653</v>
      </c>
      <c r="DE140" s="118">
        <f>+BA140</f>
        <v>0.25</v>
      </c>
      <c r="DF140" s="118">
        <f t="shared" si="801"/>
        <v>0.5</v>
      </c>
      <c r="DG140" s="118">
        <f t="shared" si="801"/>
        <v>0.75</v>
      </c>
      <c r="DH140" s="118">
        <f t="shared" si="801"/>
        <v>1</v>
      </c>
      <c r="DI140" s="118">
        <f t="shared" si="801"/>
        <v>1.25</v>
      </c>
      <c r="DJ140" s="118">
        <f t="shared" si="801"/>
        <v>1.5</v>
      </c>
      <c r="DK140" s="118">
        <f t="shared" si="801"/>
        <v>1.75</v>
      </c>
      <c r="DL140" s="118">
        <f t="shared" si="801"/>
        <v>2</v>
      </c>
      <c r="DM140" s="118">
        <f t="shared" si="801"/>
        <v>2.25</v>
      </c>
      <c r="DN140" s="118">
        <f t="shared" si="801"/>
        <v>2.5</v>
      </c>
      <c r="DO140" s="118">
        <f t="shared" si="801"/>
        <v>2.75</v>
      </c>
      <c r="DP140" s="118">
        <f t="shared" si="801"/>
        <v>3</v>
      </c>
      <c r="DQ140" s="118"/>
      <c r="DR140" s="118"/>
      <c r="DS140" s="118"/>
      <c r="DT140" s="118"/>
      <c r="DU140" s="118"/>
      <c r="DV140" s="118"/>
      <c r="DW140" s="118"/>
      <c r="DX140" s="118"/>
      <c r="DY140" s="118"/>
      <c r="DZ140" s="121">
        <f>'Input &amp; Calc'!L140</f>
        <v>0.36999599999999999</v>
      </c>
      <c r="EA140" s="122">
        <f>DD140</f>
        <v>0.80366666666666653</v>
      </c>
      <c r="EB140" s="120">
        <f>DP140</f>
        <v>3</v>
      </c>
      <c r="EC140" s="120"/>
      <c r="ED140" s="409"/>
      <c r="EE140" s="118">
        <f t="shared" si="802"/>
        <v>0.25</v>
      </c>
      <c r="EF140" s="118">
        <f t="shared" si="803"/>
        <v>0.75</v>
      </c>
      <c r="EG140" s="118">
        <f>HLOOKUP($EJ$3,Budget,ROW()-1)</f>
        <v>3</v>
      </c>
      <c r="EH140" s="40"/>
      <c r="EI140" s="1"/>
      <c r="EJ140" s="1"/>
      <c r="EK140" s="675"/>
      <c r="EL140" s="37"/>
      <c r="EM140" s="37"/>
      <c r="EN140" s="37"/>
      <c r="EO140" s="49"/>
      <c r="EP140" s="49"/>
      <c r="EQ140" s="49"/>
      <c r="ER140" s="1"/>
      <c r="ES140" s="1"/>
      <c r="ET140" s="1"/>
    </row>
    <row r="141" spans="1:150">
      <c r="A141" s="6" t="s">
        <v>23</v>
      </c>
      <c r="B141" s="2" t="s">
        <v>5</v>
      </c>
      <c r="C141" s="3" t="s">
        <v>42</v>
      </c>
      <c r="E141" s="3" t="s">
        <v>16</v>
      </c>
      <c r="G141" s="3" t="s">
        <v>91</v>
      </c>
      <c r="I141" s="23"/>
      <c r="J141" s="19">
        <f>84/12</f>
        <v>7</v>
      </c>
      <c r="K141" s="19">
        <f>J141+7</f>
        <v>14</v>
      </c>
      <c r="L141" s="19">
        <f t="shared" ref="L141:U141" si="838">K141+7</f>
        <v>21</v>
      </c>
      <c r="M141" s="19">
        <f t="shared" si="838"/>
        <v>28</v>
      </c>
      <c r="N141" s="19">
        <f t="shared" si="838"/>
        <v>35</v>
      </c>
      <c r="O141" s="19">
        <f t="shared" si="838"/>
        <v>42</v>
      </c>
      <c r="P141" s="19">
        <f t="shared" si="838"/>
        <v>49</v>
      </c>
      <c r="Q141" s="19">
        <f t="shared" si="838"/>
        <v>56</v>
      </c>
      <c r="R141" s="19">
        <f t="shared" si="838"/>
        <v>63</v>
      </c>
      <c r="S141" s="19">
        <f t="shared" si="838"/>
        <v>70</v>
      </c>
      <c r="T141" s="19">
        <f t="shared" si="838"/>
        <v>77</v>
      </c>
      <c r="U141" s="19">
        <f t="shared" si="838"/>
        <v>84</v>
      </c>
      <c r="V141" s="219">
        <f>ROUND(W141/2,0)</f>
        <v>7</v>
      </c>
      <c r="W141" s="246">
        <f t="shared" ref="W141:AE141" si="839">X141-(Y141-X141)</f>
        <v>14</v>
      </c>
      <c r="X141" s="246">
        <f t="shared" si="839"/>
        <v>21</v>
      </c>
      <c r="Y141" s="246">
        <f t="shared" si="839"/>
        <v>28</v>
      </c>
      <c r="Z141" s="246">
        <f t="shared" si="839"/>
        <v>35</v>
      </c>
      <c r="AA141" s="246">
        <f t="shared" si="839"/>
        <v>42</v>
      </c>
      <c r="AB141" s="246">
        <f t="shared" si="839"/>
        <v>49</v>
      </c>
      <c r="AC141" s="246">
        <f t="shared" si="839"/>
        <v>56</v>
      </c>
      <c r="AD141" s="246">
        <f t="shared" si="839"/>
        <v>63</v>
      </c>
      <c r="AE141" s="246">
        <f t="shared" si="839"/>
        <v>70</v>
      </c>
      <c r="AF141" s="246">
        <f>-ROUND(AG141/12,0)+AG141</f>
        <v>77</v>
      </c>
      <c r="AG141" s="246">
        <v>84</v>
      </c>
      <c r="AH141" s="31">
        <f>67/12</f>
        <v>5.583333333333333</v>
      </c>
      <c r="AI141" s="378">
        <f>AH141+AH141</f>
        <v>11.166666666666666</v>
      </c>
      <c r="AJ141" s="378">
        <f>AI141+AI141</f>
        <v>22.333333333333332</v>
      </c>
      <c r="AK141" s="408"/>
      <c r="AL141" s="40">
        <f>J141</f>
        <v>7</v>
      </c>
      <c r="AM141" s="40">
        <f t="shared" si="777"/>
        <v>7</v>
      </c>
      <c r="AN141" s="40">
        <f t="shared" si="778"/>
        <v>7</v>
      </c>
      <c r="AO141" s="40">
        <f>M141-L141</f>
        <v>7</v>
      </c>
      <c r="AP141" s="40">
        <f t="shared" si="779"/>
        <v>7</v>
      </c>
      <c r="AQ141" s="40">
        <f t="shared" si="780"/>
        <v>7</v>
      </c>
      <c r="AR141" s="40">
        <f t="shared" si="781"/>
        <v>7</v>
      </c>
      <c r="AS141" s="40">
        <f t="shared" si="782"/>
        <v>7</v>
      </c>
      <c r="AT141" s="40">
        <f t="shared" si="783"/>
        <v>7</v>
      </c>
      <c r="AU141" s="40">
        <f t="shared" si="784"/>
        <v>7</v>
      </c>
      <c r="AV141" s="40">
        <f t="shared" si="785"/>
        <v>7</v>
      </c>
      <c r="AW141" s="40">
        <f t="shared" si="786"/>
        <v>7</v>
      </c>
      <c r="AX141" s="40">
        <f>V141</f>
        <v>7</v>
      </c>
      <c r="AY141" s="40">
        <f t="shared" si="787"/>
        <v>7</v>
      </c>
      <c r="AZ141" s="40">
        <f t="shared" si="788"/>
        <v>7</v>
      </c>
      <c r="BA141" s="40">
        <f>Y141-X141</f>
        <v>7</v>
      </c>
      <c r="BB141" s="40">
        <f t="shared" si="789"/>
        <v>7</v>
      </c>
      <c r="BC141" s="40">
        <f t="shared" si="790"/>
        <v>7</v>
      </c>
      <c r="BD141" s="40">
        <f t="shared" si="791"/>
        <v>7</v>
      </c>
      <c r="BE141" s="40">
        <f t="shared" si="792"/>
        <v>7</v>
      </c>
      <c r="BF141" s="40">
        <f t="shared" si="793"/>
        <v>7</v>
      </c>
      <c r="BG141" s="40">
        <f t="shared" si="794"/>
        <v>7</v>
      </c>
      <c r="BH141" s="40">
        <f t="shared" si="795"/>
        <v>7</v>
      </c>
      <c r="BI141" s="40">
        <f t="shared" si="796"/>
        <v>7</v>
      </c>
      <c r="BJ141" s="40">
        <f>AH141</f>
        <v>5.583333333333333</v>
      </c>
      <c r="BK141" s="40">
        <f t="shared" ref="BK141:BL142" si="840">AI141</f>
        <v>11.166666666666666</v>
      </c>
      <c r="BL141" s="40">
        <f t="shared" si="840"/>
        <v>22.333333333333332</v>
      </c>
      <c r="BM141" s="408"/>
      <c r="BN141" s="48">
        <f t="shared" si="806"/>
        <v>21</v>
      </c>
      <c r="BO141" s="48">
        <f t="shared" si="807"/>
        <v>21</v>
      </c>
      <c r="BP141" s="48">
        <f t="shared" si="808"/>
        <v>21</v>
      </c>
      <c r="BQ141" s="48">
        <f t="shared" si="809"/>
        <v>21</v>
      </c>
      <c r="BR141" s="48">
        <f t="shared" si="810"/>
        <v>21</v>
      </c>
      <c r="BS141" s="48">
        <f t="shared" si="811"/>
        <v>21</v>
      </c>
      <c r="BT141" s="48">
        <f t="shared" si="812"/>
        <v>21</v>
      </c>
      <c r="BU141" s="48">
        <f t="shared" si="813"/>
        <v>21</v>
      </c>
      <c r="BV141" s="48">
        <f t="shared" si="814"/>
        <v>21</v>
      </c>
      <c r="BW141" s="48">
        <f t="shared" si="815"/>
        <v>21</v>
      </c>
      <c r="BX141" s="48">
        <f t="shared" si="816"/>
        <v>21</v>
      </c>
      <c r="BY141" s="48">
        <f t="shared" si="817"/>
        <v>21</v>
      </c>
      <c r="BZ141" s="48">
        <f t="shared" si="818"/>
        <v>21</v>
      </c>
      <c r="CA141" s="48">
        <f t="shared" si="819"/>
        <v>21</v>
      </c>
      <c r="CB141" s="48">
        <f t="shared" si="820"/>
        <v>21</v>
      </c>
      <c r="CC141" s="48">
        <f t="shared" si="821"/>
        <v>21</v>
      </c>
      <c r="CD141" s="48">
        <f t="shared" si="822"/>
        <v>21</v>
      </c>
      <c r="CE141" s="48">
        <f t="shared" si="823"/>
        <v>21</v>
      </c>
      <c r="CF141" s="48">
        <f t="shared" si="824"/>
        <v>21</v>
      </c>
      <c r="CG141" s="48">
        <f t="shared" si="825"/>
        <v>21</v>
      </c>
      <c r="CH141" s="48">
        <f t="shared" si="826"/>
        <v>21</v>
      </c>
      <c r="CI141" s="48">
        <f t="shared" si="827"/>
        <v>21</v>
      </c>
      <c r="CJ141" s="48">
        <f t="shared" si="828"/>
        <v>21</v>
      </c>
      <c r="CK141" s="48">
        <f t="shared" si="829"/>
        <v>21</v>
      </c>
      <c r="CL141" s="48">
        <f t="shared" si="830"/>
        <v>16.75</v>
      </c>
      <c r="CM141" s="48">
        <f t="shared" si="831"/>
        <v>16.75</v>
      </c>
      <c r="CN141" s="48">
        <f>67/4</f>
        <v>16.75</v>
      </c>
      <c r="CO141" s="406"/>
      <c r="CP141" s="48">
        <f>+AL141</f>
        <v>7</v>
      </c>
      <c r="CQ141" s="48">
        <f t="shared" ref="CQ141:DA141" si="841">+CP141+AM141</f>
        <v>14</v>
      </c>
      <c r="CR141" s="48">
        <f t="shared" si="841"/>
        <v>21</v>
      </c>
      <c r="CS141" s="48">
        <f t="shared" si="841"/>
        <v>28</v>
      </c>
      <c r="CT141" s="48">
        <f t="shared" si="841"/>
        <v>35</v>
      </c>
      <c r="CU141" s="48">
        <f t="shared" si="841"/>
        <v>42</v>
      </c>
      <c r="CV141" s="48">
        <f t="shared" si="841"/>
        <v>49</v>
      </c>
      <c r="CW141" s="48">
        <f t="shared" si="841"/>
        <v>56</v>
      </c>
      <c r="CX141" s="48">
        <f t="shared" si="841"/>
        <v>63</v>
      </c>
      <c r="CY141" s="48">
        <f t="shared" si="841"/>
        <v>70</v>
      </c>
      <c r="CZ141" s="48">
        <f t="shared" si="841"/>
        <v>77</v>
      </c>
      <c r="DA141" s="48">
        <f t="shared" si="841"/>
        <v>84</v>
      </c>
      <c r="DB141" s="48">
        <f>AX141</f>
        <v>7</v>
      </c>
      <c r="DC141" s="48">
        <f t="shared" ref="DC141:DM141" si="842">+DB141+AY141</f>
        <v>14</v>
      </c>
      <c r="DD141" s="48">
        <f t="shared" si="842"/>
        <v>21</v>
      </c>
      <c r="DE141" s="48">
        <f t="shared" si="842"/>
        <v>28</v>
      </c>
      <c r="DF141" s="48">
        <f t="shared" si="842"/>
        <v>35</v>
      </c>
      <c r="DG141" s="48">
        <f t="shared" si="842"/>
        <v>42</v>
      </c>
      <c r="DH141" s="48">
        <f t="shared" si="842"/>
        <v>49</v>
      </c>
      <c r="DI141" s="48">
        <f t="shared" si="842"/>
        <v>56</v>
      </c>
      <c r="DJ141" s="48">
        <f t="shared" si="842"/>
        <v>63</v>
      </c>
      <c r="DK141" s="48">
        <f t="shared" si="842"/>
        <v>70</v>
      </c>
      <c r="DL141" s="48">
        <f t="shared" si="842"/>
        <v>77</v>
      </c>
      <c r="DM141" s="48">
        <f t="shared" si="842"/>
        <v>84</v>
      </c>
      <c r="DN141" s="48">
        <f>+BJ141</f>
        <v>5.583333333333333</v>
      </c>
      <c r="DO141" s="48">
        <f>+DN141+BK141</f>
        <v>16.75</v>
      </c>
      <c r="DP141" s="48">
        <f>+DO141+BL141</f>
        <v>39.083333333333329</v>
      </c>
      <c r="DQ141" s="48"/>
      <c r="DR141" s="48"/>
      <c r="DS141" s="48"/>
      <c r="DT141" s="48"/>
      <c r="DU141" s="48"/>
      <c r="DV141" s="48"/>
      <c r="DW141" s="48"/>
      <c r="DX141" s="48"/>
      <c r="DY141" s="48"/>
      <c r="EA141" s="52">
        <f t="shared" ref="EA141:EA155" si="843">DA141</f>
        <v>84</v>
      </c>
      <c r="EB141" s="52">
        <f t="shared" ref="EB141:EB154" si="844">DM141</f>
        <v>84</v>
      </c>
      <c r="EC141" s="52">
        <v>67</v>
      </c>
      <c r="ED141" s="429"/>
      <c r="EE141" s="51">
        <f t="shared" si="802"/>
        <v>11.166666666666666</v>
      </c>
      <c r="EF141" s="51">
        <f t="shared" si="803"/>
        <v>16.75</v>
      </c>
      <c r="EG141" s="51">
        <v>67</v>
      </c>
      <c r="EH141" s="54"/>
      <c r="EI141" s="54"/>
      <c r="EJ141" s="54"/>
      <c r="EK141" s="675"/>
      <c r="EL141" s="53"/>
      <c r="EM141" s="53"/>
      <c r="EN141" s="53"/>
      <c r="EO141" s="49"/>
      <c r="EP141" s="49"/>
      <c r="EQ141" s="49"/>
    </row>
    <row r="142" spans="1:150">
      <c r="A142" s="6" t="s">
        <v>23</v>
      </c>
      <c r="B142" s="2" t="s">
        <v>4</v>
      </c>
      <c r="C142" s="3" t="s">
        <v>43</v>
      </c>
      <c r="E142" s="3" t="s">
        <v>16</v>
      </c>
      <c r="F142" s="44"/>
      <c r="G142" s="3" t="s">
        <v>91</v>
      </c>
      <c r="I142" s="23"/>
      <c r="J142" s="19">
        <f>39.48/12</f>
        <v>3.2899999999999996</v>
      </c>
      <c r="K142" s="19">
        <f>J142+3.29</f>
        <v>6.58</v>
      </c>
      <c r="L142" s="19">
        <f t="shared" ref="L142:U142" si="845">K142+3.29</f>
        <v>9.870000000000001</v>
      </c>
      <c r="M142" s="19">
        <f t="shared" si="845"/>
        <v>13.16</v>
      </c>
      <c r="N142" s="19">
        <f t="shared" si="845"/>
        <v>16.45</v>
      </c>
      <c r="O142" s="19">
        <f t="shared" si="845"/>
        <v>19.739999999999998</v>
      </c>
      <c r="P142" s="19">
        <f t="shared" si="845"/>
        <v>23.029999999999998</v>
      </c>
      <c r="Q142" s="19">
        <f t="shared" si="845"/>
        <v>26.319999999999997</v>
      </c>
      <c r="R142" s="19">
        <f t="shared" si="845"/>
        <v>29.609999999999996</v>
      </c>
      <c r="S142" s="19">
        <f t="shared" si="845"/>
        <v>32.9</v>
      </c>
      <c r="T142" s="19">
        <f t="shared" si="845"/>
        <v>36.19</v>
      </c>
      <c r="U142" s="19">
        <f t="shared" si="845"/>
        <v>39.479999999999997</v>
      </c>
      <c r="V142" s="219">
        <f t="shared" ref="V142:AG142" si="846">V141*0.25</f>
        <v>1.75</v>
      </c>
      <c r="W142" s="246">
        <f t="shared" si="846"/>
        <v>3.5</v>
      </c>
      <c r="X142" s="246">
        <f t="shared" si="846"/>
        <v>5.25</v>
      </c>
      <c r="Y142" s="246">
        <f t="shared" si="846"/>
        <v>7</v>
      </c>
      <c r="Z142" s="246">
        <f t="shared" si="846"/>
        <v>8.75</v>
      </c>
      <c r="AA142" s="246">
        <f t="shared" si="846"/>
        <v>10.5</v>
      </c>
      <c r="AB142" s="246">
        <f t="shared" si="846"/>
        <v>12.25</v>
      </c>
      <c r="AC142" s="246">
        <f t="shared" si="846"/>
        <v>14</v>
      </c>
      <c r="AD142" s="246">
        <f t="shared" si="846"/>
        <v>15.75</v>
      </c>
      <c r="AE142" s="246">
        <f t="shared" si="846"/>
        <v>17.5</v>
      </c>
      <c r="AF142" s="246">
        <f t="shared" si="846"/>
        <v>19.25</v>
      </c>
      <c r="AG142" s="246">
        <f t="shared" si="846"/>
        <v>21</v>
      </c>
      <c r="AH142" s="31">
        <f>34/12</f>
        <v>2.8333333333333335</v>
      </c>
      <c r="AI142" s="19">
        <f>AH142+AH142</f>
        <v>5.666666666666667</v>
      </c>
      <c r="AJ142" s="376">
        <f>AI142+AI142</f>
        <v>11.333333333333334</v>
      </c>
      <c r="AK142" s="408"/>
      <c r="AL142" s="40">
        <f>J142</f>
        <v>3.2899999999999996</v>
      </c>
      <c r="AM142" s="40">
        <f t="shared" si="777"/>
        <v>3.2900000000000005</v>
      </c>
      <c r="AN142" s="40">
        <f t="shared" si="778"/>
        <v>3.2900000000000009</v>
      </c>
      <c r="AO142" s="40">
        <f>M142-L142</f>
        <v>3.2899999999999991</v>
      </c>
      <c r="AP142" s="40">
        <f t="shared" si="779"/>
        <v>3.2899999999999991</v>
      </c>
      <c r="AQ142" s="40">
        <f t="shared" si="780"/>
        <v>3.2899999999999991</v>
      </c>
      <c r="AR142" s="40">
        <f t="shared" si="781"/>
        <v>3.2899999999999991</v>
      </c>
      <c r="AS142" s="40">
        <f t="shared" si="782"/>
        <v>3.2899999999999991</v>
      </c>
      <c r="AT142" s="40">
        <f t="shared" si="783"/>
        <v>3.2899999999999991</v>
      </c>
      <c r="AU142" s="40">
        <f t="shared" si="784"/>
        <v>3.2900000000000027</v>
      </c>
      <c r="AV142" s="40">
        <f t="shared" si="785"/>
        <v>3.2899999999999991</v>
      </c>
      <c r="AW142" s="40">
        <f t="shared" si="786"/>
        <v>3.2899999999999991</v>
      </c>
      <c r="AX142" s="40">
        <f>V142</f>
        <v>1.75</v>
      </c>
      <c r="AY142" s="40">
        <f t="shared" si="787"/>
        <v>1.75</v>
      </c>
      <c r="AZ142" s="40">
        <f t="shared" si="788"/>
        <v>1.75</v>
      </c>
      <c r="BA142" s="40">
        <f>Y142-X142</f>
        <v>1.75</v>
      </c>
      <c r="BB142" s="40">
        <f t="shared" si="789"/>
        <v>1.75</v>
      </c>
      <c r="BC142" s="40">
        <f t="shared" si="790"/>
        <v>1.75</v>
      </c>
      <c r="BD142" s="40">
        <f t="shared" si="791"/>
        <v>1.75</v>
      </c>
      <c r="BE142" s="40">
        <f t="shared" si="792"/>
        <v>1.75</v>
      </c>
      <c r="BF142" s="40">
        <f t="shared" si="793"/>
        <v>1.75</v>
      </c>
      <c r="BG142" s="40">
        <f t="shared" si="794"/>
        <v>1.75</v>
      </c>
      <c r="BH142" s="40">
        <f t="shared" si="795"/>
        <v>1.75</v>
      </c>
      <c r="BI142" s="40">
        <f t="shared" si="796"/>
        <v>1.75</v>
      </c>
      <c r="BJ142" s="40">
        <f>AH142</f>
        <v>2.8333333333333335</v>
      </c>
      <c r="BK142" s="40">
        <f t="shared" si="840"/>
        <v>5.666666666666667</v>
      </c>
      <c r="BL142" s="40">
        <f t="shared" si="840"/>
        <v>11.333333333333334</v>
      </c>
      <c r="BM142" s="408"/>
      <c r="BN142" s="48">
        <f t="shared" si="806"/>
        <v>9.870000000000001</v>
      </c>
      <c r="BO142" s="48">
        <f t="shared" si="807"/>
        <v>9.870000000000001</v>
      </c>
      <c r="BP142" s="48">
        <f t="shared" si="808"/>
        <v>9.870000000000001</v>
      </c>
      <c r="BQ142" s="48">
        <f t="shared" si="809"/>
        <v>9.8699999999999974</v>
      </c>
      <c r="BR142" s="48">
        <f t="shared" si="810"/>
        <v>9.8699999999999974</v>
      </c>
      <c r="BS142" s="48">
        <f t="shared" si="811"/>
        <v>9.8699999999999974</v>
      </c>
      <c r="BT142" s="48">
        <f t="shared" si="812"/>
        <v>9.8699999999999974</v>
      </c>
      <c r="BU142" s="48">
        <f t="shared" si="813"/>
        <v>9.8699999999999974</v>
      </c>
      <c r="BV142" s="48">
        <f t="shared" si="814"/>
        <v>9.8699999999999974</v>
      </c>
      <c r="BW142" s="48">
        <f t="shared" si="815"/>
        <v>9.870000000000001</v>
      </c>
      <c r="BX142" s="48">
        <f t="shared" si="816"/>
        <v>9.870000000000001</v>
      </c>
      <c r="BY142" s="48">
        <f t="shared" si="817"/>
        <v>9.870000000000001</v>
      </c>
      <c r="BZ142" s="48">
        <f t="shared" si="818"/>
        <v>5.25</v>
      </c>
      <c r="CA142" s="48">
        <f t="shared" si="819"/>
        <v>5.25</v>
      </c>
      <c r="CB142" s="119">
        <f t="shared" si="820"/>
        <v>5.25</v>
      </c>
      <c r="CC142" s="48">
        <f t="shared" si="821"/>
        <v>5.25</v>
      </c>
      <c r="CD142" s="48">
        <f t="shared" si="822"/>
        <v>5.25</v>
      </c>
      <c r="CE142" s="48">
        <f t="shared" si="823"/>
        <v>5.25</v>
      </c>
      <c r="CF142" s="48">
        <f t="shared" si="824"/>
        <v>5.25</v>
      </c>
      <c r="CG142" s="48">
        <f t="shared" si="825"/>
        <v>5.25</v>
      </c>
      <c r="CH142" s="48">
        <f t="shared" si="826"/>
        <v>5.25</v>
      </c>
      <c r="CI142" s="48">
        <f t="shared" si="827"/>
        <v>5.25</v>
      </c>
      <c r="CJ142" s="48">
        <f t="shared" si="828"/>
        <v>5.25</v>
      </c>
      <c r="CK142" s="48">
        <f t="shared" si="829"/>
        <v>5.25</v>
      </c>
      <c r="CL142" s="48">
        <f t="shared" si="830"/>
        <v>8.5</v>
      </c>
      <c r="CM142" s="48">
        <f t="shared" si="831"/>
        <v>8.5</v>
      </c>
      <c r="CN142" s="48">
        <f>34/4</f>
        <v>8.5</v>
      </c>
      <c r="CO142" s="406"/>
      <c r="CP142" s="48">
        <f t="shared" ref="CP142:DA142" si="847">I142+AL142</f>
        <v>3.2899999999999996</v>
      </c>
      <c r="CQ142" s="48">
        <f t="shared" si="847"/>
        <v>6.58</v>
      </c>
      <c r="CR142" s="48">
        <f t="shared" si="847"/>
        <v>9.870000000000001</v>
      </c>
      <c r="CS142" s="48">
        <f t="shared" si="847"/>
        <v>13.16</v>
      </c>
      <c r="CT142" s="48">
        <f t="shared" si="847"/>
        <v>16.45</v>
      </c>
      <c r="CU142" s="48">
        <f t="shared" si="847"/>
        <v>19.739999999999998</v>
      </c>
      <c r="CV142" s="48">
        <f t="shared" si="847"/>
        <v>23.029999999999998</v>
      </c>
      <c r="CW142" s="48">
        <f t="shared" si="847"/>
        <v>26.319999999999997</v>
      </c>
      <c r="CX142" s="48">
        <f t="shared" si="847"/>
        <v>29.609999999999996</v>
      </c>
      <c r="CY142" s="48">
        <f t="shared" si="847"/>
        <v>32.9</v>
      </c>
      <c r="CZ142" s="48">
        <f t="shared" si="847"/>
        <v>36.19</v>
      </c>
      <c r="DA142" s="48">
        <f t="shared" si="847"/>
        <v>39.479999999999997</v>
      </c>
      <c r="DB142" s="48">
        <f>AX142</f>
        <v>1.75</v>
      </c>
      <c r="DC142" s="48">
        <f t="shared" ref="DC142:DM142" si="848">V142+AY142</f>
        <v>3.5</v>
      </c>
      <c r="DD142" s="48">
        <f t="shared" si="848"/>
        <v>5.25</v>
      </c>
      <c r="DE142" s="48">
        <f t="shared" si="848"/>
        <v>7</v>
      </c>
      <c r="DF142" s="48">
        <f t="shared" si="848"/>
        <v>8.75</v>
      </c>
      <c r="DG142" s="48">
        <f t="shared" si="848"/>
        <v>10.5</v>
      </c>
      <c r="DH142" s="48">
        <f t="shared" si="848"/>
        <v>12.25</v>
      </c>
      <c r="DI142" s="48">
        <f t="shared" si="848"/>
        <v>14</v>
      </c>
      <c r="DJ142" s="48">
        <f t="shared" si="848"/>
        <v>15.75</v>
      </c>
      <c r="DK142" s="48">
        <f t="shared" si="848"/>
        <v>17.5</v>
      </c>
      <c r="DL142" s="48">
        <f t="shared" si="848"/>
        <v>19.25</v>
      </c>
      <c r="DM142" s="48">
        <f t="shared" si="848"/>
        <v>21</v>
      </c>
      <c r="DN142" s="48">
        <f>BJ142</f>
        <v>2.8333333333333335</v>
      </c>
      <c r="DO142" s="48">
        <f>AH142+BK142</f>
        <v>8.5</v>
      </c>
      <c r="DP142" s="48">
        <f>AI142+BL142</f>
        <v>17</v>
      </c>
      <c r="DQ142" s="48"/>
      <c r="DR142" s="48"/>
      <c r="DS142" s="48"/>
      <c r="DT142" s="48"/>
      <c r="DU142" s="48"/>
      <c r="DV142" s="48"/>
      <c r="DW142" s="48"/>
      <c r="DX142" s="48"/>
      <c r="DY142" s="48"/>
      <c r="EA142" s="52">
        <f t="shared" si="843"/>
        <v>39.479999999999997</v>
      </c>
      <c r="EB142" s="52">
        <f t="shared" si="844"/>
        <v>21</v>
      </c>
      <c r="EC142" s="52">
        <v>34</v>
      </c>
      <c r="ED142" s="429"/>
      <c r="EE142" s="400">
        <f t="shared" si="802"/>
        <v>5.666666666666667</v>
      </c>
      <c r="EF142" s="319">
        <f t="shared" si="803"/>
        <v>8.5</v>
      </c>
      <c r="EG142" s="51">
        <v>34</v>
      </c>
      <c r="EH142" s="54"/>
      <c r="EI142" s="54"/>
      <c r="EJ142" s="126"/>
      <c r="EK142" s="675"/>
      <c r="EL142" s="53"/>
      <c r="EM142" s="53"/>
      <c r="EN142" s="53"/>
      <c r="EO142" s="49"/>
      <c r="EP142" s="49"/>
      <c r="EQ142" s="49"/>
    </row>
    <row r="143" spans="1:150">
      <c r="A143" s="6" t="s">
        <v>23</v>
      </c>
      <c r="B143" s="2" t="s">
        <v>6</v>
      </c>
      <c r="C143" s="3" t="s">
        <v>44</v>
      </c>
      <c r="E143" s="3" t="s">
        <v>16</v>
      </c>
      <c r="G143" s="3" t="s">
        <v>89</v>
      </c>
      <c r="I143" s="23"/>
      <c r="J143" s="19">
        <f>21/12</f>
        <v>1.75</v>
      </c>
      <c r="K143" s="19">
        <f>J143</f>
        <v>1.75</v>
      </c>
      <c r="L143" s="246">
        <f t="shared" ref="L143:U143" si="849">K143</f>
        <v>1.75</v>
      </c>
      <c r="M143" s="246">
        <f t="shared" si="849"/>
        <v>1.75</v>
      </c>
      <c r="N143" s="246">
        <f t="shared" si="849"/>
        <v>1.75</v>
      </c>
      <c r="O143" s="246">
        <f t="shared" si="849"/>
        <v>1.75</v>
      </c>
      <c r="P143" s="246">
        <f t="shared" si="849"/>
        <v>1.75</v>
      </c>
      <c r="Q143" s="246">
        <f t="shared" si="849"/>
        <v>1.75</v>
      </c>
      <c r="R143" s="246">
        <f t="shared" si="849"/>
        <v>1.75</v>
      </c>
      <c r="S143" s="246">
        <f t="shared" si="849"/>
        <v>1.75</v>
      </c>
      <c r="T143" s="246">
        <f t="shared" si="849"/>
        <v>1.75</v>
      </c>
      <c r="U143" s="246">
        <f t="shared" si="849"/>
        <v>1.75</v>
      </c>
      <c r="V143" s="404">
        <v>1.75</v>
      </c>
      <c r="W143" s="254">
        <f>V143+1.75</f>
        <v>3.5</v>
      </c>
      <c r="X143" s="254">
        <f t="shared" ref="X143:AG143" si="850">W143+1.75</f>
        <v>5.25</v>
      </c>
      <c r="Y143" s="254">
        <f t="shared" si="850"/>
        <v>7</v>
      </c>
      <c r="Z143" s="254">
        <f t="shared" si="850"/>
        <v>8.75</v>
      </c>
      <c r="AA143" s="254">
        <f t="shared" si="850"/>
        <v>10.5</v>
      </c>
      <c r="AB143" s="254">
        <f t="shared" si="850"/>
        <v>12.25</v>
      </c>
      <c r="AC143" s="254">
        <f t="shared" si="850"/>
        <v>14</v>
      </c>
      <c r="AD143" s="254">
        <f t="shared" si="850"/>
        <v>15.75</v>
      </c>
      <c r="AE143" s="254">
        <f t="shared" si="850"/>
        <v>17.5</v>
      </c>
      <c r="AF143" s="254">
        <f t="shared" si="850"/>
        <v>19.25</v>
      </c>
      <c r="AG143" s="254">
        <f t="shared" si="850"/>
        <v>21</v>
      </c>
      <c r="AH143" s="31">
        <v>0</v>
      </c>
      <c r="AI143" s="19">
        <v>0</v>
      </c>
      <c r="AJ143" s="19"/>
      <c r="AK143" s="408"/>
      <c r="AL143" s="40">
        <f>J143</f>
        <v>1.75</v>
      </c>
      <c r="AM143" s="40">
        <f t="shared" ref="AM143:AW143" si="851">K143</f>
        <v>1.75</v>
      </c>
      <c r="AN143" s="40">
        <f t="shared" si="851"/>
        <v>1.75</v>
      </c>
      <c r="AO143" s="40">
        <f t="shared" si="851"/>
        <v>1.75</v>
      </c>
      <c r="AP143" s="40">
        <f t="shared" si="851"/>
        <v>1.75</v>
      </c>
      <c r="AQ143" s="40">
        <f t="shared" si="851"/>
        <v>1.75</v>
      </c>
      <c r="AR143" s="40">
        <f t="shared" si="851"/>
        <v>1.75</v>
      </c>
      <c r="AS143" s="40">
        <f t="shared" si="851"/>
        <v>1.75</v>
      </c>
      <c r="AT143" s="40">
        <f t="shared" si="851"/>
        <v>1.75</v>
      </c>
      <c r="AU143" s="40">
        <f t="shared" si="851"/>
        <v>1.75</v>
      </c>
      <c r="AV143" s="40">
        <f t="shared" si="851"/>
        <v>1.75</v>
      </c>
      <c r="AW143" s="40">
        <f t="shared" si="851"/>
        <v>1.75</v>
      </c>
      <c r="AX143" s="40">
        <f>V143</f>
        <v>1.75</v>
      </c>
      <c r="AY143" s="40">
        <f>W143-SUM($AX143:AX143)</f>
        <v>1.75</v>
      </c>
      <c r="AZ143" s="40">
        <f>X143-SUM($AX143:AY143)</f>
        <v>1.75</v>
      </c>
      <c r="BA143" s="40">
        <f>Y143-SUM($AX143:AZ143)</f>
        <v>1.75</v>
      </c>
      <c r="BB143" s="40">
        <f>Z143-SUM($AX143:BA143)</f>
        <v>1.75</v>
      </c>
      <c r="BC143" s="40">
        <f>AA143-SUM($AX143:BB143)</f>
        <v>1.75</v>
      </c>
      <c r="BD143" s="40">
        <f>AB143-SUM($AX143:BC143)</f>
        <v>1.75</v>
      </c>
      <c r="BE143" s="40">
        <f>AC143-SUM($AX143:BD143)</f>
        <v>1.75</v>
      </c>
      <c r="BF143" s="40">
        <f>AD143-SUM($AX143:BE143)</f>
        <v>1.75</v>
      </c>
      <c r="BG143" s="40">
        <f>AE143-SUM($AX143:BF143)</f>
        <v>1.75</v>
      </c>
      <c r="BH143" s="40">
        <f>AF143-SUM($AX143:BG143)</f>
        <v>1.75</v>
      </c>
      <c r="BI143" s="40">
        <f>AG143-SUM($AX143:BH143)</f>
        <v>1.75</v>
      </c>
      <c r="BJ143" s="40">
        <v>0</v>
      </c>
      <c r="BK143" s="40">
        <v>0</v>
      </c>
      <c r="BL143" s="40">
        <v>0</v>
      </c>
      <c r="BM143" s="408"/>
      <c r="BN143" s="48">
        <f t="shared" si="806"/>
        <v>5.25</v>
      </c>
      <c r="BO143" s="48">
        <f t="shared" si="807"/>
        <v>5.25</v>
      </c>
      <c r="BP143" s="48">
        <f>SUM(AL143:AN143)</f>
        <v>5.25</v>
      </c>
      <c r="BQ143" s="48">
        <f t="shared" si="809"/>
        <v>5.25</v>
      </c>
      <c r="BR143" s="48">
        <f t="shared" si="810"/>
        <v>5.25</v>
      </c>
      <c r="BS143" s="48">
        <f>SUM(AO143:AQ143)</f>
        <v>5.25</v>
      </c>
      <c r="BT143" s="48">
        <f t="shared" si="812"/>
        <v>5.25</v>
      </c>
      <c r="BU143" s="48">
        <f t="shared" si="813"/>
        <v>5.25</v>
      </c>
      <c r="BV143" s="48">
        <f>SUM(AR143:AT143)</f>
        <v>5.25</v>
      </c>
      <c r="BW143" s="48">
        <f t="shared" si="815"/>
        <v>5.25</v>
      </c>
      <c r="BX143" s="48">
        <f t="shared" si="816"/>
        <v>5.25</v>
      </c>
      <c r="BY143" s="48">
        <f>SUM(AU143:AW143)</f>
        <v>5.25</v>
      </c>
      <c r="BZ143" s="48">
        <f t="shared" si="818"/>
        <v>5.25</v>
      </c>
      <c r="CA143" s="48">
        <f t="shared" si="819"/>
        <v>5.25</v>
      </c>
      <c r="CB143" s="119">
        <f t="shared" si="820"/>
        <v>5.25</v>
      </c>
      <c r="CC143" s="48">
        <f t="shared" si="821"/>
        <v>5.25</v>
      </c>
      <c r="CD143" s="48">
        <f t="shared" si="822"/>
        <v>5.25</v>
      </c>
      <c r="CE143" s="48">
        <f>SUM(BA143:BC143)</f>
        <v>5.25</v>
      </c>
      <c r="CF143" s="48">
        <f t="shared" si="824"/>
        <v>5.25</v>
      </c>
      <c r="CG143" s="48">
        <f t="shared" si="825"/>
        <v>5.25</v>
      </c>
      <c r="CH143" s="48">
        <f>SUM(BD143:BF143)</f>
        <v>5.25</v>
      </c>
      <c r="CI143" s="48">
        <f t="shared" si="827"/>
        <v>5.25</v>
      </c>
      <c r="CJ143" s="48">
        <f t="shared" si="828"/>
        <v>5.25</v>
      </c>
      <c r="CK143" s="48">
        <f>SUM(BG143:BI143)</f>
        <v>5.25</v>
      </c>
      <c r="CL143" s="384">
        <v>0</v>
      </c>
      <c r="CM143" s="384">
        <v>0</v>
      </c>
      <c r="CN143" s="384">
        <f t="shared" si="798"/>
        <v>0</v>
      </c>
      <c r="CO143" s="406"/>
      <c r="CP143" s="48">
        <f>AL143</f>
        <v>1.75</v>
      </c>
      <c r="CQ143" s="48">
        <f t="shared" ref="CQ143:DA143" si="852">CP143+AM143</f>
        <v>3.5</v>
      </c>
      <c r="CR143" s="48">
        <f t="shared" si="852"/>
        <v>5.25</v>
      </c>
      <c r="CS143" s="48">
        <f t="shared" si="852"/>
        <v>7</v>
      </c>
      <c r="CT143" s="48">
        <f t="shared" si="852"/>
        <v>8.75</v>
      </c>
      <c r="CU143" s="48">
        <f t="shared" si="852"/>
        <v>10.5</v>
      </c>
      <c r="CV143" s="48">
        <f t="shared" si="852"/>
        <v>12.25</v>
      </c>
      <c r="CW143" s="48">
        <f t="shared" si="852"/>
        <v>14</v>
      </c>
      <c r="CX143" s="48">
        <f t="shared" si="852"/>
        <v>15.75</v>
      </c>
      <c r="CY143" s="48">
        <f t="shared" si="852"/>
        <v>17.5</v>
      </c>
      <c r="CZ143" s="48">
        <f t="shared" si="852"/>
        <v>19.25</v>
      </c>
      <c r="DA143" s="48">
        <f t="shared" si="852"/>
        <v>21</v>
      </c>
      <c r="DB143" s="48">
        <f>AX143</f>
        <v>1.75</v>
      </c>
      <c r="DC143" s="48">
        <f t="shared" ref="DC143:DM143" si="853">DB143+AY143</f>
        <v>3.5</v>
      </c>
      <c r="DD143" s="48">
        <f t="shared" si="853"/>
        <v>5.25</v>
      </c>
      <c r="DE143" s="48">
        <f t="shared" si="853"/>
        <v>7</v>
      </c>
      <c r="DF143" s="48">
        <f t="shared" si="853"/>
        <v>8.75</v>
      </c>
      <c r="DG143" s="48">
        <f t="shared" si="853"/>
        <v>10.5</v>
      </c>
      <c r="DH143" s="48">
        <f t="shared" si="853"/>
        <v>12.25</v>
      </c>
      <c r="DI143" s="48">
        <f t="shared" si="853"/>
        <v>14</v>
      </c>
      <c r="DJ143" s="48">
        <f t="shared" si="853"/>
        <v>15.75</v>
      </c>
      <c r="DK143" s="48">
        <f t="shared" si="853"/>
        <v>17.5</v>
      </c>
      <c r="DL143" s="48">
        <f t="shared" si="853"/>
        <v>19.25</v>
      </c>
      <c r="DM143" s="48">
        <f t="shared" si="853"/>
        <v>21</v>
      </c>
      <c r="DN143" s="384">
        <f>BJ143</f>
        <v>0</v>
      </c>
      <c r="DO143" s="384">
        <f>DN143+BK143</f>
        <v>0</v>
      </c>
      <c r="DP143" s="384">
        <f>DO143+BL143</f>
        <v>0</v>
      </c>
      <c r="DQ143" s="48"/>
      <c r="DR143" s="48"/>
      <c r="DS143" s="48"/>
      <c r="DT143" s="48"/>
      <c r="DU143" s="48"/>
      <c r="DV143" s="48"/>
      <c r="DW143" s="48"/>
      <c r="DX143" s="48"/>
      <c r="DY143" s="48"/>
      <c r="EA143" s="52">
        <f t="shared" si="843"/>
        <v>21</v>
      </c>
      <c r="EB143" s="52">
        <f t="shared" si="844"/>
        <v>21</v>
      </c>
      <c r="EC143" s="52"/>
      <c r="ED143" s="429"/>
      <c r="EE143" s="612">
        <f t="shared" si="802"/>
        <v>0</v>
      </c>
      <c r="EF143" s="612">
        <f t="shared" si="803"/>
        <v>0</v>
      </c>
      <c r="EG143" s="51">
        <f t="shared" ref="EG143:EG151" si="854">HLOOKUP($EJ$4,Budget,ROW()-1)</f>
        <v>21</v>
      </c>
      <c r="EH143" s="54"/>
      <c r="EI143" s="54"/>
      <c r="EJ143" s="54"/>
      <c r="EK143" s="675"/>
      <c r="EL143" s="53"/>
      <c r="EM143" s="53"/>
      <c r="EN143" s="53"/>
      <c r="EO143" s="49"/>
      <c r="EP143" s="49"/>
      <c r="EQ143" s="49"/>
    </row>
    <row r="144" spans="1:150">
      <c r="A144" s="15" t="s">
        <v>23</v>
      </c>
      <c r="B144" s="14" t="s">
        <v>7</v>
      </c>
      <c r="C144" s="16" t="s">
        <v>45</v>
      </c>
      <c r="D144" s="16"/>
      <c r="E144" s="16" t="s">
        <v>16</v>
      </c>
      <c r="F144" s="16"/>
      <c r="G144" s="16" t="s">
        <v>89</v>
      </c>
      <c r="H144" s="16"/>
      <c r="I144" s="24"/>
      <c r="J144" s="25">
        <v>0.95</v>
      </c>
      <c r="K144" s="25">
        <f t="shared" ref="K144:U144" si="855">J144</f>
        <v>0.95</v>
      </c>
      <c r="L144" s="25">
        <f t="shared" si="855"/>
        <v>0.95</v>
      </c>
      <c r="M144" s="25">
        <f t="shared" si="855"/>
        <v>0.95</v>
      </c>
      <c r="N144" s="25">
        <f t="shared" si="855"/>
        <v>0.95</v>
      </c>
      <c r="O144" s="25">
        <f t="shared" si="855"/>
        <v>0.95</v>
      </c>
      <c r="P144" s="25">
        <f t="shared" si="855"/>
        <v>0.95</v>
      </c>
      <c r="Q144" s="25">
        <f t="shared" si="855"/>
        <v>0.95</v>
      </c>
      <c r="R144" s="25">
        <f t="shared" si="855"/>
        <v>0.95</v>
      </c>
      <c r="S144" s="25">
        <f t="shared" si="855"/>
        <v>0.95</v>
      </c>
      <c r="T144" s="25">
        <f t="shared" si="855"/>
        <v>0.95</v>
      </c>
      <c r="U144" s="25">
        <f t="shared" si="855"/>
        <v>0.95</v>
      </c>
      <c r="V144" s="220">
        <f>$AG144</f>
        <v>0.95</v>
      </c>
      <c r="W144" s="250">
        <f t="shared" ref="W144:AF144" si="856">$AG144</f>
        <v>0.95</v>
      </c>
      <c r="X144" s="250">
        <f t="shared" si="856"/>
        <v>0.95</v>
      </c>
      <c r="Y144" s="250">
        <f t="shared" si="856"/>
        <v>0.95</v>
      </c>
      <c r="Z144" s="250">
        <f t="shared" si="856"/>
        <v>0.95</v>
      </c>
      <c r="AA144" s="250">
        <f t="shared" si="856"/>
        <v>0.95</v>
      </c>
      <c r="AB144" s="250">
        <f t="shared" si="856"/>
        <v>0.95</v>
      </c>
      <c r="AC144" s="250">
        <f t="shared" si="856"/>
        <v>0.95</v>
      </c>
      <c r="AD144" s="250">
        <f t="shared" si="856"/>
        <v>0.95</v>
      </c>
      <c r="AE144" s="250">
        <f t="shared" si="856"/>
        <v>0.95</v>
      </c>
      <c r="AF144" s="250">
        <f t="shared" si="856"/>
        <v>0.95</v>
      </c>
      <c r="AG144" s="250">
        <v>0.95</v>
      </c>
      <c r="AH144" s="33">
        <v>0.95</v>
      </c>
      <c r="AI144" s="220">
        <v>0.95</v>
      </c>
      <c r="AJ144" s="220">
        <v>0.95</v>
      </c>
      <c r="AK144" s="412"/>
      <c r="AL144" s="55">
        <f>J144</f>
        <v>0.95</v>
      </c>
      <c r="AM144" s="55">
        <f t="shared" ref="AM144:AW144" si="857">K144</f>
        <v>0.95</v>
      </c>
      <c r="AN144" s="55">
        <f t="shared" si="857"/>
        <v>0.95</v>
      </c>
      <c r="AO144" s="55">
        <f t="shared" si="857"/>
        <v>0.95</v>
      </c>
      <c r="AP144" s="55">
        <f t="shared" si="857"/>
        <v>0.95</v>
      </c>
      <c r="AQ144" s="55">
        <f t="shared" si="857"/>
        <v>0.95</v>
      </c>
      <c r="AR144" s="55">
        <f t="shared" si="857"/>
        <v>0.95</v>
      </c>
      <c r="AS144" s="55">
        <f t="shared" si="857"/>
        <v>0.95</v>
      </c>
      <c r="AT144" s="55">
        <f t="shared" si="857"/>
        <v>0.95</v>
      </c>
      <c r="AU144" s="55">
        <f t="shared" si="857"/>
        <v>0.95</v>
      </c>
      <c r="AV144" s="55">
        <f t="shared" si="857"/>
        <v>0.95</v>
      </c>
      <c r="AW144" s="55">
        <f t="shared" si="857"/>
        <v>0.95</v>
      </c>
      <c r="AX144" s="55">
        <f>V144</f>
        <v>0.95</v>
      </c>
      <c r="AY144" s="55">
        <f t="shared" ref="AY144:BI144" si="858">W144</f>
        <v>0.95</v>
      </c>
      <c r="AZ144" s="55">
        <f t="shared" si="858"/>
        <v>0.95</v>
      </c>
      <c r="BA144" s="55">
        <f t="shared" si="858"/>
        <v>0.95</v>
      </c>
      <c r="BB144" s="55">
        <f t="shared" si="858"/>
        <v>0.95</v>
      </c>
      <c r="BC144" s="55">
        <f t="shared" si="858"/>
        <v>0.95</v>
      </c>
      <c r="BD144" s="55">
        <f t="shared" si="858"/>
        <v>0.95</v>
      </c>
      <c r="BE144" s="55">
        <f t="shared" si="858"/>
        <v>0.95</v>
      </c>
      <c r="BF144" s="55">
        <f t="shared" si="858"/>
        <v>0.95</v>
      </c>
      <c r="BG144" s="55">
        <f t="shared" si="858"/>
        <v>0.95</v>
      </c>
      <c r="BH144" s="55">
        <f t="shared" si="858"/>
        <v>0.95</v>
      </c>
      <c r="BI144" s="55">
        <f t="shared" si="858"/>
        <v>0.95</v>
      </c>
      <c r="BJ144" s="55">
        <f>AH144</f>
        <v>0.95</v>
      </c>
      <c r="BK144" s="55">
        <f t="shared" ref="BK144:BL144" si="859">AI144</f>
        <v>0.95</v>
      </c>
      <c r="BL144" s="55">
        <f t="shared" si="859"/>
        <v>0.95</v>
      </c>
      <c r="BM144" s="410"/>
      <c r="BN144" s="56">
        <f t="shared" si="806"/>
        <v>0.95</v>
      </c>
      <c r="BO144" s="56">
        <f t="shared" si="807"/>
        <v>0.95</v>
      </c>
      <c r="BP144" s="56">
        <f>(AL144*AL143+AM144*AM143+AN144*AN143)/BP143</f>
        <v>0.95</v>
      </c>
      <c r="BQ144" s="56">
        <f t="shared" si="809"/>
        <v>0.95</v>
      </c>
      <c r="BR144" s="56">
        <f t="shared" si="810"/>
        <v>0.95</v>
      </c>
      <c r="BS144" s="56">
        <f>(AO144*AO143+AP144*AP143+AQ144*AQ143)/BS143</f>
        <v>0.95</v>
      </c>
      <c r="BT144" s="56">
        <f t="shared" si="812"/>
        <v>0.95</v>
      </c>
      <c r="BU144" s="56">
        <f t="shared" si="813"/>
        <v>0.95</v>
      </c>
      <c r="BV144" s="56">
        <f>(AR144*AR143+AS144*AS143+AT144*AT143)/BV143</f>
        <v>0.95</v>
      </c>
      <c r="BW144" s="56">
        <f t="shared" si="815"/>
        <v>0.95</v>
      </c>
      <c r="BX144" s="56">
        <f t="shared" si="816"/>
        <v>0.95</v>
      </c>
      <c r="BY144" s="56">
        <f>(AU144*AU143+AV144*AV143+AW144*AW143)/BY143</f>
        <v>0.95</v>
      </c>
      <c r="BZ144" s="56">
        <f t="shared" si="818"/>
        <v>2.8499999999999996</v>
      </c>
      <c r="CA144" s="56">
        <f t="shared" si="819"/>
        <v>2.8499999999999996</v>
      </c>
      <c r="CB144" s="119">
        <f t="shared" si="820"/>
        <v>2.8499999999999996</v>
      </c>
      <c r="CC144" s="56">
        <f t="shared" si="821"/>
        <v>2.8499999999999996</v>
      </c>
      <c r="CD144" s="56">
        <f t="shared" si="822"/>
        <v>2.8499999999999996</v>
      </c>
      <c r="CE144" s="48">
        <f>SUM(BA144:BC144)</f>
        <v>2.8499999999999996</v>
      </c>
      <c r="CF144" s="56">
        <f t="shared" si="824"/>
        <v>2.8499999999999996</v>
      </c>
      <c r="CG144" s="56">
        <f t="shared" si="825"/>
        <v>2.8499999999999996</v>
      </c>
      <c r="CH144" s="48">
        <f>SUM(BD144:BF144)</f>
        <v>2.8499999999999996</v>
      </c>
      <c r="CI144" s="56">
        <f t="shared" si="827"/>
        <v>2.8499999999999996</v>
      </c>
      <c r="CJ144" s="56">
        <f t="shared" si="828"/>
        <v>2.8499999999999996</v>
      </c>
      <c r="CK144" s="48">
        <f>SUM(BG144:BI144)</f>
        <v>2.8499999999999996</v>
      </c>
      <c r="CL144" s="56">
        <f>AH144</f>
        <v>0.95</v>
      </c>
      <c r="CM144" s="56">
        <f t="shared" ref="CM144:CN144" si="860">AI144</f>
        <v>0.95</v>
      </c>
      <c r="CN144" s="56">
        <f t="shared" si="860"/>
        <v>0.95</v>
      </c>
      <c r="CO144" s="422"/>
      <c r="CP144" s="56">
        <f t="shared" ref="CP144:DA144" si="861">CP157/CP143</f>
        <v>0.95</v>
      </c>
      <c r="CQ144" s="56">
        <f t="shared" si="861"/>
        <v>0.95</v>
      </c>
      <c r="CR144" s="56">
        <f t="shared" si="861"/>
        <v>0.95</v>
      </c>
      <c r="CS144" s="56">
        <f t="shared" si="861"/>
        <v>0.95</v>
      </c>
      <c r="CT144" s="56">
        <f t="shared" si="861"/>
        <v>0.95</v>
      </c>
      <c r="CU144" s="56">
        <f t="shared" si="861"/>
        <v>0.95</v>
      </c>
      <c r="CV144" s="56">
        <f t="shared" si="861"/>
        <v>0.95</v>
      </c>
      <c r="CW144" s="56">
        <f t="shared" si="861"/>
        <v>0.95</v>
      </c>
      <c r="CX144" s="56">
        <f t="shared" si="861"/>
        <v>0.95</v>
      </c>
      <c r="CY144" s="56">
        <f t="shared" si="861"/>
        <v>0.95</v>
      </c>
      <c r="CZ144" s="56">
        <f t="shared" si="861"/>
        <v>0.95000000000000007</v>
      </c>
      <c r="DA144" s="56">
        <f t="shared" si="861"/>
        <v>0.95000000000000018</v>
      </c>
      <c r="DB144" s="56">
        <f t="shared" ref="DB144:DP144" si="862">DA144</f>
        <v>0.95000000000000018</v>
      </c>
      <c r="DC144" s="56">
        <f t="shared" si="862"/>
        <v>0.95000000000000018</v>
      </c>
      <c r="DD144" s="56">
        <f t="shared" si="862"/>
        <v>0.95000000000000018</v>
      </c>
      <c r="DE144" s="56">
        <f t="shared" si="862"/>
        <v>0.95000000000000018</v>
      </c>
      <c r="DF144" s="56">
        <f t="shared" si="862"/>
        <v>0.95000000000000018</v>
      </c>
      <c r="DG144" s="56">
        <f t="shared" si="862"/>
        <v>0.95000000000000018</v>
      </c>
      <c r="DH144" s="56">
        <f t="shared" si="862"/>
        <v>0.95000000000000018</v>
      </c>
      <c r="DI144" s="56">
        <f t="shared" si="862"/>
        <v>0.95000000000000018</v>
      </c>
      <c r="DJ144" s="56">
        <f t="shared" si="862"/>
        <v>0.95000000000000018</v>
      </c>
      <c r="DK144" s="56">
        <f t="shared" si="862"/>
        <v>0.95000000000000018</v>
      </c>
      <c r="DL144" s="56">
        <f t="shared" si="862"/>
        <v>0.95000000000000018</v>
      </c>
      <c r="DM144" s="56">
        <f t="shared" si="862"/>
        <v>0.95000000000000018</v>
      </c>
      <c r="DN144" s="56">
        <f t="shared" si="862"/>
        <v>0.95000000000000018</v>
      </c>
      <c r="DO144" s="56">
        <f t="shared" si="862"/>
        <v>0.95000000000000018</v>
      </c>
      <c r="DP144" s="56">
        <f t="shared" si="862"/>
        <v>0.95000000000000018</v>
      </c>
      <c r="DQ144" s="56"/>
      <c r="DR144" s="56"/>
      <c r="DS144" s="56"/>
      <c r="DT144" s="56"/>
      <c r="DU144" s="56"/>
      <c r="DV144" s="56"/>
      <c r="DW144" s="56"/>
      <c r="DX144" s="56"/>
      <c r="DY144" s="56"/>
      <c r="DZ144" s="14"/>
      <c r="EA144" s="55">
        <f t="shared" si="843"/>
        <v>0.95000000000000018</v>
      </c>
      <c r="EB144" s="55">
        <f t="shared" si="844"/>
        <v>0.95000000000000018</v>
      </c>
      <c r="EC144" s="55"/>
      <c r="ED144" s="430"/>
      <c r="EE144" s="56">
        <f t="shared" si="802"/>
        <v>0.95</v>
      </c>
      <c r="EF144" s="56">
        <f t="shared" si="803"/>
        <v>0.95</v>
      </c>
      <c r="EG144" s="56">
        <f t="shared" si="854"/>
        <v>0.95000000000000018</v>
      </c>
      <c r="EH144" s="57"/>
      <c r="EI144" s="57"/>
      <c r="EJ144" s="57"/>
      <c r="EK144" s="675"/>
      <c r="EL144" s="55"/>
      <c r="EM144" s="55"/>
      <c r="EN144" s="55"/>
      <c r="EO144" s="49"/>
      <c r="EP144" s="49"/>
      <c r="EQ144" s="49"/>
      <c r="ER144" s="14"/>
      <c r="ES144" s="14"/>
      <c r="ET144" s="14"/>
    </row>
    <row r="145" spans="1:149">
      <c r="A145" s="6" t="s">
        <v>23</v>
      </c>
      <c r="B145" s="2" t="s">
        <v>8</v>
      </c>
      <c r="C145" s="3" t="s">
        <v>86</v>
      </c>
      <c r="E145" s="3" t="s">
        <v>16</v>
      </c>
      <c r="G145" s="3" t="s">
        <v>91</v>
      </c>
      <c r="I145" s="23"/>
      <c r="J145" s="19">
        <f>25/12</f>
        <v>2.0833333333333335</v>
      </c>
      <c r="K145" s="246">
        <f t="shared" ref="K145:U145" si="863">25/12</f>
        <v>2.0833333333333335</v>
      </c>
      <c r="L145" s="246">
        <f t="shared" si="863"/>
        <v>2.0833333333333335</v>
      </c>
      <c r="M145" s="246">
        <f t="shared" si="863"/>
        <v>2.0833333333333335</v>
      </c>
      <c r="N145" s="246">
        <f t="shared" si="863"/>
        <v>2.0833333333333335</v>
      </c>
      <c r="O145" s="246">
        <f t="shared" si="863"/>
        <v>2.0833333333333335</v>
      </c>
      <c r="P145" s="246">
        <f t="shared" si="863"/>
        <v>2.0833333333333335</v>
      </c>
      <c r="Q145" s="246">
        <f t="shared" si="863"/>
        <v>2.0833333333333335</v>
      </c>
      <c r="R145" s="246">
        <f t="shared" si="863"/>
        <v>2.0833333333333335</v>
      </c>
      <c r="S145" s="246">
        <f t="shared" si="863"/>
        <v>2.0833333333333335</v>
      </c>
      <c r="T145" s="246">
        <f t="shared" si="863"/>
        <v>2.0833333333333335</v>
      </c>
      <c r="U145" s="246">
        <f t="shared" si="863"/>
        <v>2.0833333333333335</v>
      </c>
      <c r="V145" s="219">
        <v>1.1659999999999999</v>
      </c>
      <c r="W145" s="246">
        <f>V145+1.166</f>
        <v>2.3319999999999999</v>
      </c>
      <c r="X145" s="376">
        <f t="shared" ref="X145:AG145" si="864">W145+1.166</f>
        <v>3.4979999999999998</v>
      </c>
      <c r="Y145" s="376">
        <f t="shared" si="864"/>
        <v>4.6639999999999997</v>
      </c>
      <c r="Z145" s="376">
        <f t="shared" si="864"/>
        <v>5.83</v>
      </c>
      <c r="AA145" s="376">
        <f t="shared" si="864"/>
        <v>6.9960000000000004</v>
      </c>
      <c r="AB145" s="376">
        <f t="shared" si="864"/>
        <v>8.1620000000000008</v>
      </c>
      <c r="AC145" s="376">
        <f t="shared" si="864"/>
        <v>9.3280000000000012</v>
      </c>
      <c r="AD145" s="376">
        <f t="shared" si="864"/>
        <v>10.494000000000002</v>
      </c>
      <c r="AE145" s="376">
        <f t="shared" si="864"/>
        <v>11.660000000000002</v>
      </c>
      <c r="AF145" s="376">
        <f t="shared" si="864"/>
        <v>12.826000000000002</v>
      </c>
      <c r="AG145" s="189">
        <f t="shared" si="864"/>
        <v>13.992000000000003</v>
      </c>
      <c r="AH145" s="31"/>
      <c r="AI145" s="19"/>
      <c r="AJ145" s="19"/>
      <c r="AK145" s="408"/>
      <c r="AL145" s="40">
        <f>J145</f>
        <v>2.0833333333333335</v>
      </c>
      <c r="AM145" s="40">
        <f>K145-J145</f>
        <v>0</v>
      </c>
      <c r="AN145" s="40">
        <f t="shared" ref="AN145:AN151" si="865">L145-K145</f>
        <v>0</v>
      </c>
      <c r="AO145" s="40">
        <f t="shared" ref="AO145:AO151" si="866">M145-L145</f>
        <v>0</v>
      </c>
      <c r="AP145" s="40">
        <f t="shared" ref="AP145:AP151" si="867">N145-M145</f>
        <v>0</v>
      </c>
      <c r="AQ145" s="40">
        <f t="shared" ref="AQ145:AQ151" si="868">O145-N145</f>
        <v>0</v>
      </c>
      <c r="AR145" s="40">
        <f t="shared" ref="AR145:AR151" si="869">P145-O145</f>
        <v>0</v>
      </c>
      <c r="AS145" s="40">
        <f t="shared" ref="AS145:AS151" si="870">Q145-P145</f>
        <v>0</v>
      </c>
      <c r="AT145" s="40">
        <f t="shared" ref="AT145:AT151" si="871">R145-Q145</f>
        <v>0</v>
      </c>
      <c r="AU145" s="40">
        <f t="shared" ref="AU145:AU151" si="872">S145-R145</f>
        <v>0</v>
      </c>
      <c r="AV145" s="40">
        <f t="shared" ref="AV145:AV151" si="873">T145-S145</f>
        <v>0</v>
      </c>
      <c r="AW145" s="40">
        <f t="shared" ref="AW145:AW151" si="874">U145-T145</f>
        <v>0</v>
      </c>
      <c r="AX145" s="40">
        <f>V145</f>
        <v>1.1659999999999999</v>
      </c>
      <c r="AY145" s="40">
        <f t="shared" ref="AY145:AY151" si="875">W145-V145</f>
        <v>1.1659999999999999</v>
      </c>
      <c r="AZ145" s="40">
        <f t="shared" ref="AZ145:AZ151" si="876">X145-W145</f>
        <v>1.1659999999999999</v>
      </c>
      <c r="BA145" s="40">
        <f t="shared" ref="BA145:BA151" si="877">Y145-X145</f>
        <v>1.1659999999999999</v>
      </c>
      <c r="BB145" s="40">
        <f t="shared" ref="BB145:BB151" si="878">Z145-Y145</f>
        <v>1.1660000000000004</v>
      </c>
      <c r="BC145" s="40">
        <f t="shared" ref="BC145:BC151" si="879">AA145-Z145</f>
        <v>1.1660000000000004</v>
      </c>
      <c r="BD145" s="40">
        <f t="shared" ref="BD145:BD151" si="880">AB145-AA145</f>
        <v>1.1660000000000004</v>
      </c>
      <c r="BE145" s="40">
        <f t="shared" ref="BE145:BE151" si="881">AC145-AB145</f>
        <v>1.1660000000000004</v>
      </c>
      <c r="BF145" s="40">
        <f t="shared" ref="BF145:BF151" si="882">AD145-AC145</f>
        <v>1.1660000000000004</v>
      </c>
      <c r="BG145" s="40">
        <f t="shared" ref="BG145:BG151" si="883">AE145-AD145</f>
        <v>1.1660000000000004</v>
      </c>
      <c r="BH145" s="40">
        <f t="shared" ref="BH145:BH151" si="884">AF145-AE145</f>
        <v>1.1660000000000004</v>
      </c>
      <c r="BI145" s="40">
        <f t="shared" ref="BI145:BI151" si="885">AG145-AF145</f>
        <v>1.1660000000000004</v>
      </c>
      <c r="BJ145" s="40">
        <f t="shared" ref="BJ145:BJ150" si="886">AH145</f>
        <v>0</v>
      </c>
      <c r="BK145" s="40">
        <f t="shared" ref="BK145:BK151" si="887">AI145-AH145</f>
        <v>0</v>
      </c>
      <c r="BL145" s="40">
        <f t="shared" ref="BL145:BL151" si="888">AJ145-AI145</f>
        <v>0</v>
      </c>
      <c r="BM145" s="408"/>
      <c r="BN145" s="48">
        <f t="shared" si="806"/>
        <v>2.0833333333333335</v>
      </c>
      <c r="BO145" s="48">
        <f t="shared" si="807"/>
        <v>2.0833333333333335</v>
      </c>
      <c r="BP145" s="48">
        <f t="shared" ref="BP145:BP150" si="889">SUM(AL145:AN145)</f>
        <v>2.0833333333333335</v>
      </c>
      <c r="BQ145" s="48">
        <f t="shared" si="809"/>
        <v>0</v>
      </c>
      <c r="BR145" s="48">
        <f t="shared" si="810"/>
        <v>0</v>
      </c>
      <c r="BS145" s="48">
        <f t="shared" ref="BS145:BS150" si="890">SUM(AO145:AQ145)</f>
        <v>0</v>
      </c>
      <c r="BT145" s="48">
        <f t="shared" si="812"/>
        <v>0</v>
      </c>
      <c r="BU145" s="48">
        <f t="shared" si="813"/>
        <v>0</v>
      </c>
      <c r="BV145" s="48">
        <f t="shared" ref="BV145:BV150" si="891">SUM(AR145:AT145)</f>
        <v>0</v>
      </c>
      <c r="BW145" s="48">
        <f t="shared" si="815"/>
        <v>0</v>
      </c>
      <c r="BX145" s="48">
        <f t="shared" si="816"/>
        <v>0</v>
      </c>
      <c r="BY145" s="48">
        <f t="shared" ref="BY145:BY150" si="892">SUM(AU145:AW145)</f>
        <v>0</v>
      </c>
      <c r="BZ145" s="48">
        <f t="shared" si="818"/>
        <v>3.4979999999999998</v>
      </c>
      <c r="CA145" s="48">
        <f t="shared" si="819"/>
        <v>3.4979999999999998</v>
      </c>
      <c r="CB145" s="119">
        <f t="shared" si="820"/>
        <v>3.4979999999999998</v>
      </c>
      <c r="CC145" s="48">
        <f t="shared" si="821"/>
        <v>3.4980000000000007</v>
      </c>
      <c r="CD145" s="48">
        <f t="shared" si="822"/>
        <v>3.4980000000000007</v>
      </c>
      <c r="CE145" s="48">
        <f>SUM(BA145:BC145)</f>
        <v>3.4980000000000007</v>
      </c>
      <c r="CF145" s="48">
        <f t="shared" si="824"/>
        <v>3.4980000000000011</v>
      </c>
      <c r="CG145" s="48">
        <f t="shared" si="825"/>
        <v>3.4980000000000011</v>
      </c>
      <c r="CH145" s="48">
        <f>SUM(BD145:BF145)</f>
        <v>3.4980000000000011</v>
      </c>
      <c r="CI145" s="48">
        <f t="shared" si="827"/>
        <v>3.4980000000000011</v>
      </c>
      <c r="CJ145" s="48">
        <f t="shared" si="828"/>
        <v>3.4980000000000011</v>
      </c>
      <c r="CK145" s="48">
        <f>SUM(BG145:BI145)</f>
        <v>3.4980000000000011</v>
      </c>
      <c r="CL145" s="48">
        <f t="shared" si="830"/>
        <v>0</v>
      </c>
      <c r="CM145" s="48">
        <f t="shared" si="831"/>
        <v>0</v>
      </c>
      <c r="CN145" s="48">
        <f t="shared" ref="CN145:CN150" si="893">SUM(BJ145:BL145)</f>
        <v>0</v>
      </c>
      <c r="CO145" s="406"/>
      <c r="CP145" s="48">
        <f>AL145</f>
        <v>2.0833333333333335</v>
      </c>
      <c r="CQ145" s="48">
        <f t="shared" ref="CQ145:CQ151" si="894">CP145+AM145</f>
        <v>2.0833333333333335</v>
      </c>
      <c r="CR145" s="48">
        <f t="shared" ref="CR145:CR151" si="895">CQ145+AN145</f>
        <v>2.0833333333333335</v>
      </c>
      <c r="CS145" s="48">
        <f t="shared" ref="CS145:CS151" si="896">CR145+AO145</f>
        <v>2.0833333333333335</v>
      </c>
      <c r="CT145" s="48">
        <f t="shared" ref="CT145:CT151" si="897">CS145+AP145</f>
        <v>2.0833333333333335</v>
      </c>
      <c r="CU145" s="48">
        <f t="shared" ref="CU145:CU151" si="898">CT145+AQ145</f>
        <v>2.0833333333333335</v>
      </c>
      <c r="CV145" s="48">
        <f t="shared" ref="CV145:CV151" si="899">CU145+AR145</f>
        <v>2.0833333333333335</v>
      </c>
      <c r="CW145" s="48">
        <f t="shared" ref="CW145:CW151" si="900">CV145+AS145</f>
        <v>2.0833333333333335</v>
      </c>
      <c r="CX145" s="48">
        <f t="shared" ref="CX145:CX151" si="901">CW145+AT145</f>
        <v>2.0833333333333335</v>
      </c>
      <c r="CY145" s="48">
        <f t="shared" ref="CY145:CY151" si="902">CX145+AU145</f>
        <v>2.0833333333333335</v>
      </c>
      <c r="CZ145" s="48">
        <f t="shared" ref="CZ145:CZ151" si="903">CY145+AV145</f>
        <v>2.0833333333333335</v>
      </c>
      <c r="DA145" s="48">
        <f t="shared" ref="DA145:DA151" si="904">CZ145+AW145</f>
        <v>2.0833333333333335</v>
      </c>
      <c r="DB145" s="48">
        <f>AX145</f>
        <v>1.1659999999999999</v>
      </c>
      <c r="DC145" s="48">
        <f t="shared" ref="DC145:DC151" si="905">DB145+AY145</f>
        <v>2.3319999999999999</v>
      </c>
      <c r="DD145" s="48">
        <f t="shared" ref="DD145:DD151" si="906">DC145+AZ145</f>
        <v>3.4979999999999998</v>
      </c>
      <c r="DE145" s="48">
        <f t="shared" ref="DE145:DE151" si="907">DD145+BA145</f>
        <v>4.6639999999999997</v>
      </c>
      <c r="DF145" s="48">
        <f t="shared" ref="DF145:DF151" si="908">DE145+BB145</f>
        <v>5.83</v>
      </c>
      <c r="DG145" s="48">
        <f t="shared" ref="DG145:DG151" si="909">DF145+BC145</f>
        <v>6.9960000000000004</v>
      </c>
      <c r="DH145" s="48">
        <f t="shared" ref="DH145:DH151" si="910">DG145+BD145</f>
        <v>8.1620000000000008</v>
      </c>
      <c r="DI145" s="48">
        <f t="shared" ref="DI145:DI151" si="911">DH145+BE145</f>
        <v>9.3280000000000012</v>
      </c>
      <c r="DJ145" s="48">
        <f t="shared" ref="DJ145:DJ151" si="912">DI145+BF145</f>
        <v>10.494000000000002</v>
      </c>
      <c r="DK145" s="48">
        <f t="shared" ref="DK145:DK151" si="913">DJ145+BG145</f>
        <v>11.660000000000002</v>
      </c>
      <c r="DL145" s="48">
        <f t="shared" ref="DL145:DL151" si="914">DK145+BH145</f>
        <v>12.826000000000002</v>
      </c>
      <c r="DM145" s="48">
        <f t="shared" ref="DM145:DM151" si="915">DL145+BI145</f>
        <v>13.992000000000003</v>
      </c>
      <c r="DN145" s="48">
        <f t="shared" ref="DN145:DN150" si="916">BJ145</f>
        <v>0</v>
      </c>
      <c r="DO145" s="48">
        <f>DN145+BK145</f>
        <v>0</v>
      </c>
      <c r="DP145" s="48">
        <f>DO145+BL145</f>
        <v>0</v>
      </c>
      <c r="DQ145" s="48"/>
      <c r="DR145" s="48"/>
      <c r="DS145" s="48"/>
      <c r="DT145" s="48"/>
      <c r="DU145" s="48"/>
      <c r="DV145" s="48"/>
      <c r="DW145" s="48"/>
      <c r="DX145" s="48"/>
      <c r="DY145" s="48"/>
      <c r="EA145" s="52">
        <f t="shared" si="843"/>
        <v>2.0833333333333335</v>
      </c>
      <c r="EB145" s="52">
        <f t="shared" si="844"/>
        <v>13.992000000000003</v>
      </c>
      <c r="EC145" s="52"/>
      <c r="ED145" s="429"/>
      <c r="EE145" s="40">
        <f t="shared" si="802"/>
        <v>0</v>
      </c>
      <c r="EF145" s="40">
        <f t="shared" si="803"/>
        <v>0</v>
      </c>
      <c r="EG145" s="51">
        <f t="shared" si="854"/>
        <v>13.992000000000003</v>
      </c>
      <c r="EH145" s="54"/>
      <c r="EI145" s="54"/>
      <c r="EJ145" s="54"/>
      <c r="EK145" s="675"/>
      <c r="EL145" s="53"/>
      <c r="EM145" s="53"/>
      <c r="EN145" s="53"/>
      <c r="EO145" s="49"/>
      <c r="EP145" s="49"/>
      <c r="EQ145" s="49"/>
    </row>
    <row r="146" spans="1:149">
      <c r="A146" s="6" t="s">
        <v>23</v>
      </c>
      <c r="B146" s="2" t="s">
        <v>9</v>
      </c>
      <c r="C146" s="3" t="s">
        <v>46</v>
      </c>
      <c r="E146" s="3" t="s">
        <v>16</v>
      </c>
      <c r="G146" s="3" t="s">
        <v>91</v>
      </c>
      <c r="I146" s="23"/>
      <c r="J146" s="19">
        <f>545/12</f>
        <v>45.416666666666664</v>
      </c>
      <c r="K146" s="19">
        <f>J146+45.4166667</f>
        <v>90.833333366666665</v>
      </c>
      <c r="L146" s="19">
        <f t="shared" ref="L146:U146" si="917">K146+45.4166667</f>
        <v>136.25000006666667</v>
      </c>
      <c r="M146" s="19">
        <f t="shared" si="917"/>
        <v>181.66666676666668</v>
      </c>
      <c r="N146" s="19">
        <f t="shared" si="917"/>
        <v>227.08333346666669</v>
      </c>
      <c r="O146" s="19">
        <f t="shared" si="917"/>
        <v>272.50000016666667</v>
      </c>
      <c r="P146" s="19">
        <f t="shared" si="917"/>
        <v>317.91666686666667</v>
      </c>
      <c r="Q146" s="19">
        <f t="shared" si="917"/>
        <v>363.33333356666668</v>
      </c>
      <c r="R146" s="19">
        <f t="shared" si="917"/>
        <v>408.75000026666669</v>
      </c>
      <c r="S146" s="19">
        <f t="shared" si="917"/>
        <v>454.1666669666667</v>
      </c>
      <c r="T146" s="19">
        <f t="shared" si="917"/>
        <v>499.5833336666667</v>
      </c>
      <c r="U146" s="19">
        <f t="shared" si="917"/>
        <v>545.00000036666665</v>
      </c>
      <c r="V146" s="219">
        <v>49.832999999999998</v>
      </c>
      <c r="W146" s="254">
        <f>V146+49.833</f>
        <v>99.665999999999997</v>
      </c>
      <c r="X146" s="254">
        <f t="shared" ref="X146:AG146" si="918">W146+49.833</f>
        <v>149.499</v>
      </c>
      <c r="Y146" s="254">
        <f t="shared" si="918"/>
        <v>199.33199999999999</v>
      </c>
      <c r="Z146" s="254">
        <f t="shared" si="918"/>
        <v>249.16499999999999</v>
      </c>
      <c r="AA146" s="254">
        <f t="shared" si="918"/>
        <v>298.99799999999999</v>
      </c>
      <c r="AB146" s="254">
        <f t="shared" si="918"/>
        <v>348.83100000000002</v>
      </c>
      <c r="AC146" s="254">
        <f t="shared" si="918"/>
        <v>398.66399999999999</v>
      </c>
      <c r="AD146" s="254">
        <f t="shared" si="918"/>
        <v>448.49699999999996</v>
      </c>
      <c r="AE146" s="254">
        <f t="shared" si="918"/>
        <v>498.32999999999993</v>
      </c>
      <c r="AF146" s="254">
        <f t="shared" si="918"/>
        <v>548.1629999999999</v>
      </c>
      <c r="AG146" s="254">
        <f t="shared" si="918"/>
        <v>597.99599999999987</v>
      </c>
      <c r="AH146" s="31">
        <f>598/12</f>
        <v>49.833333333333336</v>
      </c>
      <c r="AI146" s="19">
        <f>+AH146+AH146</f>
        <v>99.666666666666671</v>
      </c>
      <c r="AJ146" s="19">
        <f>+AH146+AI146</f>
        <v>149.5</v>
      </c>
      <c r="AK146" s="408"/>
      <c r="AL146" s="40">
        <f t="shared" ref="AL146:AL151" si="919">J146</f>
        <v>45.416666666666664</v>
      </c>
      <c r="AM146" s="40">
        <f t="shared" ref="AM146:AM151" si="920">K146-J146</f>
        <v>45.4166667</v>
      </c>
      <c r="AN146" s="40">
        <f t="shared" si="865"/>
        <v>45.416666700000007</v>
      </c>
      <c r="AO146" s="40">
        <f t="shared" si="866"/>
        <v>45.416666700000007</v>
      </c>
      <c r="AP146" s="40">
        <f t="shared" si="867"/>
        <v>45.416666700000007</v>
      </c>
      <c r="AQ146" s="40">
        <f t="shared" si="868"/>
        <v>45.416666699999979</v>
      </c>
      <c r="AR146" s="40">
        <f t="shared" si="869"/>
        <v>45.416666700000007</v>
      </c>
      <c r="AS146" s="40">
        <f t="shared" si="870"/>
        <v>45.416666700000007</v>
      </c>
      <c r="AT146" s="40">
        <f t="shared" si="871"/>
        <v>45.416666700000007</v>
      </c>
      <c r="AU146" s="40">
        <f t="shared" si="872"/>
        <v>45.416666700000007</v>
      </c>
      <c r="AV146" s="40">
        <f t="shared" si="873"/>
        <v>45.416666700000007</v>
      </c>
      <c r="AW146" s="40">
        <f t="shared" si="874"/>
        <v>45.416666699999951</v>
      </c>
      <c r="AX146" s="40">
        <f t="shared" ref="AX146:AX151" si="921">V146</f>
        <v>49.832999999999998</v>
      </c>
      <c r="AY146" s="40">
        <f t="shared" si="875"/>
        <v>49.832999999999998</v>
      </c>
      <c r="AZ146" s="40">
        <f t="shared" si="876"/>
        <v>49.832999999999998</v>
      </c>
      <c r="BA146" s="40">
        <f t="shared" si="877"/>
        <v>49.832999999999998</v>
      </c>
      <c r="BB146" s="40">
        <f t="shared" si="878"/>
        <v>49.832999999999998</v>
      </c>
      <c r="BC146" s="40">
        <f t="shared" si="879"/>
        <v>49.832999999999998</v>
      </c>
      <c r="BD146" s="40">
        <f t="shared" si="880"/>
        <v>49.833000000000027</v>
      </c>
      <c r="BE146" s="40">
        <f t="shared" si="881"/>
        <v>49.83299999999997</v>
      </c>
      <c r="BF146" s="40">
        <f t="shared" si="882"/>
        <v>49.83299999999997</v>
      </c>
      <c r="BG146" s="40">
        <f t="shared" si="883"/>
        <v>49.83299999999997</v>
      </c>
      <c r="BH146" s="40">
        <f t="shared" si="884"/>
        <v>49.83299999999997</v>
      </c>
      <c r="BI146" s="40">
        <f t="shared" si="885"/>
        <v>49.83299999999997</v>
      </c>
      <c r="BJ146" s="40">
        <f t="shared" si="886"/>
        <v>49.833333333333336</v>
      </c>
      <c r="BK146" s="40">
        <f t="shared" ref="BK146" si="922">AI146</f>
        <v>99.666666666666671</v>
      </c>
      <c r="BL146" s="40">
        <f t="shared" ref="BL146" si="923">AJ146</f>
        <v>149.5</v>
      </c>
      <c r="BM146" s="408"/>
      <c r="BN146" s="48">
        <f t="shared" si="806"/>
        <v>136.25000006666667</v>
      </c>
      <c r="BO146" s="48">
        <f t="shared" si="807"/>
        <v>136.25000006666667</v>
      </c>
      <c r="BP146" s="48">
        <f t="shared" si="889"/>
        <v>136.25000006666667</v>
      </c>
      <c r="BQ146" s="48">
        <f t="shared" si="809"/>
        <v>136.25000009999999</v>
      </c>
      <c r="BR146" s="48">
        <f t="shared" si="810"/>
        <v>136.25000009999999</v>
      </c>
      <c r="BS146" s="48">
        <f t="shared" si="890"/>
        <v>136.25000009999999</v>
      </c>
      <c r="BT146" s="48">
        <f t="shared" si="812"/>
        <v>136.25000010000002</v>
      </c>
      <c r="BU146" s="48">
        <f t="shared" si="813"/>
        <v>136.25000010000002</v>
      </c>
      <c r="BV146" s="48">
        <f t="shared" si="891"/>
        <v>136.25000010000002</v>
      </c>
      <c r="BW146" s="48">
        <f t="shared" si="815"/>
        <v>136.25000009999997</v>
      </c>
      <c r="BX146" s="48">
        <f t="shared" si="816"/>
        <v>136.25000009999997</v>
      </c>
      <c r="BY146" s="48">
        <f t="shared" si="892"/>
        <v>136.25000009999997</v>
      </c>
      <c r="BZ146" s="48">
        <f t="shared" si="818"/>
        <v>149.499</v>
      </c>
      <c r="CA146" s="48">
        <f t="shared" si="819"/>
        <v>149.499</v>
      </c>
      <c r="CB146" s="119">
        <f t="shared" si="820"/>
        <v>149.499</v>
      </c>
      <c r="CC146" s="48">
        <f t="shared" si="821"/>
        <v>49.832999999999998</v>
      </c>
      <c r="CD146" s="48">
        <f t="shared" si="822"/>
        <v>49.832999999999998</v>
      </c>
      <c r="CE146" s="56">
        <f>IF(CE145=0,0,(BA146*BA145+BB146*BB145+BC146*BC145)/CE145)</f>
        <v>49.832999999999998</v>
      </c>
      <c r="CF146" s="48">
        <f t="shared" si="824"/>
        <v>49.832999999999984</v>
      </c>
      <c r="CG146" s="48">
        <f t="shared" si="825"/>
        <v>49.832999999999984</v>
      </c>
      <c r="CH146" s="56">
        <f>IF(CH145=0,0,(BD146*BD145+BE146*BE145+BF146*BF145)/CH145)</f>
        <v>49.832999999999984</v>
      </c>
      <c r="CI146" s="48">
        <f t="shared" si="827"/>
        <v>49.83299999999997</v>
      </c>
      <c r="CJ146" s="48">
        <f t="shared" si="828"/>
        <v>49.83299999999997</v>
      </c>
      <c r="CK146" s="56">
        <f>IF(CK145=0,0,(BG146*BG145+BH146*BH145+BI146*BI145)/CK145)</f>
        <v>49.83299999999997</v>
      </c>
      <c r="CL146" s="48">
        <f t="shared" si="830"/>
        <v>149.5</v>
      </c>
      <c r="CM146" s="48">
        <f t="shared" si="831"/>
        <v>149.5</v>
      </c>
      <c r="CN146" s="48">
        <f>598/4</f>
        <v>149.5</v>
      </c>
      <c r="CO146" s="406"/>
      <c r="CP146" s="48">
        <f t="shared" ref="CP146:CP151" si="924">AL146</f>
        <v>45.416666666666664</v>
      </c>
      <c r="CQ146" s="48">
        <f t="shared" si="894"/>
        <v>90.833333366666665</v>
      </c>
      <c r="CR146" s="48">
        <f t="shared" si="895"/>
        <v>136.25000006666667</v>
      </c>
      <c r="CS146" s="48">
        <f t="shared" si="896"/>
        <v>181.66666676666668</v>
      </c>
      <c r="CT146" s="48">
        <f t="shared" si="897"/>
        <v>227.08333346666669</v>
      </c>
      <c r="CU146" s="48">
        <f t="shared" si="898"/>
        <v>272.50000016666667</v>
      </c>
      <c r="CV146" s="48">
        <f t="shared" si="899"/>
        <v>317.91666686666667</v>
      </c>
      <c r="CW146" s="48">
        <f t="shared" si="900"/>
        <v>363.33333356666668</v>
      </c>
      <c r="CX146" s="48">
        <f t="shared" si="901"/>
        <v>408.75000026666669</v>
      </c>
      <c r="CY146" s="48">
        <f t="shared" si="902"/>
        <v>454.1666669666667</v>
      </c>
      <c r="CZ146" s="48">
        <f t="shared" si="903"/>
        <v>499.5833336666667</v>
      </c>
      <c r="DA146" s="48">
        <f t="shared" si="904"/>
        <v>545.00000036666665</v>
      </c>
      <c r="DB146" s="48">
        <f t="shared" ref="DB146:DB151" si="925">AX146</f>
        <v>49.832999999999998</v>
      </c>
      <c r="DC146" s="48">
        <f t="shared" si="905"/>
        <v>99.665999999999997</v>
      </c>
      <c r="DD146" s="48">
        <f t="shared" si="906"/>
        <v>149.499</v>
      </c>
      <c r="DE146" s="48">
        <f t="shared" si="907"/>
        <v>199.33199999999999</v>
      </c>
      <c r="DF146" s="48">
        <f t="shared" si="908"/>
        <v>249.16499999999999</v>
      </c>
      <c r="DG146" s="48">
        <f t="shared" si="909"/>
        <v>298.99799999999999</v>
      </c>
      <c r="DH146" s="48">
        <f t="shared" si="910"/>
        <v>348.83100000000002</v>
      </c>
      <c r="DI146" s="48">
        <f t="shared" si="911"/>
        <v>398.66399999999999</v>
      </c>
      <c r="DJ146" s="48">
        <f t="shared" si="912"/>
        <v>448.49699999999996</v>
      </c>
      <c r="DK146" s="48">
        <f t="shared" si="913"/>
        <v>498.32999999999993</v>
      </c>
      <c r="DL146" s="48">
        <f t="shared" si="914"/>
        <v>548.1629999999999</v>
      </c>
      <c r="DM146" s="48">
        <f t="shared" si="915"/>
        <v>597.99599999999987</v>
      </c>
      <c r="DN146" s="48">
        <f t="shared" si="916"/>
        <v>49.833333333333336</v>
      </c>
      <c r="DO146" s="48">
        <f t="shared" ref="DO146:DO151" si="926">DN146+BK146</f>
        <v>149.5</v>
      </c>
      <c r="DP146" s="48">
        <f t="shared" ref="DP146:DP151" si="927">DO146+BL146</f>
        <v>299</v>
      </c>
      <c r="DQ146" s="48"/>
      <c r="DR146" s="48"/>
      <c r="DS146" s="48"/>
      <c r="DT146" s="48"/>
      <c r="DU146" s="48"/>
      <c r="DV146" s="48"/>
      <c r="DW146" s="48"/>
      <c r="DX146" s="48"/>
      <c r="DY146" s="48"/>
      <c r="EA146" s="52">
        <f t="shared" si="843"/>
        <v>545.00000036666665</v>
      </c>
      <c r="EB146" s="52">
        <f t="shared" si="844"/>
        <v>597.99599999999987</v>
      </c>
      <c r="EC146" s="52"/>
      <c r="ED146" s="429"/>
      <c r="EE146" s="40">
        <f t="shared" si="802"/>
        <v>99.666666666666671</v>
      </c>
      <c r="EF146" s="40">
        <f t="shared" si="803"/>
        <v>149.5</v>
      </c>
      <c r="EG146" s="319">
        <f t="shared" si="854"/>
        <v>597.99599999999987</v>
      </c>
      <c r="EH146" s="54"/>
      <c r="EI146" s="54"/>
      <c r="EJ146" s="54"/>
      <c r="EK146" s="675"/>
      <c r="EL146" s="53"/>
      <c r="EM146" s="53"/>
      <c r="EN146" s="53"/>
      <c r="EO146" s="49"/>
      <c r="EP146" s="49"/>
      <c r="EQ146" s="49"/>
    </row>
    <row r="147" spans="1:149">
      <c r="A147" s="6" t="s">
        <v>23</v>
      </c>
      <c r="B147" s="2" t="s">
        <v>10</v>
      </c>
      <c r="C147" s="3" t="s">
        <v>47</v>
      </c>
      <c r="E147" s="3" t="s">
        <v>16</v>
      </c>
      <c r="G147" s="3" t="s">
        <v>91</v>
      </c>
      <c r="I147" s="23"/>
      <c r="J147" s="19">
        <f>J146*0.1</f>
        <v>4.541666666666667</v>
      </c>
      <c r="K147" s="19">
        <f t="shared" ref="K147:U147" si="928">K146*0.1</f>
        <v>9.0833333366666675</v>
      </c>
      <c r="L147" s="19">
        <f t="shared" si="928"/>
        <v>13.625000006666667</v>
      </c>
      <c r="M147" s="19">
        <f t="shared" si="928"/>
        <v>18.166666676666669</v>
      </c>
      <c r="N147" s="19">
        <f t="shared" si="928"/>
        <v>22.70833334666667</v>
      </c>
      <c r="O147" s="19">
        <f t="shared" si="928"/>
        <v>27.250000016666668</v>
      </c>
      <c r="P147" s="19">
        <f t="shared" si="928"/>
        <v>31.79166668666667</v>
      </c>
      <c r="Q147" s="19">
        <f t="shared" si="928"/>
        <v>36.333333356666671</v>
      </c>
      <c r="R147" s="19">
        <f t="shared" si="928"/>
        <v>40.875000026666669</v>
      </c>
      <c r="S147" s="19">
        <f t="shared" si="928"/>
        <v>45.416666696666674</v>
      </c>
      <c r="T147" s="19">
        <f t="shared" si="928"/>
        <v>49.958333366666672</v>
      </c>
      <c r="U147" s="19">
        <f t="shared" si="928"/>
        <v>54.50000003666667</v>
      </c>
      <c r="V147" s="219">
        <v>7.5</v>
      </c>
      <c r="W147" s="246">
        <f>V147+7.5</f>
        <v>15</v>
      </c>
      <c r="X147" s="376">
        <f t="shared" ref="X147:AG147" si="929">W147+7.5</f>
        <v>22.5</v>
      </c>
      <c r="Y147" s="376">
        <f t="shared" si="929"/>
        <v>30</v>
      </c>
      <c r="Z147" s="376">
        <f t="shared" si="929"/>
        <v>37.5</v>
      </c>
      <c r="AA147" s="376">
        <f t="shared" si="929"/>
        <v>45</v>
      </c>
      <c r="AB147" s="376">
        <f t="shared" si="929"/>
        <v>52.5</v>
      </c>
      <c r="AC147" s="376">
        <f t="shared" si="929"/>
        <v>60</v>
      </c>
      <c r="AD147" s="376">
        <f t="shared" si="929"/>
        <v>67.5</v>
      </c>
      <c r="AE147" s="376">
        <f t="shared" si="929"/>
        <v>75</v>
      </c>
      <c r="AF147" s="376">
        <f t="shared" si="929"/>
        <v>82.5</v>
      </c>
      <c r="AG147" s="376">
        <f t="shared" si="929"/>
        <v>90</v>
      </c>
      <c r="AH147" s="31"/>
      <c r="AI147" s="19"/>
      <c r="AJ147" s="19"/>
      <c r="AK147" s="408"/>
      <c r="AL147" s="40">
        <f t="shared" si="919"/>
        <v>4.541666666666667</v>
      </c>
      <c r="AM147" s="40">
        <f t="shared" si="920"/>
        <v>4.5416666700000006</v>
      </c>
      <c r="AN147" s="40">
        <f t="shared" si="865"/>
        <v>4.5416666699999997</v>
      </c>
      <c r="AO147" s="40">
        <f t="shared" si="866"/>
        <v>4.5416666700000015</v>
      </c>
      <c r="AP147" s="40">
        <f t="shared" si="867"/>
        <v>4.5416666700000015</v>
      </c>
      <c r="AQ147" s="40">
        <f t="shared" si="868"/>
        <v>4.5416666699999979</v>
      </c>
      <c r="AR147" s="40">
        <f t="shared" si="869"/>
        <v>4.5416666700000015</v>
      </c>
      <c r="AS147" s="40">
        <f t="shared" si="870"/>
        <v>4.5416666700000015</v>
      </c>
      <c r="AT147" s="40">
        <f t="shared" si="871"/>
        <v>4.5416666699999979</v>
      </c>
      <c r="AU147" s="40">
        <f t="shared" si="872"/>
        <v>4.541666670000005</v>
      </c>
      <c r="AV147" s="40">
        <f t="shared" si="873"/>
        <v>4.5416666699999979</v>
      </c>
      <c r="AW147" s="40">
        <f t="shared" si="874"/>
        <v>4.5416666699999979</v>
      </c>
      <c r="AX147" s="40">
        <f t="shared" si="921"/>
        <v>7.5</v>
      </c>
      <c r="AY147" s="40">
        <f t="shared" si="875"/>
        <v>7.5</v>
      </c>
      <c r="AZ147" s="40">
        <f t="shared" si="876"/>
        <v>7.5</v>
      </c>
      <c r="BA147" s="40">
        <f t="shared" si="877"/>
        <v>7.5</v>
      </c>
      <c r="BB147" s="40">
        <f t="shared" si="878"/>
        <v>7.5</v>
      </c>
      <c r="BC147" s="40">
        <f t="shared" si="879"/>
        <v>7.5</v>
      </c>
      <c r="BD147" s="40">
        <f t="shared" si="880"/>
        <v>7.5</v>
      </c>
      <c r="BE147" s="40">
        <f t="shared" si="881"/>
        <v>7.5</v>
      </c>
      <c r="BF147" s="40">
        <f t="shared" si="882"/>
        <v>7.5</v>
      </c>
      <c r="BG147" s="40">
        <f t="shared" si="883"/>
        <v>7.5</v>
      </c>
      <c r="BH147" s="40">
        <f t="shared" si="884"/>
        <v>7.5</v>
      </c>
      <c r="BI147" s="40">
        <f t="shared" si="885"/>
        <v>7.5</v>
      </c>
      <c r="BJ147" s="40">
        <f t="shared" si="886"/>
        <v>0</v>
      </c>
      <c r="BK147" s="40">
        <f t="shared" si="887"/>
        <v>0</v>
      </c>
      <c r="BL147" s="40">
        <f t="shared" si="888"/>
        <v>0</v>
      </c>
      <c r="BM147" s="408"/>
      <c r="BN147" s="48">
        <f t="shared" si="806"/>
        <v>13.625000006666667</v>
      </c>
      <c r="BO147" s="48">
        <f t="shared" si="807"/>
        <v>13.625000006666667</v>
      </c>
      <c r="BP147" s="48">
        <f t="shared" si="889"/>
        <v>13.625000006666667</v>
      </c>
      <c r="BQ147" s="48">
        <f t="shared" si="809"/>
        <v>13.625000010000001</v>
      </c>
      <c r="BR147" s="48">
        <f t="shared" si="810"/>
        <v>13.625000010000001</v>
      </c>
      <c r="BS147" s="48">
        <f t="shared" si="890"/>
        <v>13.625000010000001</v>
      </c>
      <c r="BT147" s="48">
        <f t="shared" si="812"/>
        <v>13.625000010000001</v>
      </c>
      <c r="BU147" s="48">
        <f t="shared" si="813"/>
        <v>13.625000010000001</v>
      </c>
      <c r="BV147" s="48">
        <f t="shared" si="891"/>
        <v>13.625000010000001</v>
      </c>
      <c r="BW147" s="48">
        <f t="shared" si="815"/>
        <v>13.625000010000001</v>
      </c>
      <c r="BX147" s="48">
        <f t="shared" si="816"/>
        <v>13.625000010000001</v>
      </c>
      <c r="BY147" s="48">
        <f t="shared" si="892"/>
        <v>13.625000010000001</v>
      </c>
      <c r="BZ147" s="48">
        <f t="shared" si="818"/>
        <v>22.5</v>
      </c>
      <c r="CA147" s="48">
        <f t="shared" si="819"/>
        <v>22.5</v>
      </c>
      <c r="CB147" s="119">
        <f t="shared" si="820"/>
        <v>22.5</v>
      </c>
      <c r="CC147" s="48">
        <f t="shared" si="821"/>
        <v>22.5</v>
      </c>
      <c r="CD147" s="48">
        <f t="shared" si="822"/>
        <v>22.5</v>
      </c>
      <c r="CE147" s="48">
        <f>SUM(BA147:BC147)</f>
        <v>22.5</v>
      </c>
      <c r="CF147" s="48">
        <f t="shared" si="824"/>
        <v>22.5</v>
      </c>
      <c r="CG147" s="48">
        <f t="shared" si="825"/>
        <v>22.5</v>
      </c>
      <c r="CH147" s="48">
        <f>SUM(BD147:BF147)</f>
        <v>22.5</v>
      </c>
      <c r="CI147" s="48">
        <f t="shared" si="827"/>
        <v>22.5</v>
      </c>
      <c r="CJ147" s="48">
        <f t="shared" si="828"/>
        <v>22.5</v>
      </c>
      <c r="CK147" s="48">
        <f>SUM(BG147:BI147)</f>
        <v>22.5</v>
      </c>
      <c r="CL147" s="48">
        <f t="shared" si="830"/>
        <v>0</v>
      </c>
      <c r="CM147" s="48">
        <f t="shared" si="831"/>
        <v>0</v>
      </c>
      <c r="CN147" s="48">
        <f t="shared" si="893"/>
        <v>0</v>
      </c>
      <c r="CO147" s="406"/>
      <c r="CP147" s="48">
        <f t="shared" si="924"/>
        <v>4.541666666666667</v>
      </c>
      <c r="CQ147" s="48">
        <f t="shared" si="894"/>
        <v>9.0833333366666675</v>
      </c>
      <c r="CR147" s="48">
        <f t="shared" si="895"/>
        <v>13.625000006666667</v>
      </c>
      <c r="CS147" s="48">
        <f t="shared" si="896"/>
        <v>18.166666676666669</v>
      </c>
      <c r="CT147" s="48">
        <f t="shared" si="897"/>
        <v>22.70833334666667</v>
      </c>
      <c r="CU147" s="48">
        <f t="shared" si="898"/>
        <v>27.250000016666668</v>
      </c>
      <c r="CV147" s="48">
        <f t="shared" si="899"/>
        <v>31.79166668666667</v>
      </c>
      <c r="CW147" s="48">
        <f t="shared" si="900"/>
        <v>36.333333356666671</v>
      </c>
      <c r="CX147" s="48">
        <f t="shared" si="901"/>
        <v>40.875000026666669</v>
      </c>
      <c r="CY147" s="48">
        <f t="shared" si="902"/>
        <v>45.416666696666674</v>
      </c>
      <c r="CZ147" s="48">
        <f t="shared" si="903"/>
        <v>49.958333366666672</v>
      </c>
      <c r="DA147" s="48">
        <f t="shared" si="904"/>
        <v>54.50000003666667</v>
      </c>
      <c r="DB147" s="395">
        <v>7.5</v>
      </c>
      <c r="DC147" s="48">
        <f>DB147+7.5</f>
        <v>15</v>
      </c>
      <c r="DD147" s="48">
        <f t="shared" ref="DD147:DM147" si="930">DC147+7.5</f>
        <v>22.5</v>
      </c>
      <c r="DE147" s="48">
        <f t="shared" si="930"/>
        <v>30</v>
      </c>
      <c r="DF147" s="48">
        <f t="shared" si="930"/>
        <v>37.5</v>
      </c>
      <c r="DG147" s="48">
        <f t="shared" si="930"/>
        <v>45</v>
      </c>
      <c r="DH147" s="48">
        <f t="shared" si="930"/>
        <v>52.5</v>
      </c>
      <c r="DI147" s="48">
        <f t="shared" si="930"/>
        <v>60</v>
      </c>
      <c r="DJ147" s="48">
        <f t="shared" si="930"/>
        <v>67.5</v>
      </c>
      <c r="DK147" s="48">
        <f t="shared" si="930"/>
        <v>75</v>
      </c>
      <c r="DL147" s="48">
        <f t="shared" si="930"/>
        <v>82.5</v>
      </c>
      <c r="DM147" s="48">
        <f t="shared" si="930"/>
        <v>90</v>
      </c>
      <c r="DN147" s="48">
        <f t="shared" si="916"/>
        <v>0</v>
      </c>
      <c r="DO147" s="48">
        <f t="shared" si="926"/>
        <v>0</v>
      </c>
      <c r="DP147" s="48">
        <f t="shared" si="927"/>
        <v>0</v>
      </c>
      <c r="DQ147" s="48"/>
      <c r="DR147" s="48"/>
      <c r="DS147" s="48"/>
      <c r="DT147" s="48"/>
      <c r="DU147" s="48"/>
      <c r="DV147" s="48"/>
      <c r="DW147" s="48"/>
      <c r="DX147" s="48"/>
      <c r="DY147" s="48"/>
      <c r="EA147" s="52">
        <f t="shared" si="843"/>
        <v>54.50000003666667</v>
      </c>
      <c r="EB147" s="52">
        <f t="shared" si="844"/>
        <v>90</v>
      </c>
      <c r="EC147" s="52"/>
      <c r="ED147" s="429"/>
      <c r="EE147" s="40">
        <f t="shared" si="802"/>
        <v>0</v>
      </c>
      <c r="EF147" s="40">
        <f t="shared" si="803"/>
        <v>0</v>
      </c>
      <c r="EG147" s="319">
        <f t="shared" si="854"/>
        <v>90</v>
      </c>
      <c r="EH147" s="54"/>
      <c r="EI147" s="54"/>
      <c r="EJ147" s="54"/>
      <c r="EK147" s="675"/>
      <c r="EL147" s="53"/>
      <c r="EM147" s="53"/>
      <c r="EN147" s="53"/>
      <c r="EO147" s="49"/>
      <c r="EP147" s="49"/>
      <c r="EQ147" s="49"/>
    </row>
    <row r="148" spans="1:149">
      <c r="A148" s="6" t="s">
        <v>23</v>
      </c>
      <c r="B148" s="2" t="s">
        <v>11</v>
      </c>
      <c r="C148" s="3" t="s">
        <v>48</v>
      </c>
      <c r="E148" s="3" t="s">
        <v>16</v>
      </c>
      <c r="G148" s="3" t="s">
        <v>91</v>
      </c>
      <c r="I148" s="23"/>
      <c r="J148" s="19">
        <f>100/12</f>
        <v>8.3333333333333339</v>
      </c>
      <c r="K148" s="19">
        <f>J148+8.3333333</f>
        <v>16.666666633333335</v>
      </c>
      <c r="L148" s="19">
        <f t="shared" ref="L148:U148" si="931">K148+8.3333333</f>
        <v>24.999999933333335</v>
      </c>
      <c r="M148" s="19">
        <f t="shared" si="931"/>
        <v>33.333333233333335</v>
      </c>
      <c r="N148" s="19">
        <f t="shared" si="931"/>
        <v>41.666666533333334</v>
      </c>
      <c r="O148" s="19">
        <f t="shared" si="931"/>
        <v>49.999999833333334</v>
      </c>
      <c r="P148" s="19">
        <f t="shared" si="931"/>
        <v>58.333333133333333</v>
      </c>
      <c r="Q148" s="19">
        <f t="shared" si="931"/>
        <v>66.666666433333333</v>
      </c>
      <c r="R148" s="19">
        <f t="shared" si="931"/>
        <v>74.99999973333334</v>
      </c>
      <c r="S148" s="19">
        <f t="shared" si="931"/>
        <v>83.333333033333332</v>
      </c>
      <c r="T148" s="19">
        <f t="shared" si="931"/>
        <v>91.666666333333325</v>
      </c>
      <c r="U148" s="19">
        <f t="shared" si="931"/>
        <v>99.999999633333317</v>
      </c>
      <c r="V148" s="219">
        <f>ROUND(W148/2,0)</f>
        <v>7</v>
      </c>
      <c r="W148" s="246">
        <f t="shared" ref="W148:AE149" si="932">X148-(Y148-X148)</f>
        <v>13.000000000000028</v>
      </c>
      <c r="X148" s="246">
        <f t="shared" si="932"/>
        <v>19.300000000000026</v>
      </c>
      <c r="Y148" s="246">
        <f t="shared" si="932"/>
        <v>25.600000000000023</v>
      </c>
      <c r="Z148" s="246">
        <f t="shared" si="932"/>
        <v>31.90000000000002</v>
      </c>
      <c r="AA148" s="246">
        <f t="shared" si="932"/>
        <v>38.200000000000017</v>
      </c>
      <c r="AB148" s="246">
        <f t="shared" si="932"/>
        <v>44.500000000000014</v>
      </c>
      <c r="AC148" s="246">
        <f t="shared" si="932"/>
        <v>50.800000000000011</v>
      </c>
      <c r="AD148" s="246">
        <f t="shared" si="932"/>
        <v>57.100000000000009</v>
      </c>
      <c r="AE148" s="246">
        <f t="shared" si="932"/>
        <v>63.400000000000006</v>
      </c>
      <c r="AF148" s="246">
        <f>-ROUND(AG148/12,1)+AG148</f>
        <v>69.7</v>
      </c>
      <c r="AG148" s="246">
        <v>76</v>
      </c>
      <c r="AH148" s="31"/>
      <c r="AI148" s="19"/>
      <c r="AJ148" s="19"/>
      <c r="AK148" s="408"/>
      <c r="AL148" s="40">
        <f t="shared" si="919"/>
        <v>8.3333333333333339</v>
      </c>
      <c r="AM148" s="40">
        <f t="shared" si="920"/>
        <v>8.3333333000000014</v>
      </c>
      <c r="AN148" s="40">
        <f t="shared" si="865"/>
        <v>8.3333332999999996</v>
      </c>
      <c r="AO148" s="40">
        <f t="shared" si="866"/>
        <v>8.3333332999999996</v>
      </c>
      <c r="AP148" s="40">
        <f t="shared" si="867"/>
        <v>8.3333332999999996</v>
      </c>
      <c r="AQ148" s="40">
        <f t="shared" si="868"/>
        <v>8.3333332999999996</v>
      </c>
      <c r="AR148" s="40">
        <f t="shared" si="869"/>
        <v>8.3333332999999996</v>
      </c>
      <c r="AS148" s="40">
        <f t="shared" si="870"/>
        <v>8.3333332999999996</v>
      </c>
      <c r="AT148" s="40">
        <f t="shared" si="871"/>
        <v>8.3333333000000067</v>
      </c>
      <c r="AU148" s="40">
        <f t="shared" si="872"/>
        <v>8.3333332999999925</v>
      </c>
      <c r="AV148" s="40">
        <f t="shared" si="873"/>
        <v>8.3333332999999925</v>
      </c>
      <c r="AW148" s="40">
        <f t="shared" si="874"/>
        <v>8.3333332999999925</v>
      </c>
      <c r="AX148" s="40">
        <f t="shared" si="921"/>
        <v>7</v>
      </c>
      <c r="AY148" s="40">
        <f t="shared" si="875"/>
        <v>6.0000000000000284</v>
      </c>
      <c r="AZ148" s="40">
        <f t="shared" si="876"/>
        <v>6.2999999999999972</v>
      </c>
      <c r="BA148" s="40">
        <f t="shared" si="877"/>
        <v>6.2999999999999972</v>
      </c>
      <c r="BB148" s="40">
        <f t="shared" si="878"/>
        <v>6.2999999999999972</v>
      </c>
      <c r="BC148" s="40">
        <f t="shared" si="879"/>
        <v>6.2999999999999972</v>
      </c>
      <c r="BD148" s="40">
        <f t="shared" si="880"/>
        <v>6.2999999999999972</v>
      </c>
      <c r="BE148" s="40">
        <f t="shared" si="881"/>
        <v>6.2999999999999972</v>
      </c>
      <c r="BF148" s="40">
        <f t="shared" si="882"/>
        <v>6.2999999999999972</v>
      </c>
      <c r="BG148" s="40">
        <f t="shared" si="883"/>
        <v>6.2999999999999972</v>
      </c>
      <c r="BH148" s="40">
        <f t="shared" si="884"/>
        <v>6.2999999999999972</v>
      </c>
      <c r="BI148" s="40">
        <f t="shared" si="885"/>
        <v>6.2999999999999972</v>
      </c>
      <c r="BJ148" s="40">
        <f t="shared" si="886"/>
        <v>0</v>
      </c>
      <c r="BK148" s="40">
        <f t="shared" si="887"/>
        <v>0</v>
      </c>
      <c r="BL148" s="40">
        <f t="shared" si="888"/>
        <v>0</v>
      </c>
      <c r="BM148" s="408"/>
      <c r="BN148" s="48">
        <f t="shared" si="806"/>
        <v>24.999999933333335</v>
      </c>
      <c r="BO148" s="48">
        <f t="shared" si="807"/>
        <v>24.999999933333335</v>
      </c>
      <c r="BP148" s="48">
        <f t="shared" si="889"/>
        <v>24.999999933333335</v>
      </c>
      <c r="BQ148" s="48">
        <f t="shared" si="809"/>
        <v>24.999999899999999</v>
      </c>
      <c r="BR148" s="48">
        <f t="shared" si="810"/>
        <v>24.999999899999999</v>
      </c>
      <c r="BS148" s="48">
        <f t="shared" si="890"/>
        <v>24.999999899999999</v>
      </c>
      <c r="BT148" s="48">
        <f t="shared" si="812"/>
        <v>24.999999900000006</v>
      </c>
      <c r="BU148" s="48">
        <f t="shared" si="813"/>
        <v>24.999999900000006</v>
      </c>
      <c r="BV148" s="48">
        <f t="shared" si="891"/>
        <v>24.999999900000006</v>
      </c>
      <c r="BW148" s="48">
        <f t="shared" si="815"/>
        <v>24.999999899999978</v>
      </c>
      <c r="BX148" s="48">
        <f t="shared" si="816"/>
        <v>24.999999899999978</v>
      </c>
      <c r="BY148" s="48">
        <f t="shared" si="892"/>
        <v>24.999999899999978</v>
      </c>
      <c r="BZ148" s="48">
        <f t="shared" si="818"/>
        <v>19.300000000000026</v>
      </c>
      <c r="CA148" s="48">
        <f t="shared" si="819"/>
        <v>19.300000000000026</v>
      </c>
      <c r="CB148" s="48">
        <f>SUM(AX148:AZ148)</f>
        <v>19.300000000000026</v>
      </c>
      <c r="CC148" s="48">
        <f t="shared" si="821"/>
        <v>18.899999999999991</v>
      </c>
      <c r="CD148" s="48">
        <f t="shared" si="822"/>
        <v>18.899999999999991</v>
      </c>
      <c r="CE148" s="48">
        <f>SUM(BA148:BC148)</f>
        <v>18.899999999999991</v>
      </c>
      <c r="CF148" s="48">
        <f t="shared" si="824"/>
        <v>18.899999999999991</v>
      </c>
      <c r="CG148" s="48">
        <f t="shared" si="825"/>
        <v>18.899999999999991</v>
      </c>
      <c r="CH148" s="48">
        <f>SUM(BD148:BF148)</f>
        <v>18.899999999999991</v>
      </c>
      <c r="CI148" s="48">
        <f t="shared" si="827"/>
        <v>18.899999999999991</v>
      </c>
      <c r="CJ148" s="48">
        <f t="shared" si="828"/>
        <v>18.899999999999991</v>
      </c>
      <c r="CK148" s="48">
        <f>SUM(BG148:BI148)</f>
        <v>18.899999999999991</v>
      </c>
      <c r="CL148" s="48">
        <f t="shared" si="830"/>
        <v>0</v>
      </c>
      <c r="CM148" s="48">
        <f t="shared" si="831"/>
        <v>0</v>
      </c>
      <c r="CN148" s="48">
        <f t="shared" si="893"/>
        <v>0</v>
      </c>
      <c r="CO148" s="406"/>
      <c r="CP148" s="48">
        <f t="shared" si="924"/>
        <v>8.3333333333333339</v>
      </c>
      <c r="CQ148" s="48">
        <f t="shared" si="894"/>
        <v>16.666666633333335</v>
      </c>
      <c r="CR148" s="48">
        <f t="shared" si="895"/>
        <v>24.999999933333335</v>
      </c>
      <c r="CS148" s="48">
        <f t="shared" si="896"/>
        <v>33.333333233333335</v>
      </c>
      <c r="CT148" s="48">
        <f t="shared" si="897"/>
        <v>41.666666533333334</v>
      </c>
      <c r="CU148" s="48">
        <f t="shared" si="898"/>
        <v>49.999999833333334</v>
      </c>
      <c r="CV148" s="48">
        <f t="shared" si="899"/>
        <v>58.333333133333333</v>
      </c>
      <c r="CW148" s="48">
        <f t="shared" si="900"/>
        <v>66.666666433333333</v>
      </c>
      <c r="CX148" s="48">
        <f t="shared" si="901"/>
        <v>74.99999973333334</v>
      </c>
      <c r="CY148" s="48">
        <f t="shared" si="902"/>
        <v>83.333333033333332</v>
      </c>
      <c r="CZ148" s="48">
        <f t="shared" si="903"/>
        <v>91.666666333333325</v>
      </c>
      <c r="DA148" s="48">
        <f t="shared" si="904"/>
        <v>99.999999633333317</v>
      </c>
      <c r="DB148" s="48">
        <f t="shared" si="925"/>
        <v>7</v>
      </c>
      <c r="DC148" s="48">
        <f t="shared" si="905"/>
        <v>13.000000000000028</v>
      </c>
      <c r="DD148" s="48">
        <f t="shared" si="906"/>
        <v>19.300000000000026</v>
      </c>
      <c r="DE148" s="48">
        <f t="shared" si="907"/>
        <v>25.600000000000023</v>
      </c>
      <c r="DF148" s="48">
        <f t="shared" si="908"/>
        <v>31.90000000000002</v>
      </c>
      <c r="DG148" s="48">
        <f t="shared" si="909"/>
        <v>38.200000000000017</v>
      </c>
      <c r="DH148" s="48">
        <f t="shared" si="910"/>
        <v>44.500000000000014</v>
      </c>
      <c r="DI148" s="48">
        <f t="shared" si="911"/>
        <v>50.800000000000011</v>
      </c>
      <c r="DJ148" s="48">
        <f t="shared" si="912"/>
        <v>57.100000000000009</v>
      </c>
      <c r="DK148" s="48">
        <f t="shared" si="913"/>
        <v>63.400000000000006</v>
      </c>
      <c r="DL148" s="48">
        <f t="shared" si="914"/>
        <v>69.7</v>
      </c>
      <c r="DM148" s="48">
        <f t="shared" si="915"/>
        <v>76</v>
      </c>
      <c r="DN148" s="48">
        <f t="shared" si="916"/>
        <v>0</v>
      </c>
      <c r="DO148" s="48">
        <f t="shared" si="926"/>
        <v>0</v>
      </c>
      <c r="DP148" s="48">
        <f t="shared" si="927"/>
        <v>0</v>
      </c>
      <c r="DQ148" s="48"/>
      <c r="DR148" s="48"/>
      <c r="DS148" s="48"/>
      <c r="DT148" s="48"/>
      <c r="DU148" s="48"/>
      <c r="DV148" s="48"/>
      <c r="DW148" s="48"/>
      <c r="DX148" s="48"/>
      <c r="DY148" s="48"/>
      <c r="EA148" s="52">
        <f t="shared" si="843"/>
        <v>99.999999633333317</v>
      </c>
      <c r="EB148" s="52">
        <f t="shared" si="844"/>
        <v>76</v>
      </c>
      <c r="EC148" s="52"/>
      <c r="ED148" s="429"/>
      <c r="EE148" s="40">
        <f t="shared" si="802"/>
        <v>0</v>
      </c>
      <c r="EF148" s="40">
        <f t="shared" si="803"/>
        <v>0</v>
      </c>
      <c r="EG148" s="51">
        <f t="shared" si="854"/>
        <v>76</v>
      </c>
      <c r="EH148" s="54"/>
      <c r="EI148" s="54"/>
      <c r="EJ148" s="54"/>
      <c r="EK148" s="675"/>
      <c r="EL148" s="53"/>
      <c r="EM148" s="53"/>
      <c r="EN148" s="53"/>
      <c r="EO148" s="49"/>
      <c r="EP148" s="49"/>
      <c r="EQ148" s="49"/>
    </row>
    <row r="149" spans="1:149">
      <c r="A149" s="6" t="s">
        <v>23</v>
      </c>
      <c r="B149" s="2" t="s">
        <v>12</v>
      </c>
      <c r="C149" s="3" t="s">
        <v>49</v>
      </c>
      <c r="E149" s="3" t="s">
        <v>16</v>
      </c>
      <c r="G149" s="3" t="s">
        <v>91</v>
      </c>
      <c r="I149" s="23"/>
      <c r="J149" s="19">
        <f>150/12</f>
        <v>12.5</v>
      </c>
      <c r="K149" s="19">
        <f>J149+12.5</f>
        <v>25</v>
      </c>
      <c r="L149" s="19">
        <f t="shared" ref="L149:U149" si="933">K149+12.5</f>
        <v>37.5</v>
      </c>
      <c r="M149" s="19">
        <f t="shared" si="933"/>
        <v>50</v>
      </c>
      <c r="N149" s="19">
        <f t="shared" si="933"/>
        <v>62.5</v>
      </c>
      <c r="O149" s="19">
        <f t="shared" si="933"/>
        <v>75</v>
      </c>
      <c r="P149" s="19">
        <f t="shared" si="933"/>
        <v>87.5</v>
      </c>
      <c r="Q149" s="19">
        <f t="shared" si="933"/>
        <v>100</v>
      </c>
      <c r="R149" s="19">
        <f t="shared" si="933"/>
        <v>112.5</v>
      </c>
      <c r="S149" s="19">
        <f t="shared" si="933"/>
        <v>125</v>
      </c>
      <c r="T149" s="19">
        <f t="shared" si="933"/>
        <v>137.5</v>
      </c>
      <c r="U149" s="19">
        <f t="shared" si="933"/>
        <v>150</v>
      </c>
      <c r="V149" s="219">
        <f>ROUND(W149/2,0)</f>
        <v>7</v>
      </c>
      <c r="W149" s="246">
        <f t="shared" si="932"/>
        <v>13.000000000000028</v>
      </c>
      <c r="X149" s="246">
        <f t="shared" si="932"/>
        <v>19.300000000000026</v>
      </c>
      <c r="Y149" s="246">
        <f t="shared" si="932"/>
        <v>25.600000000000023</v>
      </c>
      <c r="Z149" s="246">
        <f t="shared" si="932"/>
        <v>31.90000000000002</v>
      </c>
      <c r="AA149" s="246">
        <f t="shared" si="932"/>
        <v>38.200000000000017</v>
      </c>
      <c r="AB149" s="246">
        <f t="shared" si="932"/>
        <v>44.500000000000014</v>
      </c>
      <c r="AC149" s="246">
        <f t="shared" si="932"/>
        <v>50.800000000000011</v>
      </c>
      <c r="AD149" s="246">
        <f t="shared" si="932"/>
        <v>57.100000000000009</v>
      </c>
      <c r="AE149" s="246">
        <f t="shared" si="932"/>
        <v>63.400000000000006</v>
      </c>
      <c r="AF149" s="246">
        <f>-ROUND(AG149/12,1)+AG149</f>
        <v>69.7</v>
      </c>
      <c r="AG149" s="246">
        <v>76</v>
      </c>
      <c r="AH149" s="31"/>
      <c r="AI149" s="19"/>
      <c r="AJ149" s="19"/>
      <c r="AK149" s="408"/>
      <c r="AL149" s="40">
        <f t="shared" si="919"/>
        <v>12.5</v>
      </c>
      <c r="AM149" s="40">
        <f t="shared" si="920"/>
        <v>12.5</v>
      </c>
      <c r="AN149" s="40">
        <f t="shared" si="865"/>
        <v>12.5</v>
      </c>
      <c r="AO149" s="40">
        <f t="shared" si="866"/>
        <v>12.5</v>
      </c>
      <c r="AP149" s="40">
        <f t="shared" si="867"/>
        <v>12.5</v>
      </c>
      <c r="AQ149" s="40">
        <f t="shared" si="868"/>
        <v>12.5</v>
      </c>
      <c r="AR149" s="40">
        <f t="shared" si="869"/>
        <v>12.5</v>
      </c>
      <c r="AS149" s="40">
        <f t="shared" si="870"/>
        <v>12.5</v>
      </c>
      <c r="AT149" s="40">
        <f t="shared" si="871"/>
        <v>12.5</v>
      </c>
      <c r="AU149" s="40">
        <f t="shared" si="872"/>
        <v>12.5</v>
      </c>
      <c r="AV149" s="40">
        <f t="shared" si="873"/>
        <v>12.5</v>
      </c>
      <c r="AW149" s="40">
        <f t="shared" si="874"/>
        <v>12.5</v>
      </c>
      <c r="AX149" s="40">
        <f t="shared" si="921"/>
        <v>7</v>
      </c>
      <c r="AY149" s="40">
        <f t="shared" si="875"/>
        <v>6.0000000000000284</v>
      </c>
      <c r="AZ149" s="40">
        <f t="shared" si="876"/>
        <v>6.2999999999999972</v>
      </c>
      <c r="BA149" s="40">
        <f t="shared" si="877"/>
        <v>6.2999999999999972</v>
      </c>
      <c r="BB149" s="40">
        <f t="shared" si="878"/>
        <v>6.2999999999999972</v>
      </c>
      <c r="BC149" s="40">
        <f t="shared" si="879"/>
        <v>6.2999999999999972</v>
      </c>
      <c r="BD149" s="40">
        <f t="shared" si="880"/>
        <v>6.2999999999999972</v>
      </c>
      <c r="BE149" s="40">
        <f t="shared" si="881"/>
        <v>6.2999999999999972</v>
      </c>
      <c r="BF149" s="40">
        <f t="shared" si="882"/>
        <v>6.2999999999999972</v>
      </c>
      <c r="BG149" s="40">
        <f t="shared" si="883"/>
        <v>6.2999999999999972</v>
      </c>
      <c r="BH149" s="40">
        <f t="shared" si="884"/>
        <v>6.2999999999999972</v>
      </c>
      <c r="BI149" s="40">
        <f t="shared" si="885"/>
        <v>6.2999999999999972</v>
      </c>
      <c r="BJ149" s="40">
        <f t="shared" si="886"/>
        <v>0</v>
      </c>
      <c r="BK149" s="40">
        <f t="shared" si="887"/>
        <v>0</v>
      </c>
      <c r="BL149" s="40">
        <f t="shared" si="888"/>
        <v>0</v>
      </c>
      <c r="BM149" s="408"/>
      <c r="BN149" s="48">
        <f t="shared" si="806"/>
        <v>37.5</v>
      </c>
      <c r="BO149" s="48">
        <f t="shared" si="807"/>
        <v>37.5</v>
      </c>
      <c r="BP149" s="48">
        <f t="shared" si="889"/>
        <v>37.5</v>
      </c>
      <c r="BQ149" s="48">
        <f t="shared" si="809"/>
        <v>37.5</v>
      </c>
      <c r="BR149" s="48">
        <f t="shared" si="810"/>
        <v>37.5</v>
      </c>
      <c r="BS149" s="48">
        <f t="shared" si="890"/>
        <v>37.5</v>
      </c>
      <c r="BT149" s="48">
        <f t="shared" si="812"/>
        <v>37.5</v>
      </c>
      <c r="BU149" s="48">
        <f t="shared" si="813"/>
        <v>37.5</v>
      </c>
      <c r="BV149" s="48">
        <f t="shared" si="891"/>
        <v>37.5</v>
      </c>
      <c r="BW149" s="48">
        <f t="shared" si="815"/>
        <v>37.5</v>
      </c>
      <c r="BX149" s="48">
        <f t="shared" si="816"/>
        <v>37.5</v>
      </c>
      <c r="BY149" s="48">
        <f t="shared" si="892"/>
        <v>37.5</v>
      </c>
      <c r="BZ149" s="48">
        <f t="shared" si="818"/>
        <v>19.300000000000026</v>
      </c>
      <c r="CA149" s="48">
        <f t="shared" si="819"/>
        <v>19.300000000000026</v>
      </c>
      <c r="CB149" s="48">
        <f>SUM(AX149:AZ149)</f>
        <v>19.300000000000026</v>
      </c>
      <c r="CC149" s="48">
        <f t="shared" si="821"/>
        <v>18.899999999999991</v>
      </c>
      <c r="CD149" s="48">
        <f t="shared" si="822"/>
        <v>18.899999999999991</v>
      </c>
      <c r="CE149" s="48">
        <f>SUM(BA149:BC149)</f>
        <v>18.899999999999991</v>
      </c>
      <c r="CF149" s="48">
        <f t="shared" si="824"/>
        <v>18.899999999999991</v>
      </c>
      <c r="CG149" s="48">
        <f t="shared" si="825"/>
        <v>18.899999999999991</v>
      </c>
      <c r="CH149" s="48">
        <f>SUM(BD149:BF149)</f>
        <v>18.899999999999991</v>
      </c>
      <c r="CI149" s="48">
        <f t="shared" si="827"/>
        <v>18.899999999999991</v>
      </c>
      <c r="CJ149" s="48">
        <f t="shared" si="828"/>
        <v>18.899999999999991</v>
      </c>
      <c r="CK149" s="48">
        <f>SUM(BG149:BI149)</f>
        <v>18.899999999999991</v>
      </c>
      <c r="CL149" s="48">
        <f t="shared" si="830"/>
        <v>0</v>
      </c>
      <c r="CM149" s="48">
        <f t="shared" si="831"/>
        <v>0</v>
      </c>
      <c r="CN149" s="48">
        <f t="shared" si="893"/>
        <v>0</v>
      </c>
      <c r="CO149" s="406"/>
      <c r="CP149" s="48">
        <f t="shared" si="924"/>
        <v>12.5</v>
      </c>
      <c r="CQ149" s="48">
        <f t="shared" si="894"/>
        <v>25</v>
      </c>
      <c r="CR149" s="48">
        <f t="shared" si="895"/>
        <v>37.5</v>
      </c>
      <c r="CS149" s="48">
        <f t="shared" si="896"/>
        <v>50</v>
      </c>
      <c r="CT149" s="48">
        <f t="shared" si="897"/>
        <v>62.5</v>
      </c>
      <c r="CU149" s="48">
        <f t="shared" si="898"/>
        <v>75</v>
      </c>
      <c r="CV149" s="48">
        <f t="shared" si="899"/>
        <v>87.5</v>
      </c>
      <c r="CW149" s="48">
        <f t="shared" si="900"/>
        <v>100</v>
      </c>
      <c r="CX149" s="48">
        <f t="shared" si="901"/>
        <v>112.5</v>
      </c>
      <c r="CY149" s="48">
        <f t="shared" si="902"/>
        <v>125</v>
      </c>
      <c r="CZ149" s="48">
        <f t="shared" si="903"/>
        <v>137.5</v>
      </c>
      <c r="DA149" s="48">
        <f t="shared" si="904"/>
        <v>150</v>
      </c>
      <c r="DB149" s="48">
        <f t="shared" si="925"/>
        <v>7</v>
      </c>
      <c r="DC149" s="48">
        <f t="shared" si="905"/>
        <v>13.000000000000028</v>
      </c>
      <c r="DD149" s="48">
        <f t="shared" si="906"/>
        <v>19.300000000000026</v>
      </c>
      <c r="DE149" s="48">
        <f t="shared" si="907"/>
        <v>25.600000000000023</v>
      </c>
      <c r="DF149" s="48">
        <f t="shared" si="908"/>
        <v>31.90000000000002</v>
      </c>
      <c r="DG149" s="48">
        <f t="shared" si="909"/>
        <v>38.200000000000017</v>
      </c>
      <c r="DH149" s="48">
        <f t="shared" si="910"/>
        <v>44.500000000000014</v>
      </c>
      <c r="DI149" s="48">
        <f t="shared" si="911"/>
        <v>50.800000000000011</v>
      </c>
      <c r="DJ149" s="48">
        <f t="shared" si="912"/>
        <v>57.100000000000009</v>
      </c>
      <c r="DK149" s="48">
        <f t="shared" si="913"/>
        <v>63.400000000000006</v>
      </c>
      <c r="DL149" s="48">
        <f t="shared" si="914"/>
        <v>69.7</v>
      </c>
      <c r="DM149" s="48">
        <f t="shared" si="915"/>
        <v>76</v>
      </c>
      <c r="DN149" s="48">
        <f t="shared" si="916"/>
        <v>0</v>
      </c>
      <c r="DO149" s="48">
        <f t="shared" si="926"/>
        <v>0</v>
      </c>
      <c r="DP149" s="48">
        <f t="shared" si="927"/>
        <v>0</v>
      </c>
      <c r="DQ149" s="48"/>
      <c r="DR149" s="48"/>
      <c r="DS149" s="48"/>
      <c r="DT149" s="48"/>
      <c r="DU149" s="48"/>
      <c r="DV149" s="48"/>
      <c r="DW149" s="48"/>
      <c r="DX149" s="48"/>
      <c r="DY149" s="48"/>
      <c r="EA149" s="52">
        <f t="shared" si="843"/>
        <v>150</v>
      </c>
      <c r="EB149" s="52">
        <f t="shared" si="844"/>
        <v>76</v>
      </c>
      <c r="EC149" s="52"/>
      <c r="ED149" s="429"/>
      <c r="EE149" s="40">
        <f t="shared" si="802"/>
        <v>0</v>
      </c>
      <c r="EF149" s="40">
        <f t="shared" si="803"/>
        <v>0</v>
      </c>
      <c r="EG149" s="51">
        <f t="shared" si="854"/>
        <v>76</v>
      </c>
      <c r="EH149" s="54"/>
      <c r="EI149" s="54"/>
      <c r="EJ149" s="54"/>
      <c r="EK149" s="675"/>
      <c r="EL149" s="53"/>
      <c r="EM149" s="53"/>
      <c r="EN149" s="53"/>
      <c r="EO149" s="49"/>
      <c r="EP149" s="49"/>
      <c r="EQ149" s="49"/>
    </row>
    <row r="150" spans="1:149">
      <c r="A150" s="6" t="s">
        <v>23</v>
      </c>
      <c r="B150" s="2" t="s">
        <v>143</v>
      </c>
      <c r="C150" s="3" t="s">
        <v>50</v>
      </c>
      <c r="E150" s="3" t="s">
        <v>16</v>
      </c>
      <c r="G150" s="3" t="s">
        <v>91</v>
      </c>
      <c r="I150" s="23"/>
      <c r="J150" s="19">
        <v>0</v>
      </c>
      <c r="K150" s="19">
        <v>0</v>
      </c>
      <c r="L150" s="19">
        <v>4</v>
      </c>
      <c r="M150" s="19">
        <f>L150</f>
        <v>4</v>
      </c>
      <c r="N150" s="19">
        <f>M150</f>
        <v>4</v>
      </c>
      <c r="O150" s="19">
        <f>N150</f>
        <v>4</v>
      </c>
      <c r="P150" s="19">
        <v>8</v>
      </c>
      <c r="Q150" s="19">
        <f t="shared" ref="Q150:S151" si="934">P150</f>
        <v>8</v>
      </c>
      <c r="R150" s="19">
        <f t="shared" si="934"/>
        <v>8</v>
      </c>
      <c r="S150" s="19">
        <f t="shared" si="934"/>
        <v>8</v>
      </c>
      <c r="T150" s="19">
        <v>12</v>
      </c>
      <c r="U150" s="19">
        <f>+T150</f>
        <v>12</v>
      </c>
      <c r="V150" s="219">
        <v>0</v>
      </c>
      <c r="W150" s="246">
        <v>4</v>
      </c>
      <c r="X150" s="246">
        <v>4</v>
      </c>
      <c r="Y150" s="246">
        <f>X150</f>
        <v>4</v>
      </c>
      <c r="Z150" s="246">
        <f>Y150</f>
        <v>4</v>
      </c>
      <c r="AA150" s="246">
        <f>Z150</f>
        <v>4</v>
      </c>
      <c r="AB150" s="246">
        <v>8</v>
      </c>
      <c r="AC150" s="246">
        <f t="shared" ref="AC150:AE151" si="935">AB150</f>
        <v>8</v>
      </c>
      <c r="AD150" s="246">
        <f t="shared" si="935"/>
        <v>8</v>
      </c>
      <c r="AE150" s="246">
        <f t="shared" si="935"/>
        <v>8</v>
      </c>
      <c r="AF150" s="246">
        <v>12</v>
      </c>
      <c r="AG150" s="246">
        <v>12</v>
      </c>
      <c r="AH150" s="31"/>
      <c r="AI150" s="19"/>
      <c r="AJ150" s="19"/>
      <c r="AK150" s="408"/>
      <c r="AL150" s="40">
        <f t="shared" si="919"/>
        <v>0</v>
      </c>
      <c r="AM150" s="40">
        <f t="shared" si="920"/>
        <v>0</v>
      </c>
      <c r="AN150" s="40">
        <f t="shared" si="865"/>
        <v>4</v>
      </c>
      <c r="AO150" s="40">
        <f t="shared" si="866"/>
        <v>0</v>
      </c>
      <c r="AP150" s="40">
        <f t="shared" si="867"/>
        <v>0</v>
      </c>
      <c r="AQ150" s="40">
        <f t="shared" si="868"/>
        <v>0</v>
      </c>
      <c r="AR150" s="40">
        <f t="shared" si="869"/>
        <v>4</v>
      </c>
      <c r="AS150" s="40">
        <f t="shared" si="870"/>
        <v>0</v>
      </c>
      <c r="AT150" s="40">
        <f t="shared" si="871"/>
        <v>0</v>
      </c>
      <c r="AU150" s="40">
        <f t="shared" si="872"/>
        <v>0</v>
      </c>
      <c r="AV150" s="40">
        <f t="shared" si="873"/>
        <v>4</v>
      </c>
      <c r="AW150" s="40">
        <f t="shared" si="874"/>
        <v>0</v>
      </c>
      <c r="AX150" s="40">
        <f t="shared" si="921"/>
        <v>0</v>
      </c>
      <c r="AY150" s="40">
        <f t="shared" si="875"/>
        <v>4</v>
      </c>
      <c r="AZ150" s="40">
        <f t="shared" si="876"/>
        <v>0</v>
      </c>
      <c r="BA150" s="40">
        <f t="shared" si="877"/>
        <v>0</v>
      </c>
      <c r="BB150" s="40">
        <f t="shared" si="878"/>
        <v>0</v>
      </c>
      <c r="BC150" s="40">
        <f t="shared" si="879"/>
        <v>0</v>
      </c>
      <c r="BD150" s="40">
        <f t="shared" si="880"/>
        <v>4</v>
      </c>
      <c r="BE150" s="40">
        <f t="shared" si="881"/>
        <v>0</v>
      </c>
      <c r="BF150" s="40">
        <f t="shared" si="882"/>
        <v>0</v>
      </c>
      <c r="BG150" s="40">
        <f t="shared" si="883"/>
        <v>0</v>
      </c>
      <c r="BH150" s="40">
        <f t="shared" si="884"/>
        <v>4</v>
      </c>
      <c r="BI150" s="40">
        <f t="shared" si="885"/>
        <v>0</v>
      </c>
      <c r="BJ150" s="40">
        <f t="shared" si="886"/>
        <v>0</v>
      </c>
      <c r="BK150" s="40">
        <f t="shared" si="887"/>
        <v>0</v>
      </c>
      <c r="BL150" s="40">
        <f t="shared" si="888"/>
        <v>0</v>
      </c>
      <c r="BM150" s="408"/>
      <c r="BN150" s="48">
        <f t="shared" si="806"/>
        <v>4</v>
      </c>
      <c r="BO150" s="48">
        <f t="shared" si="807"/>
        <v>4</v>
      </c>
      <c r="BP150" s="48">
        <f t="shared" si="889"/>
        <v>4</v>
      </c>
      <c r="BQ150" s="48">
        <f t="shared" si="809"/>
        <v>0</v>
      </c>
      <c r="BR150" s="48">
        <f t="shared" si="810"/>
        <v>0</v>
      </c>
      <c r="BS150" s="48">
        <f t="shared" si="890"/>
        <v>0</v>
      </c>
      <c r="BT150" s="48">
        <f t="shared" si="812"/>
        <v>4</v>
      </c>
      <c r="BU150" s="48">
        <f t="shared" si="813"/>
        <v>4</v>
      </c>
      <c r="BV150" s="48">
        <f t="shared" si="891"/>
        <v>4</v>
      </c>
      <c r="BW150" s="48">
        <f t="shared" si="815"/>
        <v>4</v>
      </c>
      <c r="BX150" s="48">
        <f t="shared" si="816"/>
        <v>4</v>
      </c>
      <c r="BY150" s="48">
        <f t="shared" si="892"/>
        <v>4</v>
      </c>
      <c r="BZ150" s="48">
        <f t="shared" si="818"/>
        <v>4</v>
      </c>
      <c r="CA150" s="48">
        <f t="shared" si="819"/>
        <v>4</v>
      </c>
      <c r="CB150" s="48">
        <f>SUM(AX150:AZ150)</f>
        <v>4</v>
      </c>
      <c r="CC150" s="48">
        <f t="shared" si="821"/>
        <v>0</v>
      </c>
      <c r="CD150" s="48">
        <f t="shared" si="822"/>
        <v>0</v>
      </c>
      <c r="CE150" s="48">
        <f>SUM(BA150:BC150)</f>
        <v>0</v>
      </c>
      <c r="CF150" s="48">
        <f t="shared" si="824"/>
        <v>4</v>
      </c>
      <c r="CG150" s="48">
        <f t="shared" si="825"/>
        <v>4</v>
      </c>
      <c r="CH150" s="48">
        <f>SUM(BD150:BF150)</f>
        <v>4</v>
      </c>
      <c r="CI150" s="48">
        <f t="shared" si="827"/>
        <v>4</v>
      </c>
      <c r="CJ150" s="48">
        <f t="shared" si="828"/>
        <v>4</v>
      </c>
      <c r="CK150" s="48">
        <f>SUM(BG150:BI150)</f>
        <v>4</v>
      </c>
      <c r="CL150" s="48">
        <f t="shared" si="830"/>
        <v>0</v>
      </c>
      <c r="CM150" s="48">
        <f t="shared" si="831"/>
        <v>0</v>
      </c>
      <c r="CN150" s="48">
        <f t="shared" si="893"/>
        <v>0</v>
      </c>
      <c r="CO150" s="406"/>
      <c r="CP150" s="48">
        <f t="shared" si="924"/>
        <v>0</v>
      </c>
      <c r="CQ150" s="48">
        <f t="shared" si="894"/>
        <v>0</v>
      </c>
      <c r="CR150" s="48">
        <f t="shared" si="895"/>
        <v>4</v>
      </c>
      <c r="CS150" s="48">
        <f t="shared" si="896"/>
        <v>4</v>
      </c>
      <c r="CT150" s="48">
        <f t="shared" si="897"/>
        <v>4</v>
      </c>
      <c r="CU150" s="48">
        <f t="shared" si="898"/>
        <v>4</v>
      </c>
      <c r="CV150" s="48">
        <f t="shared" si="899"/>
        <v>8</v>
      </c>
      <c r="CW150" s="48">
        <f t="shared" si="900"/>
        <v>8</v>
      </c>
      <c r="CX150" s="48">
        <f t="shared" si="901"/>
        <v>8</v>
      </c>
      <c r="CY150" s="48">
        <f t="shared" si="902"/>
        <v>8</v>
      </c>
      <c r="CZ150" s="48">
        <f t="shared" si="903"/>
        <v>12</v>
      </c>
      <c r="DA150" s="48">
        <f t="shared" si="904"/>
        <v>12</v>
      </c>
      <c r="DB150" s="48">
        <f t="shared" si="925"/>
        <v>0</v>
      </c>
      <c r="DC150" s="48">
        <f t="shared" si="905"/>
        <v>4</v>
      </c>
      <c r="DD150" s="48">
        <f t="shared" si="906"/>
        <v>4</v>
      </c>
      <c r="DE150" s="48">
        <f t="shared" si="907"/>
        <v>4</v>
      </c>
      <c r="DF150" s="48">
        <f t="shared" si="908"/>
        <v>4</v>
      </c>
      <c r="DG150" s="48">
        <f t="shared" si="909"/>
        <v>4</v>
      </c>
      <c r="DH150" s="48">
        <f t="shared" si="910"/>
        <v>8</v>
      </c>
      <c r="DI150" s="48">
        <f t="shared" si="911"/>
        <v>8</v>
      </c>
      <c r="DJ150" s="48">
        <f t="shared" si="912"/>
        <v>8</v>
      </c>
      <c r="DK150" s="48">
        <f t="shared" si="913"/>
        <v>8</v>
      </c>
      <c r="DL150" s="48">
        <f t="shared" si="914"/>
        <v>12</v>
      </c>
      <c r="DM150" s="48">
        <f t="shared" si="915"/>
        <v>12</v>
      </c>
      <c r="DN150" s="48">
        <f t="shared" si="916"/>
        <v>0</v>
      </c>
      <c r="DO150" s="48">
        <f t="shared" si="926"/>
        <v>0</v>
      </c>
      <c r="DP150" s="48">
        <f t="shared" si="927"/>
        <v>0</v>
      </c>
      <c r="DQ150" s="48"/>
      <c r="DR150" s="48"/>
      <c r="DS150" s="48"/>
      <c r="DT150" s="48"/>
      <c r="DU150" s="48"/>
      <c r="DV150" s="48"/>
      <c r="DW150" s="48"/>
      <c r="DX150" s="48"/>
      <c r="DY150" s="48"/>
      <c r="EA150" s="52">
        <f t="shared" si="843"/>
        <v>12</v>
      </c>
      <c r="EB150" s="52">
        <f t="shared" si="844"/>
        <v>12</v>
      </c>
      <c r="EC150" s="52"/>
      <c r="ED150" s="429"/>
      <c r="EE150" s="40">
        <f t="shared" si="802"/>
        <v>0</v>
      </c>
      <c r="EF150" s="40">
        <f t="shared" si="803"/>
        <v>0</v>
      </c>
      <c r="EG150" s="51">
        <f t="shared" si="854"/>
        <v>12</v>
      </c>
      <c r="EH150" s="54"/>
      <c r="EI150" s="54"/>
      <c r="EJ150" s="54"/>
      <c r="EK150" s="675"/>
      <c r="EL150" s="53"/>
      <c r="EM150" s="53"/>
      <c r="EN150" s="53"/>
      <c r="EO150" s="49"/>
      <c r="EP150" s="49"/>
      <c r="EQ150" s="49"/>
    </row>
    <row r="151" spans="1:149">
      <c r="A151" s="6" t="s">
        <v>23</v>
      </c>
      <c r="B151" s="324" t="s">
        <v>202</v>
      </c>
      <c r="C151" s="3" t="s">
        <v>51</v>
      </c>
      <c r="E151" s="3" t="s">
        <v>15</v>
      </c>
      <c r="G151" s="3" t="s">
        <v>91</v>
      </c>
      <c r="I151" s="23"/>
      <c r="J151" s="19">
        <v>0</v>
      </c>
      <c r="K151" s="19">
        <v>0</v>
      </c>
      <c r="L151" s="19">
        <v>0</v>
      </c>
      <c r="M151" s="19">
        <v>0</v>
      </c>
      <c r="N151" s="19">
        <v>0</v>
      </c>
      <c r="O151" s="19">
        <v>2</v>
      </c>
      <c r="P151" s="19">
        <f>O151</f>
        <v>2</v>
      </c>
      <c r="Q151" s="19">
        <f t="shared" si="934"/>
        <v>2</v>
      </c>
      <c r="R151" s="19">
        <f t="shared" si="934"/>
        <v>2</v>
      </c>
      <c r="S151" s="19">
        <f t="shared" si="934"/>
        <v>2</v>
      </c>
      <c r="T151" s="19">
        <f>S151</f>
        <v>2</v>
      </c>
      <c r="U151" s="19">
        <v>4</v>
      </c>
      <c r="V151" s="219">
        <v>0</v>
      </c>
      <c r="W151" s="246">
        <v>0</v>
      </c>
      <c r="X151" s="246">
        <v>0</v>
      </c>
      <c r="Y151" s="246">
        <f>X151</f>
        <v>0</v>
      </c>
      <c r="Z151" s="246">
        <v>0</v>
      </c>
      <c r="AA151" s="246">
        <v>0</v>
      </c>
      <c r="AB151" s="246">
        <v>2</v>
      </c>
      <c r="AC151" s="246">
        <f t="shared" si="935"/>
        <v>2</v>
      </c>
      <c r="AD151" s="246">
        <f t="shared" si="935"/>
        <v>2</v>
      </c>
      <c r="AE151" s="246">
        <f t="shared" si="935"/>
        <v>2</v>
      </c>
      <c r="AF151" s="246">
        <f>AE151</f>
        <v>2</v>
      </c>
      <c r="AG151" s="246">
        <v>4</v>
      </c>
      <c r="AH151" s="31"/>
      <c r="AI151" s="19"/>
      <c r="AJ151" s="19"/>
      <c r="AK151" s="408"/>
      <c r="AL151" s="40">
        <f t="shared" si="919"/>
        <v>0</v>
      </c>
      <c r="AM151" s="40">
        <f t="shared" si="920"/>
        <v>0</v>
      </c>
      <c r="AN151" s="40">
        <f t="shared" si="865"/>
        <v>0</v>
      </c>
      <c r="AO151" s="40">
        <f t="shared" si="866"/>
        <v>0</v>
      </c>
      <c r="AP151" s="40">
        <f t="shared" si="867"/>
        <v>0</v>
      </c>
      <c r="AQ151" s="40">
        <f t="shared" si="868"/>
        <v>2</v>
      </c>
      <c r="AR151" s="40">
        <f t="shared" si="869"/>
        <v>0</v>
      </c>
      <c r="AS151" s="40">
        <f t="shared" si="870"/>
        <v>0</v>
      </c>
      <c r="AT151" s="40">
        <f t="shared" si="871"/>
        <v>0</v>
      </c>
      <c r="AU151" s="40">
        <f t="shared" si="872"/>
        <v>0</v>
      </c>
      <c r="AV151" s="40">
        <f t="shared" si="873"/>
        <v>0</v>
      </c>
      <c r="AW151" s="40">
        <f t="shared" si="874"/>
        <v>2</v>
      </c>
      <c r="AX151" s="40">
        <f t="shared" si="921"/>
        <v>0</v>
      </c>
      <c r="AY151" s="40">
        <f t="shared" si="875"/>
        <v>0</v>
      </c>
      <c r="AZ151" s="40">
        <f t="shared" si="876"/>
        <v>0</v>
      </c>
      <c r="BA151" s="40">
        <f t="shared" si="877"/>
        <v>0</v>
      </c>
      <c r="BB151" s="40">
        <f t="shared" si="878"/>
        <v>0</v>
      </c>
      <c r="BC151" s="40">
        <f t="shared" si="879"/>
        <v>0</v>
      </c>
      <c r="BD151" s="40">
        <f t="shared" si="880"/>
        <v>2</v>
      </c>
      <c r="BE151" s="40">
        <f t="shared" si="881"/>
        <v>0</v>
      </c>
      <c r="BF151" s="40">
        <f t="shared" si="882"/>
        <v>0</v>
      </c>
      <c r="BG151" s="40">
        <f t="shared" si="883"/>
        <v>0</v>
      </c>
      <c r="BH151" s="40">
        <f t="shared" si="884"/>
        <v>0</v>
      </c>
      <c r="BI151" s="40">
        <f t="shared" si="885"/>
        <v>2</v>
      </c>
      <c r="BJ151" s="40">
        <f>AH151-AG151</f>
        <v>-4</v>
      </c>
      <c r="BK151" s="40">
        <f t="shared" si="887"/>
        <v>0</v>
      </c>
      <c r="BL151" s="40">
        <f t="shared" si="888"/>
        <v>0</v>
      </c>
      <c r="BM151" s="408"/>
      <c r="BN151" s="48">
        <f t="shared" si="806"/>
        <v>0</v>
      </c>
      <c r="BO151" s="48">
        <f t="shared" si="807"/>
        <v>0</v>
      </c>
      <c r="BP151" s="48">
        <f>SUM(AL151:AN151)</f>
        <v>0</v>
      </c>
      <c r="BQ151" s="48">
        <f t="shared" si="809"/>
        <v>2</v>
      </c>
      <c r="BR151" s="48">
        <f t="shared" si="810"/>
        <v>2</v>
      </c>
      <c r="BS151" s="48">
        <f>SUM(AO151:AQ151)</f>
        <v>2</v>
      </c>
      <c r="BT151" s="48">
        <f t="shared" si="812"/>
        <v>0</v>
      </c>
      <c r="BU151" s="48">
        <f t="shared" si="813"/>
        <v>0</v>
      </c>
      <c r="BV151" s="48">
        <f>SUM(AR151:AT151)</f>
        <v>0</v>
      </c>
      <c r="BW151" s="48">
        <f t="shared" si="815"/>
        <v>2</v>
      </c>
      <c r="BX151" s="48">
        <f t="shared" si="816"/>
        <v>2</v>
      </c>
      <c r="BY151" s="48">
        <f>SUM(AU151:AW151)</f>
        <v>2</v>
      </c>
      <c r="BZ151" s="48">
        <f t="shared" si="818"/>
        <v>0</v>
      </c>
      <c r="CA151" s="48">
        <f t="shared" si="819"/>
        <v>0</v>
      </c>
      <c r="CB151" s="48">
        <f>SUM(AX151:AZ151)</f>
        <v>0</v>
      </c>
      <c r="CC151" s="48">
        <f t="shared" si="821"/>
        <v>0</v>
      </c>
      <c r="CD151" s="48">
        <f t="shared" si="822"/>
        <v>0</v>
      </c>
      <c r="CE151" s="48">
        <f>SUM(BA151:BC151)</f>
        <v>0</v>
      </c>
      <c r="CF151" s="48">
        <f t="shared" si="824"/>
        <v>2</v>
      </c>
      <c r="CG151" s="48">
        <f t="shared" si="825"/>
        <v>2</v>
      </c>
      <c r="CH151" s="48">
        <f>SUM(BD151:BF151)</f>
        <v>2</v>
      </c>
      <c r="CI151" s="48">
        <f t="shared" si="827"/>
        <v>2</v>
      </c>
      <c r="CJ151" s="48">
        <f t="shared" si="828"/>
        <v>2</v>
      </c>
      <c r="CK151" s="48">
        <f>SUM(BG151:BI151)</f>
        <v>2</v>
      </c>
      <c r="CL151" s="48">
        <f t="shared" si="830"/>
        <v>-4</v>
      </c>
      <c r="CM151" s="48">
        <f t="shared" si="831"/>
        <v>-4</v>
      </c>
      <c r="CN151" s="48">
        <f>SUM(BJ151:BL151)</f>
        <v>-4</v>
      </c>
      <c r="CO151" s="406"/>
      <c r="CP151" s="48">
        <f t="shared" si="924"/>
        <v>0</v>
      </c>
      <c r="CQ151" s="48">
        <f t="shared" si="894"/>
        <v>0</v>
      </c>
      <c r="CR151" s="48">
        <f t="shared" si="895"/>
        <v>0</v>
      </c>
      <c r="CS151" s="48">
        <f t="shared" si="896"/>
        <v>0</v>
      </c>
      <c r="CT151" s="48">
        <f t="shared" si="897"/>
        <v>0</v>
      </c>
      <c r="CU151" s="48">
        <f t="shared" si="898"/>
        <v>2</v>
      </c>
      <c r="CV151" s="48">
        <f t="shared" si="899"/>
        <v>2</v>
      </c>
      <c r="CW151" s="48">
        <f t="shared" si="900"/>
        <v>2</v>
      </c>
      <c r="CX151" s="48">
        <f t="shared" si="901"/>
        <v>2</v>
      </c>
      <c r="CY151" s="48">
        <f t="shared" si="902"/>
        <v>2</v>
      </c>
      <c r="CZ151" s="48">
        <f t="shared" si="903"/>
        <v>2</v>
      </c>
      <c r="DA151" s="48">
        <f t="shared" si="904"/>
        <v>4</v>
      </c>
      <c r="DB151" s="48">
        <f t="shared" si="925"/>
        <v>0</v>
      </c>
      <c r="DC151" s="48">
        <f t="shared" si="905"/>
        <v>0</v>
      </c>
      <c r="DD151" s="48">
        <f t="shared" si="906"/>
        <v>0</v>
      </c>
      <c r="DE151" s="48">
        <f t="shared" si="907"/>
        <v>0</v>
      </c>
      <c r="DF151" s="48">
        <f t="shared" si="908"/>
        <v>0</v>
      </c>
      <c r="DG151" s="48">
        <f t="shared" si="909"/>
        <v>0</v>
      </c>
      <c r="DH151" s="48">
        <f t="shared" si="910"/>
        <v>2</v>
      </c>
      <c r="DI151" s="48">
        <f t="shared" si="911"/>
        <v>2</v>
      </c>
      <c r="DJ151" s="48">
        <f t="shared" si="912"/>
        <v>2</v>
      </c>
      <c r="DK151" s="48">
        <f t="shared" si="913"/>
        <v>2</v>
      </c>
      <c r="DL151" s="48">
        <f t="shared" si="914"/>
        <v>2</v>
      </c>
      <c r="DM151" s="48">
        <f t="shared" si="915"/>
        <v>4</v>
      </c>
      <c r="DN151" s="48">
        <f>DM151+BJ151</f>
        <v>0</v>
      </c>
      <c r="DO151" s="48">
        <f t="shared" si="926"/>
        <v>0</v>
      </c>
      <c r="DP151" s="48">
        <f t="shared" si="927"/>
        <v>0</v>
      </c>
      <c r="DQ151" s="48"/>
      <c r="DR151" s="48"/>
      <c r="DS151" s="48"/>
      <c r="DT151" s="48"/>
      <c r="DU151" s="48"/>
      <c r="DV151" s="48"/>
      <c r="DW151" s="48"/>
      <c r="DX151" s="48"/>
      <c r="DY151" s="48"/>
      <c r="EA151" s="52">
        <f t="shared" si="843"/>
        <v>4</v>
      </c>
      <c r="EB151" s="52">
        <f t="shared" si="844"/>
        <v>4</v>
      </c>
      <c r="EC151" s="52"/>
      <c r="ED151" s="429"/>
      <c r="EE151" s="40">
        <f t="shared" si="802"/>
        <v>0</v>
      </c>
      <c r="EF151" s="40">
        <f t="shared" si="803"/>
        <v>-4</v>
      </c>
      <c r="EG151" s="51">
        <f t="shared" si="854"/>
        <v>4</v>
      </c>
      <c r="EH151" s="54"/>
      <c r="EI151" s="54"/>
      <c r="EJ151" s="54"/>
      <c r="EK151" s="675"/>
      <c r="EL151" s="53"/>
      <c r="EM151" s="53"/>
      <c r="EN151" s="53"/>
      <c r="EO151" s="49"/>
      <c r="EP151" s="49"/>
      <c r="EQ151" s="49"/>
    </row>
    <row r="152" spans="1:149">
      <c r="A152" s="6" t="s">
        <v>23</v>
      </c>
      <c r="B152" s="2" t="s">
        <v>13</v>
      </c>
      <c r="C152" s="3" t="s">
        <v>52</v>
      </c>
      <c r="E152" s="3" t="s">
        <v>15</v>
      </c>
      <c r="G152" s="3" t="s">
        <v>91</v>
      </c>
      <c r="I152" s="23"/>
      <c r="J152" s="19"/>
      <c r="K152" s="19"/>
      <c r="L152" s="19">
        <v>6750</v>
      </c>
      <c r="M152" s="19">
        <f>L152</f>
        <v>6750</v>
      </c>
      <c r="N152" s="19">
        <f>M152</f>
        <v>6750</v>
      </c>
      <c r="O152" s="19">
        <v>13500</v>
      </c>
      <c r="P152" s="19">
        <f>+O152</f>
        <v>13500</v>
      </c>
      <c r="Q152" s="19">
        <f>+P152</f>
        <v>13500</v>
      </c>
      <c r="R152" s="19">
        <v>20250</v>
      </c>
      <c r="S152" s="19">
        <f>+R152</f>
        <v>20250</v>
      </c>
      <c r="T152" s="19">
        <f>+S152</f>
        <v>20250</v>
      </c>
      <c r="U152" s="19">
        <v>27000</v>
      </c>
      <c r="V152" s="219">
        <v>0</v>
      </c>
      <c r="W152" s="246">
        <v>0</v>
      </c>
      <c r="X152" s="246">
        <v>0</v>
      </c>
      <c r="Y152" s="246">
        <f>X152</f>
        <v>0</v>
      </c>
      <c r="Z152" s="246">
        <v>0</v>
      </c>
      <c r="AA152" s="246">
        <f>ROUND(AG152/2,)</f>
        <v>14183</v>
      </c>
      <c r="AB152" s="246">
        <f t="shared" ref="AB152:AF153" si="936">+AA152</f>
        <v>14183</v>
      </c>
      <c r="AC152" s="246">
        <f t="shared" si="936"/>
        <v>14183</v>
      </c>
      <c r="AD152" s="246">
        <f t="shared" si="936"/>
        <v>14183</v>
      </c>
      <c r="AE152" s="246">
        <f t="shared" si="936"/>
        <v>14183</v>
      </c>
      <c r="AF152" s="246">
        <f t="shared" si="936"/>
        <v>14183</v>
      </c>
      <c r="AG152" s="246">
        <v>28366</v>
      </c>
      <c r="AH152" s="31"/>
      <c r="AI152" s="19"/>
      <c r="AJ152" s="19"/>
      <c r="AK152" s="408"/>
      <c r="AL152" s="40" t="s">
        <v>97</v>
      </c>
      <c r="AM152" s="40" t="s">
        <v>97</v>
      </c>
      <c r="AN152" s="40" t="s">
        <v>97</v>
      </c>
      <c r="AO152" s="40" t="s">
        <v>97</v>
      </c>
      <c r="AP152" s="40" t="s">
        <v>97</v>
      </c>
      <c r="AQ152" s="40" t="s">
        <v>97</v>
      </c>
      <c r="AR152" s="40" t="s">
        <v>97</v>
      </c>
      <c r="AS152" s="40" t="s">
        <v>97</v>
      </c>
      <c r="AT152" s="40" t="s">
        <v>97</v>
      </c>
      <c r="AU152" s="40" t="s">
        <v>97</v>
      </c>
      <c r="AV152" s="40" t="s">
        <v>97</v>
      </c>
      <c r="AW152" s="40" t="s">
        <v>97</v>
      </c>
      <c r="AX152" s="40" t="s">
        <v>97</v>
      </c>
      <c r="AY152" s="40" t="s">
        <v>97</v>
      </c>
      <c r="AZ152" s="40" t="s">
        <v>97</v>
      </c>
      <c r="BA152" s="40" t="s">
        <v>97</v>
      </c>
      <c r="BB152" s="40" t="s">
        <v>97</v>
      </c>
      <c r="BC152" s="40" t="s">
        <v>97</v>
      </c>
      <c r="BD152" s="40" t="s">
        <v>97</v>
      </c>
      <c r="BE152" s="40" t="s">
        <v>97</v>
      </c>
      <c r="BF152" s="40" t="s">
        <v>97</v>
      </c>
      <c r="BG152" s="40" t="s">
        <v>97</v>
      </c>
      <c r="BH152" s="40" t="s">
        <v>97</v>
      </c>
      <c r="BI152" s="40" t="s">
        <v>97</v>
      </c>
      <c r="BJ152" s="40" t="s">
        <v>97</v>
      </c>
      <c r="BK152" s="40" t="s">
        <v>97</v>
      </c>
      <c r="BL152" s="40" t="s">
        <v>97</v>
      </c>
      <c r="BM152" s="408"/>
      <c r="BN152" s="40" t="s">
        <v>97</v>
      </c>
      <c r="BO152" s="40" t="s">
        <v>97</v>
      </c>
      <c r="BP152" s="40" t="s">
        <v>97</v>
      </c>
      <c r="BQ152" s="40" t="s">
        <v>97</v>
      </c>
      <c r="BR152" s="40" t="s">
        <v>97</v>
      </c>
      <c r="BS152" s="40" t="s">
        <v>97</v>
      </c>
      <c r="BT152" s="40" t="s">
        <v>97</v>
      </c>
      <c r="BU152" s="40" t="s">
        <v>97</v>
      </c>
      <c r="BV152" s="40" t="s">
        <v>97</v>
      </c>
      <c r="BW152" s="40" t="s">
        <v>97</v>
      </c>
      <c r="BX152" s="40" t="s">
        <v>97</v>
      </c>
      <c r="BY152" s="40" t="s">
        <v>97</v>
      </c>
      <c r="BZ152" s="40" t="s">
        <v>97</v>
      </c>
      <c r="CA152" s="40" t="s">
        <v>97</v>
      </c>
      <c r="CB152" s="40" t="s">
        <v>97</v>
      </c>
      <c r="CC152" s="40" t="s">
        <v>97</v>
      </c>
      <c r="CD152" s="40" t="s">
        <v>97</v>
      </c>
      <c r="CE152" s="40" t="s">
        <v>97</v>
      </c>
      <c r="CF152" s="40" t="s">
        <v>97</v>
      </c>
      <c r="CG152" s="40" t="s">
        <v>97</v>
      </c>
      <c r="CH152" s="40" t="s">
        <v>97</v>
      </c>
      <c r="CI152" s="40" t="s">
        <v>97</v>
      </c>
      <c r="CJ152" s="40" t="s">
        <v>97</v>
      </c>
      <c r="CK152" s="40" t="s">
        <v>97</v>
      </c>
      <c r="CL152" s="40" t="s">
        <v>97</v>
      </c>
      <c r="CM152" s="40" t="s">
        <v>97</v>
      </c>
      <c r="CN152" s="40" t="s">
        <v>97</v>
      </c>
      <c r="CO152" s="406"/>
      <c r="CP152" s="48">
        <f t="shared" ref="CP152:CY153" si="937">J152</f>
        <v>0</v>
      </c>
      <c r="CQ152" s="48">
        <f t="shared" si="937"/>
        <v>0</v>
      </c>
      <c r="CR152" s="48">
        <f t="shared" si="937"/>
        <v>6750</v>
      </c>
      <c r="CS152" s="48">
        <f t="shared" si="937"/>
        <v>6750</v>
      </c>
      <c r="CT152" s="48">
        <f t="shared" si="937"/>
        <v>6750</v>
      </c>
      <c r="CU152" s="48">
        <f t="shared" si="937"/>
        <v>13500</v>
      </c>
      <c r="CV152" s="48">
        <f t="shared" si="937"/>
        <v>13500</v>
      </c>
      <c r="CW152" s="48">
        <f t="shared" si="937"/>
        <v>13500</v>
      </c>
      <c r="CX152" s="48">
        <f t="shared" si="937"/>
        <v>20250</v>
      </c>
      <c r="CY152" s="48">
        <f t="shared" si="937"/>
        <v>20250</v>
      </c>
      <c r="CZ152" s="48">
        <f t="shared" ref="CZ152:DI153" si="938">T152</f>
        <v>20250</v>
      </c>
      <c r="DA152" s="48">
        <f t="shared" si="938"/>
        <v>27000</v>
      </c>
      <c r="DB152" s="48">
        <f t="shared" si="938"/>
        <v>0</v>
      </c>
      <c r="DC152" s="48">
        <f t="shared" si="938"/>
        <v>0</v>
      </c>
      <c r="DD152" s="48">
        <f t="shared" si="938"/>
        <v>0</v>
      </c>
      <c r="DE152" s="48">
        <f t="shared" si="938"/>
        <v>0</v>
      </c>
      <c r="DF152" s="48">
        <f t="shared" si="938"/>
        <v>0</v>
      </c>
      <c r="DG152" s="48">
        <f t="shared" si="938"/>
        <v>14183</v>
      </c>
      <c r="DH152" s="48">
        <f t="shared" si="938"/>
        <v>14183</v>
      </c>
      <c r="DI152" s="48">
        <f t="shared" si="938"/>
        <v>14183</v>
      </c>
      <c r="DJ152" s="48">
        <f t="shared" ref="DJ152:DP153" si="939">AD152</f>
        <v>14183</v>
      </c>
      <c r="DK152" s="48">
        <f t="shared" si="939"/>
        <v>14183</v>
      </c>
      <c r="DL152" s="48">
        <f t="shared" si="939"/>
        <v>14183</v>
      </c>
      <c r="DM152" s="48">
        <f t="shared" si="939"/>
        <v>28366</v>
      </c>
      <c r="DN152" s="48">
        <f t="shared" si="939"/>
        <v>0</v>
      </c>
      <c r="DO152" s="48">
        <f t="shared" si="939"/>
        <v>0</v>
      </c>
      <c r="DP152" s="48">
        <f t="shared" si="939"/>
        <v>0</v>
      </c>
      <c r="DQ152" s="48"/>
      <c r="DR152" s="48"/>
      <c r="DS152" s="48"/>
      <c r="DT152" s="48"/>
      <c r="DU152" s="48"/>
      <c r="DV152" s="48"/>
      <c r="DW152" s="48"/>
      <c r="DX152" s="48"/>
      <c r="DY152" s="48"/>
      <c r="EA152" s="52">
        <f t="shared" si="843"/>
        <v>27000</v>
      </c>
      <c r="EB152" s="52">
        <f t="shared" si="844"/>
        <v>28366</v>
      </c>
      <c r="EC152" s="52"/>
      <c r="ED152" s="429"/>
      <c r="EE152" s="40" t="str">
        <f>HLOOKUP($I$1,Month,19)</f>
        <v>N/A</v>
      </c>
      <c r="EF152" s="40" t="str">
        <f>HLOOKUP($I$1,Qtr,19)</f>
        <v>N/A</v>
      </c>
      <c r="EG152" s="51">
        <f>HLOOKUP($EJ$4,Budget,19)</f>
        <v>41153</v>
      </c>
      <c r="EH152" s="54"/>
      <c r="EI152" s="54"/>
      <c r="EJ152" s="54"/>
      <c r="EK152" s="675"/>
      <c r="EL152" s="53"/>
      <c r="EM152" s="53"/>
      <c r="EN152" s="53"/>
      <c r="EO152" s="49"/>
      <c r="EP152" s="49"/>
      <c r="EQ152" s="49"/>
    </row>
    <row r="153" spans="1:149" ht="13.5" thickBot="1">
      <c r="A153" s="6" t="s">
        <v>23</v>
      </c>
      <c r="B153" s="2" t="s">
        <v>14</v>
      </c>
      <c r="C153" s="3" t="s">
        <v>53</v>
      </c>
      <c r="E153" s="3" t="s">
        <v>15</v>
      </c>
      <c r="G153" s="3" t="s">
        <v>91</v>
      </c>
      <c r="I153" s="23"/>
      <c r="J153" s="19"/>
      <c r="K153" s="19"/>
      <c r="L153" s="19">
        <v>13500</v>
      </c>
      <c r="M153" s="19">
        <f>L153</f>
        <v>13500</v>
      </c>
      <c r="N153" s="19">
        <f>M153</f>
        <v>13500</v>
      </c>
      <c r="O153" s="19">
        <v>27000</v>
      </c>
      <c r="P153" s="19">
        <f>+O153</f>
        <v>27000</v>
      </c>
      <c r="Q153" s="19">
        <f>+P153</f>
        <v>27000</v>
      </c>
      <c r="R153" s="19">
        <v>40500</v>
      </c>
      <c r="S153" s="19">
        <f>+R153</f>
        <v>40500</v>
      </c>
      <c r="T153" s="19">
        <f>+S153</f>
        <v>40500</v>
      </c>
      <c r="U153" s="19">
        <v>54000</v>
      </c>
      <c r="V153" s="221">
        <v>0</v>
      </c>
      <c r="W153" s="246">
        <v>0</v>
      </c>
      <c r="X153" s="246">
        <v>0</v>
      </c>
      <c r="Y153" s="246">
        <f>X153</f>
        <v>0</v>
      </c>
      <c r="Z153" s="246">
        <v>0</v>
      </c>
      <c r="AA153" s="246">
        <f>ROUND(AG153/2,0)</f>
        <v>27000</v>
      </c>
      <c r="AB153" s="246">
        <f t="shared" si="936"/>
        <v>27000</v>
      </c>
      <c r="AC153" s="246">
        <f t="shared" si="936"/>
        <v>27000</v>
      </c>
      <c r="AD153" s="246">
        <f t="shared" si="936"/>
        <v>27000</v>
      </c>
      <c r="AE153" s="246">
        <f t="shared" si="936"/>
        <v>27000</v>
      </c>
      <c r="AF153" s="246">
        <f t="shared" si="936"/>
        <v>27000</v>
      </c>
      <c r="AG153" s="246">
        <v>54000</v>
      </c>
      <c r="AH153" s="34"/>
      <c r="AI153" s="19"/>
      <c r="AJ153" s="19"/>
      <c r="AK153" s="408"/>
      <c r="AL153" s="40" t="s">
        <v>97</v>
      </c>
      <c r="AM153" s="40" t="s">
        <v>97</v>
      </c>
      <c r="AN153" s="40" t="s">
        <v>97</v>
      </c>
      <c r="AO153" s="40" t="s">
        <v>97</v>
      </c>
      <c r="AP153" s="40" t="s">
        <v>97</v>
      </c>
      <c r="AQ153" s="40" t="s">
        <v>97</v>
      </c>
      <c r="AR153" s="40" t="s">
        <v>97</v>
      </c>
      <c r="AS153" s="40" t="s">
        <v>97</v>
      </c>
      <c r="AT153" s="40" t="s">
        <v>97</v>
      </c>
      <c r="AU153" s="40" t="s">
        <v>97</v>
      </c>
      <c r="AV153" s="40" t="s">
        <v>97</v>
      </c>
      <c r="AW153" s="40" t="s">
        <v>97</v>
      </c>
      <c r="AX153" s="40" t="s">
        <v>97</v>
      </c>
      <c r="AY153" s="40" t="s">
        <v>97</v>
      </c>
      <c r="AZ153" s="40" t="s">
        <v>97</v>
      </c>
      <c r="BA153" s="40" t="s">
        <v>97</v>
      </c>
      <c r="BB153" s="40" t="s">
        <v>97</v>
      </c>
      <c r="BC153" s="40" t="s">
        <v>97</v>
      </c>
      <c r="BD153" s="40" t="s">
        <v>97</v>
      </c>
      <c r="BE153" s="40" t="s">
        <v>97</v>
      </c>
      <c r="BF153" s="40" t="s">
        <v>97</v>
      </c>
      <c r="BG153" s="40" t="s">
        <v>97</v>
      </c>
      <c r="BH153" s="40" t="s">
        <v>97</v>
      </c>
      <c r="BI153" s="40" t="s">
        <v>97</v>
      </c>
      <c r="BJ153" s="40" t="s">
        <v>97</v>
      </c>
      <c r="BK153" s="40" t="s">
        <v>97</v>
      </c>
      <c r="BL153" s="40" t="s">
        <v>97</v>
      </c>
      <c r="BM153" s="408"/>
      <c r="BN153" s="40" t="s">
        <v>97</v>
      </c>
      <c r="BO153" s="40" t="s">
        <v>97</v>
      </c>
      <c r="BP153" s="40" t="s">
        <v>97</v>
      </c>
      <c r="BQ153" s="40" t="s">
        <v>97</v>
      </c>
      <c r="BR153" s="40" t="s">
        <v>97</v>
      </c>
      <c r="BS153" s="40" t="s">
        <v>97</v>
      </c>
      <c r="BT153" s="40" t="s">
        <v>97</v>
      </c>
      <c r="BU153" s="40" t="s">
        <v>97</v>
      </c>
      <c r="BV153" s="40" t="s">
        <v>97</v>
      </c>
      <c r="BW153" s="40" t="s">
        <v>97</v>
      </c>
      <c r="BX153" s="40" t="s">
        <v>97</v>
      </c>
      <c r="BY153" s="40" t="s">
        <v>97</v>
      </c>
      <c r="BZ153" s="40" t="s">
        <v>97</v>
      </c>
      <c r="CA153" s="40" t="s">
        <v>97</v>
      </c>
      <c r="CB153" s="40" t="s">
        <v>97</v>
      </c>
      <c r="CC153" s="40" t="s">
        <v>97</v>
      </c>
      <c r="CD153" s="40" t="s">
        <v>97</v>
      </c>
      <c r="CE153" s="40" t="s">
        <v>97</v>
      </c>
      <c r="CF153" s="40" t="s">
        <v>97</v>
      </c>
      <c r="CG153" s="40" t="s">
        <v>97</v>
      </c>
      <c r="CH153" s="40" t="s">
        <v>97</v>
      </c>
      <c r="CI153" s="40" t="s">
        <v>97</v>
      </c>
      <c r="CJ153" s="40" t="s">
        <v>97</v>
      </c>
      <c r="CK153" s="40" t="s">
        <v>97</v>
      </c>
      <c r="CL153" s="40" t="s">
        <v>97</v>
      </c>
      <c r="CM153" s="40" t="s">
        <v>97</v>
      </c>
      <c r="CN153" s="40" t="s">
        <v>97</v>
      </c>
      <c r="CO153" s="406"/>
      <c r="CP153" s="48">
        <f t="shared" si="937"/>
        <v>0</v>
      </c>
      <c r="CQ153" s="48">
        <f t="shared" si="937"/>
        <v>0</v>
      </c>
      <c r="CR153" s="48">
        <f t="shared" si="937"/>
        <v>13500</v>
      </c>
      <c r="CS153" s="48">
        <f t="shared" si="937"/>
        <v>13500</v>
      </c>
      <c r="CT153" s="48">
        <f t="shared" si="937"/>
        <v>13500</v>
      </c>
      <c r="CU153" s="48">
        <f t="shared" si="937"/>
        <v>27000</v>
      </c>
      <c r="CV153" s="48">
        <f t="shared" si="937"/>
        <v>27000</v>
      </c>
      <c r="CW153" s="48">
        <f t="shared" si="937"/>
        <v>27000</v>
      </c>
      <c r="CX153" s="48">
        <f t="shared" si="937"/>
        <v>40500</v>
      </c>
      <c r="CY153" s="48">
        <f t="shared" si="937"/>
        <v>40500</v>
      </c>
      <c r="CZ153" s="48">
        <f t="shared" si="938"/>
        <v>40500</v>
      </c>
      <c r="DA153" s="48">
        <f t="shared" si="938"/>
        <v>54000</v>
      </c>
      <c r="DB153" s="48">
        <f t="shared" si="938"/>
        <v>0</v>
      </c>
      <c r="DC153" s="48">
        <f t="shared" si="938"/>
        <v>0</v>
      </c>
      <c r="DD153" s="48">
        <f t="shared" si="938"/>
        <v>0</v>
      </c>
      <c r="DE153" s="48">
        <f t="shared" si="938"/>
        <v>0</v>
      </c>
      <c r="DF153" s="48">
        <f t="shared" si="938"/>
        <v>0</v>
      </c>
      <c r="DG153" s="48">
        <f t="shared" si="938"/>
        <v>27000</v>
      </c>
      <c r="DH153" s="48">
        <f t="shared" si="938"/>
        <v>27000</v>
      </c>
      <c r="DI153" s="48">
        <f t="shared" si="938"/>
        <v>27000</v>
      </c>
      <c r="DJ153" s="48">
        <f t="shared" si="939"/>
        <v>27000</v>
      </c>
      <c r="DK153" s="48">
        <f t="shared" si="939"/>
        <v>27000</v>
      </c>
      <c r="DL153" s="48">
        <f t="shared" si="939"/>
        <v>27000</v>
      </c>
      <c r="DM153" s="48">
        <f t="shared" si="939"/>
        <v>54000</v>
      </c>
      <c r="DN153" s="48">
        <f t="shared" si="939"/>
        <v>0</v>
      </c>
      <c r="DO153" s="48">
        <f t="shared" si="939"/>
        <v>0</v>
      </c>
      <c r="DP153" s="48">
        <f t="shared" si="939"/>
        <v>0</v>
      </c>
      <c r="DQ153" s="48"/>
      <c r="DR153" s="48"/>
      <c r="DS153" s="48"/>
      <c r="DT153" s="48"/>
      <c r="DU153" s="48"/>
      <c r="DV153" s="48"/>
      <c r="DW153" s="48"/>
      <c r="DX153" s="48"/>
      <c r="DY153" s="48"/>
      <c r="EA153" s="52">
        <f t="shared" si="843"/>
        <v>54000</v>
      </c>
      <c r="EB153" s="52">
        <f t="shared" si="844"/>
        <v>54000</v>
      </c>
      <c r="EC153" s="52"/>
      <c r="ED153" s="429"/>
      <c r="EE153" s="40" t="str">
        <f>HLOOKUP($I$1,Month,20)</f>
        <v>N/A</v>
      </c>
      <c r="EF153" s="40" t="str">
        <f>HLOOKUP($I$1,Qtr,20)</f>
        <v>N/A</v>
      </c>
      <c r="EG153" s="51">
        <f>HLOOKUP($EJ$4,Budget,20)</f>
        <v>81520</v>
      </c>
      <c r="EH153" s="54"/>
      <c r="EI153" s="54"/>
      <c r="EJ153" s="54"/>
      <c r="EK153" s="675"/>
      <c r="EL153" s="53"/>
      <c r="EM153" s="53"/>
      <c r="EN153" s="53"/>
      <c r="EO153" s="49"/>
      <c r="EP153" s="49"/>
      <c r="EQ153" s="49"/>
    </row>
    <row r="154" spans="1:149">
      <c r="A154" s="6" t="s">
        <v>23</v>
      </c>
      <c r="B154" s="2" t="s">
        <v>0</v>
      </c>
      <c r="C154" s="3" t="s">
        <v>40</v>
      </c>
      <c r="G154" s="43" t="s">
        <v>113</v>
      </c>
      <c r="H154" s="28"/>
      <c r="I154" s="29"/>
      <c r="J154" s="30">
        <f t="shared" ref="J154:L155" si="940">+J136-I136</f>
        <v>6.6700000000000017</v>
      </c>
      <c r="K154" s="30">
        <f t="shared" si="940"/>
        <v>6.6700000000000017</v>
      </c>
      <c r="L154" s="30">
        <f t="shared" si="940"/>
        <v>6.6700000000000017</v>
      </c>
      <c r="M154" s="30">
        <f>+M136</f>
        <v>9.0833333333333339</v>
      </c>
      <c r="N154" s="30">
        <f t="shared" ref="N154:U154" si="941">+N136-M136</f>
        <v>9.08</v>
      </c>
      <c r="O154" s="30">
        <f t="shared" si="941"/>
        <v>9.0799999999999983</v>
      </c>
      <c r="P154" s="30">
        <f t="shared" si="941"/>
        <v>9.0799999999999983</v>
      </c>
      <c r="Q154" s="30">
        <f t="shared" si="941"/>
        <v>9.0799999999999983</v>
      </c>
      <c r="R154" s="30">
        <f t="shared" si="941"/>
        <v>9.0799999999999983</v>
      </c>
      <c r="S154" s="30">
        <f t="shared" si="941"/>
        <v>9.0799999999999983</v>
      </c>
      <c r="T154" s="30">
        <f t="shared" si="941"/>
        <v>9.0800000000000054</v>
      </c>
      <c r="U154" s="30">
        <f t="shared" si="941"/>
        <v>9.0799999999999983</v>
      </c>
      <c r="V154" s="30">
        <v>10.5</v>
      </c>
      <c r="W154" s="30">
        <f>V154+10.5</f>
        <v>21</v>
      </c>
      <c r="X154" s="226">
        <f t="shared" ref="X154:AG154" si="942">W154+10.5</f>
        <v>31.5</v>
      </c>
      <c r="Y154" s="226">
        <f t="shared" si="942"/>
        <v>42</v>
      </c>
      <c r="Z154" s="226">
        <f t="shared" si="942"/>
        <v>52.5</v>
      </c>
      <c r="AA154" s="226">
        <f t="shared" si="942"/>
        <v>63</v>
      </c>
      <c r="AB154" s="226">
        <f t="shared" si="942"/>
        <v>73.5</v>
      </c>
      <c r="AC154" s="226">
        <f t="shared" si="942"/>
        <v>84</v>
      </c>
      <c r="AD154" s="226">
        <f t="shared" si="942"/>
        <v>94.5</v>
      </c>
      <c r="AE154" s="226">
        <f t="shared" si="942"/>
        <v>105</v>
      </c>
      <c r="AF154" s="226">
        <f t="shared" si="942"/>
        <v>115.5</v>
      </c>
      <c r="AG154" s="226">
        <f t="shared" si="942"/>
        <v>126</v>
      </c>
      <c r="AH154" s="30">
        <f>114/12</f>
        <v>9.5</v>
      </c>
      <c r="AI154" s="226">
        <f t="shared" ref="AI154:AJ154" si="943">114/12</f>
        <v>9.5</v>
      </c>
      <c r="AJ154" s="226">
        <f t="shared" si="943"/>
        <v>9.5</v>
      </c>
      <c r="AK154" s="408"/>
      <c r="AL154" s="48">
        <f t="shared" ref="AL154:AU156" si="944">J154</f>
        <v>6.6700000000000017</v>
      </c>
      <c r="AM154" s="48">
        <f t="shared" si="944"/>
        <v>6.6700000000000017</v>
      </c>
      <c r="AN154" s="48">
        <f t="shared" si="944"/>
        <v>6.6700000000000017</v>
      </c>
      <c r="AO154" s="48">
        <f t="shared" si="944"/>
        <v>9.0833333333333339</v>
      </c>
      <c r="AP154" s="48">
        <f t="shared" si="944"/>
        <v>9.08</v>
      </c>
      <c r="AQ154" s="48">
        <f t="shared" si="944"/>
        <v>9.0799999999999983</v>
      </c>
      <c r="AR154" s="48">
        <f t="shared" si="944"/>
        <v>9.0799999999999983</v>
      </c>
      <c r="AS154" s="48">
        <f t="shared" si="944"/>
        <v>9.0799999999999983</v>
      </c>
      <c r="AT154" s="48">
        <f t="shared" si="944"/>
        <v>9.0799999999999983</v>
      </c>
      <c r="AU154" s="48">
        <f t="shared" si="944"/>
        <v>9.0799999999999983</v>
      </c>
      <c r="AV154" s="48">
        <f t="shared" ref="AV154:BE156" si="945">T154</f>
        <v>9.0800000000000054</v>
      </c>
      <c r="AW154" s="48">
        <f t="shared" si="945"/>
        <v>9.0799999999999983</v>
      </c>
      <c r="AX154" s="276">
        <v>10.5</v>
      </c>
      <c r="AY154" s="276">
        <v>10.5</v>
      </c>
      <c r="AZ154" s="276">
        <v>10.5</v>
      </c>
      <c r="BA154" s="276">
        <v>10.5</v>
      </c>
      <c r="BB154" s="276">
        <v>10.5</v>
      </c>
      <c r="BC154" s="276">
        <v>10.5</v>
      </c>
      <c r="BD154" s="276">
        <v>10.5</v>
      </c>
      <c r="BE154" s="276">
        <v>10.5</v>
      </c>
      <c r="BF154" s="276">
        <v>10.5</v>
      </c>
      <c r="BG154" s="276">
        <v>10.5</v>
      </c>
      <c r="BH154" s="276">
        <v>10.5</v>
      </c>
      <c r="BI154" s="276">
        <v>10.5</v>
      </c>
      <c r="BJ154" s="48">
        <f t="shared" ref="BF154:BL156" si="946">AH154</f>
        <v>9.5</v>
      </c>
      <c r="BK154" s="48">
        <f t="shared" si="946"/>
        <v>9.5</v>
      </c>
      <c r="BL154" s="48">
        <f t="shared" si="946"/>
        <v>9.5</v>
      </c>
      <c r="BM154" s="408"/>
      <c r="BN154" s="48">
        <f>+AL154</f>
        <v>6.6700000000000017</v>
      </c>
      <c r="BO154" s="48">
        <f>+BN154+AM154</f>
        <v>13.340000000000003</v>
      </c>
      <c r="BP154" s="48">
        <f>+BO154+AN154</f>
        <v>20.010000000000005</v>
      </c>
      <c r="BQ154" s="48">
        <f>AO154</f>
        <v>9.0833333333333339</v>
      </c>
      <c r="BR154" s="48">
        <f>+BQ154+AP154</f>
        <v>18.163333333333334</v>
      </c>
      <c r="BS154" s="48">
        <f>+BR154+AQ154</f>
        <v>27.243333333333332</v>
      </c>
      <c r="BT154" s="48">
        <f>AR154</f>
        <v>9.0799999999999983</v>
      </c>
      <c r="BU154" s="48">
        <f>+BT154+AS154</f>
        <v>18.159999999999997</v>
      </c>
      <c r="BV154" s="48">
        <f>+BU154+AT154</f>
        <v>27.239999999999995</v>
      </c>
      <c r="BW154" s="48">
        <f>AU154</f>
        <v>9.0799999999999983</v>
      </c>
      <c r="BX154" s="48">
        <f>+BW154+AV154</f>
        <v>18.160000000000004</v>
      </c>
      <c r="BY154" s="48">
        <f>+BX154+AW154</f>
        <v>27.240000000000002</v>
      </c>
      <c r="BZ154" s="48">
        <v>31.5</v>
      </c>
      <c r="CA154" s="48">
        <v>31.5</v>
      </c>
      <c r="CB154" s="48">
        <v>31.5</v>
      </c>
      <c r="CC154" s="48">
        <v>63</v>
      </c>
      <c r="CD154" s="48">
        <v>63</v>
      </c>
      <c r="CE154" s="48">
        <v>63</v>
      </c>
      <c r="CF154" s="48">
        <v>94.5</v>
      </c>
      <c r="CG154" s="48">
        <v>94.5</v>
      </c>
      <c r="CH154" s="48">
        <v>94.5</v>
      </c>
      <c r="CI154" s="48">
        <v>126</v>
      </c>
      <c r="CJ154" s="48">
        <v>126</v>
      </c>
      <c r="CK154" s="48">
        <v>126</v>
      </c>
      <c r="CL154" s="48">
        <f>CN154</f>
        <v>28.5</v>
      </c>
      <c r="CM154" s="48">
        <f>CN154</f>
        <v>28.5</v>
      </c>
      <c r="CN154" s="48">
        <f>114/4</f>
        <v>28.5</v>
      </c>
      <c r="CO154" s="406"/>
      <c r="CP154" s="40">
        <f>AL154</f>
        <v>6.6700000000000017</v>
      </c>
      <c r="CQ154" s="40">
        <f t="shared" ref="CQ154:DA155" si="947">CP154+AM154</f>
        <v>13.340000000000003</v>
      </c>
      <c r="CR154" s="40">
        <f t="shared" si="947"/>
        <v>20.010000000000005</v>
      </c>
      <c r="CS154" s="40">
        <f t="shared" si="947"/>
        <v>29.093333333333341</v>
      </c>
      <c r="CT154" s="40">
        <f t="shared" si="947"/>
        <v>38.173333333333339</v>
      </c>
      <c r="CU154" s="40">
        <f t="shared" si="947"/>
        <v>47.253333333333337</v>
      </c>
      <c r="CV154" s="40">
        <f t="shared" si="947"/>
        <v>56.333333333333336</v>
      </c>
      <c r="CW154" s="40">
        <f t="shared" si="947"/>
        <v>65.413333333333327</v>
      </c>
      <c r="CX154" s="40">
        <f t="shared" si="947"/>
        <v>74.493333333333325</v>
      </c>
      <c r="CY154" s="40">
        <f t="shared" si="947"/>
        <v>83.573333333333323</v>
      </c>
      <c r="CZ154" s="40">
        <f t="shared" si="947"/>
        <v>92.653333333333336</v>
      </c>
      <c r="DA154" s="40">
        <f t="shared" si="947"/>
        <v>101.73333333333333</v>
      </c>
      <c r="DB154" s="40">
        <f>AX154</f>
        <v>10.5</v>
      </c>
      <c r="DC154" s="40">
        <f>DB154+10.5</f>
        <v>21</v>
      </c>
      <c r="DD154" s="40">
        <f t="shared" ref="DD154:DM154" si="948">DC154+10.5</f>
        <v>31.5</v>
      </c>
      <c r="DE154" s="40">
        <f t="shared" si="948"/>
        <v>42</v>
      </c>
      <c r="DF154" s="40">
        <f t="shared" si="948"/>
        <v>52.5</v>
      </c>
      <c r="DG154" s="40">
        <f t="shared" si="948"/>
        <v>63</v>
      </c>
      <c r="DH154" s="40">
        <f t="shared" si="948"/>
        <v>73.5</v>
      </c>
      <c r="DI154" s="40">
        <f t="shared" si="948"/>
        <v>84</v>
      </c>
      <c r="DJ154" s="40">
        <f t="shared" si="948"/>
        <v>94.5</v>
      </c>
      <c r="DK154" s="40">
        <f t="shared" si="948"/>
        <v>105</v>
      </c>
      <c r="DL154" s="40">
        <f t="shared" si="948"/>
        <v>115.5</v>
      </c>
      <c r="DM154" s="40">
        <f t="shared" si="948"/>
        <v>126</v>
      </c>
      <c r="DN154" s="40">
        <f>114/12</f>
        <v>9.5</v>
      </c>
      <c r="DO154" s="40">
        <f t="shared" ref="DO154:DP154" si="949">114/12</f>
        <v>9.5</v>
      </c>
      <c r="DP154" s="40">
        <f t="shared" si="949"/>
        <v>9.5</v>
      </c>
      <c r="DQ154" s="40"/>
      <c r="DR154" s="40"/>
      <c r="DS154" s="40"/>
      <c r="DT154" s="40"/>
      <c r="DU154" s="40"/>
      <c r="DV154" s="40"/>
      <c r="DW154" s="40"/>
      <c r="DX154" s="40"/>
      <c r="DY154" s="40"/>
      <c r="EA154" s="58">
        <f t="shared" si="843"/>
        <v>101.73333333333333</v>
      </c>
      <c r="EB154" s="58">
        <f t="shared" si="844"/>
        <v>126</v>
      </c>
      <c r="EC154" s="58"/>
      <c r="ED154" s="429"/>
      <c r="EE154" s="40">
        <f>HLOOKUP($I$1,Month,ROW()-1)</f>
        <v>9.5</v>
      </c>
      <c r="EF154" s="40">
        <f>HLOOKUP($I$1,Qtr,ROW()-1)</f>
        <v>28.5</v>
      </c>
      <c r="EG154" s="40">
        <v>114</v>
      </c>
      <c r="EH154" s="54"/>
      <c r="EI154" s="54"/>
      <c r="EJ154" s="54"/>
      <c r="EK154" s="675"/>
      <c r="EL154" s="53"/>
      <c r="EM154" s="53"/>
      <c r="EN154" s="53"/>
      <c r="EO154" s="49"/>
      <c r="EP154" s="49"/>
      <c r="EQ154" s="49"/>
    </row>
    <row r="155" spans="1:149">
      <c r="A155" s="6" t="s">
        <v>23</v>
      </c>
      <c r="B155" s="2" t="s">
        <v>1</v>
      </c>
      <c r="C155" s="3" t="s">
        <v>41</v>
      </c>
      <c r="G155" s="43" t="s">
        <v>113</v>
      </c>
      <c r="H155" s="28"/>
      <c r="I155" s="29"/>
      <c r="J155" s="30">
        <f t="shared" si="940"/>
        <v>1.33</v>
      </c>
      <c r="K155" s="30">
        <f t="shared" si="940"/>
        <v>1.33</v>
      </c>
      <c r="L155" s="30">
        <f t="shared" si="940"/>
        <v>1.33</v>
      </c>
      <c r="M155" s="30">
        <f>+M137</f>
        <v>2.5</v>
      </c>
      <c r="N155" s="30">
        <f t="shared" ref="N155:U155" si="950">+N137-M137</f>
        <v>2.5</v>
      </c>
      <c r="O155" s="30">
        <f t="shared" si="950"/>
        <v>2.5</v>
      </c>
      <c r="P155" s="30">
        <f t="shared" si="950"/>
        <v>2.5</v>
      </c>
      <c r="Q155" s="30">
        <f t="shared" si="950"/>
        <v>2.5</v>
      </c>
      <c r="R155" s="30">
        <f t="shared" si="950"/>
        <v>2.5</v>
      </c>
      <c r="S155" s="30">
        <f t="shared" si="950"/>
        <v>2.5</v>
      </c>
      <c r="T155" s="30">
        <f t="shared" si="950"/>
        <v>2.5</v>
      </c>
      <c r="U155" s="30">
        <f t="shared" si="950"/>
        <v>2.5</v>
      </c>
      <c r="V155" s="30">
        <v>2.0830000000000002</v>
      </c>
      <c r="W155" s="30">
        <f>V155+2.083</f>
        <v>4.1660000000000004</v>
      </c>
      <c r="X155" s="226">
        <f t="shared" ref="X155:AG155" si="951">W155+2.083</f>
        <v>6.2490000000000006</v>
      </c>
      <c r="Y155" s="226">
        <f t="shared" si="951"/>
        <v>8.3320000000000007</v>
      </c>
      <c r="Z155" s="226">
        <f t="shared" si="951"/>
        <v>10.415000000000001</v>
      </c>
      <c r="AA155" s="226">
        <f t="shared" si="951"/>
        <v>12.498000000000001</v>
      </c>
      <c r="AB155" s="226">
        <f t="shared" si="951"/>
        <v>14.581000000000001</v>
      </c>
      <c r="AC155" s="226">
        <f t="shared" si="951"/>
        <v>16.664000000000001</v>
      </c>
      <c r="AD155" s="226">
        <f t="shared" si="951"/>
        <v>18.747</v>
      </c>
      <c r="AE155" s="226">
        <f t="shared" si="951"/>
        <v>20.83</v>
      </c>
      <c r="AF155" s="226">
        <f t="shared" si="951"/>
        <v>22.912999999999997</v>
      </c>
      <c r="AG155" s="226">
        <f t="shared" si="951"/>
        <v>24.995999999999995</v>
      </c>
      <c r="AH155" s="30"/>
      <c r="AI155" s="30"/>
      <c r="AJ155" s="30"/>
      <c r="AK155" s="408"/>
      <c r="AL155" s="48">
        <f t="shared" si="944"/>
        <v>1.33</v>
      </c>
      <c r="AM155" s="48">
        <f t="shared" si="944"/>
        <v>1.33</v>
      </c>
      <c r="AN155" s="48">
        <f t="shared" si="944"/>
        <v>1.33</v>
      </c>
      <c r="AO155" s="48">
        <f t="shared" si="944"/>
        <v>2.5</v>
      </c>
      <c r="AP155" s="48">
        <f t="shared" si="944"/>
        <v>2.5</v>
      </c>
      <c r="AQ155" s="48">
        <f t="shared" si="944"/>
        <v>2.5</v>
      </c>
      <c r="AR155" s="48">
        <f t="shared" si="944"/>
        <v>2.5</v>
      </c>
      <c r="AS155" s="48">
        <f t="shared" si="944"/>
        <v>2.5</v>
      </c>
      <c r="AT155" s="48">
        <f t="shared" si="944"/>
        <v>2.5</v>
      </c>
      <c r="AU155" s="48">
        <f t="shared" si="944"/>
        <v>2.5</v>
      </c>
      <c r="AV155" s="48">
        <f t="shared" si="945"/>
        <v>2.5</v>
      </c>
      <c r="AW155" s="48">
        <f t="shared" si="945"/>
        <v>2.5</v>
      </c>
      <c r="AX155" s="48">
        <f t="shared" si="945"/>
        <v>2.0830000000000002</v>
      </c>
      <c r="AY155" s="48">
        <f t="shared" si="945"/>
        <v>4.1660000000000004</v>
      </c>
      <c r="AZ155" s="48">
        <f t="shared" si="945"/>
        <v>6.2490000000000006</v>
      </c>
      <c r="BA155" s="48">
        <f t="shared" si="945"/>
        <v>8.3320000000000007</v>
      </c>
      <c r="BB155" s="48">
        <f t="shared" si="945"/>
        <v>10.415000000000001</v>
      </c>
      <c r="BC155" s="48">
        <f t="shared" si="945"/>
        <v>12.498000000000001</v>
      </c>
      <c r="BD155" s="48">
        <f t="shared" si="945"/>
        <v>14.581000000000001</v>
      </c>
      <c r="BE155" s="48">
        <f t="shared" si="945"/>
        <v>16.664000000000001</v>
      </c>
      <c r="BF155" s="48">
        <f t="shared" si="946"/>
        <v>18.747</v>
      </c>
      <c r="BG155" s="48">
        <f t="shared" si="946"/>
        <v>20.83</v>
      </c>
      <c r="BH155" s="48">
        <f t="shared" si="946"/>
        <v>22.912999999999997</v>
      </c>
      <c r="BI155" s="48">
        <f t="shared" si="946"/>
        <v>24.995999999999995</v>
      </c>
      <c r="BJ155" s="48">
        <f t="shared" si="946"/>
        <v>0</v>
      </c>
      <c r="BK155" s="48">
        <f t="shared" si="946"/>
        <v>0</v>
      </c>
      <c r="BL155" s="48">
        <f t="shared" si="946"/>
        <v>0</v>
      </c>
      <c r="BM155" s="408"/>
      <c r="BN155" s="48">
        <f>+AL155</f>
        <v>1.33</v>
      </c>
      <c r="BO155" s="48">
        <f>+BN155+AM155</f>
        <v>2.66</v>
      </c>
      <c r="BP155" s="48">
        <f>+BO155+AN155</f>
        <v>3.99</v>
      </c>
      <c r="BQ155" s="48">
        <f>AO155</f>
        <v>2.5</v>
      </c>
      <c r="BR155" s="48">
        <f>+BQ155+AP155</f>
        <v>5</v>
      </c>
      <c r="BS155" s="48">
        <f>+BR155+AQ155</f>
        <v>7.5</v>
      </c>
      <c r="BT155" s="48">
        <f>AR155</f>
        <v>2.5</v>
      </c>
      <c r="BU155" s="48">
        <f>+BT155+AS155</f>
        <v>5</v>
      </c>
      <c r="BV155" s="48">
        <f>+BU155+AT155</f>
        <v>7.5</v>
      </c>
      <c r="BW155" s="48">
        <f>AU155</f>
        <v>2.5</v>
      </c>
      <c r="BX155" s="48">
        <f>+BW155+AV155</f>
        <v>5</v>
      </c>
      <c r="BY155" s="48">
        <f>+BX155+AW155</f>
        <v>7.5</v>
      </c>
      <c r="BZ155" s="48">
        <f>25/12*3</f>
        <v>6.25</v>
      </c>
      <c r="CA155" s="48">
        <f>25/12*3</f>
        <v>6.25</v>
      </c>
      <c r="CB155" s="48">
        <f>25/12*3</f>
        <v>6.25</v>
      </c>
      <c r="CC155" s="48">
        <f>CB155*2</f>
        <v>12.5</v>
      </c>
      <c r="CD155" s="48">
        <f>CB155*2</f>
        <v>12.5</v>
      </c>
      <c r="CE155" s="48">
        <f>CB155*2</f>
        <v>12.5</v>
      </c>
      <c r="CF155" s="48">
        <f>CB155*3</f>
        <v>18.75</v>
      </c>
      <c r="CG155" s="48">
        <f>CB155*3</f>
        <v>18.75</v>
      </c>
      <c r="CH155" s="48">
        <f>CB155*3</f>
        <v>18.75</v>
      </c>
      <c r="CI155" s="48">
        <f>CB155*4</f>
        <v>25</v>
      </c>
      <c r="CJ155" s="48">
        <f>CB155*4</f>
        <v>25</v>
      </c>
      <c r="CK155" s="48">
        <f>CB155*4</f>
        <v>25</v>
      </c>
      <c r="CL155" s="48">
        <v>0</v>
      </c>
      <c r="CM155" s="48">
        <v>0</v>
      </c>
      <c r="CN155" s="48">
        <v>0</v>
      </c>
      <c r="CO155" s="406"/>
      <c r="CP155" s="40">
        <f>AL155</f>
        <v>1.33</v>
      </c>
      <c r="CQ155" s="40">
        <f t="shared" si="947"/>
        <v>2.66</v>
      </c>
      <c r="CR155" s="40">
        <f t="shared" si="947"/>
        <v>3.99</v>
      </c>
      <c r="CS155" s="40">
        <f t="shared" si="947"/>
        <v>6.49</v>
      </c>
      <c r="CT155" s="40">
        <f t="shared" si="947"/>
        <v>8.99</v>
      </c>
      <c r="CU155" s="40">
        <f t="shared" si="947"/>
        <v>11.49</v>
      </c>
      <c r="CV155" s="40">
        <f t="shared" si="947"/>
        <v>13.99</v>
      </c>
      <c r="CW155" s="40">
        <f t="shared" si="947"/>
        <v>16.490000000000002</v>
      </c>
      <c r="CX155" s="40">
        <f t="shared" si="947"/>
        <v>18.990000000000002</v>
      </c>
      <c r="CY155" s="40">
        <f t="shared" si="947"/>
        <v>21.490000000000002</v>
      </c>
      <c r="CZ155" s="40">
        <f t="shared" si="947"/>
        <v>23.990000000000002</v>
      </c>
      <c r="DA155" s="40">
        <f t="shared" si="947"/>
        <v>26.490000000000002</v>
      </c>
      <c r="DB155" s="40">
        <v>2.0830000000000002</v>
      </c>
      <c r="DC155" s="40">
        <f>DB155+2.083</f>
        <v>4.1660000000000004</v>
      </c>
      <c r="DD155" s="40">
        <f t="shared" ref="DD155:DM155" si="952">DC155+2.083</f>
        <v>6.2490000000000006</v>
      </c>
      <c r="DE155" s="40">
        <f t="shared" si="952"/>
        <v>8.3320000000000007</v>
      </c>
      <c r="DF155" s="40">
        <f t="shared" si="952"/>
        <v>10.415000000000001</v>
      </c>
      <c r="DG155" s="40">
        <f t="shared" si="952"/>
        <v>12.498000000000001</v>
      </c>
      <c r="DH155" s="40">
        <f t="shared" si="952"/>
        <v>14.581000000000001</v>
      </c>
      <c r="DI155" s="40">
        <f t="shared" si="952"/>
        <v>16.664000000000001</v>
      </c>
      <c r="DJ155" s="40">
        <f t="shared" si="952"/>
        <v>18.747</v>
      </c>
      <c r="DK155" s="40">
        <f t="shared" si="952"/>
        <v>20.83</v>
      </c>
      <c r="DL155" s="40">
        <f t="shared" si="952"/>
        <v>22.912999999999997</v>
      </c>
      <c r="DM155" s="399">
        <f t="shared" si="952"/>
        <v>24.995999999999995</v>
      </c>
      <c r="DN155" s="40">
        <f>BJ155</f>
        <v>0</v>
      </c>
      <c r="DO155" s="40">
        <f>DN155+BK155</f>
        <v>0</v>
      </c>
      <c r="DP155" s="40">
        <f>DO155+BL155</f>
        <v>0</v>
      </c>
      <c r="DQ155" s="40"/>
      <c r="DR155" s="40"/>
      <c r="DS155" s="40"/>
      <c r="DT155" s="40"/>
      <c r="DU155" s="40"/>
      <c r="DV155" s="40"/>
      <c r="DW155" s="40"/>
      <c r="DX155" s="40"/>
      <c r="DY155" s="40"/>
      <c r="EA155" s="59">
        <f t="shared" si="843"/>
        <v>26.490000000000002</v>
      </c>
      <c r="EB155" s="59">
        <f>IF(I133&gt;6/30/10,DM155,"")</f>
        <v>24.995999999999995</v>
      </c>
      <c r="EC155" s="59"/>
      <c r="ED155" s="429"/>
      <c r="EE155" s="40">
        <f>HLOOKUP($I$1,Month,ROW()-1)</f>
        <v>0</v>
      </c>
      <c r="EF155" s="40">
        <f>HLOOKUP($I$1,Qtr,ROW()-1)</f>
        <v>0</v>
      </c>
      <c r="EG155" s="40">
        <f>HLOOKUP($EJ$4,Budget,ROW()-1)</f>
        <v>24.995999999999995</v>
      </c>
      <c r="EH155" s="54"/>
      <c r="EI155" s="54"/>
      <c r="EJ155" s="54"/>
      <c r="EK155" s="675"/>
      <c r="EL155" s="53"/>
      <c r="EM155" s="53"/>
      <c r="EN155" s="53"/>
      <c r="EO155" s="49"/>
      <c r="EP155" s="49"/>
      <c r="EQ155" s="49"/>
    </row>
    <row r="156" spans="1:149">
      <c r="A156" s="6" t="s">
        <v>23</v>
      </c>
      <c r="B156" s="101" t="s">
        <v>144</v>
      </c>
      <c r="G156" s="43"/>
      <c r="H156" s="28"/>
      <c r="I156" s="29"/>
      <c r="J156" s="102">
        <f>J150/$DA$18</f>
        <v>0</v>
      </c>
      <c r="K156" s="102">
        <f t="shared" ref="K156:U156" si="953">K150/$DA$18</f>
        <v>0</v>
      </c>
      <c r="L156" s="102">
        <f t="shared" si="953"/>
        <v>0.33333333333333331</v>
      </c>
      <c r="M156" s="102">
        <f t="shared" si="953"/>
        <v>0.33333333333333331</v>
      </c>
      <c r="N156" s="102">
        <f t="shared" si="953"/>
        <v>0.33333333333333331</v>
      </c>
      <c r="O156" s="102">
        <f t="shared" si="953"/>
        <v>0.33333333333333331</v>
      </c>
      <c r="P156" s="102">
        <f t="shared" si="953"/>
        <v>0.66666666666666663</v>
      </c>
      <c r="Q156" s="102">
        <f t="shared" si="953"/>
        <v>0.66666666666666663</v>
      </c>
      <c r="R156" s="102">
        <f t="shared" si="953"/>
        <v>0.66666666666666663</v>
      </c>
      <c r="S156" s="102">
        <f t="shared" si="953"/>
        <v>0.66666666666666663</v>
      </c>
      <c r="T156" s="102">
        <f t="shared" si="953"/>
        <v>1</v>
      </c>
      <c r="U156" s="102">
        <f t="shared" si="953"/>
        <v>1</v>
      </c>
      <c r="V156" s="102">
        <f>V150/$DK$18</f>
        <v>0</v>
      </c>
      <c r="W156" s="102">
        <f>W150/$DK$18</f>
        <v>0.5</v>
      </c>
      <c r="X156" s="102">
        <f>X150/$AG$18</f>
        <v>0.33333333333333331</v>
      </c>
      <c r="Y156" s="102">
        <f t="shared" ref="Y156:AH156" si="954">Y150/$AG$18</f>
        <v>0.33333333333333331</v>
      </c>
      <c r="Z156" s="102">
        <f t="shared" si="954"/>
        <v>0.33333333333333331</v>
      </c>
      <c r="AA156" s="102">
        <f t="shared" si="954"/>
        <v>0.33333333333333331</v>
      </c>
      <c r="AB156" s="102">
        <f t="shared" si="954"/>
        <v>0.66666666666666663</v>
      </c>
      <c r="AC156" s="102">
        <f t="shared" si="954"/>
        <v>0.66666666666666663</v>
      </c>
      <c r="AD156" s="102">
        <f t="shared" si="954"/>
        <v>0.66666666666666663</v>
      </c>
      <c r="AE156" s="102">
        <f t="shared" si="954"/>
        <v>0.66666666666666663</v>
      </c>
      <c r="AF156" s="102">
        <f t="shared" si="954"/>
        <v>1</v>
      </c>
      <c r="AG156" s="102">
        <f t="shared" si="954"/>
        <v>1</v>
      </c>
      <c r="AH156" s="102">
        <f t="shared" si="954"/>
        <v>0</v>
      </c>
      <c r="AI156" s="102">
        <f>AI150/$DK$18</f>
        <v>0</v>
      </c>
      <c r="AJ156" s="102">
        <f>AJ150/$DK$18</f>
        <v>0</v>
      </c>
      <c r="AK156" s="411"/>
      <c r="AL156" s="99">
        <f t="shared" si="944"/>
        <v>0</v>
      </c>
      <c r="AM156" s="99">
        <f t="shared" si="944"/>
        <v>0</v>
      </c>
      <c r="AN156" s="99">
        <f t="shared" si="944"/>
        <v>0.33333333333333331</v>
      </c>
      <c r="AO156" s="99">
        <f t="shared" si="944"/>
        <v>0.33333333333333331</v>
      </c>
      <c r="AP156" s="99">
        <f t="shared" si="944"/>
        <v>0.33333333333333331</v>
      </c>
      <c r="AQ156" s="99">
        <f t="shared" si="944"/>
        <v>0.33333333333333331</v>
      </c>
      <c r="AR156" s="99">
        <f t="shared" si="944"/>
        <v>0.66666666666666663</v>
      </c>
      <c r="AS156" s="99">
        <f t="shared" si="944"/>
        <v>0.66666666666666663</v>
      </c>
      <c r="AT156" s="99">
        <f t="shared" si="944"/>
        <v>0.66666666666666663</v>
      </c>
      <c r="AU156" s="99">
        <f t="shared" si="944"/>
        <v>0.66666666666666663</v>
      </c>
      <c r="AV156" s="99">
        <f t="shared" si="945"/>
        <v>1</v>
      </c>
      <c r="AW156" s="99">
        <f t="shared" si="945"/>
        <v>1</v>
      </c>
      <c r="AX156" s="99">
        <f t="shared" si="945"/>
        <v>0</v>
      </c>
      <c r="AY156" s="99">
        <f t="shared" si="945"/>
        <v>0.5</v>
      </c>
      <c r="AZ156" s="99">
        <f t="shared" si="945"/>
        <v>0.33333333333333331</v>
      </c>
      <c r="BA156" s="99">
        <f t="shared" si="945"/>
        <v>0.33333333333333331</v>
      </c>
      <c r="BB156" s="99">
        <f t="shared" si="945"/>
        <v>0.33333333333333331</v>
      </c>
      <c r="BC156" s="99">
        <f t="shared" si="945"/>
        <v>0.33333333333333331</v>
      </c>
      <c r="BD156" s="99">
        <f t="shared" si="945"/>
        <v>0.66666666666666663</v>
      </c>
      <c r="BE156" s="99">
        <f t="shared" si="945"/>
        <v>0.66666666666666663</v>
      </c>
      <c r="BF156" s="99">
        <f t="shared" si="946"/>
        <v>0.66666666666666663</v>
      </c>
      <c r="BG156" s="99">
        <f t="shared" si="946"/>
        <v>0.66666666666666663</v>
      </c>
      <c r="BH156" s="99">
        <f t="shared" si="946"/>
        <v>1</v>
      </c>
      <c r="BI156" s="99">
        <f t="shared" si="946"/>
        <v>1</v>
      </c>
      <c r="BJ156" s="99">
        <f t="shared" si="946"/>
        <v>0</v>
      </c>
      <c r="BK156" s="99">
        <f t="shared" si="946"/>
        <v>0</v>
      </c>
      <c r="BL156" s="99">
        <f t="shared" si="946"/>
        <v>0</v>
      </c>
      <c r="BM156" s="411"/>
      <c r="BN156" s="99">
        <f>AL156</f>
        <v>0</v>
      </c>
      <c r="BO156" s="99">
        <f>AM156</f>
        <v>0</v>
      </c>
      <c r="BP156" s="99">
        <f>AN156</f>
        <v>0.33333333333333331</v>
      </c>
      <c r="BQ156" s="99">
        <f>AO156</f>
        <v>0.33333333333333331</v>
      </c>
      <c r="BR156" s="99">
        <f>AP156</f>
        <v>0.33333333333333331</v>
      </c>
      <c r="BS156" s="99">
        <f>AQ156</f>
        <v>0.33333333333333331</v>
      </c>
      <c r="BT156" s="99">
        <f>AR156</f>
        <v>0.66666666666666663</v>
      </c>
      <c r="BU156" s="99">
        <f>AS156</f>
        <v>0.66666666666666663</v>
      </c>
      <c r="BV156" s="99">
        <f>AT156</f>
        <v>0.66666666666666663</v>
      </c>
      <c r="BW156" s="99">
        <f>AU156</f>
        <v>0.66666666666666663</v>
      </c>
      <c r="BX156" s="99">
        <f t="shared" ref="BX156:CN156" si="955">AV156</f>
        <v>1</v>
      </c>
      <c r="BY156" s="99">
        <f t="shared" si="955"/>
        <v>1</v>
      </c>
      <c r="BZ156" s="99">
        <f t="shared" si="955"/>
        <v>0</v>
      </c>
      <c r="CA156" s="99">
        <f t="shared" si="955"/>
        <v>0.5</v>
      </c>
      <c r="CB156" s="99">
        <f t="shared" si="955"/>
        <v>0.33333333333333331</v>
      </c>
      <c r="CC156" s="99">
        <f t="shared" si="955"/>
        <v>0.33333333333333331</v>
      </c>
      <c r="CD156" s="99">
        <f t="shared" si="955"/>
        <v>0.33333333333333331</v>
      </c>
      <c r="CE156" s="99">
        <f t="shared" si="955"/>
        <v>0.33333333333333331</v>
      </c>
      <c r="CF156" s="99">
        <f t="shared" si="955"/>
        <v>0.66666666666666663</v>
      </c>
      <c r="CG156" s="99">
        <f t="shared" si="955"/>
        <v>0.66666666666666663</v>
      </c>
      <c r="CH156" s="99">
        <f t="shared" si="955"/>
        <v>0.66666666666666663</v>
      </c>
      <c r="CI156" s="99">
        <f t="shared" si="955"/>
        <v>0.66666666666666663</v>
      </c>
      <c r="CJ156" s="99">
        <f t="shared" si="955"/>
        <v>1</v>
      </c>
      <c r="CK156" s="99">
        <f t="shared" si="955"/>
        <v>1</v>
      </c>
      <c r="CL156" s="99">
        <f t="shared" si="955"/>
        <v>0</v>
      </c>
      <c r="CM156" s="99">
        <f t="shared" si="955"/>
        <v>0</v>
      </c>
      <c r="CN156" s="99">
        <f t="shared" si="955"/>
        <v>0</v>
      </c>
      <c r="CO156" s="423"/>
      <c r="CP156" s="99">
        <f t="shared" ref="CP156:DP156" si="956">BN156</f>
        <v>0</v>
      </c>
      <c r="CQ156" s="99">
        <f t="shared" si="956"/>
        <v>0</v>
      </c>
      <c r="CR156" s="99">
        <f t="shared" si="956"/>
        <v>0.33333333333333331</v>
      </c>
      <c r="CS156" s="99">
        <f t="shared" si="956"/>
        <v>0.33333333333333331</v>
      </c>
      <c r="CT156" s="99">
        <f t="shared" si="956"/>
        <v>0.33333333333333331</v>
      </c>
      <c r="CU156" s="99">
        <f t="shared" si="956"/>
        <v>0.33333333333333331</v>
      </c>
      <c r="CV156" s="99">
        <f t="shared" si="956"/>
        <v>0.66666666666666663</v>
      </c>
      <c r="CW156" s="99">
        <f t="shared" si="956"/>
        <v>0.66666666666666663</v>
      </c>
      <c r="CX156" s="99">
        <f t="shared" si="956"/>
        <v>0.66666666666666663</v>
      </c>
      <c r="CY156" s="99">
        <f t="shared" si="956"/>
        <v>0.66666666666666663</v>
      </c>
      <c r="CZ156" s="99">
        <f t="shared" si="956"/>
        <v>1</v>
      </c>
      <c r="DA156" s="99">
        <f t="shared" si="956"/>
        <v>1</v>
      </c>
      <c r="DB156" s="99">
        <f t="shared" si="956"/>
        <v>0</v>
      </c>
      <c r="DC156" s="99">
        <f t="shared" si="956"/>
        <v>0.5</v>
      </c>
      <c r="DD156" s="99">
        <f t="shared" si="956"/>
        <v>0.33333333333333331</v>
      </c>
      <c r="DE156" s="99">
        <f t="shared" si="956"/>
        <v>0.33333333333333331</v>
      </c>
      <c r="DF156" s="99">
        <f t="shared" si="956"/>
        <v>0.33333333333333331</v>
      </c>
      <c r="DG156" s="99">
        <f t="shared" si="956"/>
        <v>0.33333333333333331</v>
      </c>
      <c r="DH156" s="99">
        <f t="shared" si="956"/>
        <v>0.66666666666666663</v>
      </c>
      <c r="DI156" s="99">
        <f t="shared" si="956"/>
        <v>0.66666666666666663</v>
      </c>
      <c r="DJ156" s="99">
        <f t="shared" si="956"/>
        <v>0.66666666666666663</v>
      </c>
      <c r="DK156" s="99">
        <f t="shared" si="956"/>
        <v>0.66666666666666663</v>
      </c>
      <c r="DL156" s="99">
        <f t="shared" si="956"/>
        <v>1</v>
      </c>
      <c r="DM156" s="99">
        <f t="shared" si="956"/>
        <v>1</v>
      </c>
      <c r="DN156" s="99">
        <f t="shared" si="956"/>
        <v>0</v>
      </c>
      <c r="DO156" s="99">
        <f t="shared" si="956"/>
        <v>0</v>
      </c>
      <c r="DP156" s="99">
        <f t="shared" si="956"/>
        <v>0</v>
      </c>
      <c r="DQ156" s="99"/>
      <c r="DR156" s="99"/>
      <c r="DS156" s="99"/>
      <c r="DT156" s="99"/>
      <c r="DU156" s="99"/>
      <c r="DV156" s="99"/>
      <c r="DW156" s="99"/>
      <c r="DX156" s="99"/>
      <c r="DY156" s="99"/>
      <c r="EA156" s="40" t="str">
        <f>HLOOKUP($I$1,Month,19)</f>
        <v>N/A</v>
      </c>
      <c r="EB156" s="40" t="str">
        <f>HLOOKUP($I$1,Qtr,19)</f>
        <v>N/A</v>
      </c>
      <c r="EC156" s="40"/>
      <c r="ED156" s="429"/>
      <c r="EE156" s="99">
        <f>HLOOKUP($I$1,Month,ROW()-1)</f>
        <v>0</v>
      </c>
      <c r="EF156" s="99">
        <f>HLOOKUP($I$1,Qtr,ROW()-1)</f>
        <v>0</v>
      </c>
      <c r="EG156" s="127">
        <v>1</v>
      </c>
      <c r="EH156" s="54"/>
      <c r="EI156" s="54"/>
      <c r="EJ156" s="54"/>
      <c r="EK156" s="675"/>
      <c r="EL156" s="136"/>
      <c r="EM156" s="136"/>
      <c r="EN156" s="136"/>
      <c r="EO156" s="49"/>
      <c r="EP156" s="49"/>
      <c r="EQ156" s="49"/>
    </row>
    <row r="157" spans="1:149">
      <c r="A157" s="6" t="s">
        <v>23</v>
      </c>
      <c r="B157" s="2" t="s">
        <v>98</v>
      </c>
      <c r="G157" s="41" t="s">
        <v>92</v>
      </c>
      <c r="H157" s="28"/>
      <c r="I157" s="29"/>
      <c r="J157" s="32">
        <f>J143*J144</f>
        <v>1.6624999999999999</v>
      </c>
      <c r="K157" s="32">
        <f t="shared" ref="K157:AJ157" si="957">K143*K144</f>
        <v>1.6624999999999999</v>
      </c>
      <c r="L157" s="32">
        <f t="shared" si="957"/>
        <v>1.6624999999999999</v>
      </c>
      <c r="M157" s="32">
        <f t="shared" si="957"/>
        <v>1.6624999999999999</v>
      </c>
      <c r="N157" s="32">
        <f t="shared" si="957"/>
        <v>1.6624999999999999</v>
      </c>
      <c r="O157" s="32">
        <f t="shared" si="957"/>
        <v>1.6624999999999999</v>
      </c>
      <c r="P157" s="32">
        <f t="shared" si="957"/>
        <v>1.6624999999999999</v>
      </c>
      <c r="Q157" s="32">
        <f t="shared" si="957"/>
        <v>1.6624999999999999</v>
      </c>
      <c r="R157" s="32">
        <f t="shared" si="957"/>
        <v>1.6624999999999999</v>
      </c>
      <c r="S157" s="32">
        <f t="shared" si="957"/>
        <v>1.6624999999999999</v>
      </c>
      <c r="T157" s="32">
        <f t="shared" si="957"/>
        <v>1.6624999999999999</v>
      </c>
      <c r="U157" s="32">
        <f t="shared" si="957"/>
        <v>1.6624999999999999</v>
      </c>
      <c r="V157" s="32">
        <f t="shared" si="957"/>
        <v>1.6624999999999999</v>
      </c>
      <c r="W157" s="32">
        <f t="shared" si="957"/>
        <v>3.3249999999999997</v>
      </c>
      <c r="X157" s="32">
        <f t="shared" si="957"/>
        <v>4.9874999999999998</v>
      </c>
      <c r="Y157" s="32">
        <f t="shared" si="957"/>
        <v>6.6499999999999995</v>
      </c>
      <c r="Z157" s="32">
        <f t="shared" si="957"/>
        <v>8.3125</v>
      </c>
      <c r="AA157" s="32">
        <f t="shared" si="957"/>
        <v>9.9749999999999996</v>
      </c>
      <c r="AB157" s="32">
        <f t="shared" si="957"/>
        <v>11.637499999999999</v>
      </c>
      <c r="AC157" s="32">
        <f t="shared" si="957"/>
        <v>13.299999999999999</v>
      </c>
      <c r="AD157" s="32">
        <f t="shared" si="957"/>
        <v>14.962499999999999</v>
      </c>
      <c r="AE157" s="32">
        <f t="shared" si="957"/>
        <v>16.625</v>
      </c>
      <c r="AF157" s="32">
        <f t="shared" si="957"/>
        <v>18.287499999999998</v>
      </c>
      <c r="AG157" s="32">
        <f t="shared" si="957"/>
        <v>19.95</v>
      </c>
      <c r="AH157" s="32">
        <f t="shared" si="957"/>
        <v>0</v>
      </c>
      <c r="AI157" s="32">
        <f t="shared" si="957"/>
        <v>0</v>
      </c>
      <c r="AJ157" s="32">
        <f t="shared" si="957"/>
        <v>0</v>
      </c>
      <c r="AK157" s="408"/>
      <c r="AL157" s="56">
        <f>AL143*AL144</f>
        <v>1.6624999999999999</v>
      </c>
      <c r="AM157" s="56">
        <f>AM143*AM144</f>
        <v>1.6624999999999999</v>
      </c>
      <c r="AN157" s="56">
        <f>AN143*AN144</f>
        <v>1.6624999999999999</v>
      </c>
      <c r="AO157" s="56">
        <f>AO143*AO144</f>
        <v>1.6624999999999999</v>
      </c>
      <c r="AP157" s="56">
        <f t="shared" ref="AP157:BL157" si="958">AP143*AP144</f>
        <v>1.6624999999999999</v>
      </c>
      <c r="AQ157" s="56">
        <f t="shared" si="958"/>
        <v>1.6624999999999999</v>
      </c>
      <c r="AR157" s="56">
        <f t="shared" si="958"/>
        <v>1.6624999999999999</v>
      </c>
      <c r="AS157" s="56">
        <f t="shared" si="958"/>
        <v>1.6624999999999999</v>
      </c>
      <c r="AT157" s="56">
        <f t="shared" si="958"/>
        <v>1.6624999999999999</v>
      </c>
      <c r="AU157" s="56">
        <f t="shared" si="958"/>
        <v>1.6624999999999999</v>
      </c>
      <c r="AV157" s="56">
        <f t="shared" si="958"/>
        <v>1.6624999999999999</v>
      </c>
      <c r="AW157" s="56">
        <f t="shared" si="958"/>
        <v>1.6624999999999999</v>
      </c>
      <c r="AX157" s="56">
        <f t="shared" si="958"/>
        <v>1.6624999999999999</v>
      </c>
      <c r="AY157" s="56">
        <f t="shared" si="958"/>
        <v>1.6624999999999999</v>
      </c>
      <c r="AZ157" s="56">
        <f t="shared" si="958"/>
        <v>1.6624999999999999</v>
      </c>
      <c r="BA157" s="56">
        <f t="shared" si="958"/>
        <v>1.6624999999999999</v>
      </c>
      <c r="BB157" s="56">
        <f t="shared" si="958"/>
        <v>1.6624999999999999</v>
      </c>
      <c r="BC157" s="56">
        <f t="shared" si="958"/>
        <v>1.6624999999999999</v>
      </c>
      <c r="BD157" s="56">
        <f t="shared" si="958"/>
        <v>1.6624999999999999</v>
      </c>
      <c r="BE157" s="56">
        <f t="shared" si="958"/>
        <v>1.6624999999999999</v>
      </c>
      <c r="BF157" s="56">
        <f t="shared" si="958"/>
        <v>1.6624999999999999</v>
      </c>
      <c r="BG157" s="56">
        <f t="shared" si="958"/>
        <v>1.6624999999999999</v>
      </c>
      <c r="BH157" s="56">
        <f t="shared" si="958"/>
        <v>1.6624999999999999</v>
      </c>
      <c r="BI157" s="56">
        <f t="shared" si="958"/>
        <v>1.6624999999999999</v>
      </c>
      <c r="BJ157" s="56">
        <f t="shared" si="958"/>
        <v>0</v>
      </c>
      <c r="BK157" s="56">
        <f t="shared" si="958"/>
        <v>0</v>
      </c>
      <c r="BL157" s="56">
        <f t="shared" si="958"/>
        <v>0</v>
      </c>
      <c r="BM157" s="408"/>
      <c r="BN157" s="56">
        <f>+AL157</f>
        <v>1.6624999999999999</v>
      </c>
      <c r="BO157" s="56">
        <f>+BN157+AM157</f>
        <v>3.3249999999999997</v>
      </c>
      <c r="BP157" s="56">
        <f>+BO157+AN157</f>
        <v>4.9874999999999998</v>
      </c>
      <c r="BQ157" s="56">
        <f>M157</f>
        <v>1.6624999999999999</v>
      </c>
      <c r="BR157" s="56">
        <f>+BQ157+AP157</f>
        <v>3.3249999999999997</v>
      </c>
      <c r="BS157" s="56">
        <f>+BR157+AQ157</f>
        <v>4.9874999999999998</v>
      </c>
      <c r="BT157" s="56">
        <f>P157</f>
        <v>1.6624999999999999</v>
      </c>
      <c r="BU157" s="56">
        <f>+BT157+AS157</f>
        <v>3.3249999999999997</v>
      </c>
      <c r="BV157" s="56">
        <f>+BU157+AT157</f>
        <v>4.9874999999999998</v>
      </c>
      <c r="BW157" s="56">
        <f>S157</f>
        <v>1.6624999999999999</v>
      </c>
      <c r="BX157" s="56">
        <f>+BW157+AV157</f>
        <v>3.3249999999999997</v>
      </c>
      <c r="BY157" s="56">
        <f>+BX157+AW157</f>
        <v>4.9874999999999998</v>
      </c>
      <c r="BZ157" s="56">
        <f>V157</f>
        <v>1.6624999999999999</v>
      </c>
      <c r="CA157" s="56">
        <f>+BZ157+AY157</f>
        <v>3.3249999999999997</v>
      </c>
      <c r="CB157" s="56">
        <f>+CA157+AZ157</f>
        <v>4.9874999999999998</v>
      </c>
      <c r="CC157" s="56">
        <f>Y157</f>
        <v>6.6499999999999995</v>
      </c>
      <c r="CD157" s="56">
        <f>+CC157+BB157</f>
        <v>8.3125</v>
      </c>
      <c r="CE157" s="56">
        <f>+CD157+BC157</f>
        <v>9.9749999999999996</v>
      </c>
      <c r="CF157" s="56">
        <f>AB157</f>
        <v>11.637499999999999</v>
      </c>
      <c r="CG157" s="56">
        <f>+CF157+BE157</f>
        <v>13.299999999999999</v>
      </c>
      <c r="CH157" s="56">
        <f>+CG157+BF157</f>
        <v>14.962499999999999</v>
      </c>
      <c r="CI157" s="56">
        <f>AE157</f>
        <v>16.625</v>
      </c>
      <c r="CJ157" s="56">
        <f>+CI157+BH157</f>
        <v>18.287500000000001</v>
      </c>
      <c r="CK157" s="56">
        <f>+CJ157+BI157</f>
        <v>19.950000000000003</v>
      </c>
      <c r="CL157" s="56">
        <f>AH157</f>
        <v>0</v>
      </c>
      <c r="CM157" s="56">
        <f>+CL157+BK157</f>
        <v>0</v>
      </c>
      <c r="CN157" s="56">
        <f>+CM157+BL157</f>
        <v>0</v>
      </c>
      <c r="CO157" s="406"/>
      <c r="CP157" s="60">
        <f>J157</f>
        <v>1.6624999999999999</v>
      </c>
      <c r="CQ157" s="60">
        <f t="shared" ref="CQ157:DA157" si="959">CP157+K157</f>
        <v>3.3249999999999997</v>
      </c>
      <c r="CR157" s="60">
        <f t="shared" si="959"/>
        <v>4.9874999999999998</v>
      </c>
      <c r="CS157" s="60">
        <f t="shared" si="959"/>
        <v>6.6499999999999995</v>
      </c>
      <c r="CT157" s="60">
        <f t="shared" si="959"/>
        <v>8.3125</v>
      </c>
      <c r="CU157" s="60">
        <f t="shared" si="959"/>
        <v>9.9749999999999996</v>
      </c>
      <c r="CV157" s="60">
        <f t="shared" si="959"/>
        <v>11.637499999999999</v>
      </c>
      <c r="CW157" s="60">
        <f t="shared" si="959"/>
        <v>13.299999999999999</v>
      </c>
      <c r="CX157" s="60">
        <f t="shared" si="959"/>
        <v>14.962499999999999</v>
      </c>
      <c r="CY157" s="60">
        <f t="shared" si="959"/>
        <v>16.625</v>
      </c>
      <c r="CZ157" s="60">
        <f t="shared" si="959"/>
        <v>18.287500000000001</v>
      </c>
      <c r="DA157" s="60">
        <f t="shared" si="959"/>
        <v>19.950000000000003</v>
      </c>
      <c r="DB157" s="60">
        <f>V157</f>
        <v>1.6624999999999999</v>
      </c>
      <c r="DC157" s="60">
        <f t="shared" ref="DC157:DM157" si="960">DB157+W157</f>
        <v>4.9874999999999998</v>
      </c>
      <c r="DD157" s="60">
        <f t="shared" si="960"/>
        <v>9.9749999999999996</v>
      </c>
      <c r="DE157" s="60">
        <f t="shared" si="960"/>
        <v>16.625</v>
      </c>
      <c r="DF157" s="60">
        <f t="shared" si="960"/>
        <v>24.9375</v>
      </c>
      <c r="DG157" s="60">
        <f t="shared" si="960"/>
        <v>34.912500000000001</v>
      </c>
      <c r="DH157" s="60">
        <f t="shared" si="960"/>
        <v>46.55</v>
      </c>
      <c r="DI157" s="60">
        <f t="shared" si="960"/>
        <v>59.849999999999994</v>
      </c>
      <c r="DJ157" s="60">
        <f t="shared" si="960"/>
        <v>74.8125</v>
      </c>
      <c r="DK157" s="60">
        <f t="shared" si="960"/>
        <v>91.4375</v>
      </c>
      <c r="DL157" s="60">
        <f t="shared" si="960"/>
        <v>109.72499999999999</v>
      </c>
      <c r="DM157" s="60">
        <f t="shared" si="960"/>
        <v>129.67499999999998</v>
      </c>
      <c r="DN157" s="60">
        <f>AH157</f>
        <v>0</v>
      </c>
      <c r="DO157" s="60">
        <f>DN157+AI157</f>
        <v>0</v>
      </c>
      <c r="DP157" s="60">
        <f>DO157+AJ157</f>
        <v>0</v>
      </c>
      <c r="DQ157" s="60"/>
      <c r="DR157" s="60"/>
      <c r="DS157" s="60"/>
      <c r="DT157" s="60"/>
      <c r="DU157" s="60"/>
      <c r="DV157" s="60"/>
      <c r="DW157" s="60"/>
      <c r="DX157" s="60"/>
      <c r="DY157" s="60"/>
      <c r="EA157" s="98">
        <v>0.95</v>
      </c>
      <c r="EB157" s="98">
        <v>0.95</v>
      </c>
      <c r="EC157" s="98"/>
      <c r="ED157" s="429"/>
      <c r="EE157" s="61">
        <f>HLOOKUP($I$1,Month,ROW()-1)</f>
        <v>0</v>
      </c>
      <c r="EF157" s="61">
        <f>HLOOKUP($I$1,Qtr,ROW()-1)</f>
        <v>0</v>
      </c>
      <c r="EG157" s="99">
        <f>HLOOKUP($EJ$4,Budget,ROW()-1)</f>
        <v>0.95</v>
      </c>
      <c r="EH157" s="54"/>
      <c r="EK157" s="675"/>
      <c r="EL157" s="136"/>
      <c r="EM157" s="136"/>
      <c r="EN157" s="136"/>
      <c r="EO157" s="49"/>
      <c r="EP157" s="49"/>
      <c r="EQ157" s="49"/>
    </row>
    <row r="158" spans="1:149">
      <c r="A158" s="6" t="s">
        <v>21</v>
      </c>
      <c r="I158" s="1"/>
      <c r="J158" s="1"/>
      <c r="K158" s="42" t="s">
        <v>114</v>
      </c>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406"/>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406"/>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406"/>
      <c r="CP158" s="245"/>
      <c r="CQ158" s="245"/>
      <c r="CR158" s="245"/>
      <c r="CS158" s="245"/>
      <c r="CT158" s="245"/>
      <c r="CU158" s="1"/>
      <c r="CV158" s="1"/>
      <c r="CW158" s="1"/>
      <c r="CX158" s="1"/>
      <c r="CY158" s="1"/>
      <c r="CZ158" s="1"/>
      <c r="DA158" s="1"/>
      <c r="DB158" s="1"/>
      <c r="DC158" s="1"/>
      <c r="DD158" s="1"/>
      <c r="DE158" s="1">
        <f>DE147/DE146</f>
        <v>0.15050267894768526</v>
      </c>
      <c r="DF158" s="245">
        <f t="shared" ref="DF158:DP158" si="961">DF147/DF146</f>
        <v>0.15050267894768526</v>
      </c>
      <c r="DG158" s="245">
        <f t="shared" si="961"/>
        <v>0.15050267894768526</v>
      </c>
      <c r="DH158" s="245">
        <f t="shared" si="961"/>
        <v>0.15050267894768526</v>
      </c>
      <c r="DI158" s="245">
        <f t="shared" si="961"/>
        <v>0.15050267894768526</v>
      </c>
      <c r="DJ158" s="245">
        <f t="shared" si="961"/>
        <v>0.15050267894768529</v>
      </c>
      <c r="DK158" s="245">
        <f t="shared" si="961"/>
        <v>0.15050267894768529</v>
      </c>
      <c r="DL158" s="245">
        <f t="shared" si="961"/>
        <v>0.15050267894768529</v>
      </c>
      <c r="DM158" s="245">
        <f t="shared" si="961"/>
        <v>0.15050267894768529</v>
      </c>
      <c r="DN158" s="245">
        <f t="shared" si="961"/>
        <v>0</v>
      </c>
      <c r="DO158" s="245">
        <f t="shared" si="961"/>
        <v>0</v>
      </c>
      <c r="DP158" s="245">
        <f t="shared" si="961"/>
        <v>0</v>
      </c>
      <c r="DQ158" s="245"/>
      <c r="DR158" s="245"/>
      <c r="DS158" s="245"/>
      <c r="DT158" s="245"/>
      <c r="DU158" s="245"/>
      <c r="DV158" s="245"/>
      <c r="DW158" s="245"/>
      <c r="DX158" s="245"/>
      <c r="DY158" s="245"/>
      <c r="ED158" s="429"/>
      <c r="EE158" s="23"/>
      <c r="EF158" s="23"/>
      <c r="EG158" s="23"/>
      <c r="EH158" s="23"/>
      <c r="EK158" s="23"/>
    </row>
    <row r="159" spans="1:149" ht="12.75" customHeight="1">
      <c r="A159" s="6" t="s">
        <v>22</v>
      </c>
      <c r="B159" s="2" t="s">
        <v>0</v>
      </c>
      <c r="C159" s="3" t="s">
        <v>54</v>
      </c>
      <c r="E159" s="3" t="s">
        <v>16</v>
      </c>
      <c r="G159" s="1" t="s">
        <v>91</v>
      </c>
      <c r="I159" s="18">
        <v>95</v>
      </c>
      <c r="J159" s="21">
        <v>100</v>
      </c>
      <c r="K159" s="19">
        <v>111</v>
      </c>
      <c r="L159" s="19">
        <v>120</v>
      </c>
      <c r="M159" s="20">
        <v>11</v>
      </c>
      <c r="N159" s="19">
        <v>26</v>
      </c>
      <c r="O159" s="19">
        <v>38</v>
      </c>
      <c r="P159" s="19">
        <v>43</v>
      </c>
      <c r="Q159" s="19">
        <v>61</v>
      </c>
      <c r="R159" s="19">
        <v>72</v>
      </c>
      <c r="S159" s="19">
        <v>84</v>
      </c>
      <c r="T159" s="19">
        <v>87</v>
      </c>
      <c r="U159" s="19">
        <v>96</v>
      </c>
      <c r="V159" s="26">
        <v>109</v>
      </c>
      <c r="W159" s="19">
        <v>116</v>
      </c>
      <c r="X159" s="19">
        <v>127</v>
      </c>
      <c r="Y159" s="339">
        <v>29</v>
      </c>
      <c r="Z159" s="19">
        <v>34</v>
      </c>
      <c r="AA159" s="19">
        <v>36</v>
      </c>
      <c r="AB159" s="19">
        <v>46</v>
      </c>
      <c r="AC159" s="19">
        <v>53</v>
      </c>
      <c r="AD159" s="19">
        <v>65</v>
      </c>
      <c r="AE159" s="19">
        <v>69</v>
      </c>
      <c r="AF159" s="19">
        <v>79</v>
      </c>
      <c r="AG159" s="19">
        <v>93</v>
      </c>
      <c r="AH159" s="19">
        <v>98</v>
      </c>
      <c r="AI159" s="19">
        <v>105</v>
      </c>
      <c r="AJ159" s="19"/>
      <c r="AK159" s="408"/>
      <c r="AL159" s="21">
        <f t="shared" ref="AL159:AM163" si="962">J159-I159</f>
        <v>5</v>
      </c>
      <c r="AM159" s="21">
        <f t="shared" si="962"/>
        <v>11</v>
      </c>
      <c r="AN159" s="21">
        <f t="shared" ref="AN159:AN167" si="963">L159-K159</f>
        <v>9</v>
      </c>
      <c r="AO159" s="21">
        <f>M159</f>
        <v>11</v>
      </c>
      <c r="AP159" s="129">
        <f t="shared" ref="AP159:AP167" si="964">IF(N159&lt;&gt;"",N159-M159,0)</f>
        <v>15</v>
      </c>
      <c r="AQ159" s="131">
        <f t="shared" ref="AQ159:AQ167" si="965">IF(O159&lt;&gt;"",O159-N159,0)</f>
        <v>12</v>
      </c>
      <c r="AR159" s="131">
        <f t="shared" ref="AR159:AR178" si="966">IF(P159&lt;&gt;"",P159-O159,0)</f>
        <v>5</v>
      </c>
      <c r="AS159" s="131">
        <f t="shared" ref="AS159:AS178" si="967">IF(Q159&lt;&gt;"",Q159-P159,0)</f>
        <v>18</v>
      </c>
      <c r="AT159" s="131">
        <f t="shared" ref="AT159:AT178" si="968">IF(R159&lt;&gt;"",R159-Q159,0)</f>
        <v>11</v>
      </c>
      <c r="AU159" s="131">
        <f t="shared" ref="AU159:AU178" si="969">IF(S159&lt;&gt;"",S159-R159,0)</f>
        <v>12</v>
      </c>
      <c r="AV159" s="131">
        <f t="shared" ref="AV159:AV178" si="970">IF(T159&lt;&gt;"",T159-S159,0)</f>
        <v>3</v>
      </c>
      <c r="AW159" s="131">
        <f t="shared" ref="AW159:AW178" si="971">IF(U159&lt;&gt;"",U159-T159,0)</f>
        <v>9</v>
      </c>
      <c r="AX159" s="131">
        <f>IF(V159&lt;&gt;"",V159-U159,0)</f>
        <v>13</v>
      </c>
      <c r="AY159" s="131">
        <f t="shared" ref="AY159:AY178" si="972">IF(W159&lt;&gt;"",W159-V159,0)</f>
        <v>7</v>
      </c>
      <c r="AZ159" s="131">
        <f t="shared" ref="AZ159:AZ178" si="973">IF(X159&lt;&gt;"",X159-W159,0)</f>
        <v>11</v>
      </c>
      <c r="BA159" s="21">
        <f>Y159</f>
        <v>29</v>
      </c>
      <c r="BB159" s="131">
        <f t="shared" ref="BB159:BB175" si="974">IF(Z159&lt;&gt;"",Z159-Y159,0)</f>
        <v>5</v>
      </c>
      <c r="BC159" s="131">
        <f t="shared" ref="BC159:BC175" si="975">IF(AA159&lt;&gt;"",AA159-Z159,0)</f>
        <v>2</v>
      </c>
      <c r="BD159" s="131">
        <f t="shared" ref="BD159:BD175" si="976">IF(AB159&lt;&gt;"",AB159-AA159,0)</f>
        <v>10</v>
      </c>
      <c r="BE159" s="131">
        <f t="shared" ref="BE159:BE175" si="977">IF(AC159&lt;&gt;"",AC159-AB159,0)</f>
        <v>7</v>
      </c>
      <c r="BF159" s="131">
        <f t="shared" ref="BF159:BF175" si="978">IF(AD159&lt;&gt;"",AD159-AC159,0)</f>
        <v>12</v>
      </c>
      <c r="BG159" s="131">
        <f t="shared" ref="BG159:BG175" si="979">IF(AE159&lt;&gt;"",AE159-AD159,0)</f>
        <v>4</v>
      </c>
      <c r="BH159" s="131">
        <f t="shared" ref="BH159:BH175" si="980">IF(AF159&lt;&gt;"",AF159-AE159,0)</f>
        <v>10</v>
      </c>
      <c r="BI159" s="131">
        <f t="shared" ref="BI159:BI175" si="981">IF(AG159&lt;&gt;"",AG159-AF159,0)</f>
        <v>14</v>
      </c>
      <c r="BJ159" s="131">
        <f>IF(AH159&lt;&gt;"",AH159-AG159,0)</f>
        <v>5</v>
      </c>
      <c r="BK159" s="131">
        <f t="shared" ref="BK159:BK175" si="982">IF(AI159&lt;&gt;"",AI159-AH159,0)</f>
        <v>7</v>
      </c>
      <c r="BL159" s="131">
        <f t="shared" ref="BL159:BL175" si="983">IF(AJ159&lt;&gt;"",AJ159-AI159,0)</f>
        <v>0</v>
      </c>
      <c r="BM159" s="408"/>
      <c r="BN159" s="48">
        <f>BP159</f>
        <v>25</v>
      </c>
      <c r="BO159" s="48">
        <f>BP159</f>
        <v>25</v>
      </c>
      <c r="BP159" s="48">
        <f>SUM(AL159:AN159)</f>
        <v>25</v>
      </c>
      <c r="BQ159" s="48">
        <f>BS159</f>
        <v>38</v>
      </c>
      <c r="BR159" s="48">
        <f>BS159</f>
        <v>38</v>
      </c>
      <c r="BS159" s="48">
        <f>SUM(AO159:AQ159)</f>
        <v>38</v>
      </c>
      <c r="BT159" s="48">
        <f>BV159</f>
        <v>34</v>
      </c>
      <c r="BU159" s="48">
        <f>BV159</f>
        <v>34</v>
      </c>
      <c r="BV159" s="48">
        <f>SUM(AR159:AT159)</f>
        <v>34</v>
      </c>
      <c r="BW159" s="48">
        <f>BY159</f>
        <v>24</v>
      </c>
      <c r="BX159" s="48">
        <f>BY159</f>
        <v>24</v>
      </c>
      <c r="BY159" s="48">
        <f>SUM(AU159:AW159)</f>
        <v>24</v>
      </c>
      <c r="BZ159" s="48">
        <f>CB159</f>
        <v>31</v>
      </c>
      <c r="CA159" s="48">
        <f>CB159</f>
        <v>31</v>
      </c>
      <c r="CB159" s="48">
        <f>SUM(AX159:AZ159)</f>
        <v>31</v>
      </c>
      <c r="CC159" s="48">
        <f>CE159</f>
        <v>36</v>
      </c>
      <c r="CD159" s="48">
        <f>CE159</f>
        <v>36</v>
      </c>
      <c r="CE159" s="48">
        <f>SUM(BA159:BC159)</f>
        <v>36</v>
      </c>
      <c r="CF159" s="48">
        <f>CH159</f>
        <v>29</v>
      </c>
      <c r="CG159" s="48">
        <f>CH159</f>
        <v>29</v>
      </c>
      <c r="CH159" s="48">
        <f>SUM(BD159:BF159)</f>
        <v>29</v>
      </c>
      <c r="CI159" s="48">
        <f>CK159</f>
        <v>28</v>
      </c>
      <c r="CJ159" s="48">
        <f>CK159</f>
        <v>28</v>
      </c>
      <c r="CK159" s="48">
        <f>SUM(BG159:BI159)</f>
        <v>28</v>
      </c>
      <c r="CL159" s="48">
        <f>CN159</f>
        <v>12</v>
      </c>
      <c r="CM159" s="48">
        <f>CN159</f>
        <v>12</v>
      </c>
      <c r="CN159" s="48">
        <f>SUM(BJ159:BL159)</f>
        <v>12</v>
      </c>
      <c r="CO159" s="406"/>
      <c r="CP159" s="21">
        <f t="shared" ref="CP159:CR163" si="984">I159+AL159</f>
        <v>100</v>
      </c>
      <c r="CQ159" s="21">
        <f t="shared" si="984"/>
        <v>111</v>
      </c>
      <c r="CR159" s="21">
        <f t="shared" si="984"/>
        <v>120</v>
      </c>
      <c r="CS159" s="21">
        <f>AO159</f>
        <v>11</v>
      </c>
      <c r="CT159" s="21">
        <f t="shared" ref="CT159:DD163" si="985">M159+AP159</f>
        <v>26</v>
      </c>
      <c r="CU159" s="21">
        <f t="shared" si="985"/>
        <v>38</v>
      </c>
      <c r="CV159" s="21">
        <f t="shared" si="985"/>
        <v>43</v>
      </c>
      <c r="CW159" s="21">
        <f t="shared" si="985"/>
        <v>61</v>
      </c>
      <c r="CX159" s="21">
        <f t="shared" si="985"/>
        <v>72</v>
      </c>
      <c r="CY159" s="21">
        <f t="shared" si="985"/>
        <v>84</v>
      </c>
      <c r="CZ159" s="21">
        <f t="shared" si="985"/>
        <v>87</v>
      </c>
      <c r="DA159" s="21">
        <f t="shared" si="985"/>
        <v>96</v>
      </c>
      <c r="DB159" s="21">
        <f t="shared" si="985"/>
        <v>109</v>
      </c>
      <c r="DC159" s="21">
        <f t="shared" si="985"/>
        <v>116</v>
      </c>
      <c r="DD159" s="21">
        <f t="shared" si="985"/>
        <v>127</v>
      </c>
      <c r="DE159" s="21">
        <f>+BA159</f>
        <v>29</v>
      </c>
      <c r="DF159" s="21">
        <f t="shared" ref="DF159:DP163" si="986">Y159+BB159</f>
        <v>34</v>
      </c>
      <c r="DG159" s="21">
        <f t="shared" si="986"/>
        <v>36</v>
      </c>
      <c r="DH159" s="21">
        <f t="shared" si="986"/>
        <v>46</v>
      </c>
      <c r="DI159" s="21">
        <f t="shared" si="986"/>
        <v>53</v>
      </c>
      <c r="DJ159" s="21">
        <f t="shared" si="986"/>
        <v>65</v>
      </c>
      <c r="DK159" s="21">
        <f t="shared" si="986"/>
        <v>69</v>
      </c>
      <c r="DL159" s="21">
        <f t="shared" si="986"/>
        <v>79</v>
      </c>
      <c r="DM159" s="21">
        <f t="shared" si="986"/>
        <v>93</v>
      </c>
      <c r="DN159" s="21">
        <f t="shared" si="986"/>
        <v>98</v>
      </c>
      <c r="DO159" s="21">
        <f t="shared" si="986"/>
        <v>105</v>
      </c>
      <c r="DP159" s="21">
        <f t="shared" si="986"/>
        <v>105</v>
      </c>
      <c r="DQ159" s="248"/>
      <c r="DR159" s="248"/>
      <c r="DS159" s="248"/>
      <c r="DT159" s="248"/>
      <c r="DU159" s="248"/>
      <c r="DV159" s="248"/>
      <c r="DW159" s="248"/>
      <c r="DX159" s="248"/>
      <c r="DY159" s="248"/>
      <c r="ED159" s="429"/>
      <c r="EE159" s="23"/>
      <c r="EF159" s="23"/>
      <c r="EG159" s="23"/>
      <c r="EH159" s="18">
        <f t="shared" ref="EH159:EH176" si="987">HLOOKUP($I$1,Month,ROW()-1)</f>
        <v>7</v>
      </c>
      <c r="EI159" s="18">
        <f t="shared" ref="EI159:EI176" si="988">HLOOKUP($I$1,Qtr,ROW()-1)</f>
        <v>12</v>
      </c>
      <c r="EJ159" s="18">
        <f t="shared" ref="EJ159:EJ181" si="989">HLOOKUP($I$1,YTD,ROW()-1)</f>
        <v>105</v>
      </c>
      <c r="EK159" s="24">
        <f>$EK$1/12</f>
        <v>0.91666666666666663</v>
      </c>
      <c r="EL159" s="14">
        <f t="shared" ref="EL159:EM165" si="990">EH159/EE136</f>
        <v>0.66666666666666663</v>
      </c>
      <c r="EM159" s="14">
        <f t="shared" si="990"/>
        <v>0.38095238095238093</v>
      </c>
      <c r="EN159" s="14">
        <f>EJ159/EG136</f>
        <v>0.83333333333333337</v>
      </c>
      <c r="EO159" s="46" t="str">
        <f>IF(EH159&lt;0,,IF(EH159&gt;EE136,"È",IF(EH159=EE136,"Æ","Ç")))</f>
        <v>Ç</v>
      </c>
      <c r="EP159" s="46" t="str">
        <f>IF(EI159&lt;0,,IF(EI159&gt;EF136,"È",IF(EI159=EF136,"Æ","Ç")))</f>
        <v>Ç</v>
      </c>
      <c r="EQ159" s="2">
        <f t="shared" ref="EQ159:EQ174" si="991">IF(EL159&gt;=0.9,1,IF(EL159&lt;0.75,3,2))</f>
        <v>3</v>
      </c>
      <c r="ER159" s="2">
        <f t="shared" ref="ER159:ER174" si="992">IF(EM159&gt;=0.9,1,IF(EM159&lt;0.75,3,2))</f>
        <v>3</v>
      </c>
      <c r="ES159" s="2">
        <f t="shared" ref="ES159:ES174" si="993">IF(EN159&gt;=0.9,1,IF(EN159&lt;0.75,3,2))</f>
        <v>2</v>
      </c>
    </row>
    <row r="160" spans="1:149" ht="12.75" customHeight="1">
      <c r="A160" s="6" t="s">
        <v>22</v>
      </c>
      <c r="B160" s="2" t="s">
        <v>1</v>
      </c>
      <c r="C160" s="3" t="s">
        <v>55</v>
      </c>
      <c r="E160" s="3" t="s">
        <v>16</v>
      </c>
      <c r="G160" s="1" t="s">
        <v>91</v>
      </c>
      <c r="I160" s="18">
        <v>20</v>
      </c>
      <c r="J160" s="19">
        <v>21</v>
      </c>
      <c r="K160" s="19">
        <v>22</v>
      </c>
      <c r="L160" s="19">
        <v>24</v>
      </c>
      <c r="M160" s="20">
        <v>5</v>
      </c>
      <c r="N160" s="19">
        <v>5</v>
      </c>
      <c r="O160" s="19">
        <v>9</v>
      </c>
      <c r="P160" s="19">
        <v>11</v>
      </c>
      <c r="Q160" s="19">
        <v>14</v>
      </c>
      <c r="R160" s="19">
        <v>17</v>
      </c>
      <c r="S160" s="19">
        <v>18</v>
      </c>
      <c r="T160" s="19">
        <v>20</v>
      </c>
      <c r="U160" s="19">
        <v>21</v>
      </c>
      <c r="V160" s="26">
        <v>21</v>
      </c>
      <c r="W160" s="19">
        <v>21</v>
      </c>
      <c r="X160" s="19">
        <v>24</v>
      </c>
      <c r="Y160" s="339">
        <v>10</v>
      </c>
      <c r="Z160" s="19">
        <v>14</v>
      </c>
      <c r="AA160" s="19">
        <v>14</v>
      </c>
      <c r="AB160" s="19">
        <v>16</v>
      </c>
      <c r="AC160" s="19">
        <v>17</v>
      </c>
      <c r="AD160" s="19">
        <v>23</v>
      </c>
      <c r="AE160" s="19">
        <v>23</v>
      </c>
      <c r="AF160" s="19">
        <v>25</v>
      </c>
      <c r="AG160" s="19">
        <v>30</v>
      </c>
      <c r="AH160" s="19">
        <v>33</v>
      </c>
      <c r="AI160" s="19">
        <v>37</v>
      </c>
      <c r="AJ160" s="19"/>
      <c r="AK160" s="408"/>
      <c r="AL160" s="21">
        <f t="shared" si="962"/>
        <v>1</v>
      </c>
      <c r="AM160" s="21">
        <f t="shared" si="962"/>
        <v>1</v>
      </c>
      <c r="AN160" s="21">
        <f t="shared" si="963"/>
        <v>2</v>
      </c>
      <c r="AO160" s="21">
        <f>M160</f>
        <v>5</v>
      </c>
      <c r="AP160" s="129">
        <f t="shared" si="964"/>
        <v>0</v>
      </c>
      <c r="AQ160" s="129">
        <f t="shared" si="965"/>
        <v>4</v>
      </c>
      <c r="AR160" s="129">
        <f t="shared" si="966"/>
        <v>2</v>
      </c>
      <c r="AS160" s="129">
        <f t="shared" si="967"/>
        <v>3</v>
      </c>
      <c r="AT160" s="129">
        <f t="shared" si="968"/>
        <v>3</v>
      </c>
      <c r="AU160" s="129">
        <f t="shared" si="969"/>
        <v>1</v>
      </c>
      <c r="AV160" s="129">
        <f t="shared" si="970"/>
        <v>2</v>
      </c>
      <c r="AW160" s="129">
        <f t="shared" si="971"/>
        <v>1</v>
      </c>
      <c r="AX160" s="129">
        <f>IF(V160&lt;&gt;"",V160-U160,0)</f>
        <v>0</v>
      </c>
      <c r="AY160" s="129">
        <f t="shared" si="972"/>
        <v>0</v>
      </c>
      <c r="AZ160" s="129">
        <f t="shared" si="973"/>
        <v>3</v>
      </c>
      <c r="BA160" s="21">
        <f>Y160</f>
        <v>10</v>
      </c>
      <c r="BB160" s="129">
        <f t="shared" si="974"/>
        <v>4</v>
      </c>
      <c r="BC160" s="129">
        <f t="shared" si="975"/>
        <v>0</v>
      </c>
      <c r="BD160" s="129">
        <f t="shared" si="976"/>
        <v>2</v>
      </c>
      <c r="BE160" s="129">
        <f t="shared" si="977"/>
        <v>1</v>
      </c>
      <c r="BF160" s="129">
        <f t="shared" si="978"/>
        <v>6</v>
      </c>
      <c r="BG160" s="129">
        <f t="shared" si="979"/>
        <v>0</v>
      </c>
      <c r="BH160" s="129">
        <f t="shared" si="980"/>
        <v>2</v>
      </c>
      <c r="BI160" s="129">
        <f t="shared" si="981"/>
        <v>5</v>
      </c>
      <c r="BJ160" s="129">
        <f>IF(AH160&lt;&gt;"",AH160-AG160,0)</f>
        <v>3</v>
      </c>
      <c r="BK160" s="129">
        <f t="shared" si="982"/>
        <v>4</v>
      </c>
      <c r="BL160" s="129">
        <f t="shared" si="983"/>
        <v>0</v>
      </c>
      <c r="BM160" s="408"/>
      <c r="BN160" s="48">
        <f t="shared" ref="BN160:BN176" si="994">BP160</f>
        <v>4</v>
      </c>
      <c r="BO160" s="48">
        <f t="shared" ref="BO160:BO176" si="995">BP160</f>
        <v>4</v>
      </c>
      <c r="BP160" s="48">
        <f t="shared" ref="BP160:BP165" si="996">SUM(AL160:AN160)</f>
        <v>4</v>
      </c>
      <c r="BQ160" s="48">
        <f t="shared" ref="BQ160:BQ176" si="997">BS160</f>
        <v>9</v>
      </c>
      <c r="BR160" s="48">
        <f t="shared" ref="BR160:BR176" si="998">BS160</f>
        <v>9</v>
      </c>
      <c r="BS160" s="48">
        <f t="shared" ref="BS160:BS165" si="999">SUM(AO160:AQ160)</f>
        <v>9</v>
      </c>
      <c r="BT160" s="48">
        <f t="shared" ref="BT160:BT176" si="1000">BV160</f>
        <v>8</v>
      </c>
      <c r="BU160" s="48">
        <f t="shared" ref="BU160:BU176" si="1001">BV160</f>
        <v>8</v>
      </c>
      <c r="BV160" s="48">
        <f t="shared" ref="BV160:BV165" si="1002">SUM(AR160:AT160)</f>
        <v>8</v>
      </c>
      <c r="BW160" s="48">
        <f t="shared" ref="BW160:BW176" si="1003">BY160</f>
        <v>4</v>
      </c>
      <c r="BX160" s="48">
        <f t="shared" ref="BX160:BX176" si="1004">BY160</f>
        <v>4</v>
      </c>
      <c r="BY160" s="48">
        <f t="shared" ref="BY160:BY165" si="1005">SUM(AU160:AW160)</f>
        <v>4</v>
      </c>
      <c r="BZ160" s="48">
        <f t="shared" ref="BZ160:BZ176" si="1006">CB160</f>
        <v>3</v>
      </c>
      <c r="CA160" s="48">
        <f t="shared" ref="CA160:CA176" si="1007">CB160</f>
        <v>3</v>
      </c>
      <c r="CB160" s="48">
        <f t="shared" ref="CB160:CB165" si="1008">SUM(AX160:AZ160)</f>
        <v>3</v>
      </c>
      <c r="CC160" s="48">
        <f t="shared" ref="CC160:CC176" si="1009">CE160</f>
        <v>14</v>
      </c>
      <c r="CD160" s="48">
        <f t="shared" ref="CD160:CD176" si="1010">CE160</f>
        <v>14</v>
      </c>
      <c r="CE160" s="48">
        <f t="shared" ref="CE160:CE165" si="1011">SUM(BA160:BC160)</f>
        <v>14</v>
      </c>
      <c r="CF160" s="48">
        <f t="shared" ref="CF160:CF176" si="1012">CH160</f>
        <v>9</v>
      </c>
      <c r="CG160" s="48">
        <f t="shared" ref="CG160:CG176" si="1013">CH160</f>
        <v>9</v>
      </c>
      <c r="CH160" s="48">
        <f t="shared" ref="CH160:CH165" si="1014">SUM(BD160:BF160)</f>
        <v>9</v>
      </c>
      <c r="CI160" s="48">
        <f t="shared" ref="CI160:CI176" si="1015">CK160</f>
        <v>7</v>
      </c>
      <c r="CJ160" s="48">
        <f t="shared" ref="CJ160:CJ176" si="1016">CK160</f>
        <v>7</v>
      </c>
      <c r="CK160" s="48">
        <f t="shared" ref="CK160:CK165" si="1017">SUM(BG160:BI160)</f>
        <v>7</v>
      </c>
      <c r="CL160" s="48">
        <f t="shared" ref="CL160:CL176" si="1018">CN160</f>
        <v>7</v>
      </c>
      <c r="CM160" s="48">
        <f t="shared" ref="CM160:CM176" si="1019">CN160</f>
        <v>7</v>
      </c>
      <c r="CN160" s="48">
        <f t="shared" ref="CN160:CN165" si="1020">SUM(BJ160:BL160)</f>
        <v>7</v>
      </c>
      <c r="CO160" s="406"/>
      <c r="CP160" s="21">
        <f t="shared" si="984"/>
        <v>21</v>
      </c>
      <c r="CQ160" s="21">
        <f t="shared" si="984"/>
        <v>22</v>
      </c>
      <c r="CR160" s="21">
        <f t="shared" si="984"/>
        <v>24</v>
      </c>
      <c r="CS160" s="21">
        <f>AO160</f>
        <v>5</v>
      </c>
      <c r="CT160" s="21">
        <f t="shared" si="985"/>
        <v>5</v>
      </c>
      <c r="CU160" s="21">
        <f t="shared" si="985"/>
        <v>9</v>
      </c>
      <c r="CV160" s="21">
        <f t="shared" si="985"/>
        <v>11</v>
      </c>
      <c r="CW160" s="21">
        <f t="shared" si="985"/>
        <v>14</v>
      </c>
      <c r="CX160" s="21">
        <f t="shared" si="985"/>
        <v>17</v>
      </c>
      <c r="CY160" s="21">
        <f t="shared" si="985"/>
        <v>18</v>
      </c>
      <c r="CZ160" s="21">
        <f t="shared" si="985"/>
        <v>20</v>
      </c>
      <c r="DA160" s="21">
        <f t="shared" si="985"/>
        <v>21</v>
      </c>
      <c r="DB160" s="21">
        <f t="shared" si="985"/>
        <v>21</v>
      </c>
      <c r="DC160" s="21">
        <f t="shared" si="985"/>
        <v>21</v>
      </c>
      <c r="DD160" s="21">
        <f t="shared" si="985"/>
        <v>24</v>
      </c>
      <c r="DE160" s="21">
        <f>+BA160</f>
        <v>10</v>
      </c>
      <c r="DF160" s="21">
        <f t="shared" si="986"/>
        <v>14</v>
      </c>
      <c r="DG160" s="21">
        <f t="shared" si="986"/>
        <v>14</v>
      </c>
      <c r="DH160" s="21">
        <f t="shared" si="986"/>
        <v>16</v>
      </c>
      <c r="DI160" s="21">
        <f t="shared" si="986"/>
        <v>17</v>
      </c>
      <c r="DJ160" s="21">
        <f t="shared" si="986"/>
        <v>23</v>
      </c>
      <c r="DK160" s="21">
        <f t="shared" si="986"/>
        <v>23</v>
      </c>
      <c r="DL160" s="21">
        <f t="shared" si="986"/>
        <v>25</v>
      </c>
      <c r="DM160" s="21">
        <f t="shared" si="986"/>
        <v>30</v>
      </c>
      <c r="DN160" s="21">
        <f t="shared" si="986"/>
        <v>33</v>
      </c>
      <c r="DO160" s="21">
        <f t="shared" si="986"/>
        <v>37</v>
      </c>
      <c r="DP160" s="21">
        <f t="shared" si="986"/>
        <v>37</v>
      </c>
      <c r="DQ160" s="248"/>
      <c r="DR160" s="248"/>
      <c r="DS160" s="248"/>
      <c r="DT160" s="248"/>
      <c r="DU160" s="248"/>
      <c r="DV160" s="248"/>
      <c r="DW160" s="248"/>
      <c r="DX160" s="248"/>
      <c r="DY160" s="248"/>
      <c r="ED160" s="429"/>
      <c r="EE160" s="23"/>
      <c r="EF160" s="23"/>
      <c r="EG160" s="23"/>
      <c r="EH160" s="18">
        <f t="shared" si="987"/>
        <v>4</v>
      </c>
      <c r="EI160" s="18">
        <f t="shared" si="988"/>
        <v>7</v>
      </c>
      <c r="EJ160" s="18">
        <f t="shared" si="989"/>
        <v>37</v>
      </c>
      <c r="EK160" s="24">
        <f>$EK$1/12</f>
        <v>0.91666666666666663</v>
      </c>
      <c r="EL160" s="14">
        <f t="shared" si="990"/>
        <v>1.9200307204915268</v>
      </c>
      <c r="EM160" s="14">
        <f t="shared" si="990"/>
        <v>1.120017920286724</v>
      </c>
      <c r="EN160" s="14">
        <f>EJ160/EG137</f>
        <v>1.4800236803788858</v>
      </c>
      <c r="EO160" s="46" t="str">
        <f>IF(EH160&lt;0,,IF(EH160&lt;EE137,"È",IF(EH160=EE137,"Æ","Ç")))</f>
        <v>Ç</v>
      </c>
      <c r="EP160" s="46" t="str">
        <f>IF(EI160&lt;0,,IF(EI160&gt;EF137,"È",IF(EI160=EF137,"Æ","Ç")))</f>
        <v>È</v>
      </c>
      <c r="EQ160" s="2">
        <f t="shared" si="991"/>
        <v>1</v>
      </c>
      <c r="ER160" s="2">
        <f t="shared" si="992"/>
        <v>1</v>
      </c>
      <c r="ES160" s="2">
        <f t="shared" si="993"/>
        <v>1</v>
      </c>
    </row>
    <row r="161" spans="1:150" ht="12.75" customHeight="1">
      <c r="A161" s="6" t="s">
        <v>22</v>
      </c>
      <c r="B161" s="2" t="s">
        <v>2</v>
      </c>
      <c r="C161" s="3" t="s">
        <v>56</v>
      </c>
      <c r="E161" s="3" t="s">
        <v>16</v>
      </c>
      <c r="G161" s="1" t="s">
        <v>91</v>
      </c>
      <c r="I161" s="18">
        <v>17</v>
      </c>
      <c r="J161" s="19">
        <v>18</v>
      </c>
      <c r="K161" s="19">
        <v>20</v>
      </c>
      <c r="L161" s="19">
        <v>21</v>
      </c>
      <c r="M161" s="20">
        <v>1</v>
      </c>
      <c r="N161" s="19">
        <v>2</v>
      </c>
      <c r="O161" s="19">
        <v>6</v>
      </c>
      <c r="P161" s="19">
        <v>8</v>
      </c>
      <c r="Q161" s="19">
        <v>12</v>
      </c>
      <c r="R161" s="19">
        <v>13</v>
      </c>
      <c r="S161" s="19">
        <v>13</v>
      </c>
      <c r="T161" s="19">
        <v>17</v>
      </c>
      <c r="U161" s="19">
        <v>19</v>
      </c>
      <c r="V161" s="26">
        <v>20</v>
      </c>
      <c r="W161" s="19">
        <v>21</v>
      </c>
      <c r="X161" s="19">
        <v>24</v>
      </c>
      <c r="Y161" s="339">
        <v>4</v>
      </c>
      <c r="Z161" s="19">
        <v>10</v>
      </c>
      <c r="AA161" s="19">
        <v>10</v>
      </c>
      <c r="AB161" s="19">
        <v>10</v>
      </c>
      <c r="AC161" s="19">
        <v>10</v>
      </c>
      <c r="AD161" s="19">
        <v>14</v>
      </c>
      <c r="AE161" s="19">
        <v>14</v>
      </c>
      <c r="AF161" s="19">
        <v>14</v>
      </c>
      <c r="AG161" s="19">
        <v>23</v>
      </c>
      <c r="AH161" s="19">
        <v>27</v>
      </c>
      <c r="AI161" s="19">
        <v>30</v>
      </c>
      <c r="AJ161" s="19"/>
      <c r="AK161" s="408"/>
      <c r="AL161" s="21">
        <f t="shared" si="962"/>
        <v>1</v>
      </c>
      <c r="AM161" s="21">
        <f t="shared" si="962"/>
        <v>2</v>
      </c>
      <c r="AN161" s="21">
        <f t="shared" si="963"/>
        <v>1</v>
      </c>
      <c r="AO161" s="21">
        <f>M161</f>
        <v>1</v>
      </c>
      <c r="AP161" s="129">
        <f t="shared" si="964"/>
        <v>1</v>
      </c>
      <c r="AQ161" s="129">
        <f t="shared" si="965"/>
        <v>4</v>
      </c>
      <c r="AR161" s="129">
        <f t="shared" si="966"/>
        <v>2</v>
      </c>
      <c r="AS161" s="129">
        <f t="shared" si="967"/>
        <v>4</v>
      </c>
      <c r="AT161" s="129">
        <f t="shared" si="968"/>
        <v>1</v>
      </c>
      <c r="AU161" s="129">
        <f t="shared" si="969"/>
        <v>0</v>
      </c>
      <c r="AV161" s="129">
        <f t="shared" si="970"/>
        <v>4</v>
      </c>
      <c r="AW161" s="129">
        <f t="shared" si="971"/>
        <v>2</v>
      </c>
      <c r="AX161" s="129">
        <f>IF(V161&lt;&gt;"",V161-U161,0)</f>
        <v>1</v>
      </c>
      <c r="AY161" s="129">
        <f t="shared" si="972"/>
        <v>1</v>
      </c>
      <c r="AZ161" s="129">
        <f t="shared" si="973"/>
        <v>3</v>
      </c>
      <c r="BA161" s="21">
        <f>Y161</f>
        <v>4</v>
      </c>
      <c r="BB161" s="129">
        <f t="shared" si="974"/>
        <v>6</v>
      </c>
      <c r="BC161" s="129">
        <f t="shared" si="975"/>
        <v>0</v>
      </c>
      <c r="BD161" s="129">
        <f t="shared" si="976"/>
        <v>0</v>
      </c>
      <c r="BE161" s="129">
        <f t="shared" si="977"/>
        <v>0</v>
      </c>
      <c r="BF161" s="129">
        <f t="shared" si="978"/>
        <v>4</v>
      </c>
      <c r="BG161" s="129">
        <f t="shared" si="979"/>
        <v>0</v>
      </c>
      <c r="BH161" s="129">
        <f t="shared" si="980"/>
        <v>0</v>
      </c>
      <c r="BI161" s="129">
        <f t="shared" si="981"/>
        <v>9</v>
      </c>
      <c r="BJ161" s="129">
        <f>IF(AH161&lt;&gt;"",AH161-AG161,0)</f>
        <v>4</v>
      </c>
      <c r="BK161" s="129">
        <f t="shared" si="982"/>
        <v>3</v>
      </c>
      <c r="BL161" s="129">
        <f t="shared" si="983"/>
        <v>0</v>
      </c>
      <c r="BM161" s="408"/>
      <c r="BN161" s="48">
        <f t="shared" si="994"/>
        <v>4</v>
      </c>
      <c r="BO161" s="48">
        <f t="shared" si="995"/>
        <v>4</v>
      </c>
      <c r="BP161" s="48">
        <f t="shared" si="996"/>
        <v>4</v>
      </c>
      <c r="BQ161" s="48">
        <f t="shared" si="997"/>
        <v>6</v>
      </c>
      <c r="BR161" s="48">
        <f t="shared" si="998"/>
        <v>6</v>
      </c>
      <c r="BS161" s="48">
        <f t="shared" si="999"/>
        <v>6</v>
      </c>
      <c r="BT161" s="48">
        <f t="shared" si="1000"/>
        <v>7</v>
      </c>
      <c r="BU161" s="48">
        <f t="shared" si="1001"/>
        <v>7</v>
      </c>
      <c r="BV161" s="48">
        <f t="shared" si="1002"/>
        <v>7</v>
      </c>
      <c r="BW161" s="48">
        <f t="shared" si="1003"/>
        <v>6</v>
      </c>
      <c r="BX161" s="48">
        <f t="shared" si="1004"/>
        <v>6</v>
      </c>
      <c r="BY161" s="48">
        <f t="shared" si="1005"/>
        <v>6</v>
      </c>
      <c r="BZ161" s="48">
        <f t="shared" si="1006"/>
        <v>5</v>
      </c>
      <c r="CA161" s="48">
        <f t="shared" si="1007"/>
        <v>5</v>
      </c>
      <c r="CB161" s="48">
        <f t="shared" si="1008"/>
        <v>5</v>
      </c>
      <c r="CC161" s="48">
        <f t="shared" si="1009"/>
        <v>10</v>
      </c>
      <c r="CD161" s="48">
        <f t="shared" si="1010"/>
        <v>10</v>
      </c>
      <c r="CE161" s="48">
        <f t="shared" si="1011"/>
        <v>10</v>
      </c>
      <c r="CF161" s="48">
        <f t="shared" si="1012"/>
        <v>4</v>
      </c>
      <c r="CG161" s="48">
        <f t="shared" si="1013"/>
        <v>4</v>
      </c>
      <c r="CH161" s="48">
        <f t="shared" si="1014"/>
        <v>4</v>
      </c>
      <c r="CI161" s="48">
        <f t="shared" si="1015"/>
        <v>9</v>
      </c>
      <c r="CJ161" s="48">
        <f t="shared" si="1016"/>
        <v>9</v>
      </c>
      <c r="CK161" s="48">
        <f t="shared" si="1017"/>
        <v>9</v>
      </c>
      <c r="CL161" s="48">
        <f t="shared" si="1018"/>
        <v>7</v>
      </c>
      <c r="CM161" s="48">
        <f t="shared" si="1019"/>
        <v>7</v>
      </c>
      <c r="CN161" s="48">
        <f t="shared" si="1020"/>
        <v>7</v>
      </c>
      <c r="CO161" s="406"/>
      <c r="CP161" s="21">
        <f t="shared" si="984"/>
        <v>18</v>
      </c>
      <c r="CQ161" s="21">
        <f t="shared" si="984"/>
        <v>20</v>
      </c>
      <c r="CR161" s="21">
        <f t="shared" si="984"/>
        <v>21</v>
      </c>
      <c r="CS161" s="21">
        <f>AO161</f>
        <v>1</v>
      </c>
      <c r="CT161" s="21">
        <f t="shared" si="985"/>
        <v>2</v>
      </c>
      <c r="CU161" s="21">
        <f t="shared" si="985"/>
        <v>6</v>
      </c>
      <c r="CV161" s="21">
        <f t="shared" si="985"/>
        <v>8</v>
      </c>
      <c r="CW161" s="21">
        <f t="shared" si="985"/>
        <v>12</v>
      </c>
      <c r="CX161" s="21">
        <f t="shared" si="985"/>
        <v>13</v>
      </c>
      <c r="CY161" s="21">
        <f t="shared" si="985"/>
        <v>13</v>
      </c>
      <c r="CZ161" s="21">
        <f t="shared" si="985"/>
        <v>17</v>
      </c>
      <c r="DA161" s="21">
        <f t="shared" si="985"/>
        <v>19</v>
      </c>
      <c r="DB161" s="21">
        <f t="shared" si="985"/>
        <v>20</v>
      </c>
      <c r="DC161" s="21">
        <f t="shared" si="985"/>
        <v>21</v>
      </c>
      <c r="DD161" s="21">
        <f t="shared" si="985"/>
        <v>24</v>
      </c>
      <c r="DE161" s="21">
        <f>+BA161</f>
        <v>4</v>
      </c>
      <c r="DF161" s="21">
        <f t="shared" si="986"/>
        <v>10</v>
      </c>
      <c r="DG161" s="21">
        <f t="shared" si="986"/>
        <v>10</v>
      </c>
      <c r="DH161" s="21">
        <f t="shared" si="986"/>
        <v>10</v>
      </c>
      <c r="DI161" s="21">
        <f t="shared" si="986"/>
        <v>10</v>
      </c>
      <c r="DJ161" s="21">
        <f t="shared" si="986"/>
        <v>14</v>
      </c>
      <c r="DK161" s="21">
        <f t="shared" si="986"/>
        <v>14</v>
      </c>
      <c r="DL161" s="21">
        <f t="shared" si="986"/>
        <v>14</v>
      </c>
      <c r="DM161" s="21">
        <f t="shared" si="986"/>
        <v>23</v>
      </c>
      <c r="DN161" s="21">
        <f t="shared" si="986"/>
        <v>27</v>
      </c>
      <c r="DO161" s="21">
        <f t="shared" si="986"/>
        <v>30</v>
      </c>
      <c r="DP161" s="21">
        <f t="shared" si="986"/>
        <v>30</v>
      </c>
      <c r="DQ161" s="248"/>
      <c r="DR161" s="248"/>
      <c r="DS161" s="248"/>
      <c r="DT161" s="248"/>
      <c r="DU161" s="248"/>
      <c r="DV161" s="248"/>
      <c r="DW161" s="248"/>
      <c r="DX161" s="248"/>
      <c r="DY161" s="248"/>
      <c r="ED161" s="429"/>
      <c r="EE161" s="23"/>
      <c r="EF161" s="23"/>
      <c r="EG161" s="23"/>
      <c r="EH161" s="18">
        <f t="shared" si="987"/>
        <v>3</v>
      </c>
      <c r="EI161" s="18">
        <f t="shared" si="988"/>
        <v>7</v>
      </c>
      <c r="EJ161" s="18">
        <f t="shared" si="989"/>
        <v>30</v>
      </c>
      <c r="EK161" s="24">
        <f>$EK$1/12</f>
        <v>0.91666666666666663</v>
      </c>
      <c r="EL161" s="14">
        <f t="shared" si="990"/>
        <v>1.5</v>
      </c>
      <c r="EM161" s="14">
        <f t="shared" si="990"/>
        <v>1.1666666666666667</v>
      </c>
      <c r="EN161" s="14">
        <f>EJ161/EG138</f>
        <v>1.25</v>
      </c>
      <c r="EO161" s="46" t="str">
        <f t="shared" ref="EO161:EP165" si="1021">IF(EH161&lt;0,,IF(EH161&lt;EE138,"È",IF(EH161=EE138,"Æ","Ç")))</f>
        <v>Ç</v>
      </c>
      <c r="EP161" s="46" t="str">
        <f t="shared" si="1021"/>
        <v>Ç</v>
      </c>
      <c r="EQ161" s="2">
        <f t="shared" si="991"/>
        <v>1</v>
      </c>
      <c r="ER161" s="2">
        <f t="shared" si="992"/>
        <v>1</v>
      </c>
      <c r="ES161" s="2">
        <f t="shared" si="993"/>
        <v>1</v>
      </c>
    </row>
    <row r="162" spans="1:150" ht="12.75" customHeight="1">
      <c r="A162" s="6" t="s">
        <v>22</v>
      </c>
      <c r="B162" s="2" t="s">
        <v>3</v>
      </c>
      <c r="C162" s="3" t="s">
        <v>57</v>
      </c>
      <c r="E162" s="3" t="s">
        <v>16</v>
      </c>
      <c r="G162" s="1" t="s">
        <v>91</v>
      </c>
      <c r="I162" s="18">
        <v>9</v>
      </c>
      <c r="J162" s="21">
        <v>10</v>
      </c>
      <c r="K162" s="21">
        <v>11</v>
      </c>
      <c r="L162" s="21">
        <v>12</v>
      </c>
      <c r="M162" s="22">
        <v>1</v>
      </c>
      <c r="N162" s="21">
        <v>1</v>
      </c>
      <c r="O162" s="21">
        <v>1</v>
      </c>
      <c r="P162" s="21">
        <v>1</v>
      </c>
      <c r="Q162" s="21">
        <v>3</v>
      </c>
      <c r="R162" s="21">
        <v>3</v>
      </c>
      <c r="S162" s="21">
        <v>3</v>
      </c>
      <c r="T162" s="21">
        <v>3</v>
      </c>
      <c r="U162" s="21">
        <v>3</v>
      </c>
      <c r="V162" s="27">
        <v>7</v>
      </c>
      <c r="W162" s="21">
        <v>7</v>
      </c>
      <c r="X162" s="21">
        <v>13</v>
      </c>
      <c r="Y162" s="340">
        <v>1</v>
      </c>
      <c r="Z162" s="21">
        <v>2</v>
      </c>
      <c r="AA162" s="21">
        <v>2</v>
      </c>
      <c r="AB162" s="21">
        <v>2</v>
      </c>
      <c r="AC162" s="21">
        <v>3</v>
      </c>
      <c r="AD162" s="21">
        <v>5</v>
      </c>
      <c r="AE162" s="21">
        <v>6</v>
      </c>
      <c r="AF162" s="21">
        <v>8</v>
      </c>
      <c r="AG162" s="21">
        <v>9</v>
      </c>
      <c r="AH162" s="21">
        <v>9</v>
      </c>
      <c r="AI162" s="21">
        <v>9</v>
      </c>
      <c r="AJ162" s="21"/>
      <c r="AK162" s="408"/>
      <c r="AL162" s="21">
        <f t="shared" si="962"/>
        <v>1</v>
      </c>
      <c r="AM162" s="21">
        <f t="shared" si="962"/>
        <v>1</v>
      </c>
      <c r="AN162" s="21">
        <f t="shared" si="963"/>
        <v>1</v>
      </c>
      <c r="AO162" s="21">
        <f>M162</f>
        <v>1</v>
      </c>
      <c r="AP162" s="129">
        <f t="shared" si="964"/>
        <v>0</v>
      </c>
      <c r="AQ162" s="129">
        <f t="shared" si="965"/>
        <v>0</v>
      </c>
      <c r="AR162" s="129">
        <f t="shared" si="966"/>
        <v>0</v>
      </c>
      <c r="AS162" s="129">
        <f t="shared" si="967"/>
        <v>2</v>
      </c>
      <c r="AT162" s="129">
        <f t="shared" si="968"/>
        <v>0</v>
      </c>
      <c r="AU162" s="129">
        <f t="shared" si="969"/>
        <v>0</v>
      </c>
      <c r="AV162" s="129">
        <f t="shared" si="970"/>
        <v>0</v>
      </c>
      <c r="AW162" s="129">
        <f t="shared" si="971"/>
        <v>0</v>
      </c>
      <c r="AX162" s="129">
        <f>IF(V162&lt;&gt;"",V162-U162,0)</f>
        <v>4</v>
      </c>
      <c r="AY162" s="129">
        <f t="shared" si="972"/>
        <v>0</v>
      </c>
      <c r="AZ162" s="129">
        <f t="shared" si="973"/>
        <v>6</v>
      </c>
      <c r="BA162" s="21">
        <f>Y162</f>
        <v>1</v>
      </c>
      <c r="BB162" s="129">
        <f t="shared" si="974"/>
        <v>1</v>
      </c>
      <c r="BC162" s="129">
        <f t="shared" si="975"/>
        <v>0</v>
      </c>
      <c r="BD162" s="129">
        <f t="shared" si="976"/>
        <v>0</v>
      </c>
      <c r="BE162" s="129">
        <f t="shared" si="977"/>
        <v>1</v>
      </c>
      <c r="BF162" s="129">
        <f t="shared" si="978"/>
        <v>2</v>
      </c>
      <c r="BG162" s="129">
        <f t="shared" si="979"/>
        <v>1</v>
      </c>
      <c r="BH162" s="129">
        <f t="shared" si="980"/>
        <v>2</v>
      </c>
      <c r="BI162" s="129">
        <f t="shared" si="981"/>
        <v>1</v>
      </c>
      <c r="BJ162" s="129">
        <f>IF(AH162&lt;&gt;"",AH162-AG162,0)</f>
        <v>0</v>
      </c>
      <c r="BK162" s="129">
        <f t="shared" si="982"/>
        <v>0</v>
      </c>
      <c r="BL162" s="129">
        <f t="shared" si="983"/>
        <v>0</v>
      </c>
      <c r="BM162" s="408"/>
      <c r="BN162" s="48">
        <f t="shared" si="994"/>
        <v>3</v>
      </c>
      <c r="BO162" s="48">
        <f t="shared" si="995"/>
        <v>3</v>
      </c>
      <c r="BP162" s="48">
        <f t="shared" si="996"/>
        <v>3</v>
      </c>
      <c r="BQ162" s="48">
        <f t="shared" si="997"/>
        <v>1</v>
      </c>
      <c r="BR162" s="48">
        <f t="shared" si="998"/>
        <v>1</v>
      </c>
      <c r="BS162" s="48">
        <f t="shared" si="999"/>
        <v>1</v>
      </c>
      <c r="BT162" s="48">
        <f t="shared" si="1000"/>
        <v>2</v>
      </c>
      <c r="BU162" s="48">
        <f t="shared" si="1001"/>
        <v>2</v>
      </c>
      <c r="BV162" s="48">
        <f t="shared" si="1002"/>
        <v>2</v>
      </c>
      <c r="BW162" s="48">
        <f t="shared" si="1003"/>
        <v>0</v>
      </c>
      <c r="BX162" s="48">
        <f t="shared" si="1004"/>
        <v>0</v>
      </c>
      <c r="BY162" s="48">
        <f t="shared" si="1005"/>
        <v>0</v>
      </c>
      <c r="BZ162" s="48">
        <f t="shared" si="1006"/>
        <v>10</v>
      </c>
      <c r="CA162" s="48">
        <f t="shared" si="1007"/>
        <v>10</v>
      </c>
      <c r="CB162" s="48">
        <f t="shared" si="1008"/>
        <v>10</v>
      </c>
      <c r="CC162" s="48">
        <f t="shared" si="1009"/>
        <v>2</v>
      </c>
      <c r="CD162" s="48">
        <f t="shared" si="1010"/>
        <v>2</v>
      </c>
      <c r="CE162" s="48">
        <f t="shared" si="1011"/>
        <v>2</v>
      </c>
      <c r="CF162" s="48">
        <f t="shared" si="1012"/>
        <v>3</v>
      </c>
      <c r="CG162" s="48">
        <f t="shared" si="1013"/>
        <v>3</v>
      </c>
      <c r="CH162" s="48">
        <f t="shared" si="1014"/>
        <v>3</v>
      </c>
      <c r="CI162" s="48">
        <f t="shared" si="1015"/>
        <v>4</v>
      </c>
      <c r="CJ162" s="48">
        <f t="shared" si="1016"/>
        <v>4</v>
      </c>
      <c r="CK162" s="48">
        <f t="shared" si="1017"/>
        <v>4</v>
      </c>
      <c r="CL162" s="48">
        <f t="shared" si="1018"/>
        <v>0</v>
      </c>
      <c r="CM162" s="48">
        <f t="shared" si="1019"/>
        <v>0</v>
      </c>
      <c r="CN162" s="48">
        <f t="shared" si="1020"/>
        <v>0</v>
      </c>
      <c r="CO162" s="406"/>
      <c r="CP162" s="21">
        <f t="shared" si="984"/>
        <v>10</v>
      </c>
      <c r="CQ162" s="21">
        <f t="shared" si="984"/>
        <v>11</v>
      </c>
      <c r="CR162" s="21">
        <f t="shared" si="984"/>
        <v>12</v>
      </c>
      <c r="CS162" s="21">
        <f>AO162</f>
        <v>1</v>
      </c>
      <c r="CT162" s="21">
        <f t="shared" si="985"/>
        <v>1</v>
      </c>
      <c r="CU162" s="21">
        <f t="shared" si="985"/>
        <v>1</v>
      </c>
      <c r="CV162" s="21">
        <f t="shared" si="985"/>
        <v>1</v>
      </c>
      <c r="CW162" s="21">
        <f t="shared" si="985"/>
        <v>3</v>
      </c>
      <c r="CX162" s="21">
        <f t="shared" si="985"/>
        <v>3</v>
      </c>
      <c r="CY162" s="21">
        <f t="shared" si="985"/>
        <v>3</v>
      </c>
      <c r="CZ162" s="21">
        <f t="shared" si="985"/>
        <v>3</v>
      </c>
      <c r="DA162" s="21">
        <f t="shared" si="985"/>
        <v>3</v>
      </c>
      <c r="DB162" s="21">
        <f t="shared" si="985"/>
        <v>7</v>
      </c>
      <c r="DC162" s="21">
        <f t="shared" si="985"/>
        <v>7</v>
      </c>
      <c r="DD162" s="21">
        <f t="shared" si="985"/>
        <v>13</v>
      </c>
      <c r="DE162" s="21">
        <f>+BA162</f>
        <v>1</v>
      </c>
      <c r="DF162" s="21">
        <f t="shared" si="986"/>
        <v>2</v>
      </c>
      <c r="DG162" s="21">
        <f t="shared" si="986"/>
        <v>2</v>
      </c>
      <c r="DH162" s="21">
        <f t="shared" si="986"/>
        <v>2</v>
      </c>
      <c r="DI162" s="21">
        <f t="shared" si="986"/>
        <v>3</v>
      </c>
      <c r="DJ162" s="21">
        <f t="shared" si="986"/>
        <v>5</v>
      </c>
      <c r="DK162" s="21">
        <f t="shared" si="986"/>
        <v>6</v>
      </c>
      <c r="DL162" s="21">
        <f t="shared" si="986"/>
        <v>8</v>
      </c>
      <c r="DM162" s="21">
        <f t="shared" si="986"/>
        <v>9</v>
      </c>
      <c r="DN162" s="21">
        <f t="shared" si="986"/>
        <v>9</v>
      </c>
      <c r="DO162" s="21">
        <f t="shared" si="986"/>
        <v>9</v>
      </c>
      <c r="DP162" s="21">
        <f t="shared" si="986"/>
        <v>9</v>
      </c>
      <c r="DQ162" s="248"/>
      <c r="DR162" s="248"/>
      <c r="DS162" s="248"/>
      <c r="DT162" s="248"/>
      <c r="DU162" s="248"/>
      <c r="DV162" s="248"/>
      <c r="DW162" s="248"/>
      <c r="DX162" s="248"/>
      <c r="DY162" s="248"/>
      <c r="ED162" s="429"/>
      <c r="EE162" s="23"/>
      <c r="EF162" s="23"/>
      <c r="EG162" s="23"/>
      <c r="EH162" s="18">
        <f t="shared" si="987"/>
        <v>0</v>
      </c>
      <c r="EI162" s="18">
        <f t="shared" si="988"/>
        <v>0</v>
      </c>
      <c r="EJ162" s="18">
        <f t="shared" si="989"/>
        <v>9</v>
      </c>
      <c r="EK162" s="24">
        <f>$EK$1/12</f>
        <v>0.91666666666666663</v>
      </c>
      <c r="EL162" s="14">
        <f t="shared" si="990"/>
        <v>0</v>
      </c>
      <c r="EM162" s="14">
        <f t="shared" si="990"/>
        <v>0</v>
      </c>
      <c r="EN162" s="14">
        <f>EJ162/EG139</f>
        <v>1.1363636363636362</v>
      </c>
      <c r="EO162" s="46" t="str">
        <f t="shared" si="1021"/>
        <v>È</v>
      </c>
      <c r="EP162" s="46" t="str">
        <f>IF(EI162&lt;0,,IF(EI162&lt;EF139,"È",IF(EI162=EF139,"Æ","Ç")))</f>
        <v>È</v>
      </c>
      <c r="EQ162" s="2">
        <f t="shared" si="991"/>
        <v>3</v>
      </c>
      <c r="ER162" s="2">
        <f t="shared" si="992"/>
        <v>3</v>
      </c>
      <c r="ES162" s="2">
        <f t="shared" si="993"/>
        <v>1</v>
      </c>
    </row>
    <row r="163" spans="1:150" ht="12.75" customHeight="1" thickBot="1">
      <c r="A163" s="6" t="s">
        <v>22</v>
      </c>
      <c r="B163" s="2" t="s">
        <v>94</v>
      </c>
      <c r="C163" s="3" t="s">
        <v>58</v>
      </c>
      <c r="E163" s="3" t="s">
        <v>16</v>
      </c>
      <c r="G163" s="1" t="s">
        <v>91</v>
      </c>
      <c r="I163" s="116">
        <v>5.2782499999999999</v>
      </c>
      <c r="J163" s="116">
        <v>5.2982500000000003</v>
      </c>
      <c r="K163" s="116">
        <v>5.2982500000000003</v>
      </c>
      <c r="L163" s="116">
        <v>5.6232499999999996</v>
      </c>
      <c r="M163" s="117">
        <v>2.1950000000000001E-2</v>
      </c>
      <c r="N163" s="116">
        <v>2.1950000000000001E-2</v>
      </c>
      <c r="O163" s="116">
        <v>2.1950000000000001E-2</v>
      </c>
      <c r="P163" s="116">
        <v>0.80694999999999995</v>
      </c>
      <c r="Q163" s="116">
        <v>5.4069500000000001</v>
      </c>
      <c r="R163" s="116">
        <v>6.78695</v>
      </c>
      <c r="S163" s="116">
        <v>8.2870000000000008</v>
      </c>
      <c r="T163" s="116">
        <v>8.3469499999999996</v>
      </c>
      <c r="U163" s="116">
        <v>8.3569499999999994</v>
      </c>
      <c r="V163" s="123">
        <v>8.3569499999999994</v>
      </c>
      <c r="W163" s="116">
        <v>8.3589500000000001</v>
      </c>
      <c r="X163" s="116">
        <v>12.276949999999999</v>
      </c>
      <c r="Y163" s="386">
        <v>0</v>
      </c>
      <c r="Z163" s="116">
        <v>0</v>
      </c>
      <c r="AA163" s="116">
        <v>0</v>
      </c>
      <c r="AB163" s="116">
        <v>0</v>
      </c>
      <c r="AC163" s="116">
        <v>0</v>
      </c>
      <c r="AD163" s="116">
        <v>7.0000000000000001E-3</v>
      </c>
      <c r="AE163" s="116">
        <v>7.0000000000000001E-3</v>
      </c>
      <c r="AF163" s="116">
        <f>312000/1000000</f>
        <v>0.312</v>
      </c>
      <c r="AG163" s="116">
        <v>0.32650000000000001</v>
      </c>
      <c r="AH163" s="116">
        <v>0.33600000000000002</v>
      </c>
      <c r="AI163" s="116">
        <v>0.33550000000000002</v>
      </c>
      <c r="AJ163" s="116"/>
      <c r="AK163" s="416"/>
      <c r="AL163" s="116">
        <f t="shared" si="962"/>
        <v>2.0000000000000462E-2</v>
      </c>
      <c r="AM163" s="116">
        <f t="shared" si="962"/>
        <v>0</v>
      </c>
      <c r="AN163" s="116">
        <f t="shared" si="963"/>
        <v>0.32499999999999929</v>
      </c>
      <c r="AO163" s="116">
        <f>M163</f>
        <v>2.1950000000000001E-2</v>
      </c>
      <c r="AP163" s="129">
        <f t="shared" si="964"/>
        <v>0</v>
      </c>
      <c r="AQ163" s="129">
        <f t="shared" si="965"/>
        <v>0</v>
      </c>
      <c r="AR163" s="129">
        <f t="shared" si="966"/>
        <v>0.78499999999999992</v>
      </c>
      <c r="AS163" s="129">
        <f t="shared" si="967"/>
        <v>4.6000000000000005</v>
      </c>
      <c r="AT163" s="129">
        <f t="shared" si="968"/>
        <v>1.38</v>
      </c>
      <c r="AU163" s="129">
        <f t="shared" si="969"/>
        <v>1.5000500000000008</v>
      </c>
      <c r="AV163" s="129">
        <f t="shared" si="970"/>
        <v>5.9949999999998838E-2</v>
      </c>
      <c r="AW163" s="129">
        <f t="shared" si="971"/>
        <v>9.9999999999997868E-3</v>
      </c>
      <c r="AX163" s="129">
        <f>IF(V163&lt;&gt;"",V163-U163,0)</f>
        <v>0</v>
      </c>
      <c r="AY163" s="129">
        <f t="shared" si="972"/>
        <v>2.0000000000006679E-3</v>
      </c>
      <c r="AZ163" s="129">
        <f t="shared" si="973"/>
        <v>3.9179999999999993</v>
      </c>
      <c r="BA163" s="385">
        <f>Y163</f>
        <v>0</v>
      </c>
      <c r="BB163" s="129">
        <f t="shared" si="974"/>
        <v>0</v>
      </c>
      <c r="BC163" s="129">
        <f t="shared" si="975"/>
        <v>0</v>
      </c>
      <c r="BD163" s="129">
        <f t="shared" si="976"/>
        <v>0</v>
      </c>
      <c r="BE163" s="129">
        <f t="shared" si="977"/>
        <v>0</v>
      </c>
      <c r="BF163" s="129">
        <f t="shared" si="978"/>
        <v>7.0000000000000001E-3</v>
      </c>
      <c r="BG163" s="129">
        <f t="shared" si="979"/>
        <v>0</v>
      </c>
      <c r="BH163" s="129">
        <f t="shared" si="980"/>
        <v>0.30499999999999999</v>
      </c>
      <c r="BI163" s="129">
        <f t="shared" si="981"/>
        <v>1.4500000000000013E-2</v>
      </c>
      <c r="BJ163" s="129">
        <f>IF(AH163&lt;&gt;"",AH163-AG163,0)</f>
        <v>9.5000000000000084E-3</v>
      </c>
      <c r="BK163" s="129">
        <f t="shared" si="982"/>
        <v>-5.0000000000000044E-4</v>
      </c>
      <c r="BL163" s="129">
        <f t="shared" si="983"/>
        <v>0</v>
      </c>
      <c r="BM163" s="409"/>
      <c r="BN163" s="119">
        <f t="shared" si="994"/>
        <v>0.34499999999999975</v>
      </c>
      <c r="BO163" s="119">
        <f t="shared" si="995"/>
        <v>0.34499999999999975</v>
      </c>
      <c r="BP163" s="119">
        <f t="shared" si="996"/>
        <v>0.34499999999999975</v>
      </c>
      <c r="BQ163" s="119">
        <f t="shared" si="997"/>
        <v>2.1950000000000001E-2</v>
      </c>
      <c r="BR163" s="119">
        <f t="shared" si="998"/>
        <v>2.1950000000000001E-2</v>
      </c>
      <c r="BS163" s="119">
        <f t="shared" si="999"/>
        <v>2.1950000000000001E-2</v>
      </c>
      <c r="BT163" s="119">
        <f t="shared" si="1000"/>
        <v>6.7650000000000006</v>
      </c>
      <c r="BU163" s="119">
        <f t="shared" si="1001"/>
        <v>6.7650000000000006</v>
      </c>
      <c r="BV163" s="119">
        <f t="shared" si="1002"/>
        <v>6.7650000000000006</v>
      </c>
      <c r="BW163" s="119">
        <f t="shared" si="1003"/>
        <v>1.5699999999999994</v>
      </c>
      <c r="BX163" s="119">
        <f t="shared" si="1004"/>
        <v>1.5699999999999994</v>
      </c>
      <c r="BY163" s="119">
        <f t="shared" si="1005"/>
        <v>1.5699999999999994</v>
      </c>
      <c r="BZ163" s="119">
        <f t="shared" si="1006"/>
        <v>3.92</v>
      </c>
      <c r="CA163" s="119">
        <f t="shared" si="1007"/>
        <v>3.92</v>
      </c>
      <c r="CB163" s="119">
        <f t="shared" si="1008"/>
        <v>3.92</v>
      </c>
      <c r="CC163" s="119">
        <f t="shared" si="1009"/>
        <v>0</v>
      </c>
      <c r="CD163" s="119">
        <f t="shared" si="1010"/>
        <v>0</v>
      </c>
      <c r="CE163" s="119">
        <f t="shared" si="1011"/>
        <v>0</v>
      </c>
      <c r="CF163" s="119">
        <f t="shared" si="1012"/>
        <v>7.0000000000000001E-3</v>
      </c>
      <c r="CG163" s="119">
        <f t="shared" si="1013"/>
        <v>7.0000000000000001E-3</v>
      </c>
      <c r="CH163" s="119">
        <f t="shared" si="1014"/>
        <v>7.0000000000000001E-3</v>
      </c>
      <c r="CI163" s="119">
        <f t="shared" si="1015"/>
        <v>0.31950000000000001</v>
      </c>
      <c r="CJ163" s="119">
        <f t="shared" si="1016"/>
        <v>0.31950000000000001</v>
      </c>
      <c r="CK163" s="119">
        <f t="shared" si="1017"/>
        <v>0.31950000000000001</v>
      </c>
      <c r="CL163" s="119">
        <f t="shared" si="1018"/>
        <v>9.000000000000008E-3</v>
      </c>
      <c r="CM163" s="119">
        <f t="shared" si="1019"/>
        <v>9.000000000000008E-3</v>
      </c>
      <c r="CN163" s="119">
        <f t="shared" si="1020"/>
        <v>9.000000000000008E-3</v>
      </c>
      <c r="CO163" s="421"/>
      <c r="CP163" s="116">
        <f t="shared" si="984"/>
        <v>5.2982500000000003</v>
      </c>
      <c r="CQ163" s="116">
        <f t="shared" si="984"/>
        <v>5.2982500000000003</v>
      </c>
      <c r="CR163" s="116">
        <f t="shared" si="984"/>
        <v>5.6232499999999996</v>
      </c>
      <c r="CS163" s="116">
        <f>AO163</f>
        <v>2.1950000000000001E-2</v>
      </c>
      <c r="CT163" s="116">
        <f t="shared" si="985"/>
        <v>2.1950000000000001E-2</v>
      </c>
      <c r="CU163" s="116">
        <f t="shared" si="985"/>
        <v>2.1950000000000001E-2</v>
      </c>
      <c r="CV163" s="116">
        <f t="shared" si="985"/>
        <v>0.80694999999999995</v>
      </c>
      <c r="CW163" s="116">
        <f t="shared" si="985"/>
        <v>5.4069500000000001</v>
      </c>
      <c r="CX163" s="116">
        <f t="shared" si="985"/>
        <v>6.78695</v>
      </c>
      <c r="CY163" s="116">
        <f t="shared" si="985"/>
        <v>8.2870000000000008</v>
      </c>
      <c r="CZ163" s="116">
        <f t="shared" si="985"/>
        <v>8.3469499999999996</v>
      </c>
      <c r="DA163" s="116">
        <f t="shared" si="985"/>
        <v>8.3569499999999994</v>
      </c>
      <c r="DB163" s="116">
        <f t="shared" si="985"/>
        <v>8.3569499999999994</v>
      </c>
      <c r="DC163" s="116">
        <f t="shared" si="985"/>
        <v>8.3589500000000001</v>
      </c>
      <c r="DD163" s="116">
        <f t="shared" si="985"/>
        <v>12.276949999999999</v>
      </c>
      <c r="DE163" s="116">
        <f>+BA163</f>
        <v>0</v>
      </c>
      <c r="DF163" s="116">
        <f t="shared" si="986"/>
        <v>0</v>
      </c>
      <c r="DG163" s="116">
        <f t="shared" si="986"/>
        <v>0</v>
      </c>
      <c r="DH163" s="116">
        <f t="shared" si="986"/>
        <v>0</v>
      </c>
      <c r="DI163" s="116">
        <f t="shared" si="986"/>
        <v>0</v>
      </c>
      <c r="DJ163" s="116">
        <f t="shared" si="986"/>
        <v>7.0000000000000001E-3</v>
      </c>
      <c r="DK163" s="116">
        <f t="shared" si="986"/>
        <v>7.0000000000000001E-3</v>
      </c>
      <c r="DL163" s="116">
        <f t="shared" si="986"/>
        <v>0.312</v>
      </c>
      <c r="DM163" s="116">
        <f t="shared" si="986"/>
        <v>0.32650000000000001</v>
      </c>
      <c r="DN163" s="116">
        <f t="shared" si="986"/>
        <v>0.33600000000000002</v>
      </c>
      <c r="DO163" s="116">
        <f t="shared" si="986"/>
        <v>0.33550000000000002</v>
      </c>
      <c r="DP163" s="116">
        <f t="shared" si="986"/>
        <v>0.33550000000000002</v>
      </c>
      <c r="DQ163" s="243"/>
      <c r="DR163" s="243"/>
      <c r="DS163" s="243"/>
      <c r="DT163" s="243"/>
      <c r="DU163" s="243"/>
      <c r="DV163" s="243"/>
      <c r="DW163" s="243"/>
      <c r="DX163" s="243"/>
      <c r="DY163" s="243"/>
      <c r="DZ163" s="124"/>
      <c r="EA163" s="124"/>
      <c r="EB163" s="124"/>
      <c r="EC163" s="124"/>
      <c r="ED163" s="431"/>
      <c r="EE163" s="125"/>
      <c r="EF163" s="125"/>
      <c r="EG163" s="125"/>
      <c r="EH163" s="385">
        <f t="shared" si="987"/>
        <v>-5.0000000000000044E-4</v>
      </c>
      <c r="EI163" s="385">
        <f t="shared" si="988"/>
        <v>9.000000000000008E-3</v>
      </c>
      <c r="EJ163" s="385">
        <f t="shared" si="989"/>
        <v>0.33550000000000002</v>
      </c>
      <c r="EK163" s="24">
        <f>$EK$1/12</f>
        <v>0.91666666666666663</v>
      </c>
      <c r="EL163" s="14">
        <f t="shared" si="990"/>
        <v>-2.0000000000000018E-3</v>
      </c>
      <c r="EM163" s="14">
        <f t="shared" si="990"/>
        <v>1.2000000000000011E-2</v>
      </c>
      <c r="EN163" s="14">
        <f>EJ163/EG140</f>
        <v>0.11183333333333334</v>
      </c>
      <c r="EO163" s="46">
        <f t="shared" si="1021"/>
        <v>0</v>
      </c>
      <c r="EP163" s="46" t="str">
        <f t="shared" si="1021"/>
        <v>È</v>
      </c>
      <c r="EQ163" s="2">
        <f t="shared" si="991"/>
        <v>3</v>
      </c>
      <c r="ER163" s="2">
        <f t="shared" si="992"/>
        <v>3</v>
      </c>
      <c r="ES163" s="2">
        <f t="shared" si="993"/>
        <v>3</v>
      </c>
    </row>
    <row r="164" spans="1:150" ht="12.75" customHeight="1">
      <c r="A164" s="6" t="s">
        <v>23</v>
      </c>
      <c r="B164" s="2" t="s">
        <v>5</v>
      </c>
      <c r="C164" s="3" t="s">
        <v>61</v>
      </c>
      <c r="E164" s="3" t="s">
        <v>16</v>
      </c>
      <c r="G164" s="3" t="s">
        <v>91</v>
      </c>
      <c r="I164" s="23"/>
      <c r="J164" s="19">
        <v>4</v>
      </c>
      <c r="K164" s="19">
        <v>10</v>
      </c>
      <c r="L164" s="19">
        <v>17</v>
      </c>
      <c r="M164" s="19">
        <v>20</v>
      </c>
      <c r="N164" s="19">
        <v>26</v>
      </c>
      <c r="O164" s="19">
        <v>34</v>
      </c>
      <c r="P164" s="19">
        <v>37</v>
      </c>
      <c r="Q164" s="19">
        <v>49</v>
      </c>
      <c r="R164" s="19">
        <v>57</v>
      </c>
      <c r="S164" s="19">
        <v>66</v>
      </c>
      <c r="T164" s="19">
        <v>69</v>
      </c>
      <c r="U164" s="19">
        <v>76</v>
      </c>
      <c r="V164" s="31">
        <v>12</v>
      </c>
      <c r="W164" s="19">
        <v>18</v>
      </c>
      <c r="X164" s="19">
        <v>26</v>
      </c>
      <c r="Y164" s="337">
        <v>32</v>
      </c>
      <c r="Z164" s="19">
        <v>35</v>
      </c>
      <c r="AA164" s="19">
        <v>37</v>
      </c>
      <c r="AB164" s="19">
        <v>43</v>
      </c>
      <c r="AC164" s="19">
        <v>46</v>
      </c>
      <c r="AD164" s="19">
        <v>51</v>
      </c>
      <c r="AE164" s="19">
        <v>54</v>
      </c>
      <c r="AF164" s="19">
        <v>60</v>
      </c>
      <c r="AG164" s="19">
        <v>70</v>
      </c>
      <c r="AH164" s="31">
        <v>4</v>
      </c>
      <c r="AI164" s="19">
        <v>11</v>
      </c>
      <c r="AJ164" s="19"/>
      <c r="AK164" s="408"/>
      <c r="AL164" s="19">
        <f t="shared" ref="AL164:AL180" si="1022">J164</f>
        <v>4</v>
      </c>
      <c r="AM164" s="19">
        <f>K164-J164</f>
        <v>6</v>
      </c>
      <c r="AN164" s="19">
        <f t="shared" si="963"/>
        <v>7</v>
      </c>
      <c r="AO164" s="19">
        <f>M164-L164</f>
        <v>3</v>
      </c>
      <c r="AP164" s="129">
        <f t="shared" si="964"/>
        <v>6</v>
      </c>
      <c r="AQ164" s="129">
        <f t="shared" si="965"/>
        <v>8</v>
      </c>
      <c r="AR164" s="129">
        <f t="shared" si="966"/>
        <v>3</v>
      </c>
      <c r="AS164" s="129">
        <f t="shared" si="967"/>
        <v>12</v>
      </c>
      <c r="AT164" s="129">
        <f t="shared" si="968"/>
        <v>8</v>
      </c>
      <c r="AU164" s="129">
        <f t="shared" si="969"/>
        <v>9</v>
      </c>
      <c r="AV164" s="129">
        <f t="shared" si="970"/>
        <v>3</v>
      </c>
      <c r="AW164" s="129">
        <f t="shared" si="971"/>
        <v>7</v>
      </c>
      <c r="AX164" s="19">
        <f t="shared" ref="AX164:AX178" si="1023">V164</f>
        <v>12</v>
      </c>
      <c r="AY164" s="129">
        <f t="shared" si="972"/>
        <v>6</v>
      </c>
      <c r="AZ164" s="129">
        <f t="shared" si="973"/>
        <v>8</v>
      </c>
      <c r="BA164" s="129">
        <f t="shared" ref="BA164:BA178" si="1024">IF(Y164&lt;&gt;"",Y164-X164,0)</f>
        <v>6</v>
      </c>
      <c r="BB164" s="129">
        <f t="shared" si="974"/>
        <v>3</v>
      </c>
      <c r="BC164" s="129">
        <f t="shared" si="975"/>
        <v>2</v>
      </c>
      <c r="BD164" s="129">
        <f t="shared" si="976"/>
        <v>6</v>
      </c>
      <c r="BE164" s="129">
        <f t="shared" si="977"/>
        <v>3</v>
      </c>
      <c r="BF164" s="129">
        <f t="shared" si="978"/>
        <v>5</v>
      </c>
      <c r="BG164" s="129">
        <f t="shared" si="979"/>
        <v>3</v>
      </c>
      <c r="BH164" s="129">
        <f t="shared" si="980"/>
        <v>6</v>
      </c>
      <c r="BI164" s="129">
        <f t="shared" si="981"/>
        <v>10</v>
      </c>
      <c r="BJ164" s="19">
        <f t="shared" ref="BJ164:BJ175" si="1025">AH164</f>
        <v>4</v>
      </c>
      <c r="BK164" s="129">
        <f t="shared" si="982"/>
        <v>7</v>
      </c>
      <c r="BL164" s="129">
        <f t="shared" si="983"/>
        <v>0</v>
      </c>
      <c r="BM164" s="408"/>
      <c r="BN164" s="48">
        <f t="shared" si="994"/>
        <v>17</v>
      </c>
      <c r="BO164" s="48">
        <f t="shared" si="995"/>
        <v>17</v>
      </c>
      <c r="BP164" s="48">
        <f t="shared" si="996"/>
        <v>17</v>
      </c>
      <c r="BQ164" s="48">
        <f t="shared" si="997"/>
        <v>17</v>
      </c>
      <c r="BR164" s="48">
        <f t="shared" si="998"/>
        <v>17</v>
      </c>
      <c r="BS164" s="48">
        <f t="shared" si="999"/>
        <v>17</v>
      </c>
      <c r="BT164" s="48">
        <f t="shared" si="1000"/>
        <v>23</v>
      </c>
      <c r="BU164" s="48">
        <f t="shared" si="1001"/>
        <v>23</v>
      </c>
      <c r="BV164" s="48">
        <f t="shared" si="1002"/>
        <v>23</v>
      </c>
      <c r="BW164" s="48">
        <f t="shared" si="1003"/>
        <v>19</v>
      </c>
      <c r="BX164" s="48">
        <f t="shared" si="1004"/>
        <v>19</v>
      </c>
      <c r="BY164" s="48">
        <f t="shared" si="1005"/>
        <v>19</v>
      </c>
      <c r="BZ164" s="48">
        <f t="shared" si="1006"/>
        <v>26</v>
      </c>
      <c r="CA164" s="48">
        <f t="shared" si="1007"/>
        <v>26</v>
      </c>
      <c r="CB164" s="48">
        <f t="shared" si="1008"/>
        <v>26</v>
      </c>
      <c r="CC164" s="48">
        <f t="shared" si="1009"/>
        <v>11</v>
      </c>
      <c r="CD164" s="48">
        <f t="shared" si="1010"/>
        <v>11</v>
      </c>
      <c r="CE164" s="48">
        <f t="shared" si="1011"/>
        <v>11</v>
      </c>
      <c r="CF164" s="48">
        <f t="shared" si="1012"/>
        <v>14</v>
      </c>
      <c r="CG164" s="48">
        <f t="shared" si="1013"/>
        <v>14</v>
      </c>
      <c r="CH164" s="48">
        <f t="shared" si="1014"/>
        <v>14</v>
      </c>
      <c r="CI164" s="48">
        <f t="shared" si="1015"/>
        <v>19</v>
      </c>
      <c r="CJ164" s="48">
        <f t="shared" si="1016"/>
        <v>19</v>
      </c>
      <c r="CK164" s="48">
        <f t="shared" si="1017"/>
        <v>19</v>
      </c>
      <c r="CL164" s="48">
        <f t="shared" si="1018"/>
        <v>11</v>
      </c>
      <c r="CM164" s="48">
        <f t="shared" si="1019"/>
        <v>11</v>
      </c>
      <c r="CN164" s="48">
        <f t="shared" si="1020"/>
        <v>11</v>
      </c>
      <c r="CO164" s="406"/>
      <c r="CP164" s="21">
        <f>+AL164</f>
        <v>4</v>
      </c>
      <c r="CQ164" s="21">
        <f t="shared" ref="CQ164:DA164" si="1026">+CP164+AM164</f>
        <v>10</v>
      </c>
      <c r="CR164" s="21">
        <f t="shared" si="1026"/>
        <v>17</v>
      </c>
      <c r="CS164" s="21">
        <f t="shared" si="1026"/>
        <v>20</v>
      </c>
      <c r="CT164" s="21">
        <f t="shared" si="1026"/>
        <v>26</v>
      </c>
      <c r="CU164" s="21">
        <f t="shared" si="1026"/>
        <v>34</v>
      </c>
      <c r="CV164" s="21">
        <f t="shared" si="1026"/>
        <v>37</v>
      </c>
      <c r="CW164" s="21">
        <f t="shared" si="1026"/>
        <v>49</v>
      </c>
      <c r="CX164" s="21">
        <f t="shared" si="1026"/>
        <v>57</v>
      </c>
      <c r="CY164" s="21">
        <f t="shared" si="1026"/>
        <v>66</v>
      </c>
      <c r="CZ164" s="21">
        <f t="shared" si="1026"/>
        <v>69</v>
      </c>
      <c r="DA164" s="21">
        <f t="shared" si="1026"/>
        <v>76</v>
      </c>
      <c r="DB164" s="21">
        <f>AX164</f>
        <v>12</v>
      </c>
      <c r="DC164" s="21">
        <f t="shared" ref="DC164:DM164" si="1027">+DB164+AY164</f>
        <v>18</v>
      </c>
      <c r="DD164" s="21">
        <f t="shared" si="1027"/>
        <v>26</v>
      </c>
      <c r="DE164" s="21">
        <f t="shared" si="1027"/>
        <v>32</v>
      </c>
      <c r="DF164" s="21">
        <f t="shared" si="1027"/>
        <v>35</v>
      </c>
      <c r="DG164" s="21">
        <f t="shared" si="1027"/>
        <v>37</v>
      </c>
      <c r="DH164" s="21">
        <f t="shared" si="1027"/>
        <v>43</v>
      </c>
      <c r="DI164" s="21">
        <f t="shared" si="1027"/>
        <v>46</v>
      </c>
      <c r="DJ164" s="21">
        <f t="shared" si="1027"/>
        <v>51</v>
      </c>
      <c r="DK164" s="21">
        <f t="shared" si="1027"/>
        <v>54</v>
      </c>
      <c r="DL164" s="21">
        <f t="shared" si="1027"/>
        <v>60</v>
      </c>
      <c r="DM164" s="21">
        <f t="shared" si="1027"/>
        <v>70</v>
      </c>
      <c r="DN164" s="21">
        <f>+BJ164</f>
        <v>4</v>
      </c>
      <c r="DO164" s="21">
        <f>+DN164+BK164</f>
        <v>11</v>
      </c>
      <c r="DP164" s="21">
        <f>+DO164+BL164</f>
        <v>11</v>
      </c>
      <c r="DQ164" s="248"/>
      <c r="DR164" s="248"/>
      <c r="DS164" s="248"/>
      <c r="DT164" s="248"/>
      <c r="DU164" s="248"/>
      <c r="DV164" s="248"/>
      <c r="DW164" s="248"/>
      <c r="DX164" s="248"/>
      <c r="DY164" s="248"/>
      <c r="ED164" s="429"/>
      <c r="EE164" s="23"/>
      <c r="EF164" s="23"/>
      <c r="EG164" s="23"/>
      <c r="EH164" s="18">
        <f t="shared" si="987"/>
        <v>7</v>
      </c>
      <c r="EI164" s="18">
        <f t="shared" si="988"/>
        <v>11</v>
      </c>
      <c r="EJ164" s="18">
        <f t="shared" si="989"/>
        <v>11</v>
      </c>
      <c r="EK164" s="24">
        <f>$EK$2/12</f>
        <v>0.16666666666666666</v>
      </c>
      <c r="EL164" s="14">
        <f t="shared" si="990"/>
        <v>0.62686567164179108</v>
      </c>
      <c r="EM164" s="14">
        <f t="shared" si="990"/>
        <v>0.65671641791044777</v>
      </c>
      <c r="EN164" s="14">
        <f>EJ164/EK164/EG141</f>
        <v>0.9850746268656716</v>
      </c>
      <c r="EO164" s="46" t="str">
        <f t="shared" si="1021"/>
        <v>È</v>
      </c>
      <c r="EP164" s="46" t="str">
        <f t="shared" si="1021"/>
        <v>È</v>
      </c>
      <c r="EQ164" s="2">
        <f t="shared" si="991"/>
        <v>3</v>
      </c>
      <c r="ER164" s="2">
        <f t="shared" si="992"/>
        <v>3</v>
      </c>
      <c r="ES164" s="2">
        <f t="shared" si="993"/>
        <v>1</v>
      </c>
    </row>
    <row r="165" spans="1:150" ht="12.75" customHeight="1">
      <c r="A165" s="6" t="s">
        <v>23</v>
      </c>
      <c r="B165" s="2" t="s">
        <v>4</v>
      </c>
      <c r="C165" s="3" t="s">
        <v>62</v>
      </c>
      <c r="E165" s="3" t="s">
        <v>16</v>
      </c>
      <c r="G165" s="3" t="s">
        <v>91</v>
      </c>
      <c r="I165" s="23"/>
      <c r="J165" s="19">
        <v>0</v>
      </c>
      <c r="K165" s="19">
        <v>1</v>
      </c>
      <c r="L165" s="19">
        <v>6</v>
      </c>
      <c r="M165" s="19">
        <v>8</v>
      </c>
      <c r="N165" s="19">
        <v>13</v>
      </c>
      <c r="O165" s="19">
        <v>19</v>
      </c>
      <c r="P165" s="19">
        <v>22</v>
      </c>
      <c r="Q165" s="19">
        <v>31</v>
      </c>
      <c r="R165" s="19">
        <v>36</v>
      </c>
      <c r="S165" s="19">
        <v>39</v>
      </c>
      <c r="T165" s="19">
        <v>41</v>
      </c>
      <c r="U165" s="19">
        <v>46</v>
      </c>
      <c r="V165" s="31">
        <v>8</v>
      </c>
      <c r="W165" s="19">
        <v>11</v>
      </c>
      <c r="X165" s="19">
        <v>15</v>
      </c>
      <c r="Y165" s="337">
        <v>16</v>
      </c>
      <c r="Z165" s="19">
        <v>17</v>
      </c>
      <c r="AA165" s="19">
        <v>18</v>
      </c>
      <c r="AB165" s="19">
        <v>19</v>
      </c>
      <c r="AC165" s="19">
        <v>20</v>
      </c>
      <c r="AD165" s="19">
        <v>25</v>
      </c>
      <c r="AE165" s="19">
        <v>27</v>
      </c>
      <c r="AF165" s="19">
        <v>31</v>
      </c>
      <c r="AG165" s="19">
        <v>37</v>
      </c>
      <c r="AH165" s="31">
        <v>2</v>
      </c>
      <c r="AI165" s="19">
        <v>5</v>
      </c>
      <c r="AJ165" s="19"/>
      <c r="AK165" s="408"/>
      <c r="AL165" s="19">
        <f t="shared" si="1022"/>
        <v>0</v>
      </c>
      <c r="AM165" s="19">
        <f>K165-J165</f>
        <v>1</v>
      </c>
      <c r="AN165" s="19">
        <f t="shared" si="963"/>
        <v>5</v>
      </c>
      <c r="AO165" s="19">
        <f>M165-L165</f>
        <v>2</v>
      </c>
      <c r="AP165" s="129">
        <f t="shared" si="964"/>
        <v>5</v>
      </c>
      <c r="AQ165" s="129">
        <f t="shared" si="965"/>
        <v>6</v>
      </c>
      <c r="AR165" s="129">
        <f t="shared" si="966"/>
        <v>3</v>
      </c>
      <c r="AS165" s="129">
        <f t="shared" si="967"/>
        <v>9</v>
      </c>
      <c r="AT165" s="129">
        <f t="shared" si="968"/>
        <v>5</v>
      </c>
      <c r="AU165" s="129">
        <f t="shared" si="969"/>
        <v>3</v>
      </c>
      <c r="AV165" s="129">
        <f t="shared" si="970"/>
        <v>2</v>
      </c>
      <c r="AW165" s="129">
        <f t="shared" si="971"/>
        <v>5</v>
      </c>
      <c r="AX165" s="19">
        <f t="shared" si="1023"/>
        <v>8</v>
      </c>
      <c r="AY165" s="129">
        <f t="shared" si="972"/>
        <v>3</v>
      </c>
      <c r="AZ165" s="129">
        <f t="shared" si="973"/>
        <v>4</v>
      </c>
      <c r="BA165" s="129">
        <f t="shared" si="1024"/>
        <v>1</v>
      </c>
      <c r="BB165" s="129">
        <f t="shared" si="974"/>
        <v>1</v>
      </c>
      <c r="BC165" s="129">
        <f t="shared" si="975"/>
        <v>1</v>
      </c>
      <c r="BD165" s="129">
        <f t="shared" si="976"/>
        <v>1</v>
      </c>
      <c r="BE165" s="129">
        <f t="shared" si="977"/>
        <v>1</v>
      </c>
      <c r="BF165" s="129">
        <f t="shared" si="978"/>
        <v>5</v>
      </c>
      <c r="BG165" s="129">
        <f t="shared" si="979"/>
        <v>2</v>
      </c>
      <c r="BH165" s="129">
        <f t="shared" si="980"/>
        <v>4</v>
      </c>
      <c r="BI165" s="129">
        <f t="shared" si="981"/>
        <v>6</v>
      </c>
      <c r="BJ165" s="19">
        <f t="shared" si="1025"/>
        <v>2</v>
      </c>
      <c r="BK165" s="129">
        <f t="shared" si="982"/>
        <v>3</v>
      </c>
      <c r="BL165" s="129">
        <f t="shared" si="983"/>
        <v>0</v>
      </c>
      <c r="BM165" s="408"/>
      <c r="BN165" s="48">
        <f t="shared" si="994"/>
        <v>6</v>
      </c>
      <c r="BO165" s="48">
        <f t="shared" si="995"/>
        <v>6</v>
      </c>
      <c r="BP165" s="48">
        <f t="shared" si="996"/>
        <v>6</v>
      </c>
      <c r="BQ165" s="48">
        <f t="shared" si="997"/>
        <v>13</v>
      </c>
      <c r="BR165" s="48">
        <f t="shared" si="998"/>
        <v>13</v>
      </c>
      <c r="BS165" s="48">
        <f t="shared" si="999"/>
        <v>13</v>
      </c>
      <c r="BT165" s="48">
        <f t="shared" si="1000"/>
        <v>17</v>
      </c>
      <c r="BU165" s="48">
        <f t="shared" si="1001"/>
        <v>17</v>
      </c>
      <c r="BV165" s="48">
        <f t="shared" si="1002"/>
        <v>17</v>
      </c>
      <c r="BW165" s="48">
        <f t="shared" si="1003"/>
        <v>10</v>
      </c>
      <c r="BX165" s="48">
        <f t="shared" si="1004"/>
        <v>10</v>
      </c>
      <c r="BY165" s="48">
        <f t="shared" si="1005"/>
        <v>10</v>
      </c>
      <c r="BZ165" s="48">
        <f t="shared" si="1006"/>
        <v>15</v>
      </c>
      <c r="CA165" s="48">
        <f t="shared" si="1007"/>
        <v>15</v>
      </c>
      <c r="CB165" s="48">
        <f t="shared" si="1008"/>
        <v>15</v>
      </c>
      <c r="CC165" s="48">
        <f t="shared" si="1009"/>
        <v>3</v>
      </c>
      <c r="CD165" s="48">
        <f t="shared" si="1010"/>
        <v>3</v>
      </c>
      <c r="CE165" s="48">
        <f t="shared" si="1011"/>
        <v>3</v>
      </c>
      <c r="CF165" s="48">
        <f t="shared" si="1012"/>
        <v>7</v>
      </c>
      <c r="CG165" s="48">
        <f t="shared" si="1013"/>
        <v>7</v>
      </c>
      <c r="CH165" s="48">
        <f t="shared" si="1014"/>
        <v>7</v>
      </c>
      <c r="CI165" s="48">
        <f t="shared" si="1015"/>
        <v>12</v>
      </c>
      <c r="CJ165" s="48">
        <f t="shared" si="1016"/>
        <v>12</v>
      </c>
      <c r="CK165" s="48">
        <f t="shared" si="1017"/>
        <v>12</v>
      </c>
      <c r="CL165" s="48">
        <f t="shared" si="1018"/>
        <v>5</v>
      </c>
      <c r="CM165" s="48">
        <f t="shared" si="1019"/>
        <v>5</v>
      </c>
      <c r="CN165" s="48">
        <f t="shared" si="1020"/>
        <v>5</v>
      </c>
      <c r="CO165" s="406"/>
      <c r="CP165" s="21">
        <f>+AL165</f>
        <v>0</v>
      </c>
      <c r="CQ165" s="21">
        <f t="shared" ref="CQ165:CR167" si="1028">+CP165+AM165</f>
        <v>1</v>
      </c>
      <c r="CR165" s="21">
        <f t="shared" si="1028"/>
        <v>6</v>
      </c>
      <c r="CS165" s="21">
        <f t="shared" ref="CS165:DA167" si="1029">L165+AO165</f>
        <v>8</v>
      </c>
      <c r="CT165" s="21">
        <f t="shared" si="1029"/>
        <v>13</v>
      </c>
      <c r="CU165" s="21">
        <f t="shared" si="1029"/>
        <v>19</v>
      </c>
      <c r="CV165" s="21">
        <f t="shared" si="1029"/>
        <v>22</v>
      </c>
      <c r="CW165" s="21">
        <f t="shared" si="1029"/>
        <v>31</v>
      </c>
      <c r="CX165" s="21">
        <f t="shared" si="1029"/>
        <v>36</v>
      </c>
      <c r="CY165" s="21">
        <f t="shared" si="1029"/>
        <v>39</v>
      </c>
      <c r="CZ165" s="21">
        <f t="shared" si="1029"/>
        <v>41</v>
      </c>
      <c r="DA165" s="21">
        <f t="shared" si="1029"/>
        <v>46</v>
      </c>
      <c r="DB165" s="21">
        <f>AX165</f>
        <v>8</v>
      </c>
      <c r="DC165" s="21">
        <f t="shared" ref="DC165:DM167" si="1030">V165+AY165</f>
        <v>11</v>
      </c>
      <c r="DD165" s="21">
        <f t="shared" si="1030"/>
        <v>15</v>
      </c>
      <c r="DE165" s="21">
        <f t="shared" si="1030"/>
        <v>16</v>
      </c>
      <c r="DF165" s="21">
        <f t="shared" si="1030"/>
        <v>17</v>
      </c>
      <c r="DG165" s="21">
        <f t="shared" si="1030"/>
        <v>18</v>
      </c>
      <c r="DH165" s="21">
        <f t="shared" si="1030"/>
        <v>19</v>
      </c>
      <c r="DI165" s="21">
        <f t="shared" si="1030"/>
        <v>20</v>
      </c>
      <c r="DJ165" s="21">
        <f t="shared" si="1030"/>
        <v>25</v>
      </c>
      <c r="DK165" s="21">
        <f t="shared" si="1030"/>
        <v>27</v>
      </c>
      <c r="DL165" s="21">
        <f t="shared" si="1030"/>
        <v>31</v>
      </c>
      <c r="DM165" s="21">
        <f t="shared" si="1030"/>
        <v>37</v>
      </c>
      <c r="DN165" s="21">
        <f>BJ165</f>
        <v>2</v>
      </c>
      <c r="DO165" s="21">
        <f t="shared" ref="DO165:DP167" si="1031">AH165+BK165</f>
        <v>5</v>
      </c>
      <c r="DP165" s="21">
        <f t="shared" si="1031"/>
        <v>5</v>
      </c>
      <c r="DQ165" s="248"/>
      <c r="DR165" s="248"/>
      <c r="DS165" s="248"/>
      <c r="DT165" s="248"/>
      <c r="DU165" s="248"/>
      <c r="DV165" s="248"/>
      <c r="DW165" s="248"/>
      <c r="DX165" s="248"/>
      <c r="DY165" s="248"/>
      <c r="ED165" s="429"/>
      <c r="EE165" s="23"/>
      <c r="EF165" s="23"/>
      <c r="EG165" s="23"/>
      <c r="EH165" s="18">
        <f t="shared" si="987"/>
        <v>3</v>
      </c>
      <c r="EI165" s="18">
        <f t="shared" si="988"/>
        <v>5</v>
      </c>
      <c r="EJ165" s="18">
        <f t="shared" si="989"/>
        <v>5</v>
      </c>
      <c r="EK165" s="24">
        <f t="shared" ref="EK165:EK181" si="1032">$EK$2/12</f>
        <v>0.16666666666666666</v>
      </c>
      <c r="EL165" s="14">
        <f t="shared" si="990"/>
        <v>0.52941176470588236</v>
      </c>
      <c r="EM165" s="14">
        <f t="shared" si="990"/>
        <v>0.58823529411764708</v>
      </c>
      <c r="EN165" s="14">
        <f>EJ165/EK165/EG142</f>
        <v>0.88235294117647056</v>
      </c>
      <c r="EO165" s="46" t="str">
        <f t="shared" si="1021"/>
        <v>È</v>
      </c>
      <c r="EP165" s="46" t="str">
        <f t="shared" si="1021"/>
        <v>È</v>
      </c>
      <c r="EQ165" s="2">
        <f t="shared" si="991"/>
        <v>3</v>
      </c>
      <c r="ER165" s="2">
        <f t="shared" si="992"/>
        <v>3</v>
      </c>
      <c r="ES165" s="2">
        <f t="shared" si="993"/>
        <v>2</v>
      </c>
    </row>
    <row r="166" spans="1:150" ht="12.75" customHeight="1">
      <c r="A166" s="6" t="s">
        <v>23</v>
      </c>
      <c r="B166" s="2" t="s">
        <v>162</v>
      </c>
      <c r="C166" s="3" t="s">
        <v>62</v>
      </c>
      <c r="E166" s="3" t="s">
        <v>16</v>
      </c>
      <c r="G166" s="3" t="s">
        <v>91</v>
      </c>
      <c r="I166" s="23"/>
      <c r="J166" s="19">
        <v>9</v>
      </c>
      <c r="K166" s="19">
        <v>23</v>
      </c>
      <c r="L166" s="19">
        <v>35</v>
      </c>
      <c r="M166" s="19">
        <v>39</v>
      </c>
      <c r="N166" s="19">
        <v>52</v>
      </c>
      <c r="O166" s="19">
        <v>63</v>
      </c>
      <c r="P166" s="19">
        <v>67</v>
      </c>
      <c r="Q166" s="19">
        <v>82</v>
      </c>
      <c r="R166" s="19">
        <v>91</v>
      </c>
      <c r="S166" s="19">
        <v>103</v>
      </c>
      <c r="T166" s="19">
        <v>106</v>
      </c>
      <c r="U166" s="19">
        <v>115</v>
      </c>
      <c r="V166" s="31">
        <v>23</v>
      </c>
      <c r="W166" s="19">
        <v>33</v>
      </c>
      <c r="X166" s="19">
        <v>52</v>
      </c>
      <c r="Y166" s="337">
        <v>68</v>
      </c>
      <c r="Z166" s="19">
        <v>72</v>
      </c>
      <c r="AA166" s="19">
        <v>74</v>
      </c>
      <c r="AB166" s="19">
        <v>81</v>
      </c>
      <c r="AC166" s="19">
        <v>86</v>
      </c>
      <c r="AD166" s="19">
        <v>97</v>
      </c>
      <c r="AE166" s="19">
        <v>101</v>
      </c>
      <c r="AF166" s="19">
        <v>110</v>
      </c>
      <c r="AG166" s="19">
        <v>121</v>
      </c>
      <c r="AH166" s="31">
        <v>14</v>
      </c>
      <c r="AI166" s="19">
        <v>29</v>
      </c>
      <c r="AJ166" s="19"/>
      <c r="AK166" s="408"/>
      <c r="AL166" s="19">
        <f t="shared" si="1022"/>
        <v>9</v>
      </c>
      <c r="AM166" s="19">
        <f>K166-J166</f>
        <v>14</v>
      </c>
      <c r="AN166" s="19">
        <f t="shared" si="963"/>
        <v>12</v>
      </c>
      <c r="AO166" s="19">
        <f>M166-L166</f>
        <v>4</v>
      </c>
      <c r="AP166" s="129">
        <f t="shared" si="964"/>
        <v>13</v>
      </c>
      <c r="AQ166" s="129">
        <f t="shared" si="965"/>
        <v>11</v>
      </c>
      <c r="AR166" s="129">
        <f t="shared" si="966"/>
        <v>4</v>
      </c>
      <c r="AS166" s="129">
        <f t="shared" si="967"/>
        <v>15</v>
      </c>
      <c r="AT166" s="129">
        <f t="shared" si="968"/>
        <v>9</v>
      </c>
      <c r="AU166" s="129">
        <f t="shared" si="969"/>
        <v>12</v>
      </c>
      <c r="AV166" s="129">
        <f t="shared" si="970"/>
        <v>3</v>
      </c>
      <c r="AW166" s="129">
        <f t="shared" si="971"/>
        <v>9</v>
      </c>
      <c r="AX166" s="19">
        <f t="shared" si="1023"/>
        <v>23</v>
      </c>
      <c r="AY166" s="129">
        <f t="shared" si="972"/>
        <v>10</v>
      </c>
      <c r="AZ166" s="129">
        <f t="shared" si="973"/>
        <v>19</v>
      </c>
      <c r="BA166" s="129">
        <f t="shared" si="1024"/>
        <v>16</v>
      </c>
      <c r="BB166" s="129">
        <f t="shared" si="974"/>
        <v>4</v>
      </c>
      <c r="BC166" s="129">
        <f t="shared" si="975"/>
        <v>2</v>
      </c>
      <c r="BD166" s="129">
        <f t="shared" si="976"/>
        <v>7</v>
      </c>
      <c r="BE166" s="129">
        <f t="shared" si="977"/>
        <v>5</v>
      </c>
      <c r="BF166" s="129">
        <f t="shared" si="978"/>
        <v>11</v>
      </c>
      <c r="BG166" s="129">
        <f t="shared" si="979"/>
        <v>4</v>
      </c>
      <c r="BH166" s="129">
        <f t="shared" si="980"/>
        <v>9</v>
      </c>
      <c r="BI166" s="129">
        <f t="shared" si="981"/>
        <v>11</v>
      </c>
      <c r="BJ166" s="19">
        <f t="shared" si="1025"/>
        <v>14</v>
      </c>
      <c r="BK166" s="129">
        <f t="shared" si="982"/>
        <v>15</v>
      </c>
      <c r="BL166" s="129">
        <f t="shared" si="983"/>
        <v>0</v>
      </c>
      <c r="BM166" s="408"/>
      <c r="BN166" s="48">
        <f t="shared" si="994"/>
        <v>35</v>
      </c>
      <c r="BO166" s="48">
        <f t="shared" si="995"/>
        <v>35</v>
      </c>
      <c r="BP166" s="48">
        <f>SUM(AL166:AN166)</f>
        <v>35</v>
      </c>
      <c r="BQ166" s="48">
        <f t="shared" si="997"/>
        <v>28</v>
      </c>
      <c r="BR166" s="48">
        <f t="shared" si="998"/>
        <v>28</v>
      </c>
      <c r="BS166" s="48">
        <f>SUM(AO166:AQ166)</f>
        <v>28</v>
      </c>
      <c r="BT166" s="48">
        <f t="shared" si="1000"/>
        <v>28</v>
      </c>
      <c r="BU166" s="48">
        <f t="shared" si="1001"/>
        <v>28</v>
      </c>
      <c r="BV166" s="48">
        <f>SUM(AR166:AT166)</f>
        <v>28</v>
      </c>
      <c r="BW166" s="48">
        <f t="shared" si="1003"/>
        <v>24</v>
      </c>
      <c r="BX166" s="48">
        <f t="shared" si="1004"/>
        <v>24</v>
      </c>
      <c r="BY166" s="48">
        <f>SUM(AU166:AW166)</f>
        <v>24</v>
      </c>
      <c r="BZ166" s="48">
        <f t="shared" si="1006"/>
        <v>52</v>
      </c>
      <c r="CA166" s="48">
        <f t="shared" si="1007"/>
        <v>52</v>
      </c>
      <c r="CB166" s="48">
        <f>SUM(AX166:AZ166)</f>
        <v>52</v>
      </c>
      <c r="CC166" s="48">
        <f t="shared" si="1009"/>
        <v>22</v>
      </c>
      <c r="CD166" s="48">
        <f t="shared" si="1010"/>
        <v>22</v>
      </c>
      <c r="CE166" s="48">
        <f>SUM(BA166:BC166)</f>
        <v>22</v>
      </c>
      <c r="CF166" s="48">
        <f t="shared" si="1012"/>
        <v>23</v>
      </c>
      <c r="CG166" s="48">
        <f t="shared" si="1013"/>
        <v>23</v>
      </c>
      <c r="CH166" s="48">
        <f>SUM(BD166:BF166)</f>
        <v>23</v>
      </c>
      <c r="CI166" s="48">
        <f t="shared" si="1015"/>
        <v>24</v>
      </c>
      <c r="CJ166" s="48">
        <f t="shared" si="1016"/>
        <v>24</v>
      </c>
      <c r="CK166" s="48">
        <f>SUM(BG166:BI166)</f>
        <v>24</v>
      </c>
      <c r="CL166" s="48">
        <f t="shared" si="1018"/>
        <v>29</v>
      </c>
      <c r="CM166" s="48">
        <f t="shared" si="1019"/>
        <v>29</v>
      </c>
      <c r="CN166" s="48">
        <f>SUM(BJ166:BL166)</f>
        <v>29</v>
      </c>
      <c r="CO166" s="406"/>
      <c r="CP166" s="21">
        <f>+AL166</f>
        <v>9</v>
      </c>
      <c r="CQ166" s="21">
        <f t="shared" si="1028"/>
        <v>23</v>
      </c>
      <c r="CR166" s="21">
        <f t="shared" si="1028"/>
        <v>35</v>
      </c>
      <c r="CS166" s="21">
        <f t="shared" si="1029"/>
        <v>39</v>
      </c>
      <c r="CT166" s="21">
        <f t="shared" si="1029"/>
        <v>52</v>
      </c>
      <c r="CU166" s="21">
        <f t="shared" si="1029"/>
        <v>63</v>
      </c>
      <c r="CV166" s="21">
        <f t="shared" si="1029"/>
        <v>67</v>
      </c>
      <c r="CW166" s="21">
        <f t="shared" si="1029"/>
        <v>82</v>
      </c>
      <c r="CX166" s="21">
        <f t="shared" si="1029"/>
        <v>91</v>
      </c>
      <c r="CY166" s="21">
        <f t="shared" si="1029"/>
        <v>103</v>
      </c>
      <c r="CZ166" s="21">
        <f t="shared" si="1029"/>
        <v>106</v>
      </c>
      <c r="DA166" s="21">
        <f t="shared" si="1029"/>
        <v>115</v>
      </c>
      <c r="DB166" s="21">
        <f>AX166</f>
        <v>23</v>
      </c>
      <c r="DC166" s="21">
        <f t="shared" si="1030"/>
        <v>33</v>
      </c>
      <c r="DD166" s="21">
        <f t="shared" si="1030"/>
        <v>52</v>
      </c>
      <c r="DE166" s="21">
        <f t="shared" si="1030"/>
        <v>68</v>
      </c>
      <c r="DF166" s="21">
        <f t="shared" si="1030"/>
        <v>72</v>
      </c>
      <c r="DG166" s="21">
        <f t="shared" si="1030"/>
        <v>74</v>
      </c>
      <c r="DH166" s="21">
        <f t="shared" si="1030"/>
        <v>81</v>
      </c>
      <c r="DI166" s="21">
        <f t="shared" si="1030"/>
        <v>86</v>
      </c>
      <c r="DJ166" s="21">
        <f t="shared" si="1030"/>
        <v>97</v>
      </c>
      <c r="DK166" s="21">
        <f t="shared" si="1030"/>
        <v>101</v>
      </c>
      <c r="DL166" s="21">
        <f t="shared" si="1030"/>
        <v>110</v>
      </c>
      <c r="DM166" s="21">
        <f t="shared" si="1030"/>
        <v>121</v>
      </c>
      <c r="DN166" s="21">
        <f>BJ166</f>
        <v>14</v>
      </c>
      <c r="DO166" s="21">
        <f t="shared" si="1031"/>
        <v>29</v>
      </c>
      <c r="DP166" s="21">
        <f t="shared" si="1031"/>
        <v>29</v>
      </c>
      <c r="DQ166" s="248"/>
      <c r="DR166" s="248"/>
      <c r="DS166" s="248"/>
      <c r="DT166" s="248"/>
      <c r="DU166" s="248"/>
      <c r="DV166" s="248"/>
      <c r="DW166" s="248"/>
      <c r="DX166" s="248"/>
      <c r="DY166" s="248"/>
      <c r="ED166" s="429"/>
      <c r="EE166" s="23"/>
      <c r="EF166" s="23"/>
      <c r="EG166" s="23"/>
      <c r="EH166" s="18">
        <f t="shared" si="987"/>
        <v>15</v>
      </c>
      <c r="EI166" s="18">
        <f t="shared" si="988"/>
        <v>29</v>
      </c>
      <c r="EJ166" s="18">
        <f t="shared" si="989"/>
        <v>29</v>
      </c>
      <c r="EK166" s="24">
        <f t="shared" si="1032"/>
        <v>0.16666666666666666</v>
      </c>
      <c r="EL166" s="14"/>
      <c r="EM166" s="14"/>
      <c r="EN166" s="14"/>
      <c r="EO166" s="46" t="str">
        <f>IF(EH166&lt;0,,IF(EH166&lt;EE144,"È",IF(EH166=EE144,"Æ","Ç")))</f>
        <v>Ç</v>
      </c>
      <c r="EP166" s="46" t="str">
        <f>IF(EI166&lt;0,,IF(EI166&lt;EF144,"È",IF(EI166=EF144,"Æ","Ç")))</f>
        <v>Ç</v>
      </c>
      <c r="EQ166" s="2">
        <f t="shared" si="991"/>
        <v>3</v>
      </c>
      <c r="ER166" s="2">
        <f t="shared" si="992"/>
        <v>3</v>
      </c>
      <c r="ES166" s="2">
        <f t="shared" si="993"/>
        <v>3</v>
      </c>
    </row>
    <row r="167" spans="1:150" ht="12.75" customHeight="1">
      <c r="A167" s="6" t="s">
        <v>23</v>
      </c>
      <c r="B167" s="2" t="s">
        <v>163</v>
      </c>
      <c r="C167" s="3" t="s">
        <v>62</v>
      </c>
      <c r="E167" s="3" t="s">
        <v>16</v>
      </c>
      <c r="G167" s="3" t="s">
        <v>91</v>
      </c>
      <c r="I167" s="23"/>
      <c r="J167" s="19">
        <v>3</v>
      </c>
      <c r="K167" s="19">
        <v>6</v>
      </c>
      <c r="L167" s="19">
        <v>10</v>
      </c>
      <c r="M167" s="19">
        <v>13</v>
      </c>
      <c r="N167" s="19">
        <v>13</v>
      </c>
      <c r="O167" s="19">
        <v>17</v>
      </c>
      <c r="P167" s="19">
        <v>18</v>
      </c>
      <c r="Q167" s="19">
        <v>20</v>
      </c>
      <c r="R167" s="19">
        <v>22</v>
      </c>
      <c r="S167" s="19">
        <v>23</v>
      </c>
      <c r="T167" s="19">
        <v>25</v>
      </c>
      <c r="U167" s="19">
        <v>26</v>
      </c>
      <c r="V167" s="31">
        <v>5</v>
      </c>
      <c r="W167" s="19">
        <v>7</v>
      </c>
      <c r="X167" s="19">
        <v>13</v>
      </c>
      <c r="Y167" s="337">
        <v>16</v>
      </c>
      <c r="Z167" s="19">
        <v>20</v>
      </c>
      <c r="AA167" s="19">
        <v>20</v>
      </c>
      <c r="AB167" s="19">
        <v>21</v>
      </c>
      <c r="AC167" s="19">
        <v>22</v>
      </c>
      <c r="AD167" s="19">
        <v>28</v>
      </c>
      <c r="AE167" s="19">
        <v>28</v>
      </c>
      <c r="AF167" s="19">
        <v>30</v>
      </c>
      <c r="AG167" s="19">
        <v>34</v>
      </c>
      <c r="AH167" s="31">
        <v>4</v>
      </c>
      <c r="AI167" s="19">
        <v>13</v>
      </c>
      <c r="AJ167" s="19"/>
      <c r="AK167" s="408"/>
      <c r="AL167" s="19">
        <f t="shared" si="1022"/>
        <v>3</v>
      </c>
      <c r="AM167" s="19">
        <f>K167-J167</f>
        <v>3</v>
      </c>
      <c r="AN167" s="19">
        <f t="shared" si="963"/>
        <v>4</v>
      </c>
      <c r="AO167" s="19">
        <f>M167-L167</f>
        <v>3</v>
      </c>
      <c r="AP167" s="129">
        <f t="shared" si="964"/>
        <v>0</v>
      </c>
      <c r="AQ167" s="129">
        <f t="shared" si="965"/>
        <v>4</v>
      </c>
      <c r="AR167" s="129">
        <f t="shared" si="966"/>
        <v>1</v>
      </c>
      <c r="AS167" s="129">
        <f t="shared" si="967"/>
        <v>2</v>
      </c>
      <c r="AT167" s="129">
        <f t="shared" si="968"/>
        <v>2</v>
      </c>
      <c r="AU167" s="129">
        <f t="shared" si="969"/>
        <v>1</v>
      </c>
      <c r="AV167" s="129">
        <f t="shared" si="970"/>
        <v>2</v>
      </c>
      <c r="AW167" s="129">
        <f t="shared" si="971"/>
        <v>1</v>
      </c>
      <c r="AX167" s="19">
        <f t="shared" si="1023"/>
        <v>5</v>
      </c>
      <c r="AY167" s="129">
        <f t="shared" si="972"/>
        <v>2</v>
      </c>
      <c r="AZ167" s="129">
        <f t="shared" si="973"/>
        <v>6</v>
      </c>
      <c r="BA167" s="129">
        <f t="shared" si="1024"/>
        <v>3</v>
      </c>
      <c r="BB167" s="129">
        <f t="shared" si="974"/>
        <v>4</v>
      </c>
      <c r="BC167" s="129">
        <f t="shared" si="975"/>
        <v>0</v>
      </c>
      <c r="BD167" s="129">
        <f t="shared" si="976"/>
        <v>1</v>
      </c>
      <c r="BE167" s="129">
        <f t="shared" si="977"/>
        <v>1</v>
      </c>
      <c r="BF167" s="129">
        <f t="shared" si="978"/>
        <v>6</v>
      </c>
      <c r="BG167" s="129">
        <f t="shared" si="979"/>
        <v>0</v>
      </c>
      <c r="BH167" s="129">
        <f t="shared" si="980"/>
        <v>2</v>
      </c>
      <c r="BI167" s="129">
        <f t="shared" si="981"/>
        <v>4</v>
      </c>
      <c r="BJ167" s="19">
        <f t="shared" si="1025"/>
        <v>4</v>
      </c>
      <c r="BK167" s="129">
        <f t="shared" si="982"/>
        <v>9</v>
      </c>
      <c r="BL167" s="129">
        <f t="shared" si="983"/>
        <v>0</v>
      </c>
      <c r="BM167" s="408"/>
      <c r="BN167" s="48">
        <f t="shared" si="994"/>
        <v>10</v>
      </c>
      <c r="BO167" s="48">
        <f t="shared" si="995"/>
        <v>10</v>
      </c>
      <c r="BP167" s="48">
        <f>SUM(AL167:AN167)</f>
        <v>10</v>
      </c>
      <c r="BQ167" s="48">
        <f t="shared" si="997"/>
        <v>7</v>
      </c>
      <c r="BR167" s="48">
        <f t="shared" si="998"/>
        <v>7</v>
      </c>
      <c r="BS167" s="48">
        <f>SUM(AO167:AQ167)</f>
        <v>7</v>
      </c>
      <c r="BT167" s="48">
        <f t="shared" si="1000"/>
        <v>5</v>
      </c>
      <c r="BU167" s="48">
        <f t="shared" si="1001"/>
        <v>5</v>
      </c>
      <c r="BV167" s="48">
        <f>SUM(AR167:AT167)</f>
        <v>5</v>
      </c>
      <c r="BW167" s="48">
        <f t="shared" si="1003"/>
        <v>4</v>
      </c>
      <c r="BX167" s="48">
        <f t="shared" si="1004"/>
        <v>4</v>
      </c>
      <c r="BY167" s="48">
        <f>SUM(AU167:AW167)</f>
        <v>4</v>
      </c>
      <c r="BZ167" s="48">
        <f t="shared" si="1006"/>
        <v>13</v>
      </c>
      <c r="CA167" s="48">
        <f t="shared" si="1007"/>
        <v>13</v>
      </c>
      <c r="CB167" s="48">
        <f>SUM(AX167:AZ167)</f>
        <v>13</v>
      </c>
      <c r="CC167" s="48">
        <f t="shared" si="1009"/>
        <v>7</v>
      </c>
      <c r="CD167" s="48">
        <f t="shared" si="1010"/>
        <v>7</v>
      </c>
      <c r="CE167" s="48">
        <f>SUM(BA167:BC167)</f>
        <v>7</v>
      </c>
      <c r="CF167" s="48">
        <f t="shared" si="1012"/>
        <v>8</v>
      </c>
      <c r="CG167" s="48">
        <f t="shared" si="1013"/>
        <v>8</v>
      </c>
      <c r="CH167" s="48">
        <f>SUM(BD167:BF167)</f>
        <v>8</v>
      </c>
      <c r="CI167" s="48">
        <f t="shared" si="1015"/>
        <v>6</v>
      </c>
      <c r="CJ167" s="48">
        <f t="shared" si="1016"/>
        <v>6</v>
      </c>
      <c r="CK167" s="48">
        <f>SUM(BG167:BI167)</f>
        <v>6</v>
      </c>
      <c r="CL167" s="48">
        <f t="shared" si="1018"/>
        <v>13</v>
      </c>
      <c r="CM167" s="48">
        <f t="shared" si="1019"/>
        <v>13</v>
      </c>
      <c r="CN167" s="48">
        <f>SUM(BJ167:BL167)</f>
        <v>13</v>
      </c>
      <c r="CO167" s="406"/>
      <c r="CP167" s="21">
        <f>+AL167</f>
        <v>3</v>
      </c>
      <c r="CQ167" s="21">
        <f t="shared" si="1028"/>
        <v>6</v>
      </c>
      <c r="CR167" s="21">
        <f t="shared" si="1028"/>
        <v>10</v>
      </c>
      <c r="CS167" s="21">
        <f t="shared" si="1029"/>
        <v>13</v>
      </c>
      <c r="CT167" s="21">
        <f t="shared" si="1029"/>
        <v>13</v>
      </c>
      <c r="CU167" s="21">
        <f t="shared" si="1029"/>
        <v>17</v>
      </c>
      <c r="CV167" s="21">
        <f t="shared" si="1029"/>
        <v>18</v>
      </c>
      <c r="CW167" s="21">
        <f t="shared" si="1029"/>
        <v>20</v>
      </c>
      <c r="CX167" s="21">
        <f t="shared" si="1029"/>
        <v>22</v>
      </c>
      <c r="CY167" s="21">
        <f t="shared" si="1029"/>
        <v>23</v>
      </c>
      <c r="CZ167" s="21">
        <f t="shared" si="1029"/>
        <v>25</v>
      </c>
      <c r="DA167" s="21">
        <f t="shared" si="1029"/>
        <v>26</v>
      </c>
      <c r="DB167" s="21">
        <f>AX167</f>
        <v>5</v>
      </c>
      <c r="DC167" s="21">
        <f t="shared" si="1030"/>
        <v>7</v>
      </c>
      <c r="DD167" s="21">
        <f t="shared" si="1030"/>
        <v>13</v>
      </c>
      <c r="DE167" s="21">
        <f t="shared" si="1030"/>
        <v>16</v>
      </c>
      <c r="DF167" s="21">
        <f t="shared" si="1030"/>
        <v>20</v>
      </c>
      <c r="DG167" s="21">
        <f t="shared" si="1030"/>
        <v>20</v>
      </c>
      <c r="DH167" s="21">
        <f t="shared" si="1030"/>
        <v>21</v>
      </c>
      <c r="DI167" s="21">
        <f t="shared" si="1030"/>
        <v>22</v>
      </c>
      <c r="DJ167" s="21">
        <f t="shared" si="1030"/>
        <v>28</v>
      </c>
      <c r="DK167" s="21">
        <f t="shared" si="1030"/>
        <v>28</v>
      </c>
      <c r="DL167" s="21">
        <f t="shared" si="1030"/>
        <v>30</v>
      </c>
      <c r="DM167" s="21">
        <f t="shared" si="1030"/>
        <v>34</v>
      </c>
      <c r="DN167" s="21">
        <f>BJ167</f>
        <v>4</v>
      </c>
      <c r="DO167" s="21">
        <f t="shared" si="1031"/>
        <v>13</v>
      </c>
      <c r="DP167" s="21">
        <f t="shared" si="1031"/>
        <v>13</v>
      </c>
      <c r="DQ167" s="248"/>
      <c r="DR167" s="248"/>
      <c r="DS167" s="248"/>
      <c r="DT167" s="248"/>
      <c r="DU167" s="248"/>
      <c r="DV167" s="248"/>
      <c r="DW167" s="248"/>
      <c r="DX167" s="248"/>
      <c r="DY167" s="248"/>
      <c r="ED167" s="429"/>
      <c r="EE167" s="23"/>
      <c r="EF167" s="23"/>
      <c r="EG167" s="23"/>
      <c r="EH167" s="18">
        <f t="shared" si="987"/>
        <v>9</v>
      </c>
      <c r="EI167" s="18">
        <f t="shared" si="988"/>
        <v>13</v>
      </c>
      <c r="EJ167" s="18">
        <f t="shared" si="989"/>
        <v>13</v>
      </c>
      <c r="EK167" s="24">
        <f t="shared" si="1032"/>
        <v>0.16666666666666666</v>
      </c>
      <c r="EL167" s="14"/>
      <c r="EM167" s="14"/>
      <c r="EN167" s="14"/>
      <c r="EO167" s="46" t="str">
        <f>IF(EH167&lt;0,,IF(EH167&lt;EE143,"È",IF(EH167=EE143,"Æ","Ç")))</f>
        <v>Ç</v>
      </c>
      <c r="EP167" s="46" t="str">
        <f>IF(EI167&lt;0,,IF(EI167&lt;EF143,"È",IF(EI167=EF143,"Æ","Ç")))</f>
        <v>Ç</v>
      </c>
      <c r="EQ167" s="2">
        <f t="shared" si="991"/>
        <v>3</v>
      </c>
      <c r="ER167" s="2">
        <f t="shared" si="992"/>
        <v>3</v>
      </c>
      <c r="ES167" s="2">
        <f t="shared" si="993"/>
        <v>3</v>
      </c>
    </row>
    <row r="168" spans="1:150" ht="12.75" customHeight="1">
      <c r="A168" s="6" t="s">
        <v>23</v>
      </c>
      <c r="B168" s="2" t="s">
        <v>6</v>
      </c>
      <c r="C168" s="3" t="s">
        <v>63</v>
      </c>
      <c r="E168" s="3" t="s">
        <v>16</v>
      </c>
      <c r="G168" s="3" t="s">
        <v>89</v>
      </c>
      <c r="I168" s="23"/>
      <c r="J168" s="19">
        <v>0</v>
      </c>
      <c r="K168" s="19">
        <v>0</v>
      </c>
      <c r="L168" s="19">
        <v>0</v>
      </c>
      <c r="M168" s="19">
        <v>0</v>
      </c>
      <c r="N168" s="19">
        <v>0</v>
      </c>
      <c r="O168" s="19">
        <v>1</v>
      </c>
      <c r="P168" s="19">
        <v>2</v>
      </c>
      <c r="Q168" s="19">
        <v>1</v>
      </c>
      <c r="R168" s="19">
        <v>3</v>
      </c>
      <c r="S168" s="19">
        <v>2</v>
      </c>
      <c r="T168" s="19">
        <v>2</v>
      </c>
      <c r="U168" s="19">
        <v>3</v>
      </c>
      <c r="V168" s="31">
        <v>2</v>
      </c>
      <c r="W168" s="19">
        <v>4</v>
      </c>
      <c r="X168" s="19">
        <v>1</v>
      </c>
      <c r="Y168" s="337">
        <v>0</v>
      </c>
      <c r="Z168" s="19">
        <v>3</v>
      </c>
      <c r="AA168" s="19">
        <v>0</v>
      </c>
      <c r="AB168" s="263">
        <v>1E-4</v>
      </c>
      <c r="AC168" s="19">
        <v>1</v>
      </c>
      <c r="AD168" s="19">
        <v>1</v>
      </c>
      <c r="AE168" s="19">
        <v>2</v>
      </c>
      <c r="AF168" s="19">
        <v>1</v>
      </c>
      <c r="AG168" s="19">
        <v>1</v>
      </c>
      <c r="AH168" s="31">
        <v>3</v>
      </c>
      <c r="AI168" s="19">
        <v>1</v>
      </c>
      <c r="AJ168" s="19"/>
      <c r="AK168" s="408"/>
      <c r="AL168" s="19">
        <f t="shared" si="1022"/>
        <v>0</v>
      </c>
      <c r="AM168" s="19">
        <f t="shared" ref="AM168:AO169" si="1033">K168</f>
        <v>0</v>
      </c>
      <c r="AN168" s="246">
        <f t="shared" ref="AN168:AV168" si="1034">L168</f>
        <v>0</v>
      </c>
      <c r="AO168" s="246">
        <f t="shared" si="1034"/>
        <v>0</v>
      </c>
      <c r="AP168" s="246">
        <f t="shared" si="1034"/>
        <v>0</v>
      </c>
      <c r="AQ168" s="246">
        <f t="shared" si="1034"/>
        <v>1</v>
      </c>
      <c r="AR168" s="246">
        <f t="shared" si="1034"/>
        <v>2</v>
      </c>
      <c r="AS168" s="246">
        <f t="shared" si="1034"/>
        <v>1</v>
      </c>
      <c r="AT168" s="246">
        <f t="shared" si="1034"/>
        <v>3</v>
      </c>
      <c r="AU168" s="246">
        <f t="shared" si="1034"/>
        <v>2</v>
      </c>
      <c r="AV168" s="246">
        <f t="shared" si="1034"/>
        <v>2</v>
      </c>
      <c r="AW168" s="376">
        <f>U168</f>
        <v>3</v>
      </c>
      <c r="AX168" s="376">
        <f t="shared" si="1023"/>
        <v>2</v>
      </c>
      <c r="AY168" s="376">
        <f t="shared" ref="AY168:BI168" si="1035">W168</f>
        <v>4</v>
      </c>
      <c r="AZ168" s="376">
        <f t="shared" si="1035"/>
        <v>1</v>
      </c>
      <c r="BA168" s="376">
        <f t="shared" si="1035"/>
        <v>0</v>
      </c>
      <c r="BB168" s="376">
        <f t="shared" si="1035"/>
        <v>3</v>
      </c>
      <c r="BC168" s="376">
        <f t="shared" si="1035"/>
        <v>0</v>
      </c>
      <c r="BD168" s="376">
        <f t="shared" si="1035"/>
        <v>1E-4</v>
      </c>
      <c r="BE168" s="376">
        <f t="shared" si="1035"/>
        <v>1</v>
      </c>
      <c r="BF168" s="376">
        <f t="shared" si="1035"/>
        <v>1</v>
      </c>
      <c r="BG168" s="376">
        <f t="shared" si="1035"/>
        <v>2</v>
      </c>
      <c r="BH168" s="376">
        <f t="shared" si="1035"/>
        <v>1</v>
      </c>
      <c r="BI168" s="376">
        <f t="shared" si="1035"/>
        <v>1</v>
      </c>
      <c r="BJ168" s="376">
        <f t="shared" si="1025"/>
        <v>3</v>
      </c>
      <c r="BK168" s="376">
        <f>AI168</f>
        <v>1</v>
      </c>
      <c r="BL168" s="376">
        <f>AJ168</f>
        <v>0</v>
      </c>
      <c r="BM168" s="408"/>
      <c r="BN168" s="48">
        <f t="shared" si="994"/>
        <v>0</v>
      </c>
      <c r="BO168" s="48">
        <f t="shared" si="995"/>
        <v>0</v>
      </c>
      <c r="BP168" s="48">
        <f>SUM(AL168:AN168)</f>
        <v>0</v>
      </c>
      <c r="BQ168" s="48">
        <f t="shared" si="997"/>
        <v>1</v>
      </c>
      <c r="BR168" s="48">
        <f t="shared" si="998"/>
        <v>1</v>
      </c>
      <c r="BS168" s="48">
        <f>SUM(AO168:AQ168)</f>
        <v>1</v>
      </c>
      <c r="BT168" s="48">
        <f t="shared" si="1000"/>
        <v>6</v>
      </c>
      <c r="BU168" s="48">
        <f t="shared" si="1001"/>
        <v>6</v>
      </c>
      <c r="BV168" s="48">
        <f>SUM(AR168:AT168)</f>
        <v>6</v>
      </c>
      <c r="BW168" s="48">
        <f t="shared" si="1003"/>
        <v>7</v>
      </c>
      <c r="BX168" s="48">
        <f t="shared" si="1004"/>
        <v>7</v>
      </c>
      <c r="BY168" s="48">
        <f>SUM(AU168:AW168)</f>
        <v>7</v>
      </c>
      <c r="BZ168" s="48">
        <f t="shared" si="1006"/>
        <v>7</v>
      </c>
      <c r="CA168" s="48">
        <f t="shared" si="1007"/>
        <v>7</v>
      </c>
      <c r="CB168" s="48">
        <f>SUM(AX168:AZ168)</f>
        <v>7</v>
      </c>
      <c r="CC168" s="48">
        <f t="shared" si="1009"/>
        <v>3</v>
      </c>
      <c r="CD168" s="48">
        <f t="shared" si="1010"/>
        <v>3</v>
      </c>
      <c r="CE168" s="48">
        <f>SUM(BA168:BC168)</f>
        <v>3</v>
      </c>
      <c r="CF168" s="48">
        <f t="shared" si="1012"/>
        <v>2.0000999999999998</v>
      </c>
      <c r="CG168" s="48">
        <f t="shared" si="1013"/>
        <v>2.0000999999999998</v>
      </c>
      <c r="CH168" s="48">
        <f>SUM(BD168:BF168)</f>
        <v>2.0000999999999998</v>
      </c>
      <c r="CI168" s="48">
        <f t="shared" si="1015"/>
        <v>4</v>
      </c>
      <c r="CJ168" s="48">
        <f t="shared" si="1016"/>
        <v>4</v>
      </c>
      <c r="CK168" s="48">
        <f>SUM(BG168:BI168)</f>
        <v>4</v>
      </c>
      <c r="CL168" s="48">
        <f t="shared" si="1018"/>
        <v>4</v>
      </c>
      <c r="CM168" s="48">
        <f t="shared" si="1019"/>
        <v>4</v>
      </c>
      <c r="CN168" s="48">
        <f>SUM(BJ168:BL168)</f>
        <v>4</v>
      </c>
      <c r="CO168" s="406"/>
      <c r="CP168" s="21">
        <f>+J168</f>
        <v>0</v>
      </c>
      <c r="CQ168" s="21">
        <f t="shared" ref="CQ168:DA168" si="1036">+CP168+K168</f>
        <v>0</v>
      </c>
      <c r="CR168" s="21">
        <f t="shared" si="1036"/>
        <v>0</v>
      </c>
      <c r="CS168" s="21">
        <f t="shared" si="1036"/>
        <v>0</v>
      </c>
      <c r="CT168" s="21">
        <f t="shared" si="1036"/>
        <v>0</v>
      </c>
      <c r="CU168" s="21">
        <f t="shared" si="1036"/>
        <v>1</v>
      </c>
      <c r="CV168" s="21">
        <f t="shared" si="1036"/>
        <v>3</v>
      </c>
      <c r="CW168" s="21">
        <f t="shared" si="1036"/>
        <v>4</v>
      </c>
      <c r="CX168" s="21">
        <f t="shared" si="1036"/>
        <v>7</v>
      </c>
      <c r="CY168" s="21">
        <f t="shared" si="1036"/>
        <v>9</v>
      </c>
      <c r="CZ168" s="21">
        <f t="shared" si="1036"/>
        <v>11</v>
      </c>
      <c r="DA168" s="21">
        <f t="shared" si="1036"/>
        <v>14</v>
      </c>
      <c r="DB168" s="21">
        <f>+V168</f>
        <v>2</v>
      </c>
      <c r="DC168" s="21">
        <f t="shared" ref="DC168:DM168" si="1037">+DB168+W168</f>
        <v>6</v>
      </c>
      <c r="DD168" s="21">
        <f t="shared" si="1037"/>
        <v>7</v>
      </c>
      <c r="DE168" s="21">
        <f t="shared" si="1037"/>
        <v>7</v>
      </c>
      <c r="DF168" s="21">
        <f t="shared" si="1037"/>
        <v>10</v>
      </c>
      <c r="DG168" s="21">
        <f t="shared" si="1037"/>
        <v>10</v>
      </c>
      <c r="DH168" s="21">
        <f t="shared" si="1037"/>
        <v>10.0001</v>
      </c>
      <c r="DI168" s="21">
        <f t="shared" si="1037"/>
        <v>11.0001</v>
      </c>
      <c r="DJ168" s="21">
        <f t="shared" si="1037"/>
        <v>12.0001</v>
      </c>
      <c r="DK168" s="21">
        <f t="shared" si="1037"/>
        <v>14.0001</v>
      </c>
      <c r="DL168" s="21">
        <f t="shared" si="1037"/>
        <v>15.0001</v>
      </c>
      <c r="DM168" s="21">
        <f t="shared" si="1037"/>
        <v>16.0001</v>
      </c>
      <c r="DN168" s="21">
        <f>BJ168</f>
        <v>3</v>
      </c>
      <c r="DO168" s="21">
        <f>DN168+BK168</f>
        <v>4</v>
      </c>
      <c r="DP168" s="21">
        <f>DO168+BL168</f>
        <v>4</v>
      </c>
      <c r="DQ168" s="248"/>
      <c r="DR168" s="248"/>
      <c r="DS168" s="248"/>
      <c r="DT168" s="248"/>
      <c r="DU168" s="248"/>
      <c r="DV168" s="248"/>
      <c r="DW168" s="248"/>
      <c r="DX168" s="248"/>
      <c r="DY168" s="248"/>
      <c r="ED168" s="429"/>
      <c r="EE168" s="23"/>
      <c r="EF168" s="23"/>
      <c r="EG168" s="23"/>
      <c r="EH168" s="18">
        <f t="shared" si="987"/>
        <v>1</v>
      </c>
      <c r="EI168" s="18">
        <f t="shared" si="988"/>
        <v>4</v>
      </c>
      <c r="EJ168" s="18">
        <f t="shared" si="989"/>
        <v>4</v>
      </c>
      <c r="EK168" s="24">
        <f t="shared" si="1032"/>
        <v>0.16666666666666666</v>
      </c>
      <c r="EL168" s="14" t="e">
        <f t="shared" ref="EL168:EN175" si="1038">EH168/EE143</f>
        <v>#DIV/0!</v>
      </c>
      <c r="EM168" s="14" t="e">
        <f t="shared" si="1038"/>
        <v>#DIV/0!</v>
      </c>
      <c r="EN168" s="14">
        <f>EJ168/EK168/EG143</f>
        <v>1.1428571428571428</v>
      </c>
      <c r="EO168" s="46" t="str">
        <f t="shared" ref="EO168:EO180" si="1039">IF(EH168&lt;0,,IF(EH168&lt;EE143,"È",IF(EH168=EE143,"Æ","Ç")))</f>
        <v>Ç</v>
      </c>
      <c r="EP168" s="46" t="str">
        <f t="shared" ref="EP168:EP180" si="1040">IF(EI168&lt;0,,IF(EI168&lt;EF143,"È",IF(EI168=EF143,"Æ","Ç")))</f>
        <v>Ç</v>
      </c>
      <c r="EQ168" s="2" t="e">
        <f t="shared" si="991"/>
        <v>#DIV/0!</v>
      </c>
      <c r="ER168" s="2" t="e">
        <f t="shared" si="992"/>
        <v>#DIV/0!</v>
      </c>
      <c r="ES168" s="2">
        <f t="shared" si="993"/>
        <v>1</v>
      </c>
    </row>
    <row r="169" spans="1:150" ht="12.75" customHeight="1">
      <c r="A169" s="15" t="s">
        <v>23</v>
      </c>
      <c r="B169" s="14" t="s">
        <v>7</v>
      </c>
      <c r="C169" s="16" t="s">
        <v>64</v>
      </c>
      <c r="D169" s="16"/>
      <c r="E169" s="16" t="s">
        <v>16</v>
      </c>
      <c r="F169" s="16"/>
      <c r="G169" s="16" t="s">
        <v>89</v>
      </c>
      <c r="H169" s="16"/>
      <c r="I169" s="24"/>
      <c r="J169" s="25">
        <v>0</v>
      </c>
      <c r="K169" s="25">
        <v>0</v>
      </c>
      <c r="L169" s="25">
        <v>0</v>
      </c>
      <c r="M169" s="25">
        <v>0</v>
      </c>
      <c r="N169" s="25">
        <v>0</v>
      </c>
      <c r="O169" s="25">
        <v>1</v>
      </c>
      <c r="P169" s="25">
        <v>1</v>
      </c>
      <c r="Q169" s="25">
        <v>1</v>
      </c>
      <c r="R169" s="25">
        <v>1</v>
      </c>
      <c r="S169" s="25">
        <v>1</v>
      </c>
      <c r="T169" s="25">
        <v>1</v>
      </c>
      <c r="U169" s="25">
        <v>1</v>
      </c>
      <c r="V169" s="33">
        <v>1</v>
      </c>
      <c r="W169" s="25">
        <v>1</v>
      </c>
      <c r="X169" s="25">
        <v>1</v>
      </c>
      <c r="Y169" s="338">
        <v>0</v>
      </c>
      <c r="Z169" s="25">
        <v>1</v>
      </c>
      <c r="AA169" s="25">
        <v>0</v>
      </c>
      <c r="AB169" s="25">
        <v>0</v>
      </c>
      <c r="AC169" s="25">
        <v>1</v>
      </c>
      <c r="AD169" s="25">
        <v>1</v>
      </c>
      <c r="AE169" s="25">
        <v>1</v>
      </c>
      <c r="AF169" s="25">
        <v>1</v>
      </c>
      <c r="AG169" s="377">
        <v>1</v>
      </c>
      <c r="AH169" s="33">
        <v>1</v>
      </c>
      <c r="AI169" s="25">
        <v>1</v>
      </c>
      <c r="AJ169" s="25"/>
      <c r="AK169" s="412"/>
      <c r="AL169" s="14">
        <f t="shared" si="1022"/>
        <v>0</v>
      </c>
      <c r="AM169" s="14">
        <f t="shared" si="1033"/>
        <v>0</v>
      </c>
      <c r="AN169" s="14">
        <f t="shared" si="1033"/>
        <v>0</v>
      </c>
      <c r="AO169" s="14">
        <f t="shared" si="1033"/>
        <v>0</v>
      </c>
      <c r="AP169" s="129">
        <f>IF(N169&lt;&gt;"",N169,0)</f>
        <v>0</v>
      </c>
      <c r="AQ169" s="129">
        <f t="shared" ref="AQ169:AY169" si="1041">IF(O169&lt;&gt;"",O169,0)</f>
        <v>1</v>
      </c>
      <c r="AR169" s="129">
        <f t="shared" si="1041"/>
        <v>1</v>
      </c>
      <c r="AS169" s="129">
        <f t="shared" si="1041"/>
        <v>1</v>
      </c>
      <c r="AT169" s="129">
        <f t="shared" si="1041"/>
        <v>1</v>
      </c>
      <c r="AU169" s="129">
        <f t="shared" si="1041"/>
        <v>1</v>
      </c>
      <c r="AV169" s="129">
        <f t="shared" si="1041"/>
        <v>1</v>
      </c>
      <c r="AW169" s="129">
        <f t="shared" si="1041"/>
        <v>1</v>
      </c>
      <c r="AX169" s="14">
        <f t="shared" si="1023"/>
        <v>1</v>
      </c>
      <c r="AY169" s="129">
        <f t="shared" si="1041"/>
        <v>1</v>
      </c>
      <c r="AZ169" s="129">
        <f t="shared" ref="AZ169:BI169" si="1042">IF(X169&lt;&gt;"",X169,0)</f>
        <v>1</v>
      </c>
      <c r="BA169" s="129">
        <f t="shared" si="1042"/>
        <v>0</v>
      </c>
      <c r="BB169" s="129">
        <f t="shared" si="1042"/>
        <v>1</v>
      </c>
      <c r="BC169" s="129">
        <f t="shared" si="1042"/>
        <v>0</v>
      </c>
      <c r="BD169" s="129">
        <f t="shared" si="1042"/>
        <v>0</v>
      </c>
      <c r="BE169" s="129">
        <f t="shared" si="1042"/>
        <v>1</v>
      </c>
      <c r="BF169" s="129">
        <f t="shared" si="1042"/>
        <v>1</v>
      </c>
      <c r="BG169" s="129">
        <f t="shared" si="1042"/>
        <v>1</v>
      </c>
      <c r="BH169" s="129">
        <f t="shared" si="1042"/>
        <v>1</v>
      </c>
      <c r="BI169" s="129">
        <f t="shared" si="1042"/>
        <v>1</v>
      </c>
      <c r="BJ169" s="14">
        <f t="shared" si="1025"/>
        <v>1</v>
      </c>
      <c r="BK169" s="129">
        <f t="shared" si="982"/>
        <v>0</v>
      </c>
      <c r="BL169" s="129">
        <f t="shared" si="983"/>
        <v>0</v>
      </c>
      <c r="BM169" s="410"/>
      <c r="BN169" s="56">
        <f t="shared" si="994"/>
        <v>0</v>
      </c>
      <c r="BO169" s="56">
        <f t="shared" si="995"/>
        <v>0</v>
      </c>
      <c r="BP169" s="56">
        <f>IF(BP168=0,0,(AL169*AL168+AM169*AM168+AN169*AN168)/BP168)</f>
        <v>0</v>
      </c>
      <c r="BQ169" s="56">
        <f t="shared" si="997"/>
        <v>1</v>
      </c>
      <c r="BR169" s="56">
        <f t="shared" si="998"/>
        <v>1</v>
      </c>
      <c r="BS169" s="56">
        <f>IF(BS168=0,0,(AO169*AO168+AP169*AP168+AQ169*AQ168)/BS168)</f>
        <v>1</v>
      </c>
      <c r="BT169" s="56">
        <f t="shared" si="1000"/>
        <v>1</v>
      </c>
      <c r="BU169" s="56">
        <f t="shared" si="1001"/>
        <v>1</v>
      </c>
      <c r="BV169" s="56">
        <f>IF(BV168=0,0,(AR169*AR168+AS169*AS168+AT169*AT168)/BV168)</f>
        <v>1</v>
      </c>
      <c r="BW169" s="56">
        <f t="shared" si="1003"/>
        <v>1</v>
      </c>
      <c r="BX169" s="56">
        <f t="shared" si="1004"/>
        <v>1</v>
      </c>
      <c r="BY169" s="56">
        <f>IF(BY168=0,0,(AU169*AU168+AV169*AV168+AW169*AW168)/BY168)</f>
        <v>1</v>
      </c>
      <c r="BZ169" s="56">
        <f t="shared" si="1006"/>
        <v>1</v>
      </c>
      <c r="CA169" s="56">
        <f t="shared" si="1007"/>
        <v>1</v>
      </c>
      <c r="CB169" s="56">
        <f>IF(CB168=0,0,(AX169*AX168+AY169*AY168+AZ169*AZ168)/CB168)</f>
        <v>1</v>
      </c>
      <c r="CC169" s="56">
        <f t="shared" si="1009"/>
        <v>1</v>
      </c>
      <c r="CD169" s="56">
        <f t="shared" si="1010"/>
        <v>1</v>
      </c>
      <c r="CE169" s="56">
        <f>IF(CE168=0,0,(BA169*BA168+BB169*BB168+BC169*BC168)/CE168)</f>
        <v>1</v>
      </c>
      <c r="CF169" s="56">
        <f t="shared" si="1012"/>
        <v>0.99995000249987509</v>
      </c>
      <c r="CG169" s="56">
        <f t="shared" si="1013"/>
        <v>0.99995000249987509</v>
      </c>
      <c r="CH169" s="56">
        <f>IF(CH168=0,0,(BD169*BD168+BE169*BE168+BF169*BF168)/CH168)</f>
        <v>0.99995000249987509</v>
      </c>
      <c r="CI169" s="56">
        <f t="shared" si="1015"/>
        <v>1</v>
      </c>
      <c r="CJ169" s="56">
        <f t="shared" si="1016"/>
        <v>1</v>
      </c>
      <c r="CK169" s="56">
        <f>IF(CK168=0,0,(BG169*BG168+BH169*BH168+BI169*BI168)/CK168)</f>
        <v>1</v>
      </c>
      <c r="CL169" s="56">
        <f t="shared" si="1018"/>
        <v>0.75</v>
      </c>
      <c r="CM169" s="56">
        <f t="shared" si="1019"/>
        <v>0.75</v>
      </c>
      <c r="CN169" s="56">
        <f>IF(CN168=0,0,(BJ169*BJ168+BK169*BK168+BL169*BL168)/CN168)</f>
        <v>0.75</v>
      </c>
      <c r="CO169" s="422"/>
      <c r="CP169" s="25">
        <f>J169</f>
        <v>0</v>
      </c>
      <c r="CQ169" s="25">
        <f>IF(CQ168=0,0,CQ181/CQ168)</f>
        <v>0</v>
      </c>
      <c r="CR169" s="25">
        <f t="shared" ref="CR169:DP169" si="1043">IF(CR168=0,0,CR181/CR168)</f>
        <v>0</v>
      </c>
      <c r="CS169" s="25">
        <f t="shared" si="1043"/>
        <v>0</v>
      </c>
      <c r="CT169" s="25">
        <f t="shared" si="1043"/>
        <v>0</v>
      </c>
      <c r="CU169" s="25">
        <f t="shared" si="1043"/>
        <v>1</v>
      </c>
      <c r="CV169" s="25">
        <f t="shared" si="1043"/>
        <v>1</v>
      </c>
      <c r="CW169" s="25">
        <f t="shared" si="1043"/>
        <v>1</v>
      </c>
      <c r="CX169" s="25">
        <f t="shared" si="1043"/>
        <v>1</v>
      </c>
      <c r="CY169" s="25">
        <f t="shared" si="1043"/>
        <v>1</v>
      </c>
      <c r="CZ169" s="25">
        <f t="shared" si="1043"/>
        <v>1</v>
      </c>
      <c r="DA169" s="25">
        <f t="shared" si="1043"/>
        <v>1</v>
      </c>
      <c r="DB169" s="25">
        <f t="shared" si="1043"/>
        <v>1</v>
      </c>
      <c r="DC169" s="25">
        <f t="shared" si="1043"/>
        <v>1</v>
      </c>
      <c r="DD169" s="25">
        <f t="shared" si="1043"/>
        <v>1</v>
      </c>
      <c r="DE169" s="25">
        <f t="shared" si="1043"/>
        <v>1</v>
      </c>
      <c r="DF169" s="25">
        <f t="shared" si="1043"/>
        <v>1</v>
      </c>
      <c r="DG169" s="25">
        <f t="shared" si="1043"/>
        <v>1</v>
      </c>
      <c r="DH169" s="25">
        <f t="shared" si="1043"/>
        <v>0.99999000009999905</v>
      </c>
      <c r="DI169" s="25">
        <f t="shared" si="1043"/>
        <v>0.99999090917355304</v>
      </c>
      <c r="DJ169" s="25">
        <f t="shared" si="1043"/>
        <v>0.99999166673611051</v>
      </c>
      <c r="DK169" s="25">
        <f t="shared" si="1043"/>
        <v>0.9999928571938772</v>
      </c>
      <c r="DL169" s="25">
        <f t="shared" si="1043"/>
        <v>0.99999333337777752</v>
      </c>
      <c r="DM169" s="25">
        <f t="shared" si="1043"/>
        <v>0.99999375003906232</v>
      </c>
      <c r="DN169" s="25">
        <f t="shared" si="1043"/>
        <v>1</v>
      </c>
      <c r="DO169" s="25">
        <f t="shared" si="1043"/>
        <v>1</v>
      </c>
      <c r="DP169" s="25">
        <f t="shared" si="1043"/>
        <v>1</v>
      </c>
      <c r="DQ169" s="377"/>
      <c r="DR169" s="377"/>
      <c r="DS169" s="377"/>
      <c r="DT169" s="377"/>
      <c r="DU169" s="377"/>
      <c r="DV169" s="377"/>
      <c r="DW169" s="377"/>
      <c r="DX169" s="377"/>
      <c r="DY169" s="377"/>
      <c r="DZ169" s="14"/>
      <c r="EA169" s="14"/>
      <c r="EB169" s="14"/>
      <c r="EC169" s="14"/>
      <c r="ED169" s="430"/>
      <c r="EE169" s="24"/>
      <c r="EF169" s="24"/>
      <c r="EG169" s="24"/>
      <c r="EH169" s="25">
        <f t="shared" si="987"/>
        <v>0</v>
      </c>
      <c r="EI169" s="25">
        <f t="shared" si="988"/>
        <v>0.75</v>
      </c>
      <c r="EJ169" s="25">
        <f t="shared" si="989"/>
        <v>1</v>
      </c>
      <c r="EK169" s="24">
        <f t="shared" si="1032"/>
        <v>0.16666666666666666</v>
      </c>
      <c r="EL169" s="14">
        <f>EH169</f>
        <v>0</v>
      </c>
      <c r="EM169" s="14">
        <f>EI169</f>
        <v>0.75</v>
      </c>
      <c r="EN169" s="14">
        <f>EJ169</f>
        <v>1</v>
      </c>
      <c r="EO169" s="46" t="str">
        <f t="shared" si="1039"/>
        <v>È</v>
      </c>
      <c r="EP169" s="46" t="str">
        <f>IF(EI169&lt;0,,IF(EI169&lt;EF144,"È",IF(EI169=EF144,"Æ","Ç")))</f>
        <v>È</v>
      </c>
      <c r="EQ169" s="2">
        <f t="shared" si="991"/>
        <v>3</v>
      </c>
      <c r="ER169" s="2">
        <f t="shared" si="992"/>
        <v>2</v>
      </c>
      <c r="ES169" s="2">
        <f t="shared" si="993"/>
        <v>1</v>
      </c>
      <c r="ET169" s="14"/>
    </row>
    <row r="170" spans="1:150" ht="15.75">
      <c r="A170" s="6" t="s">
        <v>23</v>
      </c>
      <c r="B170" s="2" t="s">
        <v>8</v>
      </c>
      <c r="C170" s="3" t="s">
        <v>87</v>
      </c>
      <c r="E170" s="3" t="s">
        <v>16</v>
      </c>
      <c r="G170" s="3" t="s">
        <v>91</v>
      </c>
      <c r="I170" s="23"/>
      <c r="J170" s="19">
        <v>0</v>
      </c>
      <c r="K170" s="19">
        <v>0</v>
      </c>
      <c r="L170" s="19">
        <v>0</v>
      </c>
      <c r="M170" s="19">
        <v>0</v>
      </c>
      <c r="N170" s="19">
        <v>0</v>
      </c>
      <c r="O170" s="19">
        <v>6</v>
      </c>
      <c r="P170" s="19">
        <v>8</v>
      </c>
      <c r="Q170" s="19">
        <v>12</v>
      </c>
      <c r="R170" s="19">
        <v>20</v>
      </c>
      <c r="S170" s="19">
        <v>23</v>
      </c>
      <c r="T170" s="19">
        <v>25</v>
      </c>
      <c r="U170" s="19">
        <v>25</v>
      </c>
      <c r="V170" s="31">
        <v>4</v>
      </c>
      <c r="W170" s="19">
        <v>6</v>
      </c>
      <c r="X170" s="19">
        <v>35</v>
      </c>
      <c r="Y170" s="337">
        <v>43</v>
      </c>
      <c r="Z170" s="19">
        <v>43</v>
      </c>
      <c r="AA170" s="19">
        <v>44</v>
      </c>
      <c r="AB170" s="19">
        <v>44</v>
      </c>
      <c r="AC170" s="19">
        <v>44</v>
      </c>
      <c r="AD170" s="19">
        <v>47</v>
      </c>
      <c r="AE170" s="19">
        <v>47</v>
      </c>
      <c r="AF170" s="19">
        <v>50</v>
      </c>
      <c r="AG170" s="19">
        <v>55</v>
      </c>
      <c r="AH170" s="31">
        <v>0</v>
      </c>
      <c r="AI170" s="19">
        <v>0</v>
      </c>
      <c r="AJ170" s="19"/>
      <c r="AK170" s="408"/>
      <c r="AL170" s="19">
        <f t="shared" si="1022"/>
        <v>0</v>
      </c>
      <c r="AM170" s="19">
        <f>K170-J170</f>
        <v>0</v>
      </c>
      <c r="AN170" s="19">
        <f t="shared" ref="AN170:AN176" si="1044">L170-K170</f>
        <v>0</v>
      </c>
      <c r="AO170" s="19">
        <f t="shared" ref="AO170:AO176" si="1045">M170-L170</f>
        <v>0</v>
      </c>
      <c r="AP170" s="129">
        <f t="shared" ref="AP170:AP175" si="1046">IF(N170&lt;&gt;"",N170-M170,0)</f>
        <v>0</v>
      </c>
      <c r="AQ170" s="129">
        <f t="shared" ref="AQ170:AQ178" si="1047">IF(O170&lt;&gt;"",O170-N170,0)</f>
        <v>6</v>
      </c>
      <c r="AR170" s="129">
        <f t="shared" si="966"/>
        <v>2</v>
      </c>
      <c r="AS170" s="129">
        <f t="shared" si="967"/>
        <v>4</v>
      </c>
      <c r="AT170" s="129">
        <f t="shared" si="968"/>
        <v>8</v>
      </c>
      <c r="AU170" s="129">
        <f t="shared" si="969"/>
        <v>3</v>
      </c>
      <c r="AV170" s="129">
        <f t="shared" si="970"/>
        <v>2</v>
      </c>
      <c r="AW170" s="129">
        <f t="shared" si="971"/>
        <v>0</v>
      </c>
      <c r="AX170" s="19">
        <f t="shared" si="1023"/>
        <v>4</v>
      </c>
      <c r="AY170" s="129">
        <f t="shared" si="972"/>
        <v>2</v>
      </c>
      <c r="AZ170" s="129">
        <f t="shared" si="973"/>
        <v>29</v>
      </c>
      <c r="BA170" s="129">
        <f t="shared" si="1024"/>
        <v>8</v>
      </c>
      <c r="BB170" s="129">
        <f t="shared" si="974"/>
        <v>0</v>
      </c>
      <c r="BC170" s="129">
        <f t="shared" si="975"/>
        <v>1</v>
      </c>
      <c r="BD170" s="129">
        <f t="shared" si="976"/>
        <v>0</v>
      </c>
      <c r="BE170" s="129">
        <f t="shared" si="977"/>
        <v>0</v>
      </c>
      <c r="BF170" s="129">
        <f t="shared" si="978"/>
        <v>3</v>
      </c>
      <c r="BG170" s="129">
        <f t="shared" si="979"/>
        <v>0</v>
      </c>
      <c r="BH170" s="129">
        <f t="shared" si="980"/>
        <v>3</v>
      </c>
      <c r="BI170" s="129">
        <f t="shared" si="981"/>
        <v>5</v>
      </c>
      <c r="BJ170" s="19">
        <f t="shared" si="1025"/>
        <v>0</v>
      </c>
      <c r="BK170" s="129">
        <f t="shared" si="982"/>
        <v>0</v>
      </c>
      <c r="BL170" s="129">
        <f t="shared" si="983"/>
        <v>0</v>
      </c>
      <c r="BM170" s="408"/>
      <c r="BN170" s="48">
        <f t="shared" si="994"/>
        <v>0</v>
      </c>
      <c r="BO170" s="48">
        <f t="shared" si="995"/>
        <v>0</v>
      </c>
      <c r="BP170" s="48">
        <f t="shared" ref="BP170:BP175" si="1048">SUM(AL170:AN170)</f>
        <v>0</v>
      </c>
      <c r="BQ170" s="48">
        <f t="shared" si="997"/>
        <v>6</v>
      </c>
      <c r="BR170" s="48">
        <f t="shared" si="998"/>
        <v>6</v>
      </c>
      <c r="BS170" s="48">
        <f t="shared" ref="BS170:BS175" si="1049">SUM(AO170:AQ170)</f>
        <v>6</v>
      </c>
      <c r="BT170" s="48">
        <f t="shared" si="1000"/>
        <v>14</v>
      </c>
      <c r="BU170" s="48">
        <f t="shared" si="1001"/>
        <v>14</v>
      </c>
      <c r="BV170" s="48">
        <f t="shared" ref="BV170:BV175" si="1050">SUM(AR170:AT170)</f>
        <v>14</v>
      </c>
      <c r="BW170" s="48">
        <f t="shared" si="1003"/>
        <v>5</v>
      </c>
      <c r="BX170" s="48">
        <f t="shared" si="1004"/>
        <v>5</v>
      </c>
      <c r="BY170" s="48">
        <f t="shared" ref="BY170:BY175" si="1051">SUM(AU170:AW170)</f>
        <v>5</v>
      </c>
      <c r="BZ170" s="48">
        <f t="shared" si="1006"/>
        <v>35</v>
      </c>
      <c r="CA170" s="48">
        <f t="shared" si="1007"/>
        <v>35</v>
      </c>
      <c r="CB170" s="48">
        <f t="shared" ref="CB170:CB175" si="1052">SUM(AX170:AZ170)</f>
        <v>35</v>
      </c>
      <c r="CC170" s="48">
        <f t="shared" si="1009"/>
        <v>9</v>
      </c>
      <c r="CD170" s="48">
        <f t="shared" si="1010"/>
        <v>9</v>
      </c>
      <c r="CE170" s="48">
        <f t="shared" ref="CE170:CE175" si="1053">SUM(BA170:BC170)</f>
        <v>9</v>
      </c>
      <c r="CF170" s="48">
        <f t="shared" si="1012"/>
        <v>3</v>
      </c>
      <c r="CG170" s="48">
        <f t="shared" si="1013"/>
        <v>3</v>
      </c>
      <c r="CH170" s="48">
        <f t="shared" ref="CH170:CH175" si="1054">SUM(BD170:BF170)</f>
        <v>3</v>
      </c>
      <c r="CI170" s="48">
        <f t="shared" si="1015"/>
        <v>8</v>
      </c>
      <c r="CJ170" s="48">
        <f t="shared" si="1016"/>
        <v>8</v>
      </c>
      <c r="CK170" s="48">
        <f t="shared" ref="CK170:CK175" si="1055">SUM(BG170:BI170)</f>
        <v>8</v>
      </c>
      <c r="CL170" s="48">
        <f t="shared" si="1018"/>
        <v>0</v>
      </c>
      <c r="CM170" s="48">
        <f t="shared" si="1019"/>
        <v>0</v>
      </c>
      <c r="CN170" s="48">
        <f t="shared" ref="CN170:CN175" si="1056">SUM(BJ170:BL170)</f>
        <v>0</v>
      </c>
      <c r="CO170" s="406"/>
      <c r="CP170" s="21">
        <f>AL170</f>
        <v>0</v>
      </c>
      <c r="CQ170" s="21">
        <f>CP170+AM170</f>
        <v>0</v>
      </c>
      <c r="CR170" s="21">
        <f t="shared" ref="CR170:CR176" si="1057">CQ170+AN170</f>
        <v>0</v>
      </c>
      <c r="CS170" s="21">
        <f t="shared" ref="CS170:CS176" si="1058">CR170+AO170</f>
        <v>0</v>
      </c>
      <c r="CT170" s="21">
        <f t="shared" ref="CT170:CT176" si="1059">CS170+AP170</f>
        <v>0</v>
      </c>
      <c r="CU170" s="21">
        <f t="shared" ref="CU170:CU176" si="1060">CT170+AQ170</f>
        <v>6</v>
      </c>
      <c r="CV170" s="21">
        <f t="shared" ref="CV170:CV176" si="1061">CU170+AR170</f>
        <v>8</v>
      </c>
      <c r="CW170" s="21">
        <f t="shared" ref="CW170:CW176" si="1062">CV170+AS170</f>
        <v>12</v>
      </c>
      <c r="CX170" s="21">
        <f t="shared" ref="CX170:CX176" si="1063">CW170+AT170</f>
        <v>20</v>
      </c>
      <c r="CY170" s="21">
        <f t="shared" ref="CY170:CY176" si="1064">CX170+AU170</f>
        <v>23</v>
      </c>
      <c r="CZ170" s="21">
        <f t="shared" ref="CZ170:CZ176" si="1065">CY170+AV170</f>
        <v>25</v>
      </c>
      <c r="DA170" s="21">
        <f t="shared" ref="DA170:DA176" si="1066">CZ170+AW170</f>
        <v>25</v>
      </c>
      <c r="DB170" s="21">
        <f>AX170</f>
        <v>4</v>
      </c>
      <c r="DC170" s="21">
        <f t="shared" ref="DC170:DC176" si="1067">DB170+AY170</f>
        <v>6</v>
      </c>
      <c r="DD170" s="21">
        <f t="shared" ref="DD170:DD176" si="1068">DC170+AZ170</f>
        <v>35</v>
      </c>
      <c r="DE170" s="21">
        <f t="shared" ref="DE170:DE176" si="1069">DD170+BA170</f>
        <v>43</v>
      </c>
      <c r="DF170" s="21">
        <f t="shared" ref="DF170:DF176" si="1070">DE170+BB170</f>
        <v>43</v>
      </c>
      <c r="DG170" s="21">
        <f t="shared" ref="DG170:DG176" si="1071">DF170+BC170</f>
        <v>44</v>
      </c>
      <c r="DH170" s="21">
        <f t="shared" ref="DH170:DH176" si="1072">DG170+BD170</f>
        <v>44</v>
      </c>
      <c r="DI170" s="21">
        <f t="shared" ref="DI170:DI176" si="1073">DH170+BE170</f>
        <v>44</v>
      </c>
      <c r="DJ170" s="21">
        <f t="shared" ref="DJ170:DJ176" si="1074">DI170+BF170</f>
        <v>47</v>
      </c>
      <c r="DK170" s="21">
        <f t="shared" ref="DK170:DK176" si="1075">DJ170+BG170</f>
        <v>47</v>
      </c>
      <c r="DL170" s="21">
        <f t="shared" ref="DL170:DL176" si="1076">DK170+BH170</f>
        <v>50</v>
      </c>
      <c r="DM170" s="21">
        <f t="shared" ref="DM170:DM176" si="1077">DL170+BI170</f>
        <v>55</v>
      </c>
      <c r="DN170" s="21">
        <f t="shared" ref="DN170:DN175" si="1078">BJ170</f>
        <v>0</v>
      </c>
      <c r="DO170" s="21">
        <f t="shared" ref="DO170:DO176" si="1079">DN170+BK170</f>
        <v>0</v>
      </c>
      <c r="DP170" s="21">
        <f t="shared" ref="DP170:DP176" si="1080">DO170+BL170</f>
        <v>0</v>
      </c>
      <c r="DQ170" s="248"/>
      <c r="DR170" s="248"/>
      <c r="DS170" s="248"/>
      <c r="DT170" s="248"/>
      <c r="DU170" s="248"/>
      <c r="DV170" s="248"/>
      <c r="DW170" s="248"/>
      <c r="DX170" s="248"/>
      <c r="DY170" s="248"/>
      <c r="ED170" s="429"/>
      <c r="EE170" s="23"/>
      <c r="EF170" s="23"/>
      <c r="EG170" s="23"/>
      <c r="EH170" s="18">
        <f t="shared" si="987"/>
        <v>0</v>
      </c>
      <c r="EI170" s="18">
        <f t="shared" si="988"/>
        <v>0</v>
      </c>
      <c r="EJ170" s="18">
        <f t="shared" si="989"/>
        <v>0</v>
      </c>
      <c r="EK170" s="24">
        <f t="shared" si="1032"/>
        <v>0.16666666666666666</v>
      </c>
      <c r="EL170" s="14" t="e">
        <f t="shared" si="1038"/>
        <v>#DIV/0!</v>
      </c>
      <c r="EM170" s="14" t="e">
        <f t="shared" si="1038"/>
        <v>#DIV/0!</v>
      </c>
      <c r="EN170" s="14">
        <f>EJ170/EK170/EG145</f>
        <v>0</v>
      </c>
      <c r="EO170" s="46" t="str">
        <f t="shared" si="1039"/>
        <v>Æ</v>
      </c>
      <c r="EP170" s="46" t="str">
        <f t="shared" si="1040"/>
        <v>Æ</v>
      </c>
      <c r="EQ170" s="2" t="e">
        <f t="shared" si="991"/>
        <v>#DIV/0!</v>
      </c>
      <c r="ER170" s="2" t="e">
        <f t="shared" si="992"/>
        <v>#DIV/0!</v>
      </c>
      <c r="ES170" s="2">
        <f t="shared" si="993"/>
        <v>3</v>
      </c>
    </row>
    <row r="171" spans="1:150" ht="12.75" customHeight="1">
      <c r="A171" s="6" t="s">
        <v>23</v>
      </c>
      <c r="B171" s="2" t="s">
        <v>9</v>
      </c>
      <c r="C171" s="3" t="s">
        <v>65</v>
      </c>
      <c r="E171" s="3" t="s">
        <v>16</v>
      </c>
      <c r="G171" s="3" t="s">
        <v>91</v>
      </c>
      <c r="I171" s="23"/>
      <c r="J171" s="19">
        <v>16.3</v>
      </c>
      <c r="K171" s="19">
        <v>42.6</v>
      </c>
      <c r="L171" s="19">
        <v>70.349999999999994</v>
      </c>
      <c r="M171" s="19">
        <v>94.85</v>
      </c>
      <c r="N171" s="19">
        <v>127.29</v>
      </c>
      <c r="O171" s="19">
        <v>169.67</v>
      </c>
      <c r="P171" s="19">
        <v>202.17</v>
      </c>
      <c r="Q171" s="19">
        <v>252.58</v>
      </c>
      <c r="R171" s="19">
        <v>296.83</v>
      </c>
      <c r="S171" s="19">
        <v>326.08</v>
      </c>
      <c r="T171" s="19">
        <v>346.96</v>
      </c>
      <c r="U171" s="19">
        <v>369.02</v>
      </c>
      <c r="V171" s="31">
        <v>40.36</v>
      </c>
      <c r="W171" s="19">
        <v>64.11</v>
      </c>
      <c r="X171" s="19">
        <v>123.79</v>
      </c>
      <c r="Y171" s="337">
        <v>186.96</v>
      </c>
      <c r="Z171" s="19">
        <v>255.69</v>
      </c>
      <c r="AA171" s="19">
        <v>267.08999999999997</v>
      </c>
      <c r="AB171" s="19">
        <v>302.17</v>
      </c>
      <c r="AC171" s="19">
        <v>321.92</v>
      </c>
      <c r="AD171" s="19">
        <v>376.37</v>
      </c>
      <c r="AE171" s="19">
        <v>395.2</v>
      </c>
      <c r="AF171" s="19">
        <v>433.2</v>
      </c>
      <c r="AG171" s="19">
        <v>524.92999999999995</v>
      </c>
      <c r="AH171" s="31">
        <v>28.59</v>
      </c>
      <c r="AI171" s="19">
        <v>74.09</v>
      </c>
      <c r="AJ171" s="19"/>
      <c r="AK171" s="408"/>
      <c r="AL171" s="19">
        <f t="shared" si="1022"/>
        <v>16.3</v>
      </c>
      <c r="AM171" s="19">
        <f t="shared" ref="AM171:AM176" si="1081">K171-J171</f>
        <v>26.3</v>
      </c>
      <c r="AN171" s="19">
        <f t="shared" si="1044"/>
        <v>27.749999999999993</v>
      </c>
      <c r="AO171" s="19">
        <f t="shared" si="1045"/>
        <v>24.5</v>
      </c>
      <c r="AP171" s="130">
        <f t="shared" si="1046"/>
        <v>32.440000000000012</v>
      </c>
      <c r="AQ171" s="130">
        <f t="shared" si="1047"/>
        <v>42.379999999999981</v>
      </c>
      <c r="AR171" s="130">
        <f t="shared" si="966"/>
        <v>32.5</v>
      </c>
      <c r="AS171" s="130">
        <f t="shared" si="967"/>
        <v>50.410000000000025</v>
      </c>
      <c r="AT171" s="130">
        <f t="shared" si="968"/>
        <v>44.249999999999972</v>
      </c>
      <c r="AU171" s="130">
        <f t="shared" si="969"/>
        <v>29.25</v>
      </c>
      <c r="AV171" s="130">
        <f t="shared" si="970"/>
        <v>20.879999999999995</v>
      </c>
      <c r="AW171" s="130">
        <f t="shared" si="971"/>
        <v>22.060000000000002</v>
      </c>
      <c r="AX171" s="19">
        <f t="shared" si="1023"/>
        <v>40.36</v>
      </c>
      <c r="AY171" s="130">
        <f t="shared" si="972"/>
        <v>23.75</v>
      </c>
      <c r="AZ171" s="130">
        <f t="shared" si="973"/>
        <v>59.680000000000007</v>
      </c>
      <c r="BA171" s="130">
        <f t="shared" si="1024"/>
        <v>63.17</v>
      </c>
      <c r="BB171" s="130">
        <f t="shared" si="974"/>
        <v>68.72999999999999</v>
      </c>
      <c r="BC171" s="130">
        <f t="shared" si="975"/>
        <v>11.399999999999977</v>
      </c>
      <c r="BD171" s="130">
        <f t="shared" si="976"/>
        <v>35.080000000000041</v>
      </c>
      <c r="BE171" s="130">
        <f t="shared" si="977"/>
        <v>19.75</v>
      </c>
      <c r="BF171" s="130">
        <f t="shared" si="978"/>
        <v>54.449999999999989</v>
      </c>
      <c r="BG171" s="130">
        <f t="shared" si="979"/>
        <v>18.829999999999984</v>
      </c>
      <c r="BH171" s="130">
        <f t="shared" si="980"/>
        <v>38</v>
      </c>
      <c r="BI171" s="130">
        <f t="shared" si="981"/>
        <v>91.729999999999961</v>
      </c>
      <c r="BJ171" s="19">
        <f t="shared" si="1025"/>
        <v>28.59</v>
      </c>
      <c r="BK171" s="130">
        <f t="shared" si="982"/>
        <v>45.5</v>
      </c>
      <c r="BL171" s="130">
        <f t="shared" si="983"/>
        <v>0</v>
      </c>
      <c r="BM171" s="408"/>
      <c r="BN171" s="48">
        <f t="shared" si="994"/>
        <v>70.349999999999994</v>
      </c>
      <c r="BO171" s="48">
        <f t="shared" si="995"/>
        <v>70.349999999999994</v>
      </c>
      <c r="BP171" s="48">
        <f t="shared" si="1048"/>
        <v>70.349999999999994</v>
      </c>
      <c r="BQ171" s="48">
        <f t="shared" si="997"/>
        <v>99.32</v>
      </c>
      <c r="BR171" s="48">
        <f t="shared" si="998"/>
        <v>99.32</v>
      </c>
      <c r="BS171" s="48">
        <f t="shared" si="1049"/>
        <v>99.32</v>
      </c>
      <c r="BT171" s="48">
        <f t="shared" si="1000"/>
        <v>127.16</v>
      </c>
      <c r="BU171" s="48">
        <f t="shared" si="1001"/>
        <v>127.16</v>
      </c>
      <c r="BV171" s="48">
        <f t="shared" si="1050"/>
        <v>127.16</v>
      </c>
      <c r="BW171" s="48">
        <f t="shared" si="1003"/>
        <v>72.19</v>
      </c>
      <c r="BX171" s="48">
        <f t="shared" si="1004"/>
        <v>72.19</v>
      </c>
      <c r="BY171" s="48">
        <f t="shared" si="1051"/>
        <v>72.19</v>
      </c>
      <c r="BZ171" s="48">
        <f t="shared" si="1006"/>
        <v>123.79</v>
      </c>
      <c r="CA171" s="48">
        <f t="shared" si="1007"/>
        <v>123.79</v>
      </c>
      <c r="CB171" s="48">
        <f t="shared" si="1052"/>
        <v>123.79</v>
      </c>
      <c r="CC171" s="48">
        <f t="shared" si="1009"/>
        <v>143.29999999999995</v>
      </c>
      <c r="CD171" s="48">
        <f t="shared" si="1010"/>
        <v>143.29999999999995</v>
      </c>
      <c r="CE171" s="48">
        <f t="shared" si="1053"/>
        <v>143.29999999999995</v>
      </c>
      <c r="CF171" s="48">
        <f t="shared" si="1012"/>
        <v>109.28000000000003</v>
      </c>
      <c r="CG171" s="48">
        <f t="shared" si="1013"/>
        <v>109.28000000000003</v>
      </c>
      <c r="CH171" s="48">
        <f t="shared" si="1054"/>
        <v>109.28000000000003</v>
      </c>
      <c r="CI171" s="48">
        <f t="shared" si="1015"/>
        <v>148.55999999999995</v>
      </c>
      <c r="CJ171" s="48">
        <f t="shared" si="1016"/>
        <v>148.55999999999995</v>
      </c>
      <c r="CK171" s="48">
        <f t="shared" si="1055"/>
        <v>148.55999999999995</v>
      </c>
      <c r="CL171" s="48">
        <f t="shared" si="1018"/>
        <v>74.09</v>
      </c>
      <c r="CM171" s="48">
        <f t="shared" si="1019"/>
        <v>74.09</v>
      </c>
      <c r="CN171" s="48">
        <f t="shared" si="1056"/>
        <v>74.09</v>
      </c>
      <c r="CO171" s="406"/>
      <c r="CP171" s="21">
        <f t="shared" ref="CP171:CP176" si="1082">AL171</f>
        <v>16.3</v>
      </c>
      <c r="CQ171" s="21">
        <f t="shared" ref="CQ171:CQ176" si="1083">CP171+AM171</f>
        <v>42.6</v>
      </c>
      <c r="CR171" s="21">
        <f t="shared" si="1057"/>
        <v>70.349999999999994</v>
      </c>
      <c r="CS171" s="21">
        <f t="shared" si="1058"/>
        <v>94.85</v>
      </c>
      <c r="CT171" s="21">
        <f t="shared" si="1059"/>
        <v>127.29</v>
      </c>
      <c r="CU171" s="21">
        <f t="shared" si="1060"/>
        <v>169.67</v>
      </c>
      <c r="CV171" s="21">
        <f t="shared" si="1061"/>
        <v>202.17</v>
      </c>
      <c r="CW171" s="21">
        <f t="shared" si="1062"/>
        <v>252.58</v>
      </c>
      <c r="CX171" s="21">
        <f t="shared" si="1063"/>
        <v>296.83</v>
      </c>
      <c r="CY171" s="21">
        <f t="shared" si="1064"/>
        <v>326.08</v>
      </c>
      <c r="CZ171" s="21">
        <f t="shared" si="1065"/>
        <v>346.96</v>
      </c>
      <c r="DA171" s="21">
        <f t="shared" si="1066"/>
        <v>369.02</v>
      </c>
      <c r="DB171" s="21">
        <f t="shared" ref="DB171:DB176" si="1084">AX171</f>
        <v>40.36</v>
      </c>
      <c r="DC171" s="21">
        <f t="shared" si="1067"/>
        <v>64.11</v>
      </c>
      <c r="DD171" s="21">
        <f t="shared" si="1068"/>
        <v>123.79</v>
      </c>
      <c r="DE171" s="21">
        <f t="shared" si="1069"/>
        <v>186.96</v>
      </c>
      <c r="DF171" s="21">
        <f t="shared" si="1070"/>
        <v>255.69</v>
      </c>
      <c r="DG171" s="21">
        <f t="shared" si="1071"/>
        <v>267.08999999999997</v>
      </c>
      <c r="DH171" s="21">
        <f t="shared" si="1072"/>
        <v>302.17</v>
      </c>
      <c r="DI171" s="21">
        <f t="shared" si="1073"/>
        <v>321.92</v>
      </c>
      <c r="DJ171" s="21">
        <f t="shared" si="1074"/>
        <v>376.37</v>
      </c>
      <c r="DK171" s="21">
        <f t="shared" si="1075"/>
        <v>395.2</v>
      </c>
      <c r="DL171" s="21">
        <f t="shared" si="1076"/>
        <v>433.2</v>
      </c>
      <c r="DM171" s="21">
        <f t="shared" si="1077"/>
        <v>524.92999999999995</v>
      </c>
      <c r="DN171" s="21">
        <f t="shared" si="1078"/>
        <v>28.59</v>
      </c>
      <c r="DO171" s="21">
        <f t="shared" si="1079"/>
        <v>74.09</v>
      </c>
      <c r="DP171" s="21">
        <f t="shared" si="1080"/>
        <v>74.09</v>
      </c>
      <c r="DQ171" s="248"/>
      <c r="DR171" s="248"/>
      <c r="DS171" s="248"/>
      <c r="DT171" s="248"/>
      <c r="DU171" s="248"/>
      <c r="DV171" s="248"/>
      <c r="DW171" s="248"/>
      <c r="DX171" s="248"/>
      <c r="DY171" s="248"/>
      <c r="ED171" s="429"/>
      <c r="EE171" s="23"/>
      <c r="EF171" s="23"/>
      <c r="EG171" s="23"/>
      <c r="EH171" s="18">
        <f t="shared" si="987"/>
        <v>45.5</v>
      </c>
      <c r="EI171" s="18">
        <f t="shared" si="988"/>
        <v>74.09</v>
      </c>
      <c r="EJ171" s="18">
        <f t="shared" si="989"/>
        <v>74.09</v>
      </c>
      <c r="EK171" s="24">
        <f t="shared" si="1032"/>
        <v>0.16666666666666666</v>
      </c>
      <c r="EL171" s="14">
        <f t="shared" si="1038"/>
        <v>0.45652173913043476</v>
      </c>
      <c r="EM171" s="14">
        <f t="shared" si="1038"/>
        <v>0.49558528428093646</v>
      </c>
      <c r="EN171" s="14">
        <f>EJ171/EK171/EG146</f>
        <v>0.74338289888226694</v>
      </c>
      <c r="EO171" s="46" t="str">
        <f t="shared" si="1039"/>
        <v>È</v>
      </c>
      <c r="EP171" s="46" t="str">
        <f t="shared" si="1040"/>
        <v>È</v>
      </c>
      <c r="EQ171" s="2">
        <f t="shared" si="991"/>
        <v>3</v>
      </c>
      <c r="ER171" s="2">
        <f t="shared" si="992"/>
        <v>3</v>
      </c>
      <c r="ES171" s="2">
        <f t="shared" si="993"/>
        <v>3</v>
      </c>
    </row>
    <row r="172" spans="1:150" ht="12.75" customHeight="1">
      <c r="A172" s="6" t="s">
        <v>23</v>
      </c>
      <c r="B172" s="2" t="s">
        <v>10</v>
      </c>
      <c r="C172" s="3" t="s">
        <v>66</v>
      </c>
      <c r="E172" s="3" t="s">
        <v>16</v>
      </c>
      <c r="G172" s="3" t="s">
        <v>91</v>
      </c>
      <c r="I172" s="23"/>
      <c r="J172" s="19">
        <v>0.25</v>
      </c>
      <c r="K172" s="19">
        <v>2.5</v>
      </c>
      <c r="L172" s="19">
        <v>3</v>
      </c>
      <c r="M172" s="19">
        <v>12</v>
      </c>
      <c r="N172" s="19">
        <v>16.420000000000002</v>
      </c>
      <c r="O172" s="19">
        <v>20.38</v>
      </c>
      <c r="P172" s="19">
        <v>31.13</v>
      </c>
      <c r="Q172" s="19">
        <v>41.96</v>
      </c>
      <c r="R172" s="19">
        <v>45.71</v>
      </c>
      <c r="S172" s="19">
        <v>49.71</v>
      </c>
      <c r="T172" s="19">
        <v>58.63</v>
      </c>
      <c r="U172" s="19">
        <v>64.19</v>
      </c>
      <c r="V172" s="31">
        <v>5.83</v>
      </c>
      <c r="W172" s="19">
        <v>10.83</v>
      </c>
      <c r="X172" s="19">
        <v>17.21</v>
      </c>
      <c r="Y172" s="337">
        <v>34.880000000000003</v>
      </c>
      <c r="Z172" s="19">
        <v>41.88</v>
      </c>
      <c r="AA172" s="19">
        <v>45.13</v>
      </c>
      <c r="AB172" s="19">
        <v>56.71</v>
      </c>
      <c r="AC172" s="19">
        <v>56.71</v>
      </c>
      <c r="AD172" s="19">
        <v>60.54</v>
      </c>
      <c r="AE172" s="19">
        <v>62.29</v>
      </c>
      <c r="AF172" s="19">
        <v>64.790000000000006</v>
      </c>
      <c r="AG172" s="19">
        <v>66.44</v>
      </c>
      <c r="AH172" s="31">
        <v>2.59</v>
      </c>
      <c r="AI172" s="19">
        <v>10.34</v>
      </c>
      <c r="AJ172" s="19"/>
      <c r="AK172" s="408"/>
      <c r="AL172" s="19">
        <f t="shared" si="1022"/>
        <v>0.25</v>
      </c>
      <c r="AM172" s="19">
        <f t="shared" si="1081"/>
        <v>2.25</v>
      </c>
      <c r="AN172" s="19">
        <f t="shared" si="1044"/>
        <v>0.5</v>
      </c>
      <c r="AO172" s="19">
        <f t="shared" si="1045"/>
        <v>9</v>
      </c>
      <c r="AP172" s="129">
        <f t="shared" si="1046"/>
        <v>4.4200000000000017</v>
      </c>
      <c r="AQ172" s="129">
        <f t="shared" si="1047"/>
        <v>3.9599999999999973</v>
      </c>
      <c r="AR172" s="129">
        <f t="shared" si="966"/>
        <v>10.75</v>
      </c>
      <c r="AS172" s="129">
        <f t="shared" si="967"/>
        <v>10.830000000000002</v>
      </c>
      <c r="AT172" s="129">
        <f t="shared" si="968"/>
        <v>3.75</v>
      </c>
      <c r="AU172" s="129">
        <f t="shared" si="969"/>
        <v>4</v>
      </c>
      <c r="AV172" s="129">
        <f t="shared" si="970"/>
        <v>8.9200000000000017</v>
      </c>
      <c r="AW172" s="129">
        <f t="shared" si="971"/>
        <v>5.5599999999999952</v>
      </c>
      <c r="AX172" s="19">
        <f t="shared" si="1023"/>
        <v>5.83</v>
      </c>
      <c r="AY172" s="129">
        <f t="shared" si="972"/>
        <v>5</v>
      </c>
      <c r="AZ172" s="129">
        <f t="shared" si="973"/>
        <v>6.3800000000000008</v>
      </c>
      <c r="BA172" s="129">
        <f t="shared" si="1024"/>
        <v>17.670000000000002</v>
      </c>
      <c r="BB172" s="129">
        <f t="shared" si="974"/>
        <v>7</v>
      </c>
      <c r="BC172" s="129">
        <f t="shared" si="975"/>
        <v>3.25</v>
      </c>
      <c r="BD172" s="129">
        <f t="shared" si="976"/>
        <v>11.579999999999998</v>
      </c>
      <c r="BE172" s="129">
        <f t="shared" si="977"/>
        <v>0</v>
      </c>
      <c r="BF172" s="129">
        <f t="shared" si="978"/>
        <v>3.8299999999999983</v>
      </c>
      <c r="BG172" s="129">
        <f t="shared" si="979"/>
        <v>1.75</v>
      </c>
      <c r="BH172" s="129">
        <f t="shared" si="980"/>
        <v>2.5000000000000071</v>
      </c>
      <c r="BI172" s="129">
        <f t="shared" si="981"/>
        <v>1.6499999999999915</v>
      </c>
      <c r="BJ172" s="19">
        <f t="shared" si="1025"/>
        <v>2.59</v>
      </c>
      <c r="BK172" s="129">
        <f t="shared" si="982"/>
        <v>7.75</v>
      </c>
      <c r="BL172" s="129">
        <f t="shared" si="983"/>
        <v>0</v>
      </c>
      <c r="BM172" s="408"/>
      <c r="BN172" s="48">
        <f t="shared" si="994"/>
        <v>3</v>
      </c>
      <c r="BO172" s="48">
        <f t="shared" si="995"/>
        <v>3</v>
      </c>
      <c r="BP172" s="48">
        <f t="shared" si="1048"/>
        <v>3</v>
      </c>
      <c r="BQ172" s="48">
        <f t="shared" si="997"/>
        <v>17.38</v>
      </c>
      <c r="BR172" s="48">
        <f t="shared" si="998"/>
        <v>17.38</v>
      </c>
      <c r="BS172" s="48">
        <f t="shared" si="1049"/>
        <v>17.38</v>
      </c>
      <c r="BT172" s="48">
        <f t="shared" si="1000"/>
        <v>25.330000000000002</v>
      </c>
      <c r="BU172" s="48">
        <f t="shared" si="1001"/>
        <v>25.330000000000002</v>
      </c>
      <c r="BV172" s="48">
        <f t="shared" si="1050"/>
        <v>25.330000000000002</v>
      </c>
      <c r="BW172" s="48">
        <f t="shared" si="1003"/>
        <v>18.479999999999997</v>
      </c>
      <c r="BX172" s="48">
        <f t="shared" si="1004"/>
        <v>18.479999999999997</v>
      </c>
      <c r="BY172" s="48">
        <f t="shared" si="1051"/>
        <v>18.479999999999997</v>
      </c>
      <c r="BZ172" s="48">
        <f t="shared" si="1006"/>
        <v>17.21</v>
      </c>
      <c r="CA172" s="48">
        <f t="shared" si="1007"/>
        <v>17.21</v>
      </c>
      <c r="CB172" s="48">
        <f t="shared" si="1052"/>
        <v>17.21</v>
      </c>
      <c r="CC172" s="48">
        <f t="shared" si="1009"/>
        <v>27.92</v>
      </c>
      <c r="CD172" s="48">
        <f t="shared" si="1010"/>
        <v>27.92</v>
      </c>
      <c r="CE172" s="48">
        <f t="shared" si="1053"/>
        <v>27.92</v>
      </c>
      <c r="CF172" s="48">
        <f t="shared" si="1012"/>
        <v>15.409999999999997</v>
      </c>
      <c r="CG172" s="48">
        <f t="shared" si="1013"/>
        <v>15.409999999999997</v>
      </c>
      <c r="CH172" s="48">
        <f t="shared" si="1054"/>
        <v>15.409999999999997</v>
      </c>
      <c r="CI172" s="48">
        <f t="shared" si="1015"/>
        <v>5.8999999999999986</v>
      </c>
      <c r="CJ172" s="48">
        <f t="shared" si="1016"/>
        <v>5.8999999999999986</v>
      </c>
      <c r="CK172" s="48">
        <f t="shared" si="1055"/>
        <v>5.8999999999999986</v>
      </c>
      <c r="CL172" s="48">
        <f t="shared" si="1018"/>
        <v>10.34</v>
      </c>
      <c r="CM172" s="48">
        <f t="shared" si="1019"/>
        <v>10.34</v>
      </c>
      <c r="CN172" s="48">
        <f t="shared" si="1056"/>
        <v>10.34</v>
      </c>
      <c r="CO172" s="406"/>
      <c r="CP172" s="21">
        <f t="shared" si="1082"/>
        <v>0.25</v>
      </c>
      <c r="CQ172" s="21">
        <f t="shared" si="1083"/>
        <v>2.5</v>
      </c>
      <c r="CR172" s="21">
        <f t="shared" si="1057"/>
        <v>3</v>
      </c>
      <c r="CS172" s="21">
        <f t="shared" si="1058"/>
        <v>12</v>
      </c>
      <c r="CT172" s="21">
        <f t="shared" si="1059"/>
        <v>16.420000000000002</v>
      </c>
      <c r="CU172" s="21">
        <f t="shared" si="1060"/>
        <v>20.38</v>
      </c>
      <c r="CV172" s="21">
        <f t="shared" si="1061"/>
        <v>31.13</v>
      </c>
      <c r="CW172" s="21">
        <f t="shared" si="1062"/>
        <v>41.96</v>
      </c>
      <c r="CX172" s="21">
        <f t="shared" si="1063"/>
        <v>45.71</v>
      </c>
      <c r="CY172" s="21">
        <f t="shared" si="1064"/>
        <v>49.71</v>
      </c>
      <c r="CZ172" s="21">
        <f t="shared" si="1065"/>
        <v>58.63</v>
      </c>
      <c r="DA172" s="21">
        <f t="shared" si="1066"/>
        <v>64.19</v>
      </c>
      <c r="DB172" s="21">
        <f t="shared" si="1084"/>
        <v>5.83</v>
      </c>
      <c r="DC172" s="21">
        <f t="shared" si="1067"/>
        <v>10.83</v>
      </c>
      <c r="DD172" s="21">
        <f t="shared" si="1068"/>
        <v>17.21</v>
      </c>
      <c r="DE172" s="21">
        <f t="shared" si="1069"/>
        <v>34.880000000000003</v>
      </c>
      <c r="DF172" s="21">
        <f t="shared" si="1070"/>
        <v>41.88</v>
      </c>
      <c r="DG172" s="21">
        <f t="shared" si="1071"/>
        <v>45.13</v>
      </c>
      <c r="DH172" s="21">
        <f t="shared" si="1072"/>
        <v>56.71</v>
      </c>
      <c r="DI172" s="21">
        <f t="shared" si="1073"/>
        <v>56.71</v>
      </c>
      <c r="DJ172" s="21">
        <f t="shared" si="1074"/>
        <v>60.54</v>
      </c>
      <c r="DK172" s="21">
        <f t="shared" si="1075"/>
        <v>62.29</v>
      </c>
      <c r="DL172" s="21">
        <f t="shared" si="1076"/>
        <v>64.790000000000006</v>
      </c>
      <c r="DM172" s="21">
        <f t="shared" si="1077"/>
        <v>66.44</v>
      </c>
      <c r="DN172" s="21">
        <f t="shared" si="1078"/>
        <v>2.59</v>
      </c>
      <c r="DO172" s="21">
        <f t="shared" si="1079"/>
        <v>10.34</v>
      </c>
      <c r="DP172" s="21">
        <f t="shared" si="1080"/>
        <v>10.34</v>
      </c>
      <c r="DQ172" s="248"/>
      <c r="DR172" s="248"/>
      <c r="DS172" s="248"/>
      <c r="DT172" s="248"/>
      <c r="DU172" s="248"/>
      <c r="DV172" s="248"/>
      <c r="DW172" s="248"/>
      <c r="DX172" s="248"/>
      <c r="DY172" s="248"/>
      <c r="ED172" s="429"/>
      <c r="EE172" s="23"/>
      <c r="EF172" s="23"/>
      <c r="EG172" s="23"/>
      <c r="EH172" s="18">
        <f t="shared" si="987"/>
        <v>7.75</v>
      </c>
      <c r="EI172" s="18">
        <f t="shared" si="988"/>
        <v>10.34</v>
      </c>
      <c r="EJ172" s="18">
        <f t="shared" si="989"/>
        <v>10.34</v>
      </c>
      <c r="EK172" s="24">
        <f t="shared" si="1032"/>
        <v>0.16666666666666666</v>
      </c>
      <c r="EL172" s="14" t="e">
        <f t="shared" si="1038"/>
        <v>#DIV/0!</v>
      </c>
      <c r="EM172" s="14" t="e">
        <f t="shared" si="1038"/>
        <v>#DIV/0!</v>
      </c>
      <c r="EN172" s="14">
        <f>EJ172/EK172/EG147</f>
        <v>0.68933333333333335</v>
      </c>
      <c r="EO172" s="46" t="str">
        <f t="shared" si="1039"/>
        <v>Ç</v>
      </c>
      <c r="EP172" s="46" t="str">
        <f t="shared" si="1040"/>
        <v>Ç</v>
      </c>
      <c r="EQ172" s="2" t="e">
        <f t="shared" si="991"/>
        <v>#DIV/0!</v>
      </c>
      <c r="ER172" s="2" t="e">
        <f t="shared" si="992"/>
        <v>#DIV/0!</v>
      </c>
      <c r="ES172" s="2">
        <f t="shared" si="993"/>
        <v>3</v>
      </c>
    </row>
    <row r="173" spans="1:150" ht="12.75" customHeight="1">
      <c r="A173" s="6" t="s">
        <v>23</v>
      </c>
      <c r="B173" s="2" t="s">
        <v>11</v>
      </c>
      <c r="C173" s="3" t="s">
        <v>67</v>
      </c>
      <c r="E173" s="3" t="s">
        <v>16</v>
      </c>
      <c r="G173" s="3" t="s">
        <v>91</v>
      </c>
      <c r="I173" s="23"/>
      <c r="J173" s="19">
        <v>6</v>
      </c>
      <c r="K173" s="19">
        <v>17</v>
      </c>
      <c r="L173" s="19">
        <v>28</v>
      </c>
      <c r="M173" s="19">
        <v>34</v>
      </c>
      <c r="N173" s="19">
        <v>46</v>
      </c>
      <c r="O173" s="19">
        <v>59</v>
      </c>
      <c r="P173" s="19">
        <v>63</v>
      </c>
      <c r="Q173" s="19">
        <v>87</v>
      </c>
      <c r="R173" s="19">
        <v>117</v>
      </c>
      <c r="S173" s="19">
        <v>139</v>
      </c>
      <c r="T173" s="19">
        <v>156</v>
      </c>
      <c r="U173" s="19">
        <v>166</v>
      </c>
      <c r="V173" s="31">
        <v>21</v>
      </c>
      <c r="W173" s="19">
        <v>32</v>
      </c>
      <c r="X173" s="19">
        <v>54</v>
      </c>
      <c r="Y173" s="337">
        <v>91</v>
      </c>
      <c r="Z173" s="19">
        <v>122</v>
      </c>
      <c r="AA173" s="19">
        <v>131</v>
      </c>
      <c r="AB173" s="19">
        <v>156</v>
      </c>
      <c r="AC173" s="19">
        <v>170</v>
      </c>
      <c r="AD173" s="19">
        <v>195</v>
      </c>
      <c r="AE173" s="19">
        <v>203</v>
      </c>
      <c r="AF173" s="19">
        <v>221</v>
      </c>
      <c r="AG173" s="19">
        <v>252</v>
      </c>
      <c r="AH173" s="31">
        <v>11</v>
      </c>
      <c r="AI173" s="19">
        <v>32</v>
      </c>
      <c r="AJ173" s="19"/>
      <c r="AK173" s="408"/>
      <c r="AL173" s="19">
        <f t="shared" si="1022"/>
        <v>6</v>
      </c>
      <c r="AM173" s="19">
        <f t="shared" si="1081"/>
        <v>11</v>
      </c>
      <c r="AN173" s="19">
        <f t="shared" si="1044"/>
        <v>11</v>
      </c>
      <c r="AO173" s="19">
        <f t="shared" si="1045"/>
        <v>6</v>
      </c>
      <c r="AP173" s="129">
        <f t="shared" si="1046"/>
        <v>12</v>
      </c>
      <c r="AQ173" s="129">
        <f t="shared" si="1047"/>
        <v>13</v>
      </c>
      <c r="AR173" s="129">
        <f t="shared" si="966"/>
        <v>4</v>
      </c>
      <c r="AS173" s="129">
        <f t="shared" si="967"/>
        <v>24</v>
      </c>
      <c r="AT173" s="129">
        <f t="shared" si="968"/>
        <v>30</v>
      </c>
      <c r="AU173" s="129">
        <f t="shared" si="969"/>
        <v>22</v>
      </c>
      <c r="AV173" s="129">
        <f t="shared" si="970"/>
        <v>17</v>
      </c>
      <c r="AW173" s="129">
        <f t="shared" si="971"/>
        <v>10</v>
      </c>
      <c r="AX173" s="19">
        <f t="shared" si="1023"/>
        <v>21</v>
      </c>
      <c r="AY173" s="129">
        <f t="shared" si="972"/>
        <v>11</v>
      </c>
      <c r="AZ173" s="129">
        <f t="shared" si="973"/>
        <v>22</v>
      </c>
      <c r="BA173" s="129">
        <f t="shared" si="1024"/>
        <v>37</v>
      </c>
      <c r="BB173" s="129">
        <f t="shared" si="974"/>
        <v>31</v>
      </c>
      <c r="BC173" s="129">
        <f t="shared" si="975"/>
        <v>9</v>
      </c>
      <c r="BD173" s="129">
        <f t="shared" si="976"/>
        <v>25</v>
      </c>
      <c r="BE173" s="129">
        <f t="shared" si="977"/>
        <v>14</v>
      </c>
      <c r="BF173" s="129">
        <f t="shared" si="978"/>
        <v>25</v>
      </c>
      <c r="BG173" s="129">
        <f t="shared" si="979"/>
        <v>8</v>
      </c>
      <c r="BH173" s="129">
        <f t="shared" si="980"/>
        <v>18</v>
      </c>
      <c r="BI173" s="129">
        <f t="shared" si="981"/>
        <v>31</v>
      </c>
      <c r="BJ173" s="19">
        <f t="shared" si="1025"/>
        <v>11</v>
      </c>
      <c r="BK173" s="129">
        <f t="shared" si="982"/>
        <v>21</v>
      </c>
      <c r="BL173" s="129">
        <f t="shared" si="983"/>
        <v>0</v>
      </c>
      <c r="BM173" s="408"/>
      <c r="BN173" s="48">
        <f t="shared" si="994"/>
        <v>28</v>
      </c>
      <c r="BO173" s="48">
        <f t="shared" si="995"/>
        <v>28</v>
      </c>
      <c r="BP173" s="48">
        <f t="shared" si="1048"/>
        <v>28</v>
      </c>
      <c r="BQ173" s="48">
        <f t="shared" si="997"/>
        <v>31</v>
      </c>
      <c r="BR173" s="48">
        <f t="shared" si="998"/>
        <v>31</v>
      </c>
      <c r="BS173" s="48">
        <f t="shared" si="1049"/>
        <v>31</v>
      </c>
      <c r="BT173" s="48">
        <f t="shared" si="1000"/>
        <v>58</v>
      </c>
      <c r="BU173" s="48">
        <f t="shared" si="1001"/>
        <v>58</v>
      </c>
      <c r="BV173" s="48">
        <f t="shared" si="1050"/>
        <v>58</v>
      </c>
      <c r="BW173" s="48">
        <f t="shared" si="1003"/>
        <v>49</v>
      </c>
      <c r="BX173" s="48">
        <f t="shared" si="1004"/>
        <v>49</v>
      </c>
      <c r="BY173" s="48">
        <f t="shared" si="1051"/>
        <v>49</v>
      </c>
      <c r="BZ173" s="48">
        <f t="shared" si="1006"/>
        <v>54</v>
      </c>
      <c r="CA173" s="48">
        <f t="shared" si="1007"/>
        <v>54</v>
      </c>
      <c r="CB173" s="48">
        <f t="shared" si="1052"/>
        <v>54</v>
      </c>
      <c r="CC173" s="48">
        <f t="shared" si="1009"/>
        <v>77</v>
      </c>
      <c r="CD173" s="48">
        <f t="shared" si="1010"/>
        <v>77</v>
      </c>
      <c r="CE173" s="48">
        <f t="shared" si="1053"/>
        <v>77</v>
      </c>
      <c r="CF173" s="48">
        <f t="shared" si="1012"/>
        <v>64</v>
      </c>
      <c r="CG173" s="48">
        <f t="shared" si="1013"/>
        <v>64</v>
      </c>
      <c r="CH173" s="48">
        <f t="shared" si="1054"/>
        <v>64</v>
      </c>
      <c r="CI173" s="48">
        <f t="shared" si="1015"/>
        <v>57</v>
      </c>
      <c r="CJ173" s="48">
        <f t="shared" si="1016"/>
        <v>57</v>
      </c>
      <c r="CK173" s="48">
        <f t="shared" si="1055"/>
        <v>57</v>
      </c>
      <c r="CL173" s="48">
        <f t="shared" si="1018"/>
        <v>32</v>
      </c>
      <c r="CM173" s="48">
        <f t="shared" si="1019"/>
        <v>32</v>
      </c>
      <c r="CN173" s="48">
        <f t="shared" si="1056"/>
        <v>32</v>
      </c>
      <c r="CO173" s="406"/>
      <c r="CP173" s="21">
        <f t="shared" si="1082"/>
        <v>6</v>
      </c>
      <c r="CQ173" s="21">
        <f t="shared" si="1083"/>
        <v>17</v>
      </c>
      <c r="CR173" s="21">
        <f t="shared" si="1057"/>
        <v>28</v>
      </c>
      <c r="CS173" s="21">
        <f t="shared" si="1058"/>
        <v>34</v>
      </c>
      <c r="CT173" s="21">
        <f t="shared" si="1059"/>
        <v>46</v>
      </c>
      <c r="CU173" s="21">
        <f t="shared" si="1060"/>
        <v>59</v>
      </c>
      <c r="CV173" s="21">
        <f t="shared" si="1061"/>
        <v>63</v>
      </c>
      <c r="CW173" s="21">
        <f t="shared" si="1062"/>
        <v>87</v>
      </c>
      <c r="CX173" s="21">
        <f t="shared" si="1063"/>
        <v>117</v>
      </c>
      <c r="CY173" s="21">
        <f t="shared" si="1064"/>
        <v>139</v>
      </c>
      <c r="CZ173" s="21">
        <f t="shared" si="1065"/>
        <v>156</v>
      </c>
      <c r="DA173" s="21">
        <f t="shared" si="1066"/>
        <v>166</v>
      </c>
      <c r="DB173" s="21">
        <f t="shared" si="1084"/>
        <v>21</v>
      </c>
      <c r="DC173" s="21">
        <f t="shared" si="1067"/>
        <v>32</v>
      </c>
      <c r="DD173" s="21">
        <f t="shared" si="1068"/>
        <v>54</v>
      </c>
      <c r="DE173" s="21">
        <f t="shared" si="1069"/>
        <v>91</v>
      </c>
      <c r="DF173" s="21">
        <f t="shared" si="1070"/>
        <v>122</v>
      </c>
      <c r="DG173" s="21">
        <f t="shared" si="1071"/>
        <v>131</v>
      </c>
      <c r="DH173" s="21">
        <f t="shared" si="1072"/>
        <v>156</v>
      </c>
      <c r="DI173" s="21">
        <f t="shared" si="1073"/>
        <v>170</v>
      </c>
      <c r="DJ173" s="21">
        <f t="shared" si="1074"/>
        <v>195</v>
      </c>
      <c r="DK173" s="21">
        <f t="shared" si="1075"/>
        <v>203</v>
      </c>
      <c r="DL173" s="21">
        <f t="shared" si="1076"/>
        <v>221</v>
      </c>
      <c r="DM173" s="21">
        <f t="shared" si="1077"/>
        <v>252</v>
      </c>
      <c r="DN173" s="21">
        <f t="shared" si="1078"/>
        <v>11</v>
      </c>
      <c r="DO173" s="21">
        <f t="shared" si="1079"/>
        <v>32</v>
      </c>
      <c r="DP173" s="21">
        <f t="shared" si="1080"/>
        <v>32</v>
      </c>
      <c r="DQ173" s="248"/>
      <c r="DR173" s="248"/>
      <c r="DS173" s="248"/>
      <c r="DT173" s="248"/>
      <c r="DU173" s="248"/>
      <c r="DV173" s="248"/>
      <c r="DW173" s="248"/>
      <c r="DX173" s="248"/>
      <c r="DY173" s="248"/>
      <c r="ED173" s="429"/>
      <c r="EE173" s="23"/>
      <c r="EF173" s="23"/>
      <c r="EG173" s="23"/>
      <c r="EH173" s="18">
        <f t="shared" si="987"/>
        <v>21</v>
      </c>
      <c r="EI173" s="18">
        <f t="shared" si="988"/>
        <v>32</v>
      </c>
      <c r="EJ173" s="18">
        <f t="shared" si="989"/>
        <v>32</v>
      </c>
      <c r="EK173" s="24">
        <f t="shared" si="1032"/>
        <v>0.16666666666666666</v>
      </c>
      <c r="EL173" s="14" t="e">
        <f t="shared" si="1038"/>
        <v>#DIV/0!</v>
      </c>
      <c r="EM173" s="14" t="e">
        <f t="shared" si="1038"/>
        <v>#DIV/0!</v>
      </c>
      <c r="EN173" s="14">
        <f>EJ173/EG148</f>
        <v>0.42105263157894735</v>
      </c>
      <c r="EO173" s="46" t="str">
        <f t="shared" si="1039"/>
        <v>Ç</v>
      </c>
      <c r="EP173" s="46" t="str">
        <f t="shared" si="1040"/>
        <v>Ç</v>
      </c>
      <c r="EQ173" s="2" t="e">
        <f t="shared" si="991"/>
        <v>#DIV/0!</v>
      </c>
      <c r="ER173" s="2" t="e">
        <f t="shared" si="992"/>
        <v>#DIV/0!</v>
      </c>
      <c r="ES173" s="2">
        <f t="shared" si="993"/>
        <v>3</v>
      </c>
    </row>
    <row r="174" spans="1:150" ht="12.75" customHeight="1">
      <c r="A174" s="6" t="s">
        <v>23</v>
      </c>
      <c r="B174" s="2" t="s">
        <v>12</v>
      </c>
      <c r="C174" s="3" t="s">
        <v>68</v>
      </c>
      <c r="E174" s="3" t="s">
        <v>16</v>
      </c>
      <c r="G174" s="3" t="s">
        <v>91</v>
      </c>
      <c r="I174" s="23"/>
      <c r="J174" s="19">
        <v>8</v>
      </c>
      <c r="K174" s="19">
        <v>26</v>
      </c>
      <c r="L174" s="19">
        <v>41</v>
      </c>
      <c r="M174" s="19">
        <v>49</v>
      </c>
      <c r="N174" s="19">
        <v>71</v>
      </c>
      <c r="O174" s="19">
        <v>101</v>
      </c>
      <c r="P174" s="19">
        <v>110</v>
      </c>
      <c r="Q174" s="19">
        <v>140</v>
      </c>
      <c r="R174" s="19">
        <v>171</v>
      </c>
      <c r="S174" s="19">
        <v>194</v>
      </c>
      <c r="T174" s="19">
        <v>216</v>
      </c>
      <c r="U174" s="19">
        <v>237</v>
      </c>
      <c r="V174" s="31">
        <v>23</v>
      </c>
      <c r="W174" s="19">
        <v>40</v>
      </c>
      <c r="X174" s="19">
        <v>67</v>
      </c>
      <c r="Y174" s="337">
        <v>109</v>
      </c>
      <c r="Z174" s="19">
        <v>130</v>
      </c>
      <c r="AA174" s="19">
        <v>139</v>
      </c>
      <c r="AB174" s="19">
        <v>170</v>
      </c>
      <c r="AC174" s="19">
        <v>186</v>
      </c>
      <c r="AD174" s="19">
        <v>214</v>
      </c>
      <c r="AE174" s="19">
        <v>223</v>
      </c>
      <c r="AF174" s="19">
        <v>242</v>
      </c>
      <c r="AG174" s="19">
        <v>281</v>
      </c>
      <c r="AH174" s="31">
        <v>14</v>
      </c>
      <c r="AI174" s="19">
        <v>40</v>
      </c>
      <c r="AJ174" s="19"/>
      <c r="AK174" s="408"/>
      <c r="AL174" s="19">
        <f t="shared" si="1022"/>
        <v>8</v>
      </c>
      <c r="AM174" s="19">
        <f t="shared" si="1081"/>
        <v>18</v>
      </c>
      <c r="AN174" s="19">
        <f t="shared" si="1044"/>
        <v>15</v>
      </c>
      <c r="AO174" s="19">
        <f t="shared" si="1045"/>
        <v>8</v>
      </c>
      <c r="AP174" s="129">
        <f t="shared" si="1046"/>
        <v>22</v>
      </c>
      <c r="AQ174" s="129">
        <f t="shared" si="1047"/>
        <v>30</v>
      </c>
      <c r="AR174" s="129">
        <f t="shared" si="966"/>
        <v>9</v>
      </c>
      <c r="AS174" s="129">
        <f t="shared" si="967"/>
        <v>30</v>
      </c>
      <c r="AT174" s="129">
        <f t="shared" si="968"/>
        <v>31</v>
      </c>
      <c r="AU174" s="129">
        <f t="shared" si="969"/>
        <v>23</v>
      </c>
      <c r="AV174" s="129">
        <f t="shared" si="970"/>
        <v>22</v>
      </c>
      <c r="AW174" s="129">
        <f t="shared" si="971"/>
        <v>21</v>
      </c>
      <c r="AX174" s="19">
        <f t="shared" si="1023"/>
        <v>23</v>
      </c>
      <c r="AY174" s="129">
        <f t="shared" si="972"/>
        <v>17</v>
      </c>
      <c r="AZ174" s="129">
        <f t="shared" si="973"/>
        <v>27</v>
      </c>
      <c r="BA174" s="129">
        <f t="shared" si="1024"/>
        <v>42</v>
      </c>
      <c r="BB174" s="129">
        <f t="shared" si="974"/>
        <v>21</v>
      </c>
      <c r="BC174" s="129">
        <f t="shared" si="975"/>
        <v>9</v>
      </c>
      <c r="BD174" s="129">
        <f t="shared" si="976"/>
        <v>31</v>
      </c>
      <c r="BE174" s="129">
        <f t="shared" si="977"/>
        <v>16</v>
      </c>
      <c r="BF174" s="129">
        <f t="shared" si="978"/>
        <v>28</v>
      </c>
      <c r="BG174" s="129">
        <f t="shared" si="979"/>
        <v>9</v>
      </c>
      <c r="BH174" s="129">
        <f t="shared" si="980"/>
        <v>19</v>
      </c>
      <c r="BI174" s="129">
        <f t="shared" si="981"/>
        <v>39</v>
      </c>
      <c r="BJ174" s="19">
        <f t="shared" si="1025"/>
        <v>14</v>
      </c>
      <c r="BK174" s="129">
        <f t="shared" si="982"/>
        <v>26</v>
      </c>
      <c r="BL174" s="129">
        <f t="shared" si="983"/>
        <v>0</v>
      </c>
      <c r="BM174" s="408"/>
      <c r="BN174" s="48">
        <f t="shared" si="994"/>
        <v>41</v>
      </c>
      <c r="BO174" s="48">
        <f t="shared" si="995"/>
        <v>41</v>
      </c>
      <c r="BP174" s="48">
        <f t="shared" si="1048"/>
        <v>41</v>
      </c>
      <c r="BQ174" s="48">
        <f t="shared" si="997"/>
        <v>60</v>
      </c>
      <c r="BR174" s="48">
        <f t="shared" si="998"/>
        <v>60</v>
      </c>
      <c r="BS174" s="48">
        <f t="shared" si="1049"/>
        <v>60</v>
      </c>
      <c r="BT174" s="48">
        <f t="shared" si="1000"/>
        <v>70</v>
      </c>
      <c r="BU174" s="48">
        <f t="shared" si="1001"/>
        <v>70</v>
      </c>
      <c r="BV174" s="48">
        <f t="shared" si="1050"/>
        <v>70</v>
      </c>
      <c r="BW174" s="48">
        <f t="shared" si="1003"/>
        <v>66</v>
      </c>
      <c r="BX174" s="48">
        <f t="shared" si="1004"/>
        <v>66</v>
      </c>
      <c r="BY174" s="48">
        <f t="shared" si="1051"/>
        <v>66</v>
      </c>
      <c r="BZ174" s="48">
        <f t="shared" si="1006"/>
        <v>67</v>
      </c>
      <c r="CA174" s="48">
        <f t="shared" si="1007"/>
        <v>67</v>
      </c>
      <c r="CB174" s="48">
        <f t="shared" si="1052"/>
        <v>67</v>
      </c>
      <c r="CC174" s="48">
        <f t="shared" si="1009"/>
        <v>72</v>
      </c>
      <c r="CD174" s="48">
        <f t="shared" si="1010"/>
        <v>72</v>
      </c>
      <c r="CE174" s="48">
        <f t="shared" si="1053"/>
        <v>72</v>
      </c>
      <c r="CF174" s="48">
        <f t="shared" si="1012"/>
        <v>75</v>
      </c>
      <c r="CG174" s="48">
        <f t="shared" si="1013"/>
        <v>75</v>
      </c>
      <c r="CH174" s="48">
        <f t="shared" si="1054"/>
        <v>75</v>
      </c>
      <c r="CI174" s="48">
        <f t="shared" si="1015"/>
        <v>67</v>
      </c>
      <c r="CJ174" s="48">
        <f t="shared" si="1016"/>
        <v>67</v>
      </c>
      <c r="CK174" s="48">
        <f t="shared" si="1055"/>
        <v>67</v>
      </c>
      <c r="CL174" s="48">
        <f t="shared" si="1018"/>
        <v>40</v>
      </c>
      <c r="CM174" s="48">
        <f t="shared" si="1019"/>
        <v>40</v>
      </c>
      <c r="CN174" s="48">
        <f t="shared" si="1056"/>
        <v>40</v>
      </c>
      <c r="CO174" s="406"/>
      <c r="CP174" s="21">
        <f t="shared" si="1082"/>
        <v>8</v>
      </c>
      <c r="CQ174" s="21">
        <f t="shared" si="1083"/>
        <v>26</v>
      </c>
      <c r="CR174" s="21">
        <f t="shared" si="1057"/>
        <v>41</v>
      </c>
      <c r="CS174" s="21">
        <f t="shared" si="1058"/>
        <v>49</v>
      </c>
      <c r="CT174" s="21">
        <f t="shared" si="1059"/>
        <v>71</v>
      </c>
      <c r="CU174" s="21">
        <f t="shared" si="1060"/>
        <v>101</v>
      </c>
      <c r="CV174" s="21">
        <f t="shared" si="1061"/>
        <v>110</v>
      </c>
      <c r="CW174" s="21">
        <f t="shared" si="1062"/>
        <v>140</v>
      </c>
      <c r="CX174" s="21">
        <f t="shared" si="1063"/>
        <v>171</v>
      </c>
      <c r="CY174" s="21">
        <f t="shared" si="1064"/>
        <v>194</v>
      </c>
      <c r="CZ174" s="21">
        <f t="shared" si="1065"/>
        <v>216</v>
      </c>
      <c r="DA174" s="21">
        <f t="shared" si="1066"/>
        <v>237</v>
      </c>
      <c r="DB174" s="21">
        <f t="shared" si="1084"/>
        <v>23</v>
      </c>
      <c r="DC174" s="21">
        <f t="shared" si="1067"/>
        <v>40</v>
      </c>
      <c r="DD174" s="21">
        <f t="shared" si="1068"/>
        <v>67</v>
      </c>
      <c r="DE174" s="21">
        <f t="shared" si="1069"/>
        <v>109</v>
      </c>
      <c r="DF174" s="21">
        <f t="shared" si="1070"/>
        <v>130</v>
      </c>
      <c r="DG174" s="21">
        <f t="shared" si="1071"/>
        <v>139</v>
      </c>
      <c r="DH174" s="21">
        <f t="shared" si="1072"/>
        <v>170</v>
      </c>
      <c r="DI174" s="21">
        <f t="shared" si="1073"/>
        <v>186</v>
      </c>
      <c r="DJ174" s="21">
        <f t="shared" si="1074"/>
        <v>214</v>
      </c>
      <c r="DK174" s="21">
        <f t="shared" si="1075"/>
        <v>223</v>
      </c>
      <c r="DL174" s="21">
        <f t="shared" si="1076"/>
        <v>242</v>
      </c>
      <c r="DM174" s="21">
        <f t="shared" si="1077"/>
        <v>281</v>
      </c>
      <c r="DN174" s="21">
        <f t="shared" si="1078"/>
        <v>14</v>
      </c>
      <c r="DO174" s="21">
        <f t="shared" si="1079"/>
        <v>40</v>
      </c>
      <c r="DP174" s="21">
        <f t="shared" si="1080"/>
        <v>40</v>
      </c>
      <c r="DQ174" s="248"/>
      <c r="DR174" s="248"/>
      <c r="DS174" s="248"/>
      <c r="DT174" s="248"/>
      <c r="DU174" s="248"/>
      <c r="DV174" s="248"/>
      <c r="DW174" s="248"/>
      <c r="DX174" s="248"/>
      <c r="DY174" s="248"/>
      <c r="ED174" s="429"/>
      <c r="EE174" s="23"/>
      <c r="EF174" s="23"/>
      <c r="EG174" s="23"/>
      <c r="EH174" s="18">
        <f t="shared" si="987"/>
        <v>26</v>
      </c>
      <c r="EI174" s="18">
        <f t="shared" si="988"/>
        <v>40</v>
      </c>
      <c r="EJ174" s="18">
        <f t="shared" si="989"/>
        <v>40</v>
      </c>
      <c r="EK174" s="24">
        <f t="shared" si="1032"/>
        <v>0.16666666666666666</v>
      </c>
      <c r="EL174" s="14" t="e">
        <f t="shared" si="1038"/>
        <v>#DIV/0!</v>
      </c>
      <c r="EM174" s="14" t="e">
        <f t="shared" si="1038"/>
        <v>#DIV/0!</v>
      </c>
      <c r="EN174" s="14">
        <f t="shared" si="1038"/>
        <v>0.52631578947368418</v>
      </c>
      <c r="EO174" s="46" t="str">
        <f t="shared" si="1039"/>
        <v>Ç</v>
      </c>
      <c r="EP174" s="46" t="str">
        <f t="shared" si="1040"/>
        <v>Ç</v>
      </c>
      <c r="EQ174" s="2" t="e">
        <f t="shared" si="991"/>
        <v>#DIV/0!</v>
      </c>
      <c r="ER174" s="2" t="e">
        <f t="shared" si="992"/>
        <v>#DIV/0!</v>
      </c>
      <c r="ES174" s="2">
        <f t="shared" si="993"/>
        <v>3</v>
      </c>
    </row>
    <row r="175" spans="1:150" ht="12.75" customHeight="1">
      <c r="A175" s="6" t="s">
        <v>23</v>
      </c>
      <c r="B175" s="2" t="s">
        <v>17</v>
      </c>
      <c r="C175" s="3" t="s">
        <v>69</v>
      </c>
      <c r="E175" s="3" t="s">
        <v>18</v>
      </c>
      <c r="G175" s="3" t="s">
        <v>91</v>
      </c>
      <c r="I175" s="23"/>
      <c r="J175" s="19">
        <v>0</v>
      </c>
      <c r="K175" s="19">
        <v>0</v>
      </c>
      <c r="L175" s="19">
        <v>4</v>
      </c>
      <c r="M175" s="19">
        <f>L175</f>
        <v>4</v>
      </c>
      <c r="N175" s="19">
        <v>4</v>
      </c>
      <c r="O175" s="19">
        <v>4</v>
      </c>
      <c r="P175" s="19">
        <v>8</v>
      </c>
      <c r="Q175" s="19">
        <v>8</v>
      </c>
      <c r="R175" s="19">
        <v>8</v>
      </c>
      <c r="S175" s="19">
        <v>8</v>
      </c>
      <c r="T175" s="19">
        <v>13</v>
      </c>
      <c r="U175" s="19">
        <v>13</v>
      </c>
      <c r="V175" s="31">
        <v>0</v>
      </c>
      <c r="W175" s="19">
        <v>4</v>
      </c>
      <c r="X175" s="19">
        <v>4</v>
      </c>
      <c r="Y175" s="337">
        <v>4</v>
      </c>
      <c r="Z175" s="19">
        <v>4</v>
      </c>
      <c r="AA175" s="19">
        <v>4</v>
      </c>
      <c r="AB175" s="19">
        <v>8</v>
      </c>
      <c r="AC175" s="19">
        <v>8</v>
      </c>
      <c r="AD175" s="19">
        <v>8</v>
      </c>
      <c r="AE175" s="19">
        <v>8</v>
      </c>
      <c r="AF175" s="19"/>
      <c r="AG175" s="19">
        <v>2</v>
      </c>
      <c r="AH175" s="404"/>
      <c r="AI175" s="19"/>
      <c r="AJ175" s="19"/>
      <c r="AK175" s="408"/>
      <c r="AL175" s="19">
        <f t="shared" si="1022"/>
        <v>0</v>
      </c>
      <c r="AM175" s="19">
        <f t="shared" si="1081"/>
        <v>0</v>
      </c>
      <c r="AN175" s="19">
        <f t="shared" si="1044"/>
        <v>4</v>
      </c>
      <c r="AO175" s="19">
        <f t="shared" si="1045"/>
        <v>0</v>
      </c>
      <c r="AP175" s="129">
        <f t="shared" si="1046"/>
        <v>0</v>
      </c>
      <c r="AQ175" s="129">
        <f t="shared" si="1047"/>
        <v>0</v>
      </c>
      <c r="AR175" s="129">
        <f t="shared" si="966"/>
        <v>4</v>
      </c>
      <c r="AS175" s="129">
        <f t="shared" si="967"/>
        <v>0</v>
      </c>
      <c r="AT175" s="129">
        <f t="shared" si="968"/>
        <v>0</v>
      </c>
      <c r="AU175" s="129">
        <f t="shared" si="969"/>
        <v>0</v>
      </c>
      <c r="AV175" s="129">
        <f t="shared" si="970"/>
        <v>5</v>
      </c>
      <c r="AW175" s="129">
        <f t="shared" si="971"/>
        <v>0</v>
      </c>
      <c r="AX175" s="19">
        <f t="shared" si="1023"/>
        <v>0</v>
      </c>
      <c r="AY175" s="129">
        <f t="shared" si="972"/>
        <v>4</v>
      </c>
      <c r="AZ175" s="129">
        <f t="shared" si="973"/>
        <v>0</v>
      </c>
      <c r="BA175" s="129">
        <f t="shared" si="1024"/>
        <v>0</v>
      </c>
      <c r="BB175" s="129">
        <f t="shared" si="974"/>
        <v>0</v>
      </c>
      <c r="BC175" s="129">
        <f t="shared" si="975"/>
        <v>0</v>
      </c>
      <c r="BD175" s="129">
        <f t="shared" si="976"/>
        <v>4</v>
      </c>
      <c r="BE175" s="129">
        <f t="shared" si="977"/>
        <v>0</v>
      </c>
      <c r="BF175" s="129">
        <f t="shared" si="978"/>
        <v>0</v>
      </c>
      <c r="BG175" s="129">
        <f t="shared" si="979"/>
        <v>0</v>
      </c>
      <c r="BH175" s="129">
        <f t="shared" si="980"/>
        <v>0</v>
      </c>
      <c r="BI175" s="129">
        <f t="shared" si="981"/>
        <v>2</v>
      </c>
      <c r="BJ175" s="19">
        <f t="shared" si="1025"/>
        <v>0</v>
      </c>
      <c r="BK175" s="129">
        <f t="shared" si="982"/>
        <v>0</v>
      </c>
      <c r="BL175" s="129">
        <f t="shared" si="983"/>
        <v>0</v>
      </c>
      <c r="BM175" s="408"/>
      <c r="BN175" s="48">
        <f t="shared" si="994"/>
        <v>4</v>
      </c>
      <c r="BO175" s="48">
        <f t="shared" si="995"/>
        <v>4</v>
      </c>
      <c r="BP175" s="48">
        <f t="shared" si="1048"/>
        <v>4</v>
      </c>
      <c r="BQ175" s="48">
        <f t="shared" si="997"/>
        <v>0</v>
      </c>
      <c r="BR175" s="48">
        <f t="shared" si="998"/>
        <v>0</v>
      </c>
      <c r="BS175" s="48">
        <f t="shared" si="1049"/>
        <v>0</v>
      </c>
      <c r="BT175" s="48">
        <f t="shared" si="1000"/>
        <v>4</v>
      </c>
      <c r="BU175" s="48">
        <f t="shared" si="1001"/>
        <v>4</v>
      </c>
      <c r="BV175" s="48">
        <f t="shared" si="1050"/>
        <v>4</v>
      </c>
      <c r="BW175" s="48">
        <f t="shared" si="1003"/>
        <v>5</v>
      </c>
      <c r="BX175" s="48">
        <f t="shared" si="1004"/>
        <v>5</v>
      </c>
      <c r="BY175" s="48">
        <f t="shared" si="1051"/>
        <v>5</v>
      </c>
      <c r="BZ175" s="48">
        <f t="shared" si="1006"/>
        <v>4</v>
      </c>
      <c r="CA175" s="48">
        <f t="shared" si="1007"/>
        <v>4</v>
      </c>
      <c r="CB175" s="48">
        <f t="shared" si="1052"/>
        <v>4</v>
      </c>
      <c r="CC175" s="48">
        <f t="shared" si="1009"/>
        <v>0</v>
      </c>
      <c r="CD175" s="48">
        <f t="shared" si="1010"/>
        <v>0</v>
      </c>
      <c r="CE175" s="48">
        <f t="shared" si="1053"/>
        <v>0</v>
      </c>
      <c r="CF175" s="48">
        <f t="shared" si="1012"/>
        <v>4</v>
      </c>
      <c r="CG175" s="48">
        <f t="shared" si="1013"/>
        <v>4</v>
      </c>
      <c r="CH175" s="48">
        <f t="shared" si="1054"/>
        <v>4</v>
      </c>
      <c r="CI175" s="48">
        <f t="shared" si="1015"/>
        <v>2</v>
      </c>
      <c r="CJ175" s="48">
        <f t="shared" si="1016"/>
        <v>2</v>
      </c>
      <c r="CK175" s="48">
        <f t="shared" si="1055"/>
        <v>2</v>
      </c>
      <c r="CL175" s="48">
        <f t="shared" si="1018"/>
        <v>0</v>
      </c>
      <c r="CM175" s="48">
        <f t="shared" si="1019"/>
        <v>0</v>
      </c>
      <c r="CN175" s="48">
        <f t="shared" si="1056"/>
        <v>0</v>
      </c>
      <c r="CO175" s="406"/>
      <c r="CP175" s="21">
        <f t="shared" si="1082"/>
        <v>0</v>
      </c>
      <c r="CQ175" s="21">
        <f t="shared" si="1083"/>
        <v>0</v>
      </c>
      <c r="CR175" s="21">
        <f t="shared" si="1057"/>
        <v>4</v>
      </c>
      <c r="CS175" s="21">
        <f t="shared" si="1058"/>
        <v>4</v>
      </c>
      <c r="CT175" s="21">
        <f t="shared" si="1059"/>
        <v>4</v>
      </c>
      <c r="CU175" s="21">
        <f t="shared" si="1060"/>
        <v>4</v>
      </c>
      <c r="CV175" s="21">
        <f t="shared" si="1061"/>
        <v>8</v>
      </c>
      <c r="CW175" s="21">
        <f t="shared" si="1062"/>
        <v>8</v>
      </c>
      <c r="CX175" s="21">
        <f t="shared" si="1063"/>
        <v>8</v>
      </c>
      <c r="CY175" s="21">
        <f t="shared" si="1064"/>
        <v>8</v>
      </c>
      <c r="CZ175" s="21">
        <f t="shared" si="1065"/>
        <v>13</v>
      </c>
      <c r="DA175" s="21">
        <f t="shared" si="1066"/>
        <v>13</v>
      </c>
      <c r="DB175" s="21">
        <f t="shared" si="1084"/>
        <v>0</v>
      </c>
      <c r="DC175" s="21">
        <f t="shared" si="1067"/>
        <v>4</v>
      </c>
      <c r="DD175" s="21">
        <f t="shared" si="1068"/>
        <v>4</v>
      </c>
      <c r="DE175" s="21">
        <f t="shared" si="1069"/>
        <v>4</v>
      </c>
      <c r="DF175" s="21">
        <f t="shared" si="1070"/>
        <v>4</v>
      </c>
      <c r="DG175" s="21">
        <f t="shared" si="1071"/>
        <v>4</v>
      </c>
      <c r="DH175" s="21">
        <f t="shared" si="1072"/>
        <v>8</v>
      </c>
      <c r="DI175" s="21">
        <f t="shared" si="1073"/>
        <v>8</v>
      </c>
      <c r="DJ175" s="21">
        <f t="shared" si="1074"/>
        <v>8</v>
      </c>
      <c r="DK175" s="21">
        <f t="shared" si="1075"/>
        <v>8</v>
      </c>
      <c r="DL175" s="21">
        <f t="shared" si="1076"/>
        <v>8</v>
      </c>
      <c r="DM175" s="21">
        <f t="shared" si="1077"/>
        <v>10</v>
      </c>
      <c r="DN175" s="21">
        <f t="shared" si="1078"/>
        <v>0</v>
      </c>
      <c r="DO175" s="21">
        <f t="shared" si="1079"/>
        <v>0</v>
      </c>
      <c r="DP175" s="21">
        <f t="shared" si="1080"/>
        <v>0</v>
      </c>
      <c r="DQ175" s="248"/>
      <c r="DR175" s="248"/>
      <c r="DS175" s="248"/>
      <c r="DT175" s="248"/>
      <c r="DU175" s="248"/>
      <c r="DV175" s="248"/>
      <c r="DW175" s="248"/>
      <c r="DX175" s="248"/>
      <c r="DY175" s="248"/>
      <c r="ED175" s="429"/>
      <c r="EE175" s="23"/>
      <c r="EF175" s="23"/>
      <c r="EG175" s="23"/>
      <c r="EH175" s="18">
        <f t="shared" si="987"/>
        <v>0</v>
      </c>
      <c r="EI175" s="18">
        <f t="shared" si="988"/>
        <v>0</v>
      </c>
      <c r="EJ175" s="18">
        <f t="shared" si="989"/>
        <v>0</v>
      </c>
      <c r="EK175" s="24">
        <f t="shared" si="1032"/>
        <v>0.16666666666666666</v>
      </c>
      <c r="EL175" s="14">
        <f>IF(EE150=0,0,EH175/EE150)</f>
        <v>0</v>
      </c>
      <c r="EM175" s="14" t="str">
        <f>IF(EF150=0,"",EI175/EF150)</f>
        <v/>
      </c>
      <c r="EN175" s="14">
        <f t="shared" si="1038"/>
        <v>0</v>
      </c>
      <c r="EO175" s="46" t="str">
        <f t="shared" si="1039"/>
        <v>Æ</v>
      </c>
      <c r="EP175" s="46" t="str">
        <f t="shared" si="1040"/>
        <v>Æ</v>
      </c>
      <c r="EQ175" s="24" t="str">
        <f>IF(EJ150&lt;&gt;0,EM175/EJ150,"N/A")</f>
        <v>N/A</v>
      </c>
      <c r="ER175" s="2">
        <f>IF(EM175&gt;=0.9,1,IF(EM175&gt;0.75,2,3))</f>
        <v>1</v>
      </c>
      <c r="ES175" s="2">
        <f>IF(EN175="","",IF(EN175&gt;=0.9,1,IF(EN175&lt;0.75,3,2)))</f>
        <v>3</v>
      </c>
    </row>
    <row r="176" spans="1:150" ht="12.75" customHeight="1">
      <c r="A176" s="6" t="s">
        <v>23</v>
      </c>
      <c r="B176" s="324" t="s">
        <v>202</v>
      </c>
      <c r="C176" s="3" t="s">
        <v>70</v>
      </c>
      <c r="E176" s="3" t="s">
        <v>15</v>
      </c>
      <c r="G176" s="3" t="s">
        <v>91</v>
      </c>
      <c r="I176" s="23"/>
      <c r="J176" s="19">
        <v>0</v>
      </c>
      <c r="K176" s="19">
        <v>0</v>
      </c>
      <c r="L176" s="19">
        <v>0</v>
      </c>
      <c r="M176" s="19">
        <v>0</v>
      </c>
      <c r="N176" s="19">
        <v>0</v>
      </c>
      <c r="O176" s="19">
        <v>0</v>
      </c>
      <c r="P176" s="19">
        <v>0</v>
      </c>
      <c r="Q176" s="19">
        <v>0</v>
      </c>
      <c r="R176" s="19">
        <v>2</v>
      </c>
      <c r="S176" s="19">
        <v>2</v>
      </c>
      <c r="T176" s="19">
        <v>2</v>
      </c>
      <c r="U176" s="19">
        <v>4</v>
      </c>
      <c r="V176" s="31">
        <v>0</v>
      </c>
      <c r="W176" s="19">
        <v>0</v>
      </c>
      <c r="X176" s="19">
        <v>0</v>
      </c>
      <c r="Y176" s="337">
        <v>0</v>
      </c>
      <c r="Z176" s="19">
        <v>0</v>
      </c>
      <c r="AA176" s="19">
        <v>0</v>
      </c>
      <c r="AB176" s="19">
        <v>1</v>
      </c>
      <c r="AC176" s="19">
        <v>2</v>
      </c>
      <c r="AD176" s="19">
        <v>2</v>
      </c>
      <c r="AE176" s="19">
        <v>2</v>
      </c>
      <c r="AF176" s="19">
        <v>2</v>
      </c>
      <c r="AG176" s="19"/>
      <c r="AH176" s="404"/>
      <c r="AI176" s="19"/>
      <c r="AJ176" s="19"/>
      <c r="AK176" s="408"/>
      <c r="AL176" s="40">
        <f t="shared" si="1022"/>
        <v>0</v>
      </c>
      <c r="AM176" s="40">
        <f t="shared" si="1081"/>
        <v>0</v>
      </c>
      <c r="AN176" s="40">
        <f t="shared" si="1044"/>
        <v>0</v>
      </c>
      <c r="AO176" s="40">
        <f t="shared" si="1045"/>
        <v>0</v>
      </c>
      <c r="AP176" s="40">
        <f t="shared" ref="AP176:AW176" si="1085">N176-M176</f>
        <v>0</v>
      </c>
      <c r="AQ176" s="40">
        <f t="shared" si="1085"/>
        <v>0</v>
      </c>
      <c r="AR176" s="40">
        <f t="shared" si="1085"/>
        <v>0</v>
      </c>
      <c r="AS176" s="40">
        <f t="shared" si="1085"/>
        <v>0</v>
      </c>
      <c r="AT176" s="40">
        <f t="shared" si="1085"/>
        <v>2</v>
      </c>
      <c r="AU176" s="40">
        <f t="shared" si="1085"/>
        <v>0</v>
      </c>
      <c r="AV176" s="40">
        <f t="shared" si="1085"/>
        <v>0</v>
      </c>
      <c r="AW176" s="40">
        <f t="shared" si="1085"/>
        <v>2</v>
      </c>
      <c r="AX176" s="40">
        <f t="shared" si="1023"/>
        <v>0</v>
      </c>
      <c r="AY176" s="40">
        <f t="shared" ref="AY176:BL177" si="1086">W176-V176</f>
        <v>0</v>
      </c>
      <c r="AZ176" s="40">
        <f t="shared" si="1086"/>
        <v>0</v>
      </c>
      <c r="BA176" s="40">
        <f t="shared" si="1086"/>
        <v>0</v>
      </c>
      <c r="BB176" s="40">
        <f t="shared" si="1086"/>
        <v>0</v>
      </c>
      <c r="BC176" s="40">
        <f t="shared" si="1086"/>
        <v>0</v>
      </c>
      <c r="BD176" s="40">
        <f t="shared" si="1086"/>
        <v>1</v>
      </c>
      <c r="BE176" s="40">
        <f t="shared" si="1086"/>
        <v>1</v>
      </c>
      <c r="BF176" s="40">
        <f t="shared" si="1086"/>
        <v>0</v>
      </c>
      <c r="BG176" s="40">
        <f t="shared" si="1086"/>
        <v>0</v>
      </c>
      <c r="BH176" s="40">
        <f t="shared" si="1086"/>
        <v>0</v>
      </c>
      <c r="BI176" s="40">
        <f t="shared" si="1086"/>
        <v>-2</v>
      </c>
      <c r="BJ176" s="40">
        <f t="shared" si="1086"/>
        <v>0</v>
      </c>
      <c r="BK176" s="40">
        <f t="shared" si="1086"/>
        <v>0</v>
      </c>
      <c r="BL176" s="40">
        <f t="shared" si="1086"/>
        <v>0</v>
      </c>
      <c r="BM176" s="408"/>
      <c r="BN176" s="48">
        <f t="shared" si="994"/>
        <v>0</v>
      </c>
      <c r="BO176" s="48">
        <f t="shared" si="995"/>
        <v>0</v>
      </c>
      <c r="BP176" s="48">
        <f>SUM(AL176:AN176)</f>
        <v>0</v>
      </c>
      <c r="BQ176" s="48">
        <f t="shared" si="997"/>
        <v>0</v>
      </c>
      <c r="BR176" s="48">
        <f t="shared" si="998"/>
        <v>0</v>
      </c>
      <c r="BS176" s="48">
        <f>SUM(AO176:AQ176)</f>
        <v>0</v>
      </c>
      <c r="BT176" s="48">
        <f t="shared" si="1000"/>
        <v>2</v>
      </c>
      <c r="BU176" s="48">
        <f t="shared" si="1001"/>
        <v>2</v>
      </c>
      <c r="BV176" s="48">
        <f>SUM(AR176:AT176)</f>
        <v>2</v>
      </c>
      <c r="BW176" s="48">
        <f t="shared" si="1003"/>
        <v>2</v>
      </c>
      <c r="BX176" s="48">
        <f t="shared" si="1004"/>
        <v>2</v>
      </c>
      <c r="BY176" s="48">
        <f>SUM(AU176:AW176)</f>
        <v>2</v>
      </c>
      <c r="BZ176" s="48">
        <f t="shared" si="1006"/>
        <v>0</v>
      </c>
      <c r="CA176" s="48">
        <f t="shared" si="1007"/>
        <v>0</v>
      </c>
      <c r="CB176" s="48">
        <f>SUM(AX176:AZ176)</f>
        <v>0</v>
      </c>
      <c r="CC176" s="48">
        <f t="shared" si="1009"/>
        <v>0</v>
      </c>
      <c r="CD176" s="48">
        <f t="shared" si="1010"/>
        <v>0</v>
      </c>
      <c r="CE176" s="48">
        <f>SUM(BA176:BC176)</f>
        <v>0</v>
      </c>
      <c r="CF176" s="48">
        <f t="shared" si="1012"/>
        <v>2</v>
      </c>
      <c r="CG176" s="48">
        <f t="shared" si="1013"/>
        <v>2</v>
      </c>
      <c r="CH176" s="48">
        <f>SUM(BD176:BF176)</f>
        <v>2</v>
      </c>
      <c r="CI176" s="48">
        <f t="shared" si="1015"/>
        <v>-2</v>
      </c>
      <c r="CJ176" s="48">
        <f t="shared" si="1016"/>
        <v>-2</v>
      </c>
      <c r="CK176" s="48">
        <f>SUM(BG176:BI176)</f>
        <v>-2</v>
      </c>
      <c r="CL176" s="48">
        <f t="shared" si="1018"/>
        <v>0</v>
      </c>
      <c r="CM176" s="48">
        <f t="shared" si="1019"/>
        <v>0</v>
      </c>
      <c r="CN176" s="48">
        <f>SUM(BJ176:BL176)</f>
        <v>0</v>
      </c>
      <c r="CO176" s="406"/>
      <c r="CP176" s="48">
        <f t="shared" si="1082"/>
        <v>0</v>
      </c>
      <c r="CQ176" s="48">
        <f t="shared" si="1083"/>
        <v>0</v>
      </c>
      <c r="CR176" s="48">
        <f t="shared" si="1057"/>
        <v>0</v>
      </c>
      <c r="CS176" s="48">
        <f t="shared" si="1058"/>
        <v>0</v>
      </c>
      <c r="CT176" s="48">
        <f t="shared" si="1059"/>
        <v>0</v>
      </c>
      <c r="CU176" s="48">
        <f t="shared" si="1060"/>
        <v>0</v>
      </c>
      <c r="CV176" s="48">
        <f t="shared" si="1061"/>
        <v>0</v>
      </c>
      <c r="CW176" s="48">
        <f t="shared" si="1062"/>
        <v>0</v>
      </c>
      <c r="CX176" s="48">
        <f t="shared" si="1063"/>
        <v>2</v>
      </c>
      <c r="CY176" s="48">
        <f t="shared" si="1064"/>
        <v>2</v>
      </c>
      <c r="CZ176" s="48">
        <f t="shared" si="1065"/>
        <v>2</v>
      </c>
      <c r="DA176" s="48">
        <f t="shared" si="1066"/>
        <v>4</v>
      </c>
      <c r="DB176" s="48">
        <f t="shared" si="1084"/>
        <v>0</v>
      </c>
      <c r="DC176" s="48">
        <f t="shared" si="1067"/>
        <v>0</v>
      </c>
      <c r="DD176" s="48">
        <f t="shared" si="1068"/>
        <v>0</v>
      </c>
      <c r="DE176" s="48">
        <f t="shared" si="1069"/>
        <v>0</v>
      </c>
      <c r="DF176" s="48">
        <f t="shared" si="1070"/>
        <v>0</v>
      </c>
      <c r="DG176" s="48">
        <f t="shared" si="1071"/>
        <v>0</v>
      </c>
      <c r="DH176" s="48">
        <f t="shared" si="1072"/>
        <v>1</v>
      </c>
      <c r="DI176" s="48">
        <f t="shared" si="1073"/>
        <v>2</v>
      </c>
      <c r="DJ176" s="48">
        <f t="shared" si="1074"/>
        <v>2</v>
      </c>
      <c r="DK176" s="48">
        <f t="shared" si="1075"/>
        <v>2</v>
      </c>
      <c r="DL176" s="48">
        <f t="shared" si="1076"/>
        <v>2</v>
      </c>
      <c r="DM176" s="48">
        <f t="shared" si="1077"/>
        <v>0</v>
      </c>
      <c r="DN176" s="48">
        <f>DM176+BJ176</f>
        <v>0</v>
      </c>
      <c r="DO176" s="48">
        <f t="shared" si="1079"/>
        <v>0</v>
      </c>
      <c r="DP176" s="48">
        <f t="shared" si="1080"/>
        <v>0</v>
      </c>
      <c r="DQ176" s="48"/>
      <c r="DR176" s="48"/>
      <c r="DS176" s="48"/>
      <c r="DT176" s="48"/>
      <c r="DU176" s="48"/>
      <c r="DV176" s="48"/>
      <c r="DW176" s="48"/>
      <c r="DX176" s="48"/>
      <c r="DY176" s="48"/>
      <c r="ED176" s="429"/>
      <c r="EE176" s="23"/>
      <c r="EF176" s="23"/>
      <c r="EG176" s="23"/>
      <c r="EH176" s="18">
        <f t="shared" si="987"/>
        <v>0</v>
      </c>
      <c r="EI176" s="18">
        <f t="shared" si="988"/>
        <v>0</v>
      </c>
      <c r="EJ176" s="18">
        <f t="shared" si="989"/>
        <v>0</v>
      </c>
      <c r="EK176" s="24">
        <f>IF(EK134&lt;6,0.5,IF(AND(EK134&gt;=6,EK134&lt;12),0.5,1))</f>
        <v>0.5</v>
      </c>
      <c r="EL176" s="14">
        <f>IF(EE151=0,0,EH176/EE151)</f>
        <v>0</v>
      </c>
      <c r="EM176" s="14">
        <f>IF(EF151=0,0,EI176/EF151)</f>
        <v>0</v>
      </c>
      <c r="EN176" s="14">
        <f>IF(EG151="","",EJ176/EG151)</f>
        <v>0</v>
      </c>
      <c r="EO176" s="46" t="str">
        <f t="shared" si="1039"/>
        <v>Æ</v>
      </c>
      <c r="EP176" s="46" t="str">
        <f t="shared" si="1040"/>
        <v>Ç</v>
      </c>
      <c r="EQ176" s="24" t="str">
        <f>IF(EJ151&lt;&gt;0,EM176/EJ151,"N/A")</f>
        <v>N/A</v>
      </c>
      <c r="ER176" s="24" t="str">
        <f>IF(EK151&lt;&gt;0,EN176/EK151,"N/A")</f>
        <v>N/A</v>
      </c>
      <c r="ES176" s="2">
        <f>IF(EN176="","",IF(EN176&gt;=0.9,1,IF(EN176&lt;0.75,3,2)))</f>
        <v>3</v>
      </c>
    </row>
    <row r="177" spans="1:149" ht="12.75" customHeight="1">
      <c r="A177" s="6" t="s">
        <v>23</v>
      </c>
      <c r="B177" s="2" t="s">
        <v>13</v>
      </c>
      <c r="C177" s="3" t="s">
        <v>71</v>
      </c>
      <c r="E177" s="3" t="s">
        <v>15</v>
      </c>
      <c r="G177" s="3" t="s">
        <v>91</v>
      </c>
      <c r="I177" s="23"/>
      <c r="J177" s="19">
        <v>0</v>
      </c>
      <c r="K177" s="19">
        <f>J177</f>
        <v>0</v>
      </c>
      <c r="L177" s="19">
        <v>0</v>
      </c>
      <c r="M177" s="19">
        <f>L177</f>
        <v>0</v>
      </c>
      <c r="N177" s="19">
        <v>0</v>
      </c>
      <c r="O177" s="19">
        <v>6090.5</v>
      </c>
      <c r="P177" s="19">
        <v>27065.45</v>
      </c>
      <c r="Q177" s="189">
        <f>P177</f>
        <v>27065.45</v>
      </c>
      <c r="R177" s="189">
        <f>Q177</f>
        <v>27065.45</v>
      </c>
      <c r="S177" s="19">
        <v>27065.5</v>
      </c>
      <c r="T177" s="19">
        <v>27065.5</v>
      </c>
      <c r="U177" s="19">
        <v>27065.5</v>
      </c>
      <c r="V177" s="31">
        <v>0</v>
      </c>
      <c r="W177" s="19">
        <v>0</v>
      </c>
      <c r="X177" s="19">
        <v>0</v>
      </c>
      <c r="Y177" s="337">
        <v>0</v>
      </c>
      <c r="Z177" s="19">
        <v>0</v>
      </c>
      <c r="AA177" s="19">
        <v>0</v>
      </c>
      <c r="AB177" s="263">
        <v>24916.81</v>
      </c>
      <c r="AC177" s="19">
        <v>0</v>
      </c>
      <c r="AD177" s="19">
        <v>0</v>
      </c>
      <c r="AE177" s="19">
        <v>0</v>
      </c>
      <c r="AF177" s="19">
        <v>0</v>
      </c>
      <c r="AG177" s="19"/>
      <c r="AH177" s="404">
        <v>39530.339999999997</v>
      </c>
      <c r="AI177" s="19"/>
      <c r="AJ177" s="19"/>
      <c r="AK177" s="408"/>
      <c r="AL177" s="19">
        <f t="shared" si="1022"/>
        <v>0</v>
      </c>
      <c r="AM177" s="19"/>
      <c r="AN177" s="19"/>
      <c r="AO177" s="19"/>
      <c r="AP177" s="19"/>
      <c r="AQ177" s="19">
        <f t="shared" si="1047"/>
        <v>6090.5</v>
      </c>
      <c r="AR177" s="19">
        <f t="shared" si="966"/>
        <v>20974.95</v>
      </c>
      <c r="AS177" s="19">
        <f t="shared" si="967"/>
        <v>0</v>
      </c>
      <c r="AT177" s="19">
        <f t="shared" si="968"/>
        <v>0</v>
      </c>
      <c r="AU177" s="19">
        <f t="shared" si="969"/>
        <v>4.9999999999272404E-2</v>
      </c>
      <c r="AV177" s="19">
        <f t="shared" si="970"/>
        <v>0</v>
      </c>
      <c r="AW177" s="19">
        <f t="shared" si="971"/>
        <v>0</v>
      </c>
      <c r="AX177" s="19">
        <f t="shared" si="1023"/>
        <v>0</v>
      </c>
      <c r="AY177" s="19">
        <f t="shared" si="972"/>
        <v>0</v>
      </c>
      <c r="AZ177" s="19">
        <f t="shared" si="973"/>
        <v>0</v>
      </c>
      <c r="BA177" s="19">
        <f t="shared" si="1024"/>
        <v>0</v>
      </c>
      <c r="BB177" s="19">
        <f t="shared" si="1086"/>
        <v>0</v>
      </c>
      <c r="BC177" s="19">
        <f t="shared" si="1086"/>
        <v>0</v>
      </c>
      <c r="BD177" s="19">
        <f t="shared" si="1086"/>
        <v>24916.81</v>
      </c>
      <c r="BE177" s="19">
        <f t="shared" si="1086"/>
        <v>-24916.81</v>
      </c>
      <c r="BF177" s="19">
        <f t="shared" si="1086"/>
        <v>0</v>
      </c>
      <c r="BG177" s="19">
        <f t="shared" si="1086"/>
        <v>0</v>
      </c>
      <c r="BH177" s="19">
        <f t="shared" si="1086"/>
        <v>0</v>
      </c>
      <c r="BI177" s="19">
        <f t="shared" si="1086"/>
        <v>0</v>
      </c>
      <c r="BJ177" s="19">
        <f t="shared" si="1086"/>
        <v>39530.339999999997</v>
      </c>
      <c r="BK177" s="19">
        <f t="shared" si="1086"/>
        <v>-39530.339999999997</v>
      </c>
      <c r="BL177" s="19"/>
      <c r="BM177" s="408"/>
      <c r="BN177" s="40" t="s">
        <v>97</v>
      </c>
      <c r="BO177" s="40" t="s">
        <v>97</v>
      </c>
      <c r="BP177" s="40" t="s">
        <v>97</v>
      </c>
      <c r="BQ177" s="40" t="s">
        <v>97</v>
      </c>
      <c r="BR177" s="40" t="s">
        <v>97</v>
      </c>
      <c r="BS177" s="40" t="s">
        <v>97</v>
      </c>
      <c r="BT177" s="40" t="s">
        <v>97</v>
      </c>
      <c r="BU177" s="40" t="s">
        <v>97</v>
      </c>
      <c r="BV177" s="40" t="s">
        <v>97</v>
      </c>
      <c r="BW177" s="40" t="s">
        <v>97</v>
      </c>
      <c r="BX177" s="40" t="s">
        <v>97</v>
      </c>
      <c r="BY177" s="40" t="s">
        <v>97</v>
      </c>
      <c r="BZ177" s="40" t="s">
        <v>97</v>
      </c>
      <c r="CA177" s="40" t="s">
        <v>97</v>
      </c>
      <c r="CB177" s="40" t="s">
        <v>97</v>
      </c>
      <c r="CC177" s="40" t="s">
        <v>97</v>
      </c>
      <c r="CD177" s="40" t="s">
        <v>97</v>
      </c>
      <c r="CE177" s="40" t="s">
        <v>97</v>
      </c>
      <c r="CF177" s="40" t="s">
        <v>97</v>
      </c>
      <c r="CG177" s="40" t="s">
        <v>97</v>
      </c>
      <c r="CH177" s="40" t="s">
        <v>97</v>
      </c>
      <c r="CI177" s="40" t="s">
        <v>97</v>
      </c>
      <c r="CJ177" s="40" t="s">
        <v>97</v>
      </c>
      <c r="CK177" s="40" t="s">
        <v>97</v>
      </c>
      <c r="CL177" s="40" t="s">
        <v>97</v>
      </c>
      <c r="CM177" s="40" t="s">
        <v>97</v>
      </c>
      <c r="CN177" s="40" t="s">
        <v>97</v>
      </c>
      <c r="CO177" s="408"/>
      <c r="CP177" s="21">
        <f t="shared" ref="CP177:CY178" si="1087">J177</f>
        <v>0</v>
      </c>
      <c r="CQ177" s="21">
        <f t="shared" si="1087"/>
        <v>0</v>
      </c>
      <c r="CR177" s="21">
        <f t="shared" si="1087"/>
        <v>0</v>
      </c>
      <c r="CS177" s="21">
        <f t="shared" si="1087"/>
        <v>0</v>
      </c>
      <c r="CT177" s="21">
        <f t="shared" si="1087"/>
        <v>0</v>
      </c>
      <c r="CU177" s="21">
        <f t="shared" si="1087"/>
        <v>6090.5</v>
      </c>
      <c r="CV177" s="21">
        <f t="shared" si="1087"/>
        <v>27065.45</v>
      </c>
      <c r="CW177" s="21">
        <f t="shared" si="1087"/>
        <v>27065.45</v>
      </c>
      <c r="CX177" s="21">
        <f t="shared" si="1087"/>
        <v>27065.45</v>
      </c>
      <c r="CY177" s="21">
        <f t="shared" si="1087"/>
        <v>27065.5</v>
      </c>
      <c r="CZ177" s="21">
        <f t="shared" ref="CZ177:DI178" si="1088">T177</f>
        <v>27065.5</v>
      </c>
      <c r="DA177" s="21">
        <f t="shared" si="1088"/>
        <v>27065.5</v>
      </c>
      <c r="DB177" s="21">
        <f t="shared" si="1088"/>
        <v>0</v>
      </c>
      <c r="DC177" s="21">
        <f t="shared" si="1088"/>
        <v>0</v>
      </c>
      <c r="DD177" s="21">
        <f t="shared" si="1088"/>
        <v>0</v>
      </c>
      <c r="DE177" s="21">
        <f t="shared" si="1088"/>
        <v>0</v>
      </c>
      <c r="DF177" s="21">
        <f t="shared" si="1088"/>
        <v>0</v>
      </c>
      <c r="DG177" s="21">
        <f t="shared" si="1088"/>
        <v>0</v>
      </c>
      <c r="DH177" s="21">
        <f t="shared" si="1088"/>
        <v>24916.81</v>
      </c>
      <c r="DI177" s="21">
        <f t="shared" si="1088"/>
        <v>0</v>
      </c>
      <c r="DJ177" s="21">
        <f t="shared" ref="DJ177:DP178" si="1089">AD177</f>
        <v>0</v>
      </c>
      <c r="DK177" s="21">
        <f t="shared" si="1089"/>
        <v>0</v>
      </c>
      <c r="DL177" s="21">
        <f t="shared" si="1089"/>
        <v>0</v>
      </c>
      <c r="DM177" s="21">
        <f t="shared" si="1089"/>
        <v>0</v>
      </c>
      <c r="DN177" s="21">
        <f t="shared" si="1089"/>
        <v>39530.339999999997</v>
      </c>
      <c r="DO177" s="21">
        <f t="shared" si="1089"/>
        <v>0</v>
      </c>
      <c r="DP177" s="21">
        <f t="shared" si="1089"/>
        <v>0</v>
      </c>
      <c r="DQ177" s="248"/>
      <c r="DR177" s="248"/>
      <c r="DS177" s="248"/>
      <c r="DT177" s="248"/>
      <c r="DU177" s="248"/>
      <c r="DV177" s="248"/>
      <c r="DW177" s="248"/>
      <c r="DX177" s="248"/>
      <c r="DY177" s="248"/>
      <c r="ED177" s="429"/>
      <c r="EE177" s="23"/>
      <c r="EF177" s="23"/>
      <c r="EG177" s="23"/>
      <c r="EH177" s="24" t="s">
        <v>97</v>
      </c>
      <c r="EI177" s="24" t="s">
        <v>97</v>
      </c>
      <c r="EJ177" s="18">
        <f t="shared" si="989"/>
        <v>0</v>
      </c>
      <c r="EK177" s="24">
        <f t="shared" si="1032"/>
        <v>0.16666666666666666</v>
      </c>
      <c r="EL177" s="24" t="s">
        <v>97</v>
      </c>
      <c r="EM177" s="24" t="s">
        <v>97</v>
      </c>
      <c r="EN177" s="24">
        <f>EJ177/EG152</f>
        <v>0</v>
      </c>
      <c r="EO177" s="46" t="str">
        <f t="shared" si="1039"/>
        <v>Æ</v>
      </c>
      <c r="EP177" s="46" t="str">
        <f t="shared" si="1040"/>
        <v>Æ</v>
      </c>
      <c r="EQ177" s="24" t="s">
        <v>97</v>
      </c>
      <c r="ER177" s="24" t="s">
        <v>97</v>
      </c>
      <c r="ES177" s="2">
        <f>IF(EN177&gt;=0.9,1,IF(EN177&lt;0.75,2,3))</f>
        <v>2</v>
      </c>
    </row>
    <row r="178" spans="1:149" ht="12.75" customHeight="1" thickBot="1">
      <c r="A178" s="6" t="s">
        <v>23</v>
      </c>
      <c r="B178" s="2" t="s">
        <v>14</v>
      </c>
      <c r="C178" s="3" t="s">
        <v>72</v>
      </c>
      <c r="E178" s="3" t="s">
        <v>15</v>
      </c>
      <c r="G178" s="3" t="s">
        <v>91</v>
      </c>
      <c r="I178" s="23"/>
      <c r="J178" s="19">
        <v>0</v>
      </c>
      <c r="K178" s="19">
        <f>J178</f>
        <v>0</v>
      </c>
      <c r="L178" s="19">
        <v>0</v>
      </c>
      <c r="M178" s="19">
        <f>L178</f>
        <v>0</v>
      </c>
      <c r="N178" s="19">
        <v>0</v>
      </c>
      <c r="O178" s="19">
        <f>11402.63+6413.98</f>
        <v>17816.61</v>
      </c>
      <c r="P178" s="19">
        <f>12487.47+7024.2</f>
        <v>19511.669999999998</v>
      </c>
      <c r="Q178" s="189">
        <f>P178</f>
        <v>19511.669999999998</v>
      </c>
      <c r="R178" s="189">
        <f>Q178</f>
        <v>19511.669999999998</v>
      </c>
      <c r="S178" s="19">
        <v>19511.7</v>
      </c>
      <c r="T178" s="246">
        <v>19511.7</v>
      </c>
      <c r="U178" s="19">
        <v>19511.7</v>
      </c>
      <c r="V178" s="34">
        <v>0</v>
      </c>
      <c r="W178" s="19">
        <v>0</v>
      </c>
      <c r="X178" s="19">
        <v>0</v>
      </c>
      <c r="Y178" s="337">
        <v>0</v>
      </c>
      <c r="Z178" s="19">
        <v>0</v>
      </c>
      <c r="AA178" s="19">
        <v>0</v>
      </c>
      <c r="AB178" s="19">
        <v>54000</v>
      </c>
      <c r="AC178" s="19">
        <v>0</v>
      </c>
      <c r="AD178" s="19">
        <v>0</v>
      </c>
      <c r="AE178" s="19">
        <v>0</v>
      </c>
      <c r="AF178" s="19">
        <v>0</v>
      </c>
      <c r="AG178" s="19"/>
      <c r="AH178" s="387">
        <v>32436.42</v>
      </c>
      <c r="AI178" s="19"/>
      <c r="AJ178" s="19"/>
      <c r="AK178" s="408"/>
      <c r="AL178" s="19">
        <f t="shared" si="1022"/>
        <v>0</v>
      </c>
      <c r="AM178" s="19"/>
      <c r="AN178" s="19"/>
      <c r="AO178" s="19"/>
      <c r="AP178" s="19"/>
      <c r="AQ178" s="19">
        <f t="shared" si="1047"/>
        <v>17816.61</v>
      </c>
      <c r="AR178" s="19">
        <f t="shared" si="966"/>
        <v>1695.0599999999977</v>
      </c>
      <c r="AS178" s="19">
        <f t="shared" si="967"/>
        <v>0</v>
      </c>
      <c r="AT178" s="19">
        <f t="shared" si="968"/>
        <v>0</v>
      </c>
      <c r="AU178" s="19">
        <f t="shared" si="969"/>
        <v>3.0000000002473826E-2</v>
      </c>
      <c r="AV178" s="19">
        <f t="shared" si="970"/>
        <v>0</v>
      </c>
      <c r="AW178" s="19">
        <f t="shared" si="971"/>
        <v>0</v>
      </c>
      <c r="AX178" s="19">
        <f t="shared" si="1023"/>
        <v>0</v>
      </c>
      <c r="AY178" s="19">
        <f t="shared" si="972"/>
        <v>0</v>
      </c>
      <c r="AZ178" s="19">
        <f t="shared" si="973"/>
        <v>0</v>
      </c>
      <c r="BA178" s="19">
        <f t="shared" si="1024"/>
        <v>0</v>
      </c>
      <c r="BB178" s="19"/>
      <c r="BC178" s="19"/>
      <c r="BD178" s="19"/>
      <c r="BE178" s="19"/>
      <c r="BF178" s="19"/>
      <c r="BG178" s="19"/>
      <c r="BH178" s="19"/>
      <c r="BI178" s="19"/>
      <c r="BJ178" s="19"/>
      <c r="BK178" s="19"/>
      <c r="BL178" s="19"/>
      <c r="BM178" s="408"/>
      <c r="BN178" s="40" t="s">
        <v>97</v>
      </c>
      <c r="BO178" s="40" t="s">
        <v>97</v>
      </c>
      <c r="BP178" s="40" t="s">
        <v>97</v>
      </c>
      <c r="BQ178" s="40" t="s">
        <v>97</v>
      </c>
      <c r="BR178" s="40" t="s">
        <v>97</v>
      </c>
      <c r="BS178" s="40" t="s">
        <v>97</v>
      </c>
      <c r="BT178" s="40" t="s">
        <v>97</v>
      </c>
      <c r="BU178" s="40" t="s">
        <v>97</v>
      </c>
      <c r="BV178" s="40" t="s">
        <v>97</v>
      </c>
      <c r="BW178" s="40" t="s">
        <v>97</v>
      </c>
      <c r="BX178" s="40" t="s">
        <v>97</v>
      </c>
      <c r="BY178" s="40" t="s">
        <v>97</v>
      </c>
      <c r="BZ178" s="40" t="s">
        <v>97</v>
      </c>
      <c r="CA178" s="40" t="s">
        <v>97</v>
      </c>
      <c r="CB178" s="40" t="s">
        <v>97</v>
      </c>
      <c r="CC178" s="40" t="s">
        <v>97</v>
      </c>
      <c r="CD178" s="40" t="s">
        <v>97</v>
      </c>
      <c r="CE178" s="40" t="s">
        <v>97</v>
      </c>
      <c r="CF178" s="40" t="s">
        <v>97</v>
      </c>
      <c r="CG178" s="40" t="s">
        <v>97</v>
      </c>
      <c r="CH178" s="40" t="s">
        <v>97</v>
      </c>
      <c r="CI178" s="40" t="s">
        <v>97</v>
      </c>
      <c r="CJ178" s="40" t="s">
        <v>97</v>
      </c>
      <c r="CK178" s="40" t="s">
        <v>97</v>
      </c>
      <c r="CL178" s="40" t="s">
        <v>97</v>
      </c>
      <c r="CM178" s="40" t="s">
        <v>97</v>
      </c>
      <c r="CN178" s="40" t="s">
        <v>97</v>
      </c>
      <c r="CO178" s="408"/>
      <c r="CP178" s="21">
        <f t="shared" si="1087"/>
        <v>0</v>
      </c>
      <c r="CQ178" s="21">
        <f t="shared" si="1087"/>
        <v>0</v>
      </c>
      <c r="CR178" s="21">
        <f t="shared" si="1087"/>
        <v>0</v>
      </c>
      <c r="CS178" s="21">
        <f t="shared" si="1087"/>
        <v>0</v>
      </c>
      <c r="CT178" s="21">
        <f t="shared" si="1087"/>
        <v>0</v>
      </c>
      <c r="CU178" s="21">
        <f t="shared" si="1087"/>
        <v>17816.61</v>
      </c>
      <c r="CV178" s="21">
        <f t="shared" si="1087"/>
        <v>19511.669999999998</v>
      </c>
      <c r="CW178" s="21">
        <f t="shared" si="1087"/>
        <v>19511.669999999998</v>
      </c>
      <c r="CX178" s="21">
        <f t="shared" si="1087"/>
        <v>19511.669999999998</v>
      </c>
      <c r="CY178" s="21">
        <f t="shared" si="1087"/>
        <v>19511.7</v>
      </c>
      <c r="CZ178" s="21">
        <f t="shared" si="1088"/>
        <v>19511.7</v>
      </c>
      <c r="DA178" s="21">
        <f t="shared" si="1088"/>
        <v>19511.7</v>
      </c>
      <c r="DB178" s="21">
        <f t="shared" si="1088"/>
        <v>0</v>
      </c>
      <c r="DC178" s="21">
        <f t="shared" si="1088"/>
        <v>0</v>
      </c>
      <c r="DD178" s="21">
        <f t="shared" si="1088"/>
        <v>0</v>
      </c>
      <c r="DE178" s="21">
        <f t="shared" si="1088"/>
        <v>0</v>
      </c>
      <c r="DF178" s="21">
        <f t="shared" si="1088"/>
        <v>0</v>
      </c>
      <c r="DG178" s="21">
        <f t="shared" si="1088"/>
        <v>0</v>
      </c>
      <c r="DH178" s="21">
        <f t="shared" si="1088"/>
        <v>54000</v>
      </c>
      <c r="DI178" s="21">
        <f t="shared" si="1088"/>
        <v>0</v>
      </c>
      <c r="DJ178" s="21">
        <f t="shared" si="1089"/>
        <v>0</v>
      </c>
      <c r="DK178" s="21">
        <f t="shared" si="1089"/>
        <v>0</v>
      </c>
      <c r="DL178" s="21">
        <f t="shared" si="1089"/>
        <v>0</v>
      </c>
      <c r="DM178" s="21">
        <f t="shared" si="1089"/>
        <v>0</v>
      </c>
      <c r="DN178" s="21">
        <f t="shared" si="1089"/>
        <v>32436.42</v>
      </c>
      <c r="DO178" s="21">
        <f t="shared" si="1089"/>
        <v>0</v>
      </c>
      <c r="DP178" s="21">
        <f t="shared" si="1089"/>
        <v>0</v>
      </c>
      <c r="DQ178" s="248"/>
      <c r="DR178" s="248"/>
      <c r="DS178" s="248"/>
      <c r="DT178" s="248"/>
      <c r="DU178" s="248"/>
      <c r="DV178" s="248"/>
      <c r="DW178" s="248"/>
      <c r="DX178" s="248"/>
      <c r="DY178" s="248"/>
      <c r="ED178" s="429"/>
      <c r="EE178" s="23"/>
      <c r="EF178" s="23"/>
      <c r="EG178" s="23"/>
      <c r="EH178" s="24" t="s">
        <v>97</v>
      </c>
      <c r="EI178" s="24" t="s">
        <v>97</v>
      </c>
      <c r="EJ178" s="18">
        <f t="shared" si="989"/>
        <v>0</v>
      </c>
      <c r="EK178" s="24">
        <f t="shared" si="1032"/>
        <v>0.16666666666666666</v>
      </c>
      <c r="EL178" s="24" t="s">
        <v>97</v>
      </c>
      <c r="EM178" s="24" t="s">
        <v>97</v>
      </c>
      <c r="EN178" s="24">
        <f>EJ178/EG153</f>
        <v>0</v>
      </c>
      <c r="EO178" s="46" t="str">
        <f t="shared" si="1039"/>
        <v>Æ</v>
      </c>
      <c r="EP178" s="46" t="str">
        <f t="shared" si="1040"/>
        <v>Æ</v>
      </c>
      <c r="EQ178" s="24" t="s">
        <v>97</v>
      </c>
      <c r="ER178" s="24" t="s">
        <v>97</v>
      </c>
      <c r="ES178" s="2">
        <f>IF(EN178&gt;=0.9,1,IF(EN178&lt;0.75,2,3))</f>
        <v>2</v>
      </c>
    </row>
    <row r="179" spans="1:149" ht="12.75" customHeight="1">
      <c r="A179" s="6" t="s">
        <v>23</v>
      </c>
      <c r="B179" s="2" t="s">
        <v>0</v>
      </c>
      <c r="C179" s="3" t="s">
        <v>59</v>
      </c>
      <c r="E179" s="3" t="s">
        <v>16</v>
      </c>
      <c r="G179" s="28" t="s">
        <v>92</v>
      </c>
      <c r="H179" s="28"/>
      <c r="I179" s="29"/>
      <c r="J179" s="30">
        <f t="shared" ref="J179:U179" si="1090">IF(J166&lt;&gt;"",+J166-I166,"")</f>
        <v>9</v>
      </c>
      <c r="K179" s="30">
        <f t="shared" si="1090"/>
        <v>14</v>
      </c>
      <c r="L179" s="30">
        <f t="shared" si="1090"/>
        <v>12</v>
      </c>
      <c r="M179" s="30">
        <f t="shared" si="1090"/>
        <v>4</v>
      </c>
      <c r="N179" s="30">
        <f t="shared" si="1090"/>
        <v>13</v>
      </c>
      <c r="O179" s="30">
        <f t="shared" si="1090"/>
        <v>11</v>
      </c>
      <c r="P179" s="30">
        <f t="shared" si="1090"/>
        <v>4</v>
      </c>
      <c r="Q179" s="30">
        <f>IF(Q166&lt;&gt;"",+Q166-P166,"")</f>
        <v>15</v>
      </c>
      <c r="R179" s="30">
        <f t="shared" si="1090"/>
        <v>9</v>
      </c>
      <c r="S179" s="30">
        <f t="shared" si="1090"/>
        <v>12</v>
      </c>
      <c r="T179" s="30">
        <f t="shared" si="1090"/>
        <v>3</v>
      </c>
      <c r="U179" s="30">
        <f t="shared" si="1090"/>
        <v>9</v>
      </c>
      <c r="V179" s="30">
        <f>IF(V159&lt;&gt;"",+V159-U159,"")</f>
        <v>13</v>
      </c>
      <c r="W179" s="30">
        <f>IF(W166&lt;&gt;"",+W166-V166,"")</f>
        <v>10</v>
      </c>
      <c r="X179" s="30">
        <f>IF(X166&lt;&gt;"",+X166-W166,"")</f>
        <v>19</v>
      </c>
      <c r="Y179" s="226">
        <f>IF(Y166&lt;&gt;"",+Y166-X166,0)</f>
        <v>16</v>
      </c>
      <c r="Z179" s="30">
        <f t="shared" ref="Z179:AG180" si="1091">IF(Z166&lt;&gt;"",+Z166-Y166,"")</f>
        <v>4</v>
      </c>
      <c r="AA179" s="30">
        <f t="shared" si="1091"/>
        <v>2</v>
      </c>
      <c r="AB179" s="30">
        <f t="shared" si="1091"/>
        <v>7</v>
      </c>
      <c r="AC179" s="30">
        <f t="shared" si="1091"/>
        <v>5</v>
      </c>
      <c r="AD179" s="30">
        <f t="shared" si="1091"/>
        <v>11</v>
      </c>
      <c r="AE179" s="30">
        <f t="shared" si="1091"/>
        <v>4</v>
      </c>
      <c r="AF179" s="30">
        <f t="shared" si="1091"/>
        <v>9</v>
      </c>
      <c r="AG179" s="30">
        <f t="shared" si="1091"/>
        <v>11</v>
      </c>
      <c r="AH179" s="30">
        <f>IF(AH166&lt;&gt;"",+AH166,"")</f>
        <v>14</v>
      </c>
      <c r="AI179" s="30">
        <f>IF(AI166&lt;&gt;"",+AI166-AH166,"")</f>
        <v>15</v>
      </c>
      <c r="AJ179" s="30" t="str">
        <f>IF(AJ166&lt;&gt;"",+AJ166-AI166,"")</f>
        <v/>
      </c>
      <c r="AK179" s="408"/>
      <c r="AL179" s="48">
        <f t="shared" si="1022"/>
        <v>9</v>
      </c>
      <c r="AM179" s="48">
        <f t="shared" ref="AM179:AV180" si="1092">K179</f>
        <v>14</v>
      </c>
      <c r="AN179" s="48">
        <f t="shared" si="1092"/>
        <v>12</v>
      </c>
      <c r="AO179" s="48">
        <f t="shared" si="1092"/>
        <v>4</v>
      </c>
      <c r="AP179" s="48">
        <f t="shared" si="1092"/>
        <v>13</v>
      </c>
      <c r="AQ179" s="48">
        <f t="shared" si="1092"/>
        <v>11</v>
      </c>
      <c r="AR179" s="48">
        <f t="shared" si="1092"/>
        <v>4</v>
      </c>
      <c r="AS179" s="48">
        <f t="shared" si="1092"/>
        <v>15</v>
      </c>
      <c r="AT179" s="48">
        <f t="shared" si="1092"/>
        <v>9</v>
      </c>
      <c r="AU179" s="48">
        <f t="shared" si="1092"/>
        <v>12</v>
      </c>
      <c r="AV179" s="48">
        <f t="shared" si="1092"/>
        <v>3</v>
      </c>
      <c r="AW179" s="48">
        <f t="shared" ref="AW179:BF180" si="1093">U179</f>
        <v>9</v>
      </c>
      <c r="AX179" s="48">
        <f t="shared" si="1093"/>
        <v>13</v>
      </c>
      <c r="AY179" s="48">
        <f t="shared" si="1093"/>
        <v>10</v>
      </c>
      <c r="AZ179" s="48">
        <f t="shared" si="1093"/>
        <v>19</v>
      </c>
      <c r="BA179" s="48">
        <f t="shared" si="1093"/>
        <v>16</v>
      </c>
      <c r="BB179" s="48">
        <f t="shared" si="1093"/>
        <v>4</v>
      </c>
      <c r="BC179" s="48">
        <f t="shared" si="1093"/>
        <v>2</v>
      </c>
      <c r="BD179" s="48">
        <f t="shared" si="1093"/>
        <v>7</v>
      </c>
      <c r="BE179" s="48">
        <f t="shared" si="1093"/>
        <v>5</v>
      </c>
      <c r="BF179" s="48">
        <f t="shared" si="1093"/>
        <v>11</v>
      </c>
      <c r="BG179" s="48">
        <f t="shared" ref="BG179:BL180" si="1094">AE179</f>
        <v>4</v>
      </c>
      <c r="BH179" s="48">
        <f t="shared" si="1094"/>
        <v>9</v>
      </c>
      <c r="BI179" s="48">
        <f t="shared" si="1094"/>
        <v>11</v>
      </c>
      <c r="BJ179" s="48">
        <f t="shared" si="1094"/>
        <v>14</v>
      </c>
      <c r="BK179" s="48">
        <f t="shared" si="1094"/>
        <v>15</v>
      </c>
      <c r="BL179" s="48" t="str">
        <f t="shared" si="1094"/>
        <v/>
      </c>
      <c r="BM179" s="408"/>
      <c r="BN179" s="48">
        <f>+AL179</f>
        <v>9</v>
      </c>
      <c r="BO179" s="48">
        <f t="shared" ref="BO179:BP181" si="1095">+BN179+AM179</f>
        <v>23</v>
      </c>
      <c r="BP179" s="48">
        <f t="shared" si="1095"/>
        <v>35</v>
      </c>
      <c r="BQ179" s="48">
        <f>+AO179</f>
        <v>4</v>
      </c>
      <c r="BR179" s="48">
        <f t="shared" ref="BR179:BS181" si="1096">+BQ179+AP179</f>
        <v>17</v>
      </c>
      <c r="BS179" s="48">
        <f t="shared" si="1096"/>
        <v>28</v>
      </c>
      <c r="BT179" s="48">
        <f>+AR179</f>
        <v>4</v>
      </c>
      <c r="BU179" s="48">
        <f t="shared" ref="BU179:BV181" si="1097">+BT179+AS179</f>
        <v>19</v>
      </c>
      <c r="BV179" s="48">
        <f t="shared" si="1097"/>
        <v>28</v>
      </c>
      <c r="BW179" s="48">
        <f>+AU179</f>
        <v>12</v>
      </c>
      <c r="BX179" s="48">
        <f t="shared" ref="BX179:BY181" si="1098">+BW179+AV179</f>
        <v>15</v>
      </c>
      <c r="BY179" s="48">
        <f t="shared" si="1098"/>
        <v>24</v>
      </c>
      <c r="BZ179" s="48">
        <f>+AX179</f>
        <v>13</v>
      </c>
      <c r="CA179" s="48">
        <f t="shared" ref="CA179:CB181" si="1099">+BZ179+AY179</f>
        <v>23</v>
      </c>
      <c r="CB179" s="48">
        <f t="shared" si="1099"/>
        <v>42</v>
      </c>
      <c r="CC179" s="48">
        <f>+BA179</f>
        <v>16</v>
      </c>
      <c r="CD179" s="48">
        <f t="shared" ref="CD179:CE181" si="1100">+CC179+BB179</f>
        <v>20</v>
      </c>
      <c r="CE179" s="48">
        <f t="shared" si="1100"/>
        <v>22</v>
      </c>
      <c r="CF179" s="48">
        <f>+BD179</f>
        <v>7</v>
      </c>
      <c r="CG179" s="48">
        <f t="shared" ref="CG179:CH181" si="1101">+CF179+BE179</f>
        <v>12</v>
      </c>
      <c r="CH179" s="48">
        <f t="shared" si="1101"/>
        <v>23</v>
      </c>
      <c r="CI179" s="48">
        <f>+BG179</f>
        <v>4</v>
      </c>
      <c r="CJ179" s="48">
        <f t="shared" ref="CJ179:CK181" si="1102">+CI179+BH179</f>
        <v>13</v>
      </c>
      <c r="CK179" s="48">
        <f t="shared" si="1102"/>
        <v>24</v>
      </c>
      <c r="CL179" s="48">
        <f>+BJ179</f>
        <v>14</v>
      </c>
      <c r="CM179" s="48">
        <f t="shared" ref="CM179:CN181" si="1103">+CL179+BK179</f>
        <v>29</v>
      </c>
      <c r="CN179" s="48" t="e">
        <f t="shared" si="1103"/>
        <v>#VALUE!</v>
      </c>
      <c r="CO179" s="406"/>
      <c r="CP179" s="40">
        <f>AL179</f>
        <v>9</v>
      </c>
      <c r="CQ179" s="40">
        <f t="shared" ref="CQ179:DA180" si="1104">CP179+AM179</f>
        <v>23</v>
      </c>
      <c r="CR179" s="40">
        <f t="shared" si="1104"/>
        <v>35</v>
      </c>
      <c r="CS179" s="40">
        <f t="shared" si="1104"/>
        <v>39</v>
      </c>
      <c r="CT179" s="40">
        <f t="shared" si="1104"/>
        <v>52</v>
      </c>
      <c r="CU179" s="40">
        <f t="shared" si="1104"/>
        <v>63</v>
      </c>
      <c r="CV179" s="40">
        <f t="shared" si="1104"/>
        <v>67</v>
      </c>
      <c r="CW179" s="40">
        <f t="shared" si="1104"/>
        <v>82</v>
      </c>
      <c r="CX179" s="40">
        <f t="shared" si="1104"/>
        <v>91</v>
      </c>
      <c r="CY179" s="40">
        <f t="shared" si="1104"/>
        <v>103</v>
      </c>
      <c r="CZ179" s="40">
        <f t="shared" si="1104"/>
        <v>106</v>
      </c>
      <c r="DA179" s="40">
        <f t="shared" si="1104"/>
        <v>115</v>
      </c>
      <c r="DB179" s="40">
        <f>AX179</f>
        <v>13</v>
      </c>
      <c r="DC179" s="40">
        <f t="shared" ref="DC179:DM180" si="1105">DB179+AY179</f>
        <v>23</v>
      </c>
      <c r="DD179" s="40">
        <f t="shared" si="1105"/>
        <v>42</v>
      </c>
      <c r="DE179" s="40">
        <f t="shared" si="1105"/>
        <v>58</v>
      </c>
      <c r="DF179" s="40">
        <f t="shared" si="1105"/>
        <v>62</v>
      </c>
      <c r="DG179" s="40">
        <f t="shared" si="1105"/>
        <v>64</v>
      </c>
      <c r="DH179" s="40">
        <f t="shared" si="1105"/>
        <v>71</v>
      </c>
      <c r="DI179" s="40">
        <f t="shared" si="1105"/>
        <v>76</v>
      </c>
      <c r="DJ179" s="40">
        <f t="shared" si="1105"/>
        <v>87</v>
      </c>
      <c r="DK179" s="40">
        <f t="shared" si="1105"/>
        <v>91</v>
      </c>
      <c r="DL179" s="40">
        <f t="shared" si="1105"/>
        <v>100</v>
      </c>
      <c r="DM179" s="40">
        <f t="shared" si="1105"/>
        <v>111</v>
      </c>
      <c r="DN179" s="40">
        <f>BJ179</f>
        <v>14</v>
      </c>
      <c r="DO179" s="40">
        <f>DN179+BK179</f>
        <v>29</v>
      </c>
      <c r="DP179" s="40" t="e">
        <f>DO179+BL179</f>
        <v>#VALUE!</v>
      </c>
      <c r="DQ179" s="40"/>
      <c r="DR179" s="40"/>
      <c r="DS179" s="40"/>
      <c r="DT179" s="40"/>
      <c r="DU179" s="40"/>
      <c r="DV179" s="40"/>
      <c r="DW179" s="40"/>
      <c r="DX179" s="40"/>
      <c r="DY179" s="40"/>
      <c r="EA179" s="53"/>
      <c r="EB179" s="53"/>
      <c r="EC179" s="53"/>
      <c r="ED179" s="429"/>
      <c r="EE179" s="54"/>
      <c r="EF179" s="54"/>
      <c r="EG179" s="54"/>
      <c r="EH179" s="18">
        <f>HLOOKUP($I$1,Month,ROW()-1)</f>
        <v>15</v>
      </c>
      <c r="EI179" s="18">
        <f>HLOOKUP($I$1,Qtr,ROW()-1)</f>
        <v>29</v>
      </c>
      <c r="EJ179" s="18">
        <f t="shared" si="989"/>
        <v>29</v>
      </c>
      <c r="EK179" s="57">
        <f t="shared" si="1032"/>
        <v>0.16666666666666666</v>
      </c>
      <c r="EL179" s="14">
        <f>EH179/EE154</f>
        <v>1.5789473684210527</v>
      </c>
      <c r="EM179" s="14">
        <f>EI179/EF154</f>
        <v>1.0175438596491229</v>
      </c>
      <c r="EN179" s="14">
        <f>EJ179/EG154</f>
        <v>0.25438596491228072</v>
      </c>
      <c r="EO179" s="46" t="str">
        <f t="shared" si="1039"/>
        <v>Ç</v>
      </c>
      <c r="EP179" s="46" t="str">
        <f t="shared" si="1040"/>
        <v>Ç</v>
      </c>
      <c r="EQ179" s="2">
        <f>IF(EL179&gt;=0.9,1,IF(EL179&lt;0.75,2,3))</f>
        <v>1</v>
      </c>
      <c r="ER179" s="2">
        <f>IF(EM179&gt;=0.9,1,IF(EM179&lt;0.75,2,3))</f>
        <v>1</v>
      </c>
      <c r="ES179" s="2">
        <f>IF(EN179&gt;=0.9,1,IF(EN179&lt;0.75,2,3))</f>
        <v>2</v>
      </c>
    </row>
    <row r="180" spans="1:149" ht="12.75" customHeight="1">
      <c r="A180" s="6" t="s">
        <v>23</v>
      </c>
      <c r="B180" s="2" t="s">
        <v>1</v>
      </c>
      <c r="C180" s="3" t="s">
        <v>60</v>
      </c>
      <c r="E180" s="3" t="s">
        <v>16</v>
      </c>
      <c r="G180" s="28" t="s">
        <v>92</v>
      </c>
      <c r="H180" s="28"/>
      <c r="I180" s="29"/>
      <c r="J180" s="30">
        <f>IF(J167&lt;&gt;"",,"")+J167-I167</f>
        <v>3</v>
      </c>
      <c r="K180" s="30">
        <f t="shared" ref="K180:U180" si="1106">IF(K167&lt;&gt;"",+K167-J167,"")</f>
        <v>3</v>
      </c>
      <c r="L180" s="30">
        <f t="shared" si="1106"/>
        <v>4</v>
      </c>
      <c r="M180" s="30">
        <f t="shared" si="1106"/>
        <v>3</v>
      </c>
      <c r="N180" s="30">
        <f t="shared" si="1106"/>
        <v>0</v>
      </c>
      <c r="O180" s="30">
        <f t="shared" si="1106"/>
        <v>4</v>
      </c>
      <c r="P180" s="30">
        <f t="shared" si="1106"/>
        <v>1</v>
      </c>
      <c r="Q180" s="30">
        <f t="shared" si="1106"/>
        <v>2</v>
      </c>
      <c r="R180" s="30">
        <f t="shared" si="1106"/>
        <v>2</v>
      </c>
      <c r="S180" s="30">
        <f t="shared" si="1106"/>
        <v>1</v>
      </c>
      <c r="T180" s="30">
        <f t="shared" si="1106"/>
        <v>2</v>
      </c>
      <c r="U180" s="30">
        <f t="shared" si="1106"/>
        <v>1</v>
      </c>
      <c r="V180" s="30">
        <f>IF(V167&lt;&gt;"",+V167,"")</f>
        <v>5</v>
      </c>
      <c r="W180" s="30">
        <f>IF(W167&lt;&gt;"",+W167-V167,"")</f>
        <v>2</v>
      </c>
      <c r="X180" s="30">
        <f>IF(X167&lt;&gt;"",+X167-W167,"")</f>
        <v>6</v>
      </c>
      <c r="Y180" s="30">
        <f>IF(Y167&lt;&gt;"",+Y167-X167,"")</f>
        <v>3</v>
      </c>
      <c r="Z180" s="30">
        <f t="shared" si="1091"/>
        <v>4</v>
      </c>
      <c r="AA180" s="30">
        <f t="shared" si="1091"/>
        <v>0</v>
      </c>
      <c r="AB180" s="30">
        <f t="shared" si="1091"/>
        <v>1</v>
      </c>
      <c r="AC180" s="30">
        <f t="shared" si="1091"/>
        <v>1</v>
      </c>
      <c r="AD180" s="30">
        <f t="shared" si="1091"/>
        <v>6</v>
      </c>
      <c r="AE180" s="30">
        <f t="shared" si="1091"/>
        <v>0</v>
      </c>
      <c r="AF180" s="30">
        <f t="shared" si="1091"/>
        <v>2</v>
      </c>
      <c r="AG180" s="30">
        <f t="shared" si="1091"/>
        <v>4</v>
      </c>
      <c r="AH180" s="30">
        <f>IF(AH167&lt;&gt;"",+AH167,"")</f>
        <v>4</v>
      </c>
      <c r="AI180" s="30">
        <f>IF(AI167&lt;&gt;"",+AI167-AH167,"")</f>
        <v>9</v>
      </c>
      <c r="AJ180" s="30" t="str">
        <f>IF(AJ167&lt;&gt;"",+AJ167-AI167,"")</f>
        <v/>
      </c>
      <c r="AK180" s="408"/>
      <c r="AL180" s="48">
        <f t="shared" si="1022"/>
        <v>3</v>
      </c>
      <c r="AM180" s="48">
        <f t="shared" si="1092"/>
        <v>3</v>
      </c>
      <c r="AN180" s="48">
        <f t="shared" si="1092"/>
        <v>4</v>
      </c>
      <c r="AO180" s="48">
        <f t="shared" si="1092"/>
        <v>3</v>
      </c>
      <c r="AP180" s="48">
        <f t="shared" si="1092"/>
        <v>0</v>
      </c>
      <c r="AQ180" s="48">
        <f t="shared" si="1092"/>
        <v>4</v>
      </c>
      <c r="AR180" s="48">
        <f t="shared" si="1092"/>
        <v>1</v>
      </c>
      <c r="AS180" s="48">
        <f t="shared" si="1092"/>
        <v>2</v>
      </c>
      <c r="AT180" s="48">
        <f t="shared" si="1092"/>
        <v>2</v>
      </c>
      <c r="AU180" s="48">
        <f t="shared" si="1092"/>
        <v>1</v>
      </c>
      <c r="AV180" s="48">
        <f t="shared" si="1092"/>
        <v>2</v>
      </c>
      <c r="AW180" s="48">
        <f t="shared" si="1093"/>
        <v>1</v>
      </c>
      <c r="AX180" s="48">
        <f t="shared" si="1093"/>
        <v>5</v>
      </c>
      <c r="AY180" s="48">
        <f t="shared" si="1093"/>
        <v>2</v>
      </c>
      <c r="AZ180" s="48">
        <f t="shared" si="1093"/>
        <v>6</v>
      </c>
      <c r="BA180" s="48">
        <f t="shared" si="1093"/>
        <v>3</v>
      </c>
      <c r="BB180" s="48">
        <f t="shared" si="1093"/>
        <v>4</v>
      </c>
      <c r="BC180" s="48">
        <f t="shared" si="1093"/>
        <v>0</v>
      </c>
      <c r="BD180" s="48">
        <f t="shared" si="1093"/>
        <v>1</v>
      </c>
      <c r="BE180" s="48">
        <f t="shared" si="1093"/>
        <v>1</v>
      </c>
      <c r="BF180" s="48">
        <f t="shared" si="1093"/>
        <v>6</v>
      </c>
      <c r="BG180" s="48">
        <f t="shared" si="1094"/>
        <v>0</v>
      </c>
      <c r="BH180" s="48">
        <f t="shared" si="1094"/>
        <v>2</v>
      </c>
      <c r="BI180" s="48">
        <f t="shared" si="1094"/>
        <v>4</v>
      </c>
      <c r="BJ180" s="48">
        <f t="shared" si="1094"/>
        <v>4</v>
      </c>
      <c r="BK180" s="48">
        <f t="shared" si="1094"/>
        <v>9</v>
      </c>
      <c r="BL180" s="48" t="str">
        <f t="shared" si="1094"/>
        <v/>
      </c>
      <c r="BM180" s="408"/>
      <c r="BN180" s="48">
        <f>+AL180</f>
        <v>3</v>
      </c>
      <c r="BO180" s="48">
        <f t="shared" si="1095"/>
        <v>6</v>
      </c>
      <c r="BP180" s="48">
        <f t="shared" si="1095"/>
        <v>10</v>
      </c>
      <c r="BQ180" s="48">
        <f>+AO180</f>
        <v>3</v>
      </c>
      <c r="BR180" s="48">
        <f t="shared" si="1096"/>
        <v>3</v>
      </c>
      <c r="BS180" s="48">
        <f t="shared" si="1096"/>
        <v>7</v>
      </c>
      <c r="BT180" s="48">
        <f>+AR180</f>
        <v>1</v>
      </c>
      <c r="BU180" s="48">
        <f t="shared" si="1097"/>
        <v>3</v>
      </c>
      <c r="BV180" s="48">
        <f t="shared" si="1097"/>
        <v>5</v>
      </c>
      <c r="BW180" s="48">
        <f>+AU180</f>
        <v>1</v>
      </c>
      <c r="BX180" s="48">
        <f t="shared" si="1098"/>
        <v>3</v>
      </c>
      <c r="BY180" s="48">
        <f t="shared" si="1098"/>
        <v>4</v>
      </c>
      <c r="BZ180" s="48">
        <f>+AX180</f>
        <v>5</v>
      </c>
      <c r="CA180" s="48">
        <f t="shared" si="1099"/>
        <v>7</v>
      </c>
      <c r="CB180" s="48">
        <f t="shared" si="1099"/>
        <v>13</v>
      </c>
      <c r="CC180" s="48">
        <f>+BA180</f>
        <v>3</v>
      </c>
      <c r="CD180" s="48">
        <f t="shared" si="1100"/>
        <v>7</v>
      </c>
      <c r="CE180" s="48">
        <f t="shared" si="1100"/>
        <v>7</v>
      </c>
      <c r="CF180" s="48">
        <f>+BD180</f>
        <v>1</v>
      </c>
      <c r="CG180" s="48">
        <f t="shared" si="1101"/>
        <v>2</v>
      </c>
      <c r="CH180" s="48">
        <f t="shared" si="1101"/>
        <v>8</v>
      </c>
      <c r="CI180" s="48">
        <f>+BG180</f>
        <v>0</v>
      </c>
      <c r="CJ180" s="48">
        <f t="shared" si="1102"/>
        <v>2</v>
      </c>
      <c r="CK180" s="48">
        <f t="shared" si="1102"/>
        <v>6</v>
      </c>
      <c r="CL180" s="48">
        <f>+BJ180</f>
        <v>4</v>
      </c>
      <c r="CM180" s="48">
        <f t="shared" si="1103"/>
        <v>13</v>
      </c>
      <c r="CN180" s="48" t="e">
        <f t="shared" si="1103"/>
        <v>#VALUE!</v>
      </c>
      <c r="CO180" s="406"/>
      <c r="CP180" s="40">
        <f>AL180</f>
        <v>3</v>
      </c>
      <c r="CQ180" s="40">
        <f t="shared" si="1104"/>
        <v>6</v>
      </c>
      <c r="CR180" s="40">
        <f t="shared" si="1104"/>
        <v>10</v>
      </c>
      <c r="CS180" s="40">
        <f t="shared" si="1104"/>
        <v>13</v>
      </c>
      <c r="CT180" s="40">
        <f t="shared" si="1104"/>
        <v>13</v>
      </c>
      <c r="CU180" s="40">
        <f t="shared" si="1104"/>
        <v>17</v>
      </c>
      <c r="CV180" s="40">
        <f t="shared" si="1104"/>
        <v>18</v>
      </c>
      <c r="CW180" s="40">
        <f t="shared" si="1104"/>
        <v>20</v>
      </c>
      <c r="CX180" s="40">
        <f t="shared" si="1104"/>
        <v>22</v>
      </c>
      <c r="CY180" s="40">
        <f t="shared" si="1104"/>
        <v>23</v>
      </c>
      <c r="CZ180" s="40">
        <f t="shared" si="1104"/>
        <v>25</v>
      </c>
      <c r="DA180" s="40">
        <f t="shared" si="1104"/>
        <v>26</v>
      </c>
      <c r="DB180" s="40">
        <f>AX180</f>
        <v>5</v>
      </c>
      <c r="DC180" s="40">
        <f t="shared" si="1105"/>
        <v>7</v>
      </c>
      <c r="DD180" s="40">
        <f t="shared" si="1105"/>
        <v>13</v>
      </c>
      <c r="DE180" s="40">
        <f t="shared" si="1105"/>
        <v>16</v>
      </c>
      <c r="DF180" s="40">
        <f t="shared" si="1105"/>
        <v>20</v>
      </c>
      <c r="DG180" s="40">
        <f t="shared" si="1105"/>
        <v>20</v>
      </c>
      <c r="DH180" s="40">
        <f t="shared" si="1105"/>
        <v>21</v>
      </c>
      <c r="DI180" s="40">
        <f t="shared" si="1105"/>
        <v>22</v>
      </c>
      <c r="DJ180" s="40">
        <f t="shared" si="1105"/>
        <v>28</v>
      </c>
      <c r="DK180" s="40">
        <f t="shared" si="1105"/>
        <v>28</v>
      </c>
      <c r="DL180" s="40">
        <f t="shared" si="1105"/>
        <v>30</v>
      </c>
      <c r="DM180" s="40">
        <f t="shared" si="1105"/>
        <v>34</v>
      </c>
      <c r="DN180" s="40">
        <f>BJ180</f>
        <v>4</v>
      </c>
      <c r="DO180" s="40">
        <f>DN180+BK180</f>
        <v>13</v>
      </c>
      <c r="DP180" s="40" t="e">
        <f>DO180+BL180</f>
        <v>#VALUE!</v>
      </c>
      <c r="DQ180" s="40"/>
      <c r="DR180" s="40"/>
      <c r="DS180" s="40"/>
      <c r="DT180" s="40"/>
      <c r="DU180" s="40"/>
      <c r="DV180" s="40"/>
      <c r="DW180" s="40"/>
      <c r="DX180" s="40"/>
      <c r="DY180" s="40"/>
      <c r="EA180" s="53"/>
      <c r="EB180" s="53"/>
      <c r="EC180" s="53"/>
      <c r="ED180" s="429"/>
      <c r="EE180" s="54"/>
      <c r="EF180" s="54"/>
      <c r="EG180" s="54"/>
      <c r="EH180" s="18">
        <f>HLOOKUP($I$1,Month,ROW()-1)</f>
        <v>9</v>
      </c>
      <c r="EI180" s="18">
        <f>HLOOKUP($I$1,Qtr,ROW()-1)</f>
        <v>13</v>
      </c>
      <c r="EJ180" s="18">
        <f t="shared" si="989"/>
        <v>13</v>
      </c>
      <c r="EK180" s="57">
        <f t="shared" si="1032"/>
        <v>0.16666666666666666</v>
      </c>
      <c r="EL180" s="14" t="e">
        <f>EH180/EE155</f>
        <v>#DIV/0!</v>
      </c>
      <c r="EM180" s="14" t="e">
        <f>EI180/EF155</f>
        <v>#DIV/0!</v>
      </c>
      <c r="EN180" s="14">
        <f>EJ180/EG155</f>
        <v>0.52008321331413032</v>
      </c>
      <c r="EO180" s="46" t="str">
        <f t="shared" si="1039"/>
        <v>Ç</v>
      </c>
      <c r="EP180" s="46" t="str">
        <f t="shared" si="1040"/>
        <v>Ç</v>
      </c>
      <c r="EQ180" s="2" t="e">
        <f>IF(EL180&gt;=0.9,1,IF(EL180&lt;0.75,2,3))</f>
        <v>#DIV/0!</v>
      </c>
      <c r="ER180" s="2" t="e">
        <f>IF(EM180&gt;=0.9,1,IF(EM180&lt;0.75,2,3))</f>
        <v>#DIV/0!</v>
      </c>
      <c r="ES180" s="2">
        <f>IF(EN180&gt;=0.9,1,IF(EN180&lt;0.75,2,3))</f>
        <v>2</v>
      </c>
    </row>
    <row r="181" spans="1:149" ht="12.75" customHeight="1">
      <c r="A181" s="6" t="s">
        <v>23</v>
      </c>
      <c r="B181" s="2" t="s">
        <v>98</v>
      </c>
      <c r="G181" s="28" t="s">
        <v>92</v>
      </c>
      <c r="H181" s="28"/>
      <c r="I181" s="29"/>
      <c r="J181" s="32">
        <f>J168*J169</f>
        <v>0</v>
      </c>
      <c r="K181" s="32">
        <f t="shared" ref="K181:AJ181" si="1107">K168*K169</f>
        <v>0</v>
      </c>
      <c r="L181" s="32">
        <f t="shared" si="1107"/>
        <v>0</v>
      </c>
      <c r="M181" s="32">
        <f t="shared" si="1107"/>
        <v>0</v>
      </c>
      <c r="N181" s="32">
        <f t="shared" si="1107"/>
        <v>0</v>
      </c>
      <c r="O181" s="32">
        <f t="shared" si="1107"/>
        <v>1</v>
      </c>
      <c r="P181" s="32">
        <f t="shared" si="1107"/>
        <v>2</v>
      </c>
      <c r="Q181" s="32">
        <f t="shared" si="1107"/>
        <v>1</v>
      </c>
      <c r="R181" s="32">
        <f t="shared" si="1107"/>
        <v>3</v>
      </c>
      <c r="S181" s="32">
        <f t="shared" si="1107"/>
        <v>2</v>
      </c>
      <c r="T181" s="32">
        <f t="shared" si="1107"/>
        <v>2</v>
      </c>
      <c r="U181" s="32">
        <f t="shared" si="1107"/>
        <v>3</v>
      </c>
      <c r="V181" s="32">
        <f t="shared" si="1107"/>
        <v>2</v>
      </c>
      <c r="W181" s="32">
        <f t="shared" si="1107"/>
        <v>4</v>
      </c>
      <c r="X181" s="32">
        <f t="shared" si="1107"/>
        <v>1</v>
      </c>
      <c r="Y181" s="32">
        <f t="shared" si="1107"/>
        <v>0</v>
      </c>
      <c r="Z181" s="32">
        <f t="shared" si="1107"/>
        <v>3</v>
      </c>
      <c r="AA181" s="32">
        <f t="shared" si="1107"/>
        <v>0</v>
      </c>
      <c r="AB181" s="32">
        <f t="shared" si="1107"/>
        <v>0</v>
      </c>
      <c r="AC181" s="32">
        <f t="shared" si="1107"/>
        <v>1</v>
      </c>
      <c r="AD181" s="32">
        <f t="shared" si="1107"/>
        <v>1</v>
      </c>
      <c r="AE181" s="32">
        <f t="shared" si="1107"/>
        <v>2</v>
      </c>
      <c r="AF181" s="32">
        <f t="shared" si="1107"/>
        <v>1</v>
      </c>
      <c r="AG181" s="32">
        <f t="shared" si="1107"/>
        <v>1</v>
      </c>
      <c r="AH181" s="32">
        <f t="shared" si="1107"/>
        <v>3</v>
      </c>
      <c r="AI181" s="32">
        <f t="shared" si="1107"/>
        <v>1</v>
      </c>
      <c r="AJ181" s="32">
        <f t="shared" si="1107"/>
        <v>0</v>
      </c>
      <c r="AK181" s="408"/>
      <c r="AL181" s="56">
        <f t="shared" ref="AL181:BL181" si="1108">AL168*AL169</f>
        <v>0</v>
      </c>
      <c r="AM181" s="56">
        <f t="shared" si="1108"/>
        <v>0</v>
      </c>
      <c r="AN181" s="56">
        <f t="shared" si="1108"/>
        <v>0</v>
      </c>
      <c r="AO181" s="56">
        <f t="shared" si="1108"/>
        <v>0</v>
      </c>
      <c r="AP181" s="56">
        <f t="shared" si="1108"/>
        <v>0</v>
      </c>
      <c r="AQ181" s="56">
        <f t="shared" si="1108"/>
        <v>1</v>
      </c>
      <c r="AR181" s="56">
        <f t="shared" si="1108"/>
        <v>2</v>
      </c>
      <c r="AS181" s="56">
        <f t="shared" si="1108"/>
        <v>1</v>
      </c>
      <c r="AT181" s="56">
        <f t="shared" si="1108"/>
        <v>3</v>
      </c>
      <c r="AU181" s="56">
        <f t="shared" si="1108"/>
        <v>2</v>
      </c>
      <c r="AV181" s="56">
        <f t="shared" si="1108"/>
        <v>2</v>
      </c>
      <c r="AW181" s="56">
        <f t="shared" si="1108"/>
        <v>3</v>
      </c>
      <c r="AX181" s="56">
        <f t="shared" si="1108"/>
        <v>2</v>
      </c>
      <c r="AY181" s="56">
        <f t="shared" si="1108"/>
        <v>4</v>
      </c>
      <c r="AZ181" s="56">
        <f t="shared" si="1108"/>
        <v>1</v>
      </c>
      <c r="BA181" s="56">
        <f t="shared" si="1108"/>
        <v>0</v>
      </c>
      <c r="BB181" s="56">
        <f t="shared" si="1108"/>
        <v>3</v>
      </c>
      <c r="BC181" s="56">
        <f t="shared" si="1108"/>
        <v>0</v>
      </c>
      <c r="BD181" s="56">
        <f t="shared" si="1108"/>
        <v>0</v>
      </c>
      <c r="BE181" s="56">
        <f t="shared" si="1108"/>
        <v>1</v>
      </c>
      <c r="BF181" s="56">
        <f t="shared" si="1108"/>
        <v>1</v>
      </c>
      <c r="BG181" s="56">
        <f t="shared" si="1108"/>
        <v>2</v>
      </c>
      <c r="BH181" s="56">
        <f t="shared" si="1108"/>
        <v>1</v>
      </c>
      <c r="BI181" s="56">
        <f t="shared" si="1108"/>
        <v>1</v>
      </c>
      <c r="BJ181" s="56">
        <f t="shared" si="1108"/>
        <v>3</v>
      </c>
      <c r="BK181" s="56">
        <f t="shared" si="1108"/>
        <v>0</v>
      </c>
      <c r="BL181" s="56">
        <f t="shared" si="1108"/>
        <v>0</v>
      </c>
      <c r="BM181" s="408"/>
      <c r="BN181" s="56">
        <f>+AL181</f>
        <v>0</v>
      </c>
      <c r="BO181" s="56">
        <f t="shared" si="1095"/>
        <v>0</v>
      </c>
      <c r="BP181" s="56">
        <f t="shared" si="1095"/>
        <v>0</v>
      </c>
      <c r="BQ181" s="56">
        <f>+AO181</f>
        <v>0</v>
      </c>
      <c r="BR181" s="56">
        <f t="shared" si="1096"/>
        <v>0</v>
      </c>
      <c r="BS181" s="56">
        <f t="shared" si="1096"/>
        <v>1</v>
      </c>
      <c r="BT181" s="56">
        <f>+AR181</f>
        <v>2</v>
      </c>
      <c r="BU181" s="56">
        <f t="shared" si="1097"/>
        <v>3</v>
      </c>
      <c r="BV181" s="56">
        <f t="shared" si="1097"/>
        <v>6</v>
      </c>
      <c r="BW181" s="56">
        <f>+AU181</f>
        <v>2</v>
      </c>
      <c r="BX181" s="56">
        <f t="shared" si="1098"/>
        <v>4</v>
      </c>
      <c r="BY181" s="56">
        <f t="shared" si="1098"/>
        <v>7</v>
      </c>
      <c r="BZ181" s="56">
        <f>+AX181</f>
        <v>2</v>
      </c>
      <c r="CA181" s="56">
        <f t="shared" si="1099"/>
        <v>6</v>
      </c>
      <c r="CB181" s="56">
        <f t="shared" si="1099"/>
        <v>7</v>
      </c>
      <c r="CC181" s="56">
        <f>+BA181</f>
        <v>0</v>
      </c>
      <c r="CD181" s="56">
        <f t="shared" si="1100"/>
        <v>3</v>
      </c>
      <c r="CE181" s="56">
        <f t="shared" si="1100"/>
        <v>3</v>
      </c>
      <c r="CF181" s="56">
        <f>+BD181</f>
        <v>0</v>
      </c>
      <c r="CG181" s="56">
        <f t="shared" si="1101"/>
        <v>1</v>
      </c>
      <c r="CH181" s="56">
        <f t="shared" si="1101"/>
        <v>2</v>
      </c>
      <c r="CI181" s="56">
        <f>+BG181</f>
        <v>2</v>
      </c>
      <c r="CJ181" s="56">
        <f t="shared" si="1102"/>
        <v>3</v>
      </c>
      <c r="CK181" s="56">
        <f t="shared" si="1102"/>
        <v>4</v>
      </c>
      <c r="CL181" s="56">
        <f>+BJ181</f>
        <v>3</v>
      </c>
      <c r="CM181" s="56">
        <f t="shared" si="1103"/>
        <v>3</v>
      </c>
      <c r="CN181" s="56">
        <f t="shared" si="1103"/>
        <v>3</v>
      </c>
      <c r="CO181" s="406"/>
      <c r="CP181" s="60">
        <f>J181</f>
        <v>0</v>
      </c>
      <c r="CQ181" s="60">
        <f t="shared" ref="CQ181:DA181" si="1109">CP181+K181</f>
        <v>0</v>
      </c>
      <c r="CR181" s="60">
        <f t="shared" si="1109"/>
        <v>0</v>
      </c>
      <c r="CS181" s="60">
        <f t="shared" si="1109"/>
        <v>0</v>
      </c>
      <c r="CT181" s="60">
        <f t="shared" si="1109"/>
        <v>0</v>
      </c>
      <c r="CU181" s="60">
        <f t="shared" si="1109"/>
        <v>1</v>
      </c>
      <c r="CV181" s="60">
        <f t="shared" si="1109"/>
        <v>3</v>
      </c>
      <c r="CW181" s="60">
        <f t="shared" si="1109"/>
        <v>4</v>
      </c>
      <c r="CX181" s="60">
        <f t="shared" si="1109"/>
        <v>7</v>
      </c>
      <c r="CY181" s="60">
        <f t="shared" si="1109"/>
        <v>9</v>
      </c>
      <c r="CZ181" s="60">
        <f t="shared" si="1109"/>
        <v>11</v>
      </c>
      <c r="DA181" s="60">
        <f t="shared" si="1109"/>
        <v>14</v>
      </c>
      <c r="DB181" s="60">
        <f>V181</f>
        <v>2</v>
      </c>
      <c r="DC181" s="60">
        <f t="shared" ref="DC181:DM181" si="1110">DB181+W181</f>
        <v>6</v>
      </c>
      <c r="DD181" s="60">
        <f t="shared" si="1110"/>
        <v>7</v>
      </c>
      <c r="DE181" s="60">
        <f t="shared" si="1110"/>
        <v>7</v>
      </c>
      <c r="DF181" s="60">
        <f t="shared" si="1110"/>
        <v>10</v>
      </c>
      <c r="DG181" s="60">
        <f t="shared" si="1110"/>
        <v>10</v>
      </c>
      <c r="DH181" s="60">
        <f t="shared" si="1110"/>
        <v>10</v>
      </c>
      <c r="DI181" s="60">
        <f t="shared" si="1110"/>
        <v>11</v>
      </c>
      <c r="DJ181" s="60">
        <f t="shared" si="1110"/>
        <v>12</v>
      </c>
      <c r="DK181" s="60">
        <f t="shared" si="1110"/>
        <v>14</v>
      </c>
      <c r="DL181" s="60">
        <f t="shared" si="1110"/>
        <v>15</v>
      </c>
      <c r="DM181" s="60">
        <f t="shared" si="1110"/>
        <v>16</v>
      </c>
      <c r="DN181" s="60">
        <f>AH181</f>
        <v>3</v>
      </c>
      <c r="DO181" s="60">
        <f>DN181+AI181</f>
        <v>4</v>
      </c>
      <c r="DP181" s="60">
        <f>DO181+AJ181</f>
        <v>4</v>
      </c>
      <c r="DQ181" s="60"/>
      <c r="DR181" s="60"/>
      <c r="DS181" s="60"/>
      <c r="DT181" s="60"/>
      <c r="DU181" s="60"/>
      <c r="DV181" s="60"/>
      <c r="DW181" s="60"/>
      <c r="DX181" s="60"/>
      <c r="DY181" s="60"/>
      <c r="EA181" s="53"/>
      <c r="EB181" s="53"/>
      <c r="EC181" s="53"/>
      <c r="ED181" s="429"/>
      <c r="EE181" s="54"/>
      <c r="EF181" s="54"/>
      <c r="EG181" s="54"/>
      <c r="EH181" s="18">
        <f>HLOOKUP($I$1,Month,ROW()-1)</f>
        <v>0</v>
      </c>
      <c r="EI181" s="18">
        <f>HLOOKUP($I$1,Qtr,ROW()-1)</f>
        <v>3</v>
      </c>
      <c r="EJ181" s="18">
        <f t="shared" si="989"/>
        <v>4</v>
      </c>
      <c r="EK181" s="57">
        <f t="shared" si="1032"/>
        <v>0.16666666666666666</v>
      </c>
      <c r="EL181" s="14"/>
      <c r="EM181" s="14" t="e">
        <f>EI181/EF157</f>
        <v>#DIV/0!</v>
      </c>
      <c r="EN181" s="14"/>
      <c r="EO181" s="46" t="str">
        <f>IF(EH181&lt;0,,IF(EH181&lt;EE157,"È",IF(EH181=EE157,"Æ","Ç")))</f>
        <v>Æ</v>
      </c>
      <c r="EP181" s="46" t="str">
        <f>IF(EI181&lt;0,,IF(EI181&lt;EF157,"È",IF(EI181=EF157,"Æ","Ç")))</f>
        <v>Ç</v>
      </c>
    </row>
    <row r="182" spans="1:149" ht="13.5" thickBot="1">
      <c r="K182" s="42" t="s">
        <v>114</v>
      </c>
      <c r="AL182" s="14"/>
      <c r="CN182" s="23" t="s">
        <v>152</v>
      </c>
      <c r="CP182" s="2">
        <v>10</v>
      </c>
      <c r="CQ182" s="2">
        <v>11</v>
      </c>
      <c r="CR182" s="2">
        <v>12</v>
      </c>
      <c r="CS182" s="2">
        <v>1</v>
      </c>
      <c r="CT182" s="2">
        <v>2</v>
      </c>
      <c r="CU182" s="2">
        <v>3</v>
      </c>
      <c r="CV182" s="2">
        <v>4</v>
      </c>
      <c r="CW182" s="2">
        <v>5</v>
      </c>
      <c r="CX182" s="2">
        <v>6</v>
      </c>
      <c r="CY182" s="2">
        <v>7</v>
      </c>
      <c r="CZ182" s="2">
        <v>8</v>
      </c>
      <c r="DA182" s="2">
        <v>9</v>
      </c>
      <c r="DB182" s="2">
        <v>10</v>
      </c>
      <c r="DC182" s="2">
        <v>11</v>
      </c>
      <c r="DD182" s="2">
        <v>12</v>
      </c>
      <c r="DE182" s="2">
        <v>1</v>
      </c>
      <c r="DF182" s="2">
        <v>2</v>
      </c>
      <c r="DG182" s="2">
        <v>3</v>
      </c>
      <c r="DH182" s="2">
        <v>4</v>
      </c>
      <c r="DI182" s="2">
        <v>5</v>
      </c>
      <c r="DJ182" s="2">
        <v>6</v>
      </c>
      <c r="DK182" s="2">
        <v>7</v>
      </c>
      <c r="DL182" s="2">
        <v>8</v>
      </c>
      <c r="DM182" s="2">
        <v>9</v>
      </c>
      <c r="DN182" s="2">
        <v>10</v>
      </c>
      <c r="DO182" s="2">
        <v>11</v>
      </c>
      <c r="DP182" s="2">
        <v>12</v>
      </c>
      <c r="ED182" s="429"/>
      <c r="EE182" s="23"/>
      <c r="EF182" s="23"/>
      <c r="EG182" s="23"/>
      <c r="EH182" s="23"/>
      <c r="EI182" s="23"/>
      <c r="EJ182" s="23"/>
      <c r="EK182" s="23"/>
    </row>
    <row r="183" spans="1:149" ht="13.5" thickBot="1">
      <c r="E183" s="666" t="s">
        <v>88</v>
      </c>
      <c r="F183" s="667"/>
      <c r="G183" s="667"/>
      <c r="H183" s="667"/>
      <c r="I183" s="668"/>
      <c r="CN183" s="23" t="s">
        <v>153</v>
      </c>
      <c r="CP183" s="2">
        <v>1</v>
      </c>
      <c r="CQ183" s="2">
        <v>2</v>
      </c>
      <c r="CR183" s="2">
        <v>3</v>
      </c>
      <c r="CS183" s="2">
        <v>4</v>
      </c>
      <c r="CT183" s="2">
        <v>5</v>
      </c>
      <c r="CU183" s="2">
        <v>6</v>
      </c>
      <c r="CV183" s="2">
        <v>7</v>
      </c>
      <c r="CW183" s="2">
        <v>8</v>
      </c>
      <c r="CX183" s="2">
        <v>9</v>
      </c>
      <c r="CY183" s="2">
        <v>10</v>
      </c>
      <c r="CZ183" s="2">
        <v>11</v>
      </c>
      <c r="DA183" s="2">
        <v>12</v>
      </c>
      <c r="DB183" s="2">
        <v>1</v>
      </c>
      <c r="DC183" s="2">
        <v>2</v>
      </c>
      <c r="DD183" s="2">
        <v>3</v>
      </c>
      <c r="DE183" s="2">
        <v>4</v>
      </c>
      <c r="DF183" s="2">
        <v>5</v>
      </c>
      <c r="DG183" s="2">
        <v>6</v>
      </c>
      <c r="DH183" s="2">
        <v>7</v>
      </c>
      <c r="DI183" s="2">
        <v>8</v>
      </c>
      <c r="DJ183" s="2">
        <v>9</v>
      </c>
      <c r="DK183" s="2">
        <v>10</v>
      </c>
      <c r="DL183" s="2">
        <v>11</v>
      </c>
      <c r="DM183" s="2">
        <v>12</v>
      </c>
      <c r="ED183" s="429"/>
      <c r="EE183" s="23"/>
      <c r="EF183" s="23"/>
      <c r="EG183" s="23"/>
      <c r="EH183" s="23"/>
      <c r="EI183" s="23"/>
      <c r="EJ183" s="23"/>
      <c r="EK183" s="23"/>
    </row>
    <row r="184" spans="1:149" ht="13.5" thickBot="1">
      <c r="A184" s="6" t="s">
        <v>30</v>
      </c>
      <c r="C184" s="11" t="s">
        <v>73</v>
      </c>
      <c r="E184" s="8" t="s">
        <v>34</v>
      </c>
      <c r="F184" s="11" t="s">
        <v>33</v>
      </c>
      <c r="G184" s="9" t="s">
        <v>34</v>
      </c>
      <c r="H184" s="11" t="s">
        <v>33</v>
      </c>
      <c r="I184" s="11" t="s">
        <v>34</v>
      </c>
      <c r="AL184" s="109"/>
    </row>
    <row r="185" spans="1:149">
      <c r="A185" s="6" t="s">
        <v>23</v>
      </c>
      <c r="B185" s="2" t="s">
        <v>24</v>
      </c>
      <c r="C185" s="3" t="s">
        <v>74</v>
      </c>
      <c r="E185" s="4" t="str">
        <f>C142</f>
        <v>BInBusNew</v>
      </c>
      <c r="F185" s="4" t="s">
        <v>31</v>
      </c>
      <c r="G185" s="28" t="str">
        <f>C141</f>
        <v>BAllNew</v>
      </c>
      <c r="H185" s="28"/>
      <c r="I185" s="28"/>
      <c r="J185" s="62">
        <f t="shared" ref="J185:AJ185" si="1111">J142/J141</f>
        <v>0.46999999999999992</v>
      </c>
      <c r="K185" s="62">
        <f t="shared" si="1111"/>
        <v>0.47000000000000003</v>
      </c>
      <c r="L185" s="62">
        <f t="shared" si="1111"/>
        <v>0.47000000000000003</v>
      </c>
      <c r="M185" s="62">
        <f t="shared" si="1111"/>
        <v>0.47000000000000003</v>
      </c>
      <c r="N185" s="62">
        <f t="shared" si="1111"/>
        <v>0.47</v>
      </c>
      <c r="O185" s="62">
        <f t="shared" si="1111"/>
        <v>0.47</v>
      </c>
      <c r="P185" s="62">
        <f t="shared" si="1111"/>
        <v>0.47</v>
      </c>
      <c r="Q185" s="62">
        <f t="shared" si="1111"/>
        <v>0.46999999999999992</v>
      </c>
      <c r="R185" s="62">
        <f t="shared" si="1111"/>
        <v>0.46999999999999992</v>
      </c>
      <c r="S185" s="62">
        <f t="shared" si="1111"/>
        <v>0.47</v>
      </c>
      <c r="T185" s="62">
        <f t="shared" si="1111"/>
        <v>0.47</v>
      </c>
      <c r="U185" s="62">
        <f t="shared" si="1111"/>
        <v>0.47</v>
      </c>
      <c r="V185" s="62">
        <f t="shared" si="1111"/>
        <v>0.25</v>
      </c>
      <c r="W185" s="62">
        <f t="shared" si="1111"/>
        <v>0.25</v>
      </c>
      <c r="X185" s="62">
        <f t="shared" si="1111"/>
        <v>0.25</v>
      </c>
      <c r="Y185" s="62">
        <f t="shared" si="1111"/>
        <v>0.25</v>
      </c>
      <c r="Z185" s="62">
        <f t="shared" si="1111"/>
        <v>0.25</v>
      </c>
      <c r="AA185" s="62">
        <f t="shared" si="1111"/>
        <v>0.25</v>
      </c>
      <c r="AB185" s="62">
        <f t="shared" si="1111"/>
        <v>0.25</v>
      </c>
      <c r="AC185" s="62">
        <f t="shared" si="1111"/>
        <v>0.25</v>
      </c>
      <c r="AD185" s="62">
        <f t="shared" si="1111"/>
        <v>0.25</v>
      </c>
      <c r="AE185" s="62">
        <f t="shared" si="1111"/>
        <v>0.25</v>
      </c>
      <c r="AF185" s="62">
        <f t="shared" si="1111"/>
        <v>0.25</v>
      </c>
      <c r="AG185" s="62">
        <f t="shared" si="1111"/>
        <v>0.25</v>
      </c>
      <c r="AH185" s="62">
        <f t="shared" si="1111"/>
        <v>0.5074626865671642</v>
      </c>
      <c r="AI185" s="62">
        <f t="shared" si="1111"/>
        <v>0.5074626865671642</v>
      </c>
      <c r="AJ185" s="62">
        <f t="shared" si="1111"/>
        <v>0.5074626865671642</v>
      </c>
      <c r="AK185" s="412"/>
      <c r="AL185" s="14">
        <f t="shared" ref="AL185:BL185" si="1112">AL142/AL141</f>
        <v>0.46999999999999992</v>
      </c>
      <c r="AM185" s="14">
        <f t="shared" si="1112"/>
        <v>0.47000000000000008</v>
      </c>
      <c r="AN185" s="14">
        <f t="shared" si="1112"/>
        <v>0.47000000000000014</v>
      </c>
      <c r="AO185" s="14">
        <f t="shared" si="1112"/>
        <v>0.46999999999999986</v>
      </c>
      <c r="AP185" s="14">
        <f t="shared" si="1112"/>
        <v>0.46999999999999986</v>
      </c>
      <c r="AQ185" s="14">
        <f t="shared" si="1112"/>
        <v>0.46999999999999986</v>
      </c>
      <c r="AR185" s="14">
        <f t="shared" si="1112"/>
        <v>0.46999999999999986</v>
      </c>
      <c r="AS185" s="14">
        <f t="shared" si="1112"/>
        <v>0.46999999999999986</v>
      </c>
      <c r="AT185" s="14">
        <f t="shared" si="1112"/>
        <v>0.46999999999999986</v>
      </c>
      <c r="AU185" s="14">
        <f t="shared" si="1112"/>
        <v>0.47000000000000036</v>
      </c>
      <c r="AV185" s="14">
        <f t="shared" si="1112"/>
        <v>0.46999999999999986</v>
      </c>
      <c r="AW185" s="14">
        <f t="shared" si="1112"/>
        <v>0.46999999999999986</v>
      </c>
      <c r="AX185" s="14">
        <f t="shared" si="1112"/>
        <v>0.25</v>
      </c>
      <c r="AY185" s="14">
        <f t="shared" si="1112"/>
        <v>0.25</v>
      </c>
      <c r="AZ185" s="14">
        <f t="shared" si="1112"/>
        <v>0.25</v>
      </c>
      <c r="BA185" s="14">
        <f t="shared" si="1112"/>
        <v>0.25</v>
      </c>
      <c r="BB185" s="14">
        <f t="shared" si="1112"/>
        <v>0.25</v>
      </c>
      <c r="BC185" s="14">
        <f t="shared" si="1112"/>
        <v>0.25</v>
      </c>
      <c r="BD185" s="14">
        <f t="shared" si="1112"/>
        <v>0.25</v>
      </c>
      <c r="BE185" s="14">
        <f t="shared" si="1112"/>
        <v>0.25</v>
      </c>
      <c r="BF185" s="14">
        <f t="shared" si="1112"/>
        <v>0.25</v>
      </c>
      <c r="BG185" s="14">
        <f t="shared" si="1112"/>
        <v>0.25</v>
      </c>
      <c r="BH185" s="14">
        <f t="shared" si="1112"/>
        <v>0.25</v>
      </c>
      <c r="BI185" s="14">
        <f t="shared" si="1112"/>
        <v>0.25</v>
      </c>
      <c r="BJ185" s="14">
        <f t="shared" si="1112"/>
        <v>0.5074626865671642</v>
      </c>
      <c r="BK185" s="14">
        <f t="shared" si="1112"/>
        <v>0.5074626865671642</v>
      </c>
      <c r="BL185" s="14">
        <f t="shared" si="1112"/>
        <v>0.5074626865671642</v>
      </c>
      <c r="BM185" s="412"/>
      <c r="BN185" s="14">
        <f t="shared" ref="BN185:CN185" si="1113">BN142/BN141</f>
        <v>0.47000000000000003</v>
      </c>
      <c r="BO185" s="14">
        <f t="shared" si="1113"/>
        <v>0.47000000000000003</v>
      </c>
      <c r="BP185" s="14">
        <f t="shared" si="1113"/>
        <v>0.47000000000000003</v>
      </c>
      <c r="BQ185" s="14">
        <f t="shared" si="1113"/>
        <v>0.46999999999999986</v>
      </c>
      <c r="BR185" s="14">
        <f t="shared" si="1113"/>
        <v>0.46999999999999986</v>
      </c>
      <c r="BS185" s="14">
        <f t="shared" si="1113"/>
        <v>0.46999999999999986</v>
      </c>
      <c r="BT185" s="14">
        <f t="shared" si="1113"/>
        <v>0.46999999999999986</v>
      </c>
      <c r="BU185" s="14">
        <f t="shared" si="1113"/>
        <v>0.46999999999999986</v>
      </c>
      <c r="BV185" s="14">
        <f t="shared" si="1113"/>
        <v>0.46999999999999986</v>
      </c>
      <c r="BW185" s="14">
        <f t="shared" si="1113"/>
        <v>0.47000000000000003</v>
      </c>
      <c r="BX185" s="14">
        <f t="shared" si="1113"/>
        <v>0.47000000000000003</v>
      </c>
      <c r="BY185" s="14">
        <f t="shared" si="1113"/>
        <v>0.47000000000000003</v>
      </c>
      <c r="BZ185" s="14">
        <f t="shared" si="1113"/>
        <v>0.25</v>
      </c>
      <c r="CA185" s="14">
        <f t="shared" si="1113"/>
        <v>0.25</v>
      </c>
      <c r="CB185" s="14">
        <f t="shared" si="1113"/>
        <v>0.25</v>
      </c>
      <c r="CC185" s="14">
        <f t="shared" si="1113"/>
        <v>0.25</v>
      </c>
      <c r="CD185" s="14">
        <f t="shared" si="1113"/>
        <v>0.25</v>
      </c>
      <c r="CE185" s="14">
        <f t="shared" si="1113"/>
        <v>0.25</v>
      </c>
      <c r="CF185" s="14">
        <f t="shared" si="1113"/>
        <v>0.25</v>
      </c>
      <c r="CG185" s="14">
        <f t="shared" si="1113"/>
        <v>0.25</v>
      </c>
      <c r="CH185" s="14">
        <f t="shared" si="1113"/>
        <v>0.25</v>
      </c>
      <c r="CI185" s="14">
        <f t="shared" si="1113"/>
        <v>0.25</v>
      </c>
      <c r="CJ185" s="14">
        <f t="shared" si="1113"/>
        <v>0.25</v>
      </c>
      <c r="CK185" s="14">
        <f t="shared" si="1113"/>
        <v>0.25</v>
      </c>
      <c r="CL185" s="14">
        <f t="shared" si="1113"/>
        <v>0.5074626865671642</v>
      </c>
      <c r="CM185" s="14">
        <f t="shared" si="1113"/>
        <v>0.5074626865671642</v>
      </c>
      <c r="CN185" s="14">
        <f t="shared" si="1113"/>
        <v>0.5074626865671642</v>
      </c>
      <c r="CO185" s="412"/>
      <c r="CP185" s="14">
        <f t="shared" ref="CP185:DP185" si="1114">CP142/CP141</f>
        <v>0.46999999999999992</v>
      </c>
      <c r="CQ185" s="14">
        <f t="shared" si="1114"/>
        <v>0.47000000000000003</v>
      </c>
      <c r="CR185" s="14">
        <f t="shared" si="1114"/>
        <v>0.47000000000000003</v>
      </c>
      <c r="CS185" s="14">
        <f t="shared" si="1114"/>
        <v>0.47000000000000003</v>
      </c>
      <c r="CT185" s="14">
        <f t="shared" si="1114"/>
        <v>0.47</v>
      </c>
      <c r="CU185" s="14">
        <f t="shared" si="1114"/>
        <v>0.47</v>
      </c>
      <c r="CV185" s="14">
        <f t="shared" si="1114"/>
        <v>0.47</v>
      </c>
      <c r="CW185" s="14">
        <f t="shared" si="1114"/>
        <v>0.46999999999999992</v>
      </c>
      <c r="CX185" s="14">
        <f t="shared" si="1114"/>
        <v>0.46999999999999992</v>
      </c>
      <c r="CY185" s="14">
        <f t="shared" si="1114"/>
        <v>0.47</v>
      </c>
      <c r="CZ185" s="14">
        <f t="shared" si="1114"/>
        <v>0.47</v>
      </c>
      <c r="DA185" s="14">
        <f t="shared" si="1114"/>
        <v>0.47</v>
      </c>
      <c r="DB185" s="14">
        <f t="shared" si="1114"/>
        <v>0.25</v>
      </c>
      <c r="DC185" s="14">
        <f t="shared" si="1114"/>
        <v>0.25</v>
      </c>
      <c r="DD185" s="14">
        <f t="shared" si="1114"/>
        <v>0.25</v>
      </c>
      <c r="DE185" s="14">
        <f t="shared" si="1114"/>
        <v>0.25</v>
      </c>
      <c r="DF185" s="14">
        <f t="shared" si="1114"/>
        <v>0.25</v>
      </c>
      <c r="DG185" s="14">
        <f t="shared" si="1114"/>
        <v>0.25</v>
      </c>
      <c r="DH185" s="14">
        <f t="shared" si="1114"/>
        <v>0.25</v>
      </c>
      <c r="DI185" s="14">
        <f t="shared" si="1114"/>
        <v>0.25</v>
      </c>
      <c r="DJ185" s="14">
        <f t="shared" si="1114"/>
        <v>0.25</v>
      </c>
      <c r="DK185" s="14">
        <f t="shared" si="1114"/>
        <v>0.25</v>
      </c>
      <c r="DL185" s="14">
        <f t="shared" si="1114"/>
        <v>0.25</v>
      </c>
      <c r="DM185" s="14">
        <f t="shared" si="1114"/>
        <v>0.25</v>
      </c>
      <c r="DN185" s="14">
        <f t="shared" si="1114"/>
        <v>0.5074626865671642</v>
      </c>
      <c r="DO185" s="14">
        <f t="shared" si="1114"/>
        <v>0.5074626865671642</v>
      </c>
      <c r="DP185" s="14">
        <f t="shared" si="1114"/>
        <v>0.43496801705756932</v>
      </c>
      <c r="DQ185" s="14"/>
      <c r="DR185" s="14"/>
      <c r="DS185" s="14"/>
      <c r="DT185" s="14"/>
      <c r="DU185" s="14"/>
      <c r="DV185" s="14"/>
      <c r="DW185" s="14"/>
      <c r="DX185" s="14"/>
      <c r="DY185" s="14"/>
      <c r="DZ185" s="14"/>
      <c r="EA185" s="14">
        <f>EA142/EA141</f>
        <v>0.47</v>
      </c>
      <c r="EB185" s="14">
        <f>EB142/EB141</f>
        <v>0.25</v>
      </c>
      <c r="EC185" s="14"/>
      <c r="ED185" s="429"/>
      <c r="EE185" s="14">
        <f>EE142/EE141</f>
        <v>0.5074626865671642</v>
      </c>
      <c r="EF185" s="14">
        <f>EF142/EF141</f>
        <v>0.5074626865671642</v>
      </c>
      <c r="EG185" s="14">
        <f>EG142/EG141</f>
        <v>0.5074626865671642</v>
      </c>
      <c r="EK185" s="24"/>
      <c r="EL185" s="47"/>
      <c r="EM185" s="47"/>
      <c r="EN185" s="47"/>
    </row>
    <row r="186" spans="1:149">
      <c r="A186" s="6" t="s">
        <v>23</v>
      </c>
      <c r="B186" s="2" t="s">
        <v>25</v>
      </c>
      <c r="C186" s="3" t="s">
        <v>75</v>
      </c>
      <c r="E186" s="4" t="str">
        <f>C155</f>
        <v>BSEE</v>
      </c>
      <c r="F186" s="4" t="s">
        <v>31</v>
      </c>
      <c r="G186" s="28" t="str">
        <f>C154</f>
        <v>BSUniq</v>
      </c>
      <c r="H186" s="28"/>
      <c r="I186" s="28"/>
      <c r="J186" s="62">
        <f t="shared" ref="J186:AJ186" si="1115">J155/J154</f>
        <v>0.19940029985007493</v>
      </c>
      <c r="K186" s="62">
        <f t="shared" si="1115"/>
        <v>0.19940029985007493</v>
      </c>
      <c r="L186" s="62">
        <f t="shared" si="1115"/>
        <v>0.19940029985007493</v>
      </c>
      <c r="M186" s="62">
        <f t="shared" si="1115"/>
        <v>0.2752293577981651</v>
      </c>
      <c r="N186" s="62">
        <f t="shared" si="1115"/>
        <v>0.2753303964757709</v>
      </c>
      <c r="O186" s="62">
        <f t="shared" si="1115"/>
        <v>0.27533039647577096</v>
      </c>
      <c r="P186" s="62">
        <f t="shared" si="1115"/>
        <v>0.27533039647577096</v>
      </c>
      <c r="Q186" s="62">
        <f t="shared" si="1115"/>
        <v>0.27533039647577096</v>
      </c>
      <c r="R186" s="62">
        <f t="shared" si="1115"/>
        <v>0.27533039647577096</v>
      </c>
      <c r="S186" s="62">
        <f t="shared" si="1115"/>
        <v>0.27533039647577096</v>
      </c>
      <c r="T186" s="62">
        <f t="shared" si="1115"/>
        <v>0.27533039647577079</v>
      </c>
      <c r="U186" s="62">
        <f t="shared" si="1115"/>
        <v>0.27533039647577096</v>
      </c>
      <c r="V186" s="62">
        <f t="shared" si="1115"/>
        <v>0.19838095238095241</v>
      </c>
      <c r="W186" s="62">
        <f t="shared" si="1115"/>
        <v>0.19838095238095241</v>
      </c>
      <c r="X186" s="62">
        <f t="shared" si="1115"/>
        <v>0.19838095238095241</v>
      </c>
      <c r="Y186" s="62">
        <f t="shared" si="1115"/>
        <v>0.19838095238095241</v>
      </c>
      <c r="Z186" s="62">
        <f t="shared" si="1115"/>
        <v>0.19838095238095241</v>
      </c>
      <c r="AA186" s="62">
        <f t="shared" si="1115"/>
        <v>0.19838095238095241</v>
      </c>
      <c r="AB186" s="62">
        <f t="shared" si="1115"/>
        <v>0.19838095238095241</v>
      </c>
      <c r="AC186" s="62">
        <f t="shared" si="1115"/>
        <v>0.19838095238095241</v>
      </c>
      <c r="AD186" s="62">
        <f t="shared" si="1115"/>
        <v>0.19838095238095238</v>
      </c>
      <c r="AE186" s="62">
        <f t="shared" si="1115"/>
        <v>0.19838095238095235</v>
      </c>
      <c r="AF186" s="62">
        <f t="shared" si="1115"/>
        <v>0.19838095238095235</v>
      </c>
      <c r="AG186" s="62">
        <f t="shared" si="1115"/>
        <v>0.19838095238095235</v>
      </c>
      <c r="AH186" s="62">
        <f t="shared" si="1115"/>
        <v>0</v>
      </c>
      <c r="AI186" s="62">
        <f t="shared" si="1115"/>
        <v>0</v>
      </c>
      <c r="AJ186" s="62">
        <f t="shared" si="1115"/>
        <v>0</v>
      </c>
      <c r="AK186" s="412"/>
      <c r="AL186" s="14">
        <f t="shared" ref="AL186:BL186" si="1116">AL155/AL154</f>
        <v>0.19940029985007493</v>
      </c>
      <c r="AM186" s="14">
        <f t="shared" si="1116"/>
        <v>0.19940029985007493</v>
      </c>
      <c r="AN186" s="14">
        <f t="shared" si="1116"/>
        <v>0.19940029985007493</v>
      </c>
      <c r="AO186" s="14">
        <f t="shared" si="1116"/>
        <v>0.2752293577981651</v>
      </c>
      <c r="AP186" s="14">
        <f t="shared" si="1116"/>
        <v>0.2753303964757709</v>
      </c>
      <c r="AQ186" s="14">
        <f t="shared" si="1116"/>
        <v>0.27533039647577096</v>
      </c>
      <c r="AR186" s="14">
        <f t="shared" si="1116"/>
        <v>0.27533039647577096</v>
      </c>
      <c r="AS186" s="14">
        <f t="shared" si="1116"/>
        <v>0.27533039647577096</v>
      </c>
      <c r="AT186" s="14">
        <f t="shared" si="1116"/>
        <v>0.27533039647577096</v>
      </c>
      <c r="AU186" s="14">
        <f t="shared" si="1116"/>
        <v>0.27533039647577096</v>
      </c>
      <c r="AV186" s="14">
        <f t="shared" si="1116"/>
        <v>0.27533039647577079</v>
      </c>
      <c r="AW186" s="14">
        <f t="shared" si="1116"/>
        <v>0.27533039647577096</v>
      </c>
      <c r="AX186" s="14">
        <f t="shared" si="1116"/>
        <v>0.19838095238095241</v>
      </c>
      <c r="AY186" s="14">
        <f t="shared" si="1116"/>
        <v>0.39676190476190482</v>
      </c>
      <c r="AZ186" s="14">
        <f t="shared" si="1116"/>
        <v>0.5951428571428572</v>
      </c>
      <c r="BA186" s="14">
        <f t="shared" si="1116"/>
        <v>0.79352380952380963</v>
      </c>
      <c r="BB186" s="14">
        <f t="shared" si="1116"/>
        <v>0.99190476190476196</v>
      </c>
      <c r="BC186" s="14">
        <f t="shared" si="1116"/>
        <v>1.1902857142857144</v>
      </c>
      <c r="BD186" s="14">
        <f t="shared" si="1116"/>
        <v>1.3886666666666667</v>
      </c>
      <c r="BE186" s="14">
        <f t="shared" si="1116"/>
        <v>1.5870476190476193</v>
      </c>
      <c r="BF186" s="14">
        <f t="shared" si="1116"/>
        <v>1.7854285714285714</v>
      </c>
      <c r="BG186" s="14">
        <f t="shared" si="1116"/>
        <v>1.9838095238095237</v>
      </c>
      <c r="BH186" s="14">
        <f t="shared" si="1116"/>
        <v>2.1821904761904758</v>
      </c>
      <c r="BI186" s="14">
        <f t="shared" si="1116"/>
        <v>2.3805714285714279</v>
      </c>
      <c r="BJ186" s="14">
        <f t="shared" si="1116"/>
        <v>0</v>
      </c>
      <c r="BK186" s="14">
        <f t="shared" si="1116"/>
        <v>0</v>
      </c>
      <c r="BL186" s="14">
        <f t="shared" si="1116"/>
        <v>0</v>
      </c>
      <c r="BM186" s="412"/>
      <c r="BN186" s="14">
        <f t="shared" ref="BN186:CN186" si="1117">BN155/BN154</f>
        <v>0.19940029985007493</v>
      </c>
      <c r="BO186" s="14">
        <f t="shared" si="1117"/>
        <v>0.19940029985007493</v>
      </c>
      <c r="BP186" s="14">
        <f t="shared" si="1117"/>
        <v>0.19940029985007493</v>
      </c>
      <c r="BQ186" s="14">
        <f t="shared" si="1117"/>
        <v>0.2752293577981651</v>
      </c>
      <c r="BR186" s="14">
        <f t="shared" si="1117"/>
        <v>0.27527986786566344</v>
      </c>
      <c r="BS186" s="14">
        <f t="shared" si="1117"/>
        <v>0.27529670867490519</v>
      </c>
      <c r="BT186" s="14">
        <f t="shared" si="1117"/>
        <v>0.27533039647577096</v>
      </c>
      <c r="BU186" s="14">
        <f t="shared" si="1117"/>
        <v>0.27533039647577096</v>
      </c>
      <c r="BV186" s="14">
        <f t="shared" si="1117"/>
        <v>0.27533039647577096</v>
      </c>
      <c r="BW186" s="14">
        <f t="shared" si="1117"/>
        <v>0.27533039647577096</v>
      </c>
      <c r="BX186" s="14">
        <f t="shared" si="1117"/>
        <v>0.27533039647577084</v>
      </c>
      <c r="BY186" s="14">
        <f t="shared" si="1117"/>
        <v>0.2753303964757709</v>
      </c>
      <c r="BZ186" s="14">
        <f t="shared" si="1117"/>
        <v>0.1984126984126984</v>
      </c>
      <c r="CA186" s="14">
        <f t="shared" si="1117"/>
        <v>0.1984126984126984</v>
      </c>
      <c r="CB186" s="14">
        <f t="shared" si="1117"/>
        <v>0.1984126984126984</v>
      </c>
      <c r="CC186" s="14">
        <f t="shared" si="1117"/>
        <v>0.1984126984126984</v>
      </c>
      <c r="CD186" s="14">
        <f t="shared" si="1117"/>
        <v>0.1984126984126984</v>
      </c>
      <c r="CE186" s="14">
        <f t="shared" si="1117"/>
        <v>0.1984126984126984</v>
      </c>
      <c r="CF186" s="14">
        <f t="shared" si="1117"/>
        <v>0.1984126984126984</v>
      </c>
      <c r="CG186" s="14">
        <f t="shared" si="1117"/>
        <v>0.1984126984126984</v>
      </c>
      <c r="CH186" s="14">
        <f t="shared" si="1117"/>
        <v>0.1984126984126984</v>
      </c>
      <c r="CI186" s="14">
        <f t="shared" si="1117"/>
        <v>0.1984126984126984</v>
      </c>
      <c r="CJ186" s="14">
        <f t="shared" si="1117"/>
        <v>0.1984126984126984</v>
      </c>
      <c r="CK186" s="14">
        <f t="shared" si="1117"/>
        <v>0.1984126984126984</v>
      </c>
      <c r="CL186" s="14">
        <f t="shared" si="1117"/>
        <v>0</v>
      </c>
      <c r="CM186" s="14">
        <f t="shared" si="1117"/>
        <v>0</v>
      </c>
      <c r="CN186" s="14">
        <f t="shared" si="1117"/>
        <v>0</v>
      </c>
      <c r="CO186" s="412"/>
      <c r="CP186" s="14">
        <f t="shared" ref="CP186:DP186" si="1118">CP155/CP154</f>
        <v>0.19940029985007493</v>
      </c>
      <c r="CQ186" s="14">
        <f t="shared" si="1118"/>
        <v>0.19940029985007493</v>
      </c>
      <c r="CR186" s="14">
        <f t="shared" si="1118"/>
        <v>0.19940029985007493</v>
      </c>
      <c r="CS186" s="14">
        <f t="shared" si="1118"/>
        <v>0.22307516040329967</v>
      </c>
      <c r="CT186" s="14">
        <f t="shared" si="1118"/>
        <v>0.23550471533356615</v>
      </c>
      <c r="CU186" s="14">
        <f t="shared" si="1118"/>
        <v>0.24315744920993226</v>
      </c>
      <c r="CV186" s="14">
        <f t="shared" si="1118"/>
        <v>0.24834319526627219</v>
      </c>
      <c r="CW186" s="14">
        <f t="shared" si="1118"/>
        <v>0.25208927843456996</v>
      </c>
      <c r="CX186" s="14">
        <f t="shared" si="1118"/>
        <v>0.25492214068373015</v>
      </c>
      <c r="CY186" s="14">
        <f t="shared" si="1118"/>
        <v>0.25713943841735809</v>
      </c>
      <c r="CZ186" s="14">
        <f t="shared" si="1118"/>
        <v>0.25892214707152111</v>
      </c>
      <c r="DA186" s="14">
        <f t="shared" si="1118"/>
        <v>0.26038663171690696</v>
      </c>
      <c r="DB186" s="14">
        <f t="shared" si="1118"/>
        <v>0.19838095238095241</v>
      </c>
      <c r="DC186" s="14">
        <f t="shared" si="1118"/>
        <v>0.19838095238095241</v>
      </c>
      <c r="DD186" s="14">
        <f t="shared" si="1118"/>
        <v>0.19838095238095241</v>
      </c>
      <c r="DE186" s="14">
        <f t="shared" si="1118"/>
        <v>0.19838095238095241</v>
      </c>
      <c r="DF186" s="14">
        <f t="shared" si="1118"/>
        <v>0.19838095238095241</v>
      </c>
      <c r="DG186" s="14">
        <f t="shared" si="1118"/>
        <v>0.19838095238095241</v>
      </c>
      <c r="DH186" s="14">
        <f t="shared" si="1118"/>
        <v>0.19838095238095241</v>
      </c>
      <c r="DI186" s="14">
        <f t="shared" si="1118"/>
        <v>0.19838095238095241</v>
      </c>
      <c r="DJ186" s="14">
        <f t="shared" si="1118"/>
        <v>0.19838095238095238</v>
      </c>
      <c r="DK186" s="14">
        <f t="shared" si="1118"/>
        <v>0.19838095238095235</v>
      </c>
      <c r="DL186" s="14">
        <f t="shared" si="1118"/>
        <v>0.19838095238095235</v>
      </c>
      <c r="DM186" s="14">
        <f t="shared" si="1118"/>
        <v>0.19838095238095235</v>
      </c>
      <c r="DN186" s="14">
        <f t="shared" si="1118"/>
        <v>0</v>
      </c>
      <c r="DO186" s="14">
        <f t="shared" si="1118"/>
        <v>0</v>
      </c>
      <c r="DP186" s="14">
        <f t="shared" si="1118"/>
        <v>0</v>
      </c>
      <c r="DQ186" s="14"/>
      <c r="DR186" s="14"/>
      <c r="DS186" s="14"/>
      <c r="DT186" s="14"/>
      <c r="DU186" s="14"/>
      <c r="DV186" s="14"/>
      <c r="DW186" s="14"/>
      <c r="DX186" s="14"/>
      <c r="DY186" s="14"/>
      <c r="DZ186" s="14"/>
      <c r="EA186" s="14">
        <f>EA155/EA154</f>
        <v>0.26038663171690696</v>
      </c>
      <c r="EB186" s="14">
        <f>EB155/EB154</f>
        <v>0.19838095238095235</v>
      </c>
      <c r="EC186" s="14"/>
      <c r="ED186" s="429"/>
      <c r="EE186" s="14">
        <f>EE155/EE154</f>
        <v>0</v>
      </c>
      <c r="EF186" s="14">
        <f>EF155/EF154</f>
        <v>0</v>
      </c>
      <c r="EG186" s="14">
        <f>+EF186</f>
        <v>0</v>
      </c>
      <c r="EK186" s="24"/>
      <c r="EL186" s="47"/>
      <c r="EM186" s="47"/>
      <c r="EN186" s="47"/>
    </row>
    <row r="187" spans="1:149">
      <c r="A187" s="6" t="s">
        <v>23</v>
      </c>
      <c r="B187" s="2" t="s">
        <v>160</v>
      </c>
      <c r="C187" s="3" t="s">
        <v>76</v>
      </c>
      <c r="E187" s="3" t="str">
        <f>C144</f>
        <v>BSatRate</v>
      </c>
      <c r="F187" s="3" t="s">
        <v>32</v>
      </c>
      <c r="G187" s="28" t="str">
        <f>C141</f>
        <v>BAllNew</v>
      </c>
      <c r="H187" s="63" t="s">
        <v>31</v>
      </c>
      <c r="I187" s="28" t="str">
        <f>C143</f>
        <v>BSatResp</v>
      </c>
      <c r="J187" s="62">
        <f t="shared" ref="J187:AJ187" si="1119">J144*J143/J141</f>
        <v>0.23749999999999999</v>
      </c>
      <c r="K187" s="62">
        <f t="shared" si="1119"/>
        <v>0.11874999999999999</v>
      </c>
      <c r="L187" s="62">
        <f t="shared" si="1119"/>
        <v>7.9166666666666663E-2</v>
      </c>
      <c r="M187" s="62">
        <f t="shared" si="1119"/>
        <v>5.9374999999999997E-2</v>
      </c>
      <c r="N187" s="62">
        <f t="shared" si="1119"/>
        <v>4.7499999999999994E-2</v>
      </c>
      <c r="O187" s="62">
        <f t="shared" si="1119"/>
        <v>3.9583333333333331E-2</v>
      </c>
      <c r="P187" s="62">
        <f t="shared" si="1119"/>
        <v>3.3928571428571426E-2</v>
      </c>
      <c r="Q187" s="62">
        <f t="shared" si="1119"/>
        <v>2.9687499999999999E-2</v>
      </c>
      <c r="R187" s="62">
        <f t="shared" si="1119"/>
        <v>2.6388888888888885E-2</v>
      </c>
      <c r="S187" s="62">
        <f t="shared" si="1119"/>
        <v>2.3749999999999997E-2</v>
      </c>
      <c r="T187" s="62">
        <f t="shared" si="1119"/>
        <v>2.1590909090909088E-2</v>
      </c>
      <c r="U187" s="62">
        <f t="shared" si="1119"/>
        <v>1.9791666666666666E-2</v>
      </c>
      <c r="V187" s="62">
        <f t="shared" si="1119"/>
        <v>0.23749999999999999</v>
      </c>
      <c r="W187" s="62">
        <f t="shared" si="1119"/>
        <v>0.23749999999999999</v>
      </c>
      <c r="X187" s="62">
        <f t="shared" si="1119"/>
        <v>0.23749999999999999</v>
      </c>
      <c r="Y187" s="62">
        <f t="shared" si="1119"/>
        <v>0.23749999999999999</v>
      </c>
      <c r="Z187" s="62">
        <f t="shared" si="1119"/>
        <v>0.23749999999999999</v>
      </c>
      <c r="AA187" s="62">
        <f t="shared" si="1119"/>
        <v>0.23749999999999999</v>
      </c>
      <c r="AB187" s="62">
        <f t="shared" si="1119"/>
        <v>0.23749999999999999</v>
      </c>
      <c r="AC187" s="62">
        <f t="shared" si="1119"/>
        <v>0.23749999999999999</v>
      </c>
      <c r="AD187" s="62">
        <f t="shared" si="1119"/>
        <v>0.23749999999999999</v>
      </c>
      <c r="AE187" s="62">
        <f t="shared" si="1119"/>
        <v>0.23749999999999999</v>
      </c>
      <c r="AF187" s="62">
        <f t="shared" si="1119"/>
        <v>0.23749999999999996</v>
      </c>
      <c r="AG187" s="62">
        <f t="shared" si="1119"/>
        <v>0.23749999999999999</v>
      </c>
      <c r="AH187" s="62">
        <f t="shared" si="1119"/>
        <v>0</v>
      </c>
      <c r="AI187" s="62">
        <f t="shared" si="1119"/>
        <v>0</v>
      </c>
      <c r="AJ187" s="62">
        <f t="shared" si="1119"/>
        <v>0</v>
      </c>
      <c r="AK187" s="412"/>
      <c r="AL187" s="14">
        <f t="shared" ref="AL187:BL187" si="1120">AL144*AL143/AL141</f>
        <v>0.23749999999999999</v>
      </c>
      <c r="AM187" s="14">
        <f t="shared" si="1120"/>
        <v>0.23749999999999999</v>
      </c>
      <c r="AN187" s="14">
        <f t="shared" si="1120"/>
        <v>0.23749999999999999</v>
      </c>
      <c r="AO187" s="14">
        <f t="shared" si="1120"/>
        <v>0.23749999999999999</v>
      </c>
      <c r="AP187" s="14">
        <f t="shared" si="1120"/>
        <v>0.23749999999999999</v>
      </c>
      <c r="AQ187" s="14">
        <f t="shared" si="1120"/>
        <v>0.23749999999999999</v>
      </c>
      <c r="AR187" s="14">
        <f t="shared" si="1120"/>
        <v>0.23749999999999999</v>
      </c>
      <c r="AS187" s="14">
        <f t="shared" si="1120"/>
        <v>0.23749999999999999</v>
      </c>
      <c r="AT187" s="14">
        <f t="shared" si="1120"/>
        <v>0.23749999999999999</v>
      </c>
      <c r="AU187" s="14">
        <f t="shared" si="1120"/>
        <v>0.23749999999999999</v>
      </c>
      <c r="AV187" s="14">
        <f t="shared" si="1120"/>
        <v>0.23749999999999999</v>
      </c>
      <c r="AW187" s="14">
        <f t="shared" si="1120"/>
        <v>0.23749999999999999</v>
      </c>
      <c r="AX187" s="14">
        <f t="shared" si="1120"/>
        <v>0.23749999999999999</v>
      </c>
      <c r="AY187" s="14">
        <f t="shared" si="1120"/>
        <v>0.23749999999999999</v>
      </c>
      <c r="AZ187" s="14">
        <f t="shared" si="1120"/>
        <v>0.23749999999999999</v>
      </c>
      <c r="BA187" s="14">
        <f t="shared" si="1120"/>
        <v>0.23749999999999999</v>
      </c>
      <c r="BB187" s="14">
        <f t="shared" si="1120"/>
        <v>0.23749999999999999</v>
      </c>
      <c r="BC187" s="14">
        <f t="shared" si="1120"/>
        <v>0.23749999999999999</v>
      </c>
      <c r="BD187" s="14">
        <f t="shared" si="1120"/>
        <v>0.23749999999999999</v>
      </c>
      <c r="BE187" s="14">
        <f t="shared" si="1120"/>
        <v>0.23749999999999999</v>
      </c>
      <c r="BF187" s="14">
        <f t="shared" si="1120"/>
        <v>0.23749999999999999</v>
      </c>
      <c r="BG187" s="14">
        <f t="shared" si="1120"/>
        <v>0.23749999999999999</v>
      </c>
      <c r="BH187" s="14">
        <f t="shared" si="1120"/>
        <v>0.23749999999999999</v>
      </c>
      <c r="BI187" s="14">
        <f t="shared" si="1120"/>
        <v>0.23749999999999999</v>
      </c>
      <c r="BJ187" s="14">
        <f t="shared" si="1120"/>
        <v>0</v>
      </c>
      <c r="BK187" s="14">
        <f t="shared" si="1120"/>
        <v>0</v>
      </c>
      <c r="BL187" s="14">
        <f t="shared" si="1120"/>
        <v>0</v>
      </c>
      <c r="BM187" s="412"/>
      <c r="BN187" s="14">
        <f t="shared" ref="BN187:CN187" si="1121">BN144*BN143/BN141</f>
        <v>0.23749999999999999</v>
      </c>
      <c r="BO187" s="14">
        <f t="shared" si="1121"/>
        <v>0.23749999999999999</v>
      </c>
      <c r="BP187" s="14">
        <f t="shared" si="1121"/>
        <v>0.23749999999999999</v>
      </c>
      <c r="BQ187" s="14">
        <f t="shared" si="1121"/>
        <v>0.23749999999999999</v>
      </c>
      <c r="BR187" s="14">
        <f t="shared" si="1121"/>
        <v>0.23749999999999999</v>
      </c>
      <c r="BS187" s="14">
        <f t="shared" si="1121"/>
        <v>0.23749999999999999</v>
      </c>
      <c r="BT187" s="14">
        <f t="shared" si="1121"/>
        <v>0.23749999999999999</v>
      </c>
      <c r="BU187" s="14">
        <f t="shared" si="1121"/>
        <v>0.23749999999999999</v>
      </c>
      <c r="BV187" s="14">
        <f t="shared" si="1121"/>
        <v>0.23749999999999999</v>
      </c>
      <c r="BW187" s="14">
        <f t="shared" si="1121"/>
        <v>0.23749999999999999</v>
      </c>
      <c r="BX187" s="14">
        <f t="shared" si="1121"/>
        <v>0.23749999999999999</v>
      </c>
      <c r="BY187" s="14">
        <f t="shared" si="1121"/>
        <v>0.23749999999999999</v>
      </c>
      <c r="BZ187" s="14">
        <f t="shared" si="1121"/>
        <v>0.71249999999999991</v>
      </c>
      <c r="CA187" s="14">
        <f t="shared" si="1121"/>
        <v>0.71249999999999991</v>
      </c>
      <c r="CB187" s="14">
        <f t="shared" si="1121"/>
        <v>0.71249999999999991</v>
      </c>
      <c r="CC187" s="14">
        <f t="shared" si="1121"/>
        <v>0.71249999999999991</v>
      </c>
      <c r="CD187" s="14">
        <f t="shared" si="1121"/>
        <v>0.71249999999999991</v>
      </c>
      <c r="CE187" s="14">
        <f t="shared" si="1121"/>
        <v>0.71249999999999991</v>
      </c>
      <c r="CF187" s="14">
        <f t="shared" si="1121"/>
        <v>0.71249999999999991</v>
      </c>
      <c r="CG187" s="14">
        <f t="shared" si="1121"/>
        <v>0.71249999999999991</v>
      </c>
      <c r="CH187" s="14">
        <f t="shared" si="1121"/>
        <v>0.71249999999999991</v>
      </c>
      <c r="CI187" s="14">
        <f t="shared" si="1121"/>
        <v>0.71249999999999991</v>
      </c>
      <c r="CJ187" s="14">
        <f t="shared" si="1121"/>
        <v>0.71249999999999991</v>
      </c>
      <c r="CK187" s="14">
        <f t="shared" si="1121"/>
        <v>0.71249999999999991</v>
      </c>
      <c r="CL187" s="14">
        <f t="shared" si="1121"/>
        <v>0</v>
      </c>
      <c r="CM187" s="14">
        <f t="shared" si="1121"/>
        <v>0</v>
      </c>
      <c r="CN187" s="14">
        <f t="shared" si="1121"/>
        <v>0</v>
      </c>
      <c r="CO187" s="412"/>
      <c r="CP187" s="14">
        <f t="shared" ref="CP187:DP187" si="1122">CP144*CP143/CP141</f>
        <v>0.23749999999999999</v>
      </c>
      <c r="CQ187" s="14">
        <f t="shared" si="1122"/>
        <v>0.23749999999999999</v>
      </c>
      <c r="CR187" s="14">
        <f t="shared" si="1122"/>
        <v>0.23749999999999999</v>
      </c>
      <c r="CS187" s="14">
        <f t="shared" si="1122"/>
        <v>0.23749999999999999</v>
      </c>
      <c r="CT187" s="14">
        <f t="shared" si="1122"/>
        <v>0.23749999999999999</v>
      </c>
      <c r="CU187" s="14">
        <f t="shared" si="1122"/>
        <v>0.23749999999999999</v>
      </c>
      <c r="CV187" s="14">
        <f t="shared" si="1122"/>
        <v>0.23749999999999999</v>
      </c>
      <c r="CW187" s="14">
        <f t="shared" si="1122"/>
        <v>0.23749999999999999</v>
      </c>
      <c r="CX187" s="14">
        <f t="shared" si="1122"/>
        <v>0.23749999999999999</v>
      </c>
      <c r="CY187" s="14">
        <f t="shared" si="1122"/>
        <v>0.23749999999999999</v>
      </c>
      <c r="CZ187" s="14">
        <f t="shared" si="1122"/>
        <v>0.23750000000000002</v>
      </c>
      <c r="DA187" s="14">
        <f t="shared" si="1122"/>
        <v>0.23750000000000004</v>
      </c>
      <c r="DB187" s="14">
        <f t="shared" si="1122"/>
        <v>0.23750000000000004</v>
      </c>
      <c r="DC187" s="14">
        <f t="shared" si="1122"/>
        <v>0.23750000000000004</v>
      </c>
      <c r="DD187" s="14">
        <f t="shared" si="1122"/>
        <v>0.23750000000000004</v>
      </c>
      <c r="DE187" s="14">
        <f t="shared" si="1122"/>
        <v>0.23750000000000004</v>
      </c>
      <c r="DF187" s="14">
        <f t="shared" si="1122"/>
        <v>0.23750000000000004</v>
      </c>
      <c r="DG187" s="14">
        <f t="shared" si="1122"/>
        <v>0.23750000000000004</v>
      </c>
      <c r="DH187" s="14">
        <f t="shared" si="1122"/>
        <v>0.23750000000000004</v>
      </c>
      <c r="DI187" s="14">
        <f t="shared" si="1122"/>
        <v>0.23750000000000004</v>
      </c>
      <c r="DJ187" s="14">
        <f t="shared" si="1122"/>
        <v>0.23750000000000004</v>
      </c>
      <c r="DK187" s="14">
        <f t="shared" si="1122"/>
        <v>0.23750000000000004</v>
      </c>
      <c r="DL187" s="14">
        <f t="shared" si="1122"/>
        <v>0.23750000000000007</v>
      </c>
      <c r="DM187" s="14">
        <f t="shared" si="1122"/>
        <v>0.23750000000000004</v>
      </c>
      <c r="DN187" s="14">
        <f t="shared" si="1122"/>
        <v>0</v>
      </c>
      <c r="DO187" s="14">
        <f t="shared" si="1122"/>
        <v>0</v>
      </c>
      <c r="DP187" s="14">
        <f t="shared" si="1122"/>
        <v>0</v>
      </c>
      <c r="DQ187" s="14"/>
      <c r="DR187" s="14"/>
      <c r="DS187" s="14"/>
      <c r="DT187" s="14"/>
      <c r="DU187" s="14"/>
      <c r="DV187" s="14"/>
      <c r="DW187" s="14"/>
      <c r="DX187" s="14"/>
      <c r="DY187" s="14"/>
      <c r="DZ187" s="14"/>
      <c r="EA187" s="14">
        <f>EA144*EA143/EA141</f>
        <v>0.23750000000000004</v>
      </c>
      <c r="EB187" s="14">
        <f>EB144*EB143/EB141</f>
        <v>0.23750000000000004</v>
      </c>
      <c r="EC187" s="14"/>
      <c r="ED187" s="429"/>
      <c r="EE187" s="14" t="e">
        <f>EE143*EE144/EE143</f>
        <v>#DIV/0!</v>
      </c>
      <c r="EF187" s="14" t="e">
        <f>EF144*EF143/EF143</f>
        <v>#DIV/0!</v>
      </c>
      <c r="EG187" s="14">
        <f>EG143*EG144/EG143</f>
        <v>0.95000000000000018</v>
      </c>
      <c r="EK187" s="24"/>
      <c r="EL187" s="47"/>
      <c r="EM187" s="47"/>
      <c r="EN187" s="47"/>
    </row>
    <row r="188" spans="1:149">
      <c r="A188" s="6" t="s">
        <v>23</v>
      </c>
      <c r="B188" s="2" t="s">
        <v>26</v>
      </c>
      <c r="C188" s="3" t="s">
        <v>84</v>
      </c>
      <c r="E188" s="3" t="str">
        <f>C145</f>
        <v>BSpec1</v>
      </c>
      <c r="F188" s="4" t="s">
        <v>31</v>
      </c>
      <c r="G188" s="28" t="str">
        <f>C154</f>
        <v>BSUniq</v>
      </c>
      <c r="H188" s="28"/>
      <c r="I188" s="28"/>
      <c r="J188" s="62">
        <f t="shared" ref="J188:AJ188" si="1123">J145/J154</f>
        <v>0.31234382808595695</v>
      </c>
      <c r="K188" s="62">
        <f t="shared" si="1123"/>
        <v>0.31234382808595695</v>
      </c>
      <c r="L188" s="62">
        <f t="shared" si="1123"/>
        <v>0.31234382808595695</v>
      </c>
      <c r="M188" s="62">
        <f t="shared" si="1123"/>
        <v>0.22935779816513763</v>
      </c>
      <c r="N188" s="62">
        <f t="shared" si="1123"/>
        <v>0.22944199706314244</v>
      </c>
      <c r="O188" s="62">
        <f t="shared" si="1123"/>
        <v>0.2294419970631425</v>
      </c>
      <c r="P188" s="62">
        <f t="shared" si="1123"/>
        <v>0.2294419970631425</v>
      </c>
      <c r="Q188" s="62">
        <f t="shared" si="1123"/>
        <v>0.2294419970631425</v>
      </c>
      <c r="R188" s="62">
        <f t="shared" si="1123"/>
        <v>0.2294419970631425</v>
      </c>
      <c r="S188" s="62">
        <f t="shared" si="1123"/>
        <v>0.2294419970631425</v>
      </c>
      <c r="T188" s="62">
        <f t="shared" si="1123"/>
        <v>0.22944199706314231</v>
      </c>
      <c r="U188" s="62">
        <f t="shared" si="1123"/>
        <v>0.2294419970631425</v>
      </c>
      <c r="V188" s="62">
        <f t="shared" si="1123"/>
        <v>0.11104761904761903</v>
      </c>
      <c r="W188" s="62">
        <f t="shared" si="1123"/>
        <v>0.11104761904761903</v>
      </c>
      <c r="X188" s="62">
        <f t="shared" si="1123"/>
        <v>0.11104761904761903</v>
      </c>
      <c r="Y188" s="62">
        <f t="shared" si="1123"/>
        <v>0.11104761904761903</v>
      </c>
      <c r="Z188" s="62">
        <f t="shared" si="1123"/>
        <v>0.11104761904761905</v>
      </c>
      <c r="AA188" s="62">
        <f t="shared" si="1123"/>
        <v>0.11104761904761905</v>
      </c>
      <c r="AB188" s="62">
        <f t="shared" si="1123"/>
        <v>0.11104761904761906</v>
      </c>
      <c r="AC188" s="62">
        <f t="shared" si="1123"/>
        <v>0.11104761904761906</v>
      </c>
      <c r="AD188" s="62">
        <f t="shared" si="1123"/>
        <v>0.11104761904761906</v>
      </c>
      <c r="AE188" s="62">
        <f t="shared" si="1123"/>
        <v>0.11104761904761906</v>
      </c>
      <c r="AF188" s="62">
        <f t="shared" si="1123"/>
        <v>0.11104761904761906</v>
      </c>
      <c r="AG188" s="62">
        <f t="shared" si="1123"/>
        <v>0.11104761904761908</v>
      </c>
      <c r="AH188" s="62">
        <f t="shared" si="1123"/>
        <v>0</v>
      </c>
      <c r="AI188" s="62">
        <f t="shared" si="1123"/>
        <v>0</v>
      </c>
      <c r="AJ188" s="62">
        <f t="shared" si="1123"/>
        <v>0</v>
      </c>
      <c r="AK188" s="412"/>
      <c r="AL188" s="14">
        <f t="shared" ref="AL188:BL188" si="1124">AL145/AL154</f>
        <v>0.31234382808595695</v>
      </c>
      <c r="AM188" s="14">
        <f t="shared" si="1124"/>
        <v>0</v>
      </c>
      <c r="AN188" s="14">
        <f t="shared" si="1124"/>
        <v>0</v>
      </c>
      <c r="AO188" s="14">
        <f t="shared" si="1124"/>
        <v>0</v>
      </c>
      <c r="AP188" s="14">
        <f t="shared" si="1124"/>
        <v>0</v>
      </c>
      <c r="AQ188" s="14">
        <f t="shared" si="1124"/>
        <v>0</v>
      </c>
      <c r="AR188" s="14">
        <f t="shared" si="1124"/>
        <v>0</v>
      </c>
      <c r="AS188" s="14">
        <f t="shared" si="1124"/>
        <v>0</v>
      </c>
      <c r="AT188" s="14">
        <f t="shared" si="1124"/>
        <v>0</v>
      </c>
      <c r="AU188" s="14">
        <f t="shared" si="1124"/>
        <v>0</v>
      </c>
      <c r="AV188" s="14">
        <f t="shared" si="1124"/>
        <v>0</v>
      </c>
      <c r="AW188" s="14">
        <f t="shared" si="1124"/>
        <v>0</v>
      </c>
      <c r="AX188" s="14">
        <f t="shared" si="1124"/>
        <v>0.11104761904761903</v>
      </c>
      <c r="AY188" s="14">
        <f t="shared" si="1124"/>
        <v>0.11104761904761903</v>
      </c>
      <c r="AZ188" s="14">
        <f t="shared" si="1124"/>
        <v>0.11104761904761903</v>
      </c>
      <c r="BA188" s="14">
        <f t="shared" si="1124"/>
        <v>0.11104761904761903</v>
      </c>
      <c r="BB188" s="14">
        <f t="shared" si="1124"/>
        <v>0.11104761904761909</v>
      </c>
      <c r="BC188" s="14">
        <f t="shared" si="1124"/>
        <v>0.11104761904761909</v>
      </c>
      <c r="BD188" s="14">
        <f t="shared" si="1124"/>
        <v>0.11104761904761909</v>
      </c>
      <c r="BE188" s="14">
        <f t="shared" si="1124"/>
        <v>0.11104761904761909</v>
      </c>
      <c r="BF188" s="14">
        <f t="shared" si="1124"/>
        <v>0.11104761904761909</v>
      </c>
      <c r="BG188" s="14">
        <f t="shared" si="1124"/>
        <v>0.11104761904761909</v>
      </c>
      <c r="BH188" s="14">
        <f t="shared" si="1124"/>
        <v>0.11104761904761909</v>
      </c>
      <c r="BI188" s="14">
        <f t="shared" si="1124"/>
        <v>0.11104761904761909</v>
      </c>
      <c r="BJ188" s="14">
        <f t="shared" si="1124"/>
        <v>0</v>
      </c>
      <c r="BK188" s="14">
        <f t="shared" si="1124"/>
        <v>0</v>
      </c>
      <c r="BL188" s="14">
        <f t="shared" si="1124"/>
        <v>0</v>
      </c>
      <c r="BM188" s="412"/>
      <c r="BN188" s="14">
        <f t="shared" ref="BN188:CN188" si="1125">BN145/BN154</f>
        <v>0.31234382808595695</v>
      </c>
      <c r="BO188" s="14">
        <f t="shared" si="1125"/>
        <v>0.15617191404297848</v>
      </c>
      <c r="BP188" s="14">
        <f t="shared" si="1125"/>
        <v>0.10411460936198566</v>
      </c>
      <c r="BQ188" s="14">
        <f t="shared" si="1125"/>
        <v>0</v>
      </c>
      <c r="BR188" s="14">
        <f t="shared" si="1125"/>
        <v>0</v>
      </c>
      <c r="BS188" s="14">
        <f t="shared" si="1125"/>
        <v>0</v>
      </c>
      <c r="BT188" s="14">
        <f t="shared" si="1125"/>
        <v>0</v>
      </c>
      <c r="BU188" s="14">
        <f t="shared" si="1125"/>
        <v>0</v>
      </c>
      <c r="BV188" s="14">
        <f t="shared" si="1125"/>
        <v>0</v>
      </c>
      <c r="BW188" s="14">
        <f t="shared" si="1125"/>
        <v>0</v>
      </c>
      <c r="BX188" s="14">
        <f t="shared" si="1125"/>
        <v>0</v>
      </c>
      <c r="BY188" s="14">
        <f t="shared" si="1125"/>
        <v>0</v>
      </c>
      <c r="BZ188" s="14">
        <f t="shared" si="1125"/>
        <v>0.11104761904761903</v>
      </c>
      <c r="CA188" s="14">
        <f t="shared" si="1125"/>
        <v>0.11104761904761903</v>
      </c>
      <c r="CB188" s="14">
        <f t="shared" si="1125"/>
        <v>0.11104761904761903</v>
      </c>
      <c r="CC188" s="14">
        <f t="shared" si="1125"/>
        <v>5.5523809523809538E-2</v>
      </c>
      <c r="CD188" s="14">
        <f t="shared" si="1125"/>
        <v>5.5523809523809538E-2</v>
      </c>
      <c r="CE188" s="14">
        <f t="shared" si="1125"/>
        <v>5.5523809523809538E-2</v>
      </c>
      <c r="CF188" s="14">
        <f t="shared" si="1125"/>
        <v>3.701587301587303E-2</v>
      </c>
      <c r="CG188" s="14">
        <f t="shared" si="1125"/>
        <v>3.701587301587303E-2</v>
      </c>
      <c r="CH188" s="14">
        <f t="shared" si="1125"/>
        <v>3.701587301587303E-2</v>
      </c>
      <c r="CI188" s="14">
        <f t="shared" si="1125"/>
        <v>2.7761904761904772E-2</v>
      </c>
      <c r="CJ188" s="14">
        <f t="shared" si="1125"/>
        <v>2.7761904761904772E-2</v>
      </c>
      <c r="CK188" s="14">
        <f t="shared" si="1125"/>
        <v>2.7761904761904772E-2</v>
      </c>
      <c r="CL188" s="14">
        <f t="shared" si="1125"/>
        <v>0</v>
      </c>
      <c r="CM188" s="14">
        <f t="shared" si="1125"/>
        <v>0</v>
      </c>
      <c r="CN188" s="14">
        <f t="shared" si="1125"/>
        <v>0</v>
      </c>
      <c r="CO188" s="412"/>
      <c r="CP188" s="14">
        <f t="shared" ref="CP188:DP188" si="1126">CP145/CP154</f>
        <v>0.31234382808595695</v>
      </c>
      <c r="CQ188" s="14">
        <f t="shared" si="1126"/>
        <v>0.15617191404297848</v>
      </c>
      <c r="CR188" s="14">
        <f t="shared" si="1126"/>
        <v>0.10411460936198566</v>
      </c>
      <c r="CS188" s="14">
        <f t="shared" si="1126"/>
        <v>7.1608615948670934E-2</v>
      </c>
      <c r="CT188" s="14">
        <f t="shared" si="1126"/>
        <v>5.4575619979042957E-2</v>
      </c>
      <c r="CU188" s="14">
        <f t="shared" si="1126"/>
        <v>4.4088600451467265E-2</v>
      </c>
      <c r="CV188" s="14">
        <f t="shared" si="1126"/>
        <v>3.6982248520710061E-2</v>
      </c>
      <c r="CW188" s="14">
        <f t="shared" si="1126"/>
        <v>3.1848756624541383E-2</v>
      </c>
      <c r="CX188" s="14">
        <f t="shared" si="1126"/>
        <v>2.7966708430284596E-2</v>
      </c>
      <c r="CY188" s="14">
        <f t="shared" si="1126"/>
        <v>2.4928206764518193E-2</v>
      </c>
      <c r="CZ188" s="14">
        <f t="shared" si="1126"/>
        <v>2.2485249676212404E-2</v>
      </c>
      <c r="DA188" s="14">
        <f t="shared" si="1126"/>
        <v>2.0478374836173003E-2</v>
      </c>
      <c r="DB188" s="14">
        <f t="shared" si="1126"/>
        <v>0.11104761904761903</v>
      </c>
      <c r="DC188" s="14">
        <f t="shared" si="1126"/>
        <v>0.11104761904761903</v>
      </c>
      <c r="DD188" s="14">
        <f t="shared" si="1126"/>
        <v>0.11104761904761903</v>
      </c>
      <c r="DE188" s="14">
        <f t="shared" si="1126"/>
        <v>0.11104761904761903</v>
      </c>
      <c r="DF188" s="14">
        <f t="shared" si="1126"/>
        <v>0.11104761904761905</v>
      </c>
      <c r="DG188" s="14">
        <f t="shared" si="1126"/>
        <v>0.11104761904761905</v>
      </c>
      <c r="DH188" s="14">
        <f t="shared" si="1126"/>
        <v>0.11104761904761906</v>
      </c>
      <c r="DI188" s="14">
        <f t="shared" si="1126"/>
        <v>0.11104761904761906</v>
      </c>
      <c r="DJ188" s="14">
        <f t="shared" si="1126"/>
        <v>0.11104761904761906</v>
      </c>
      <c r="DK188" s="14">
        <f t="shared" si="1126"/>
        <v>0.11104761904761906</v>
      </c>
      <c r="DL188" s="14">
        <f t="shared" si="1126"/>
        <v>0.11104761904761906</v>
      </c>
      <c r="DM188" s="14">
        <f t="shared" si="1126"/>
        <v>0.11104761904761908</v>
      </c>
      <c r="DN188" s="14">
        <f t="shared" si="1126"/>
        <v>0</v>
      </c>
      <c r="DO188" s="14">
        <f t="shared" si="1126"/>
        <v>0</v>
      </c>
      <c r="DP188" s="14">
        <f t="shared" si="1126"/>
        <v>0</v>
      </c>
      <c r="DQ188" s="14"/>
      <c r="DR188" s="14"/>
      <c r="DS188" s="14"/>
      <c r="DT188" s="14"/>
      <c r="DU188" s="14"/>
      <c r="DV188" s="14"/>
      <c r="DW188" s="14"/>
      <c r="DX188" s="14"/>
      <c r="DY188" s="14"/>
      <c r="DZ188" s="14"/>
      <c r="EA188" s="14">
        <f>EA145/EA154</f>
        <v>2.0478374836173003E-2</v>
      </c>
      <c r="EB188" s="14">
        <f>EB145/EB154</f>
        <v>0.11104761904761908</v>
      </c>
      <c r="EC188" s="14"/>
      <c r="ED188" s="429"/>
      <c r="EE188" s="14">
        <f>EE145/EE154</f>
        <v>0</v>
      </c>
      <c r="EF188" s="14">
        <f>EF145/EF154</f>
        <v>0</v>
      </c>
      <c r="EG188" s="14">
        <f>EG145/EG154</f>
        <v>0.12273684210526319</v>
      </c>
      <c r="EK188" s="24"/>
      <c r="EL188" s="47"/>
      <c r="EM188" s="47"/>
      <c r="EN188" s="47"/>
    </row>
    <row r="189" spans="1:149">
      <c r="A189" s="6" t="s">
        <v>23</v>
      </c>
      <c r="B189" s="2" t="s">
        <v>27</v>
      </c>
      <c r="C189" s="3" t="s">
        <v>77</v>
      </c>
      <c r="E189" s="3" t="str">
        <f>C147</f>
        <v>BOnlHrs</v>
      </c>
      <c r="F189" s="4" t="s">
        <v>31</v>
      </c>
      <c r="G189" s="28" t="str">
        <f>C146</f>
        <v>BTotHrs</v>
      </c>
      <c r="H189" s="28"/>
      <c r="I189" s="28"/>
      <c r="J189" s="62">
        <f t="shared" ref="J189:AJ189" si="1127">J147/J146</f>
        <v>0.1</v>
      </c>
      <c r="K189" s="62">
        <f t="shared" si="1127"/>
        <v>0.1</v>
      </c>
      <c r="L189" s="62">
        <f t="shared" si="1127"/>
        <v>0.1</v>
      </c>
      <c r="M189" s="62">
        <f t="shared" si="1127"/>
        <v>0.1</v>
      </c>
      <c r="N189" s="62">
        <f t="shared" si="1127"/>
        <v>0.1</v>
      </c>
      <c r="O189" s="62">
        <f t="shared" si="1127"/>
        <v>0.1</v>
      </c>
      <c r="P189" s="62">
        <f t="shared" si="1127"/>
        <v>0.1</v>
      </c>
      <c r="Q189" s="62">
        <f t="shared" si="1127"/>
        <v>0.1</v>
      </c>
      <c r="R189" s="62">
        <f t="shared" si="1127"/>
        <v>0.1</v>
      </c>
      <c r="S189" s="62">
        <f t="shared" si="1127"/>
        <v>0.1</v>
      </c>
      <c r="T189" s="62">
        <f t="shared" si="1127"/>
        <v>0.1</v>
      </c>
      <c r="U189" s="62">
        <f t="shared" si="1127"/>
        <v>0.1</v>
      </c>
      <c r="V189" s="62">
        <f t="shared" si="1127"/>
        <v>0.15050267894768526</v>
      </c>
      <c r="W189" s="62">
        <f t="shared" si="1127"/>
        <v>0.15050267894768526</v>
      </c>
      <c r="X189" s="62">
        <f t="shared" si="1127"/>
        <v>0.15050267894768526</v>
      </c>
      <c r="Y189" s="62">
        <f t="shared" si="1127"/>
        <v>0.15050267894768526</v>
      </c>
      <c r="Z189" s="62">
        <f t="shared" si="1127"/>
        <v>0.15050267894768526</v>
      </c>
      <c r="AA189" s="62">
        <f t="shared" si="1127"/>
        <v>0.15050267894768526</v>
      </c>
      <c r="AB189" s="62">
        <f t="shared" si="1127"/>
        <v>0.15050267894768526</v>
      </c>
      <c r="AC189" s="62">
        <f t="shared" si="1127"/>
        <v>0.15050267894768526</v>
      </c>
      <c r="AD189" s="62">
        <f t="shared" si="1127"/>
        <v>0.15050267894768529</v>
      </c>
      <c r="AE189" s="62">
        <f t="shared" si="1127"/>
        <v>0.15050267894768529</v>
      </c>
      <c r="AF189" s="62">
        <f t="shared" si="1127"/>
        <v>0.15050267894768529</v>
      </c>
      <c r="AG189" s="62">
        <f t="shared" si="1127"/>
        <v>0.15050267894768529</v>
      </c>
      <c r="AH189" s="62">
        <f t="shared" si="1127"/>
        <v>0</v>
      </c>
      <c r="AI189" s="62">
        <f t="shared" si="1127"/>
        <v>0</v>
      </c>
      <c r="AJ189" s="62">
        <f t="shared" si="1127"/>
        <v>0</v>
      </c>
      <c r="AK189" s="412"/>
      <c r="AL189" s="14">
        <f t="shared" ref="AL189:BL189" si="1128">AL147/AL146</f>
        <v>0.1</v>
      </c>
      <c r="AM189" s="14">
        <f t="shared" si="1128"/>
        <v>0.1</v>
      </c>
      <c r="AN189" s="14">
        <f t="shared" si="1128"/>
        <v>9.9999999999999978E-2</v>
      </c>
      <c r="AO189" s="14">
        <f t="shared" si="1128"/>
        <v>0.10000000000000002</v>
      </c>
      <c r="AP189" s="14">
        <f t="shared" si="1128"/>
        <v>0.10000000000000002</v>
      </c>
      <c r="AQ189" s="14">
        <f t="shared" si="1128"/>
        <v>0.1</v>
      </c>
      <c r="AR189" s="14">
        <f t="shared" si="1128"/>
        <v>0.10000000000000002</v>
      </c>
      <c r="AS189" s="14">
        <f t="shared" si="1128"/>
        <v>0.10000000000000002</v>
      </c>
      <c r="AT189" s="14">
        <f t="shared" si="1128"/>
        <v>9.9999999999999936E-2</v>
      </c>
      <c r="AU189" s="14">
        <f t="shared" si="1128"/>
        <v>0.10000000000000009</v>
      </c>
      <c r="AV189" s="14">
        <f t="shared" si="1128"/>
        <v>9.9999999999999936E-2</v>
      </c>
      <c r="AW189" s="14">
        <f t="shared" si="1128"/>
        <v>0.10000000000000006</v>
      </c>
      <c r="AX189" s="14">
        <f t="shared" si="1128"/>
        <v>0.15050267894768526</v>
      </c>
      <c r="AY189" s="14">
        <f t="shared" si="1128"/>
        <v>0.15050267894768526</v>
      </c>
      <c r="AZ189" s="14">
        <f t="shared" si="1128"/>
        <v>0.15050267894768526</v>
      </c>
      <c r="BA189" s="14">
        <f t="shared" si="1128"/>
        <v>0.15050267894768526</v>
      </c>
      <c r="BB189" s="14">
        <f t="shared" si="1128"/>
        <v>0.15050267894768526</v>
      </c>
      <c r="BC189" s="14">
        <f t="shared" si="1128"/>
        <v>0.15050267894768526</v>
      </c>
      <c r="BD189" s="14">
        <f t="shared" si="1128"/>
        <v>0.15050267894768518</v>
      </c>
      <c r="BE189" s="14">
        <f t="shared" si="1128"/>
        <v>0.15050267894768535</v>
      </c>
      <c r="BF189" s="14">
        <f t="shared" si="1128"/>
        <v>0.15050267894768535</v>
      </c>
      <c r="BG189" s="14">
        <f t="shared" si="1128"/>
        <v>0.15050267894768535</v>
      </c>
      <c r="BH189" s="14">
        <f t="shared" si="1128"/>
        <v>0.15050267894768535</v>
      </c>
      <c r="BI189" s="14">
        <f t="shared" si="1128"/>
        <v>0.15050267894768535</v>
      </c>
      <c r="BJ189" s="14">
        <f t="shared" si="1128"/>
        <v>0</v>
      </c>
      <c r="BK189" s="14">
        <f t="shared" si="1128"/>
        <v>0</v>
      </c>
      <c r="BL189" s="14">
        <f t="shared" si="1128"/>
        <v>0</v>
      </c>
      <c r="BM189" s="412"/>
      <c r="BN189" s="14">
        <f t="shared" ref="BN189:CN189" si="1129">BN147/BN146</f>
        <v>0.1</v>
      </c>
      <c r="BO189" s="14">
        <f t="shared" si="1129"/>
        <v>0.1</v>
      </c>
      <c r="BP189" s="14">
        <f t="shared" si="1129"/>
        <v>0.1</v>
      </c>
      <c r="BQ189" s="14">
        <f t="shared" si="1129"/>
        <v>0.1</v>
      </c>
      <c r="BR189" s="14">
        <f t="shared" si="1129"/>
        <v>0.1</v>
      </c>
      <c r="BS189" s="14">
        <f t="shared" si="1129"/>
        <v>0.1</v>
      </c>
      <c r="BT189" s="14">
        <f t="shared" si="1129"/>
        <v>9.9999999999999992E-2</v>
      </c>
      <c r="BU189" s="14">
        <f t="shared" si="1129"/>
        <v>9.9999999999999992E-2</v>
      </c>
      <c r="BV189" s="14">
        <f t="shared" si="1129"/>
        <v>9.9999999999999992E-2</v>
      </c>
      <c r="BW189" s="14">
        <f t="shared" si="1129"/>
        <v>0.10000000000000003</v>
      </c>
      <c r="BX189" s="14">
        <f t="shared" si="1129"/>
        <v>0.10000000000000003</v>
      </c>
      <c r="BY189" s="14">
        <f t="shared" si="1129"/>
        <v>0.10000000000000003</v>
      </c>
      <c r="BZ189" s="14">
        <f t="shared" si="1129"/>
        <v>0.15050267894768526</v>
      </c>
      <c r="CA189" s="14">
        <f t="shared" si="1129"/>
        <v>0.15050267894768526</v>
      </c>
      <c r="CB189" s="14">
        <f t="shared" si="1129"/>
        <v>0.15050267894768526</v>
      </c>
      <c r="CC189" s="14">
        <f t="shared" si="1129"/>
        <v>0.45150803684305579</v>
      </c>
      <c r="CD189" s="14">
        <f t="shared" si="1129"/>
        <v>0.45150803684305579</v>
      </c>
      <c r="CE189" s="14">
        <f t="shared" si="1129"/>
        <v>0.45150803684305579</v>
      </c>
      <c r="CF189" s="14">
        <f t="shared" si="1129"/>
        <v>0.45150803684305596</v>
      </c>
      <c r="CG189" s="14">
        <f t="shared" si="1129"/>
        <v>0.45150803684305596</v>
      </c>
      <c r="CH189" s="14">
        <f t="shared" si="1129"/>
        <v>0.45150803684305596</v>
      </c>
      <c r="CI189" s="14">
        <f t="shared" si="1129"/>
        <v>0.45150803684305607</v>
      </c>
      <c r="CJ189" s="14">
        <f t="shared" si="1129"/>
        <v>0.45150803684305607</v>
      </c>
      <c r="CK189" s="14">
        <f t="shared" si="1129"/>
        <v>0.45150803684305607</v>
      </c>
      <c r="CL189" s="14">
        <f t="shared" si="1129"/>
        <v>0</v>
      </c>
      <c r="CM189" s="14">
        <f t="shared" si="1129"/>
        <v>0</v>
      </c>
      <c r="CN189" s="14">
        <f t="shared" si="1129"/>
        <v>0</v>
      </c>
      <c r="CO189" s="412"/>
      <c r="CP189" s="14">
        <f t="shared" ref="CP189:DP189" si="1130">CP147/CP146</f>
        <v>0.1</v>
      </c>
      <c r="CQ189" s="14">
        <f t="shared" si="1130"/>
        <v>0.1</v>
      </c>
      <c r="CR189" s="14">
        <f t="shared" si="1130"/>
        <v>0.1</v>
      </c>
      <c r="CS189" s="14">
        <f t="shared" si="1130"/>
        <v>0.1</v>
      </c>
      <c r="CT189" s="14">
        <f t="shared" si="1130"/>
        <v>0.1</v>
      </c>
      <c r="CU189" s="14">
        <f t="shared" si="1130"/>
        <v>0.1</v>
      </c>
      <c r="CV189" s="14">
        <f t="shared" si="1130"/>
        <v>0.1</v>
      </c>
      <c r="CW189" s="14">
        <f t="shared" si="1130"/>
        <v>0.1</v>
      </c>
      <c r="CX189" s="14">
        <f t="shared" si="1130"/>
        <v>0.1</v>
      </c>
      <c r="CY189" s="14">
        <f t="shared" si="1130"/>
        <v>0.1</v>
      </c>
      <c r="CZ189" s="14">
        <f t="shared" si="1130"/>
        <v>0.1</v>
      </c>
      <c r="DA189" s="14">
        <f t="shared" si="1130"/>
        <v>0.1</v>
      </c>
      <c r="DB189" s="14">
        <f t="shared" si="1130"/>
        <v>0.15050267894768526</v>
      </c>
      <c r="DC189" s="14">
        <f t="shared" si="1130"/>
        <v>0.15050267894768526</v>
      </c>
      <c r="DD189" s="14">
        <f t="shared" si="1130"/>
        <v>0.15050267894768526</v>
      </c>
      <c r="DE189" s="14">
        <f t="shared" si="1130"/>
        <v>0.15050267894768526</v>
      </c>
      <c r="DF189" s="14">
        <f t="shared" si="1130"/>
        <v>0.15050267894768526</v>
      </c>
      <c r="DG189" s="14">
        <f t="shared" si="1130"/>
        <v>0.15050267894768526</v>
      </c>
      <c r="DH189" s="14">
        <f t="shared" si="1130"/>
        <v>0.15050267894768526</v>
      </c>
      <c r="DI189" s="14">
        <f t="shared" si="1130"/>
        <v>0.15050267894768526</v>
      </c>
      <c r="DJ189" s="14">
        <f t="shared" si="1130"/>
        <v>0.15050267894768529</v>
      </c>
      <c r="DK189" s="14">
        <f t="shared" si="1130"/>
        <v>0.15050267894768529</v>
      </c>
      <c r="DL189" s="14">
        <f t="shared" si="1130"/>
        <v>0.15050267894768529</v>
      </c>
      <c r="DM189" s="14">
        <f t="shared" si="1130"/>
        <v>0.15050267894768529</v>
      </c>
      <c r="DN189" s="14">
        <f t="shared" si="1130"/>
        <v>0</v>
      </c>
      <c r="DO189" s="14">
        <f t="shared" si="1130"/>
        <v>0</v>
      </c>
      <c r="DP189" s="14">
        <f t="shared" si="1130"/>
        <v>0</v>
      </c>
      <c r="DQ189" s="14"/>
      <c r="DR189" s="14"/>
      <c r="DS189" s="14"/>
      <c r="DT189" s="14"/>
      <c r="DU189" s="14"/>
      <c r="DV189" s="14"/>
      <c r="DW189" s="14"/>
      <c r="DX189" s="14"/>
      <c r="DY189" s="14"/>
      <c r="DZ189" s="14"/>
      <c r="EA189" s="14">
        <f>EA147/EA146</f>
        <v>0.1</v>
      </c>
      <c r="EB189" s="14">
        <f>EB147/EB146</f>
        <v>0.15050267894768529</v>
      </c>
      <c r="EC189" s="14"/>
      <c r="ED189" s="429"/>
      <c r="EE189" s="313">
        <f>EE147/EE146</f>
        <v>0</v>
      </c>
      <c r="EF189" s="313">
        <f>EF147/EF146</f>
        <v>0</v>
      </c>
      <c r="EG189" s="313">
        <f>EG147/EG146</f>
        <v>0.15050267894768529</v>
      </c>
      <c r="EK189" s="24"/>
      <c r="EL189" s="47"/>
      <c r="EM189" s="47"/>
      <c r="EN189" s="47"/>
    </row>
    <row r="190" spans="1:149">
      <c r="A190" s="6" t="s">
        <v>23</v>
      </c>
      <c r="B190" s="2" t="s">
        <v>28</v>
      </c>
      <c r="C190" s="3" t="s">
        <v>78</v>
      </c>
      <c r="E190" s="3" t="str">
        <f>C152</f>
        <v>BColCash</v>
      </c>
      <c r="F190" s="4" t="s">
        <v>31</v>
      </c>
      <c r="G190" s="28" t="str">
        <f>C153</f>
        <v>BFSFunds</v>
      </c>
      <c r="H190" s="28"/>
      <c r="I190" s="28"/>
      <c r="J190" s="62" t="str">
        <f t="shared" ref="J190:AJ190" si="1131">IF(J153&lt;&gt;0,J152/J153,"")</f>
        <v/>
      </c>
      <c r="K190" s="62" t="str">
        <f t="shared" si="1131"/>
        <v/>
      </c>
      <c r="L190" s="62">
        <f t="shared" si="1131"/>
        <v>0.5</v>
      </c>
      <c r="M190" s="62">
        <f t="shared" si="1131"/>
        <v>0.5</v>
      </c>
      <c r="N190" s="62">
        <f t="shared" si="1131"/>
        <v>0.5</v>
      </c>
      <c r="O190" s="62">
        <f t="shared" si="1131"/>
        <v>0.5</v>
      </c>
      <c r="P190" s="62">
        <f t="shared" si="1131"/>
        <v>0.5</v>
      </c>
      <c r="Q190" s="62">
        <f t="shared" si="1131"/>
        <v>0.5</v>
      </c>
      <c r="R190" s="62">
        <f t="shared" si="1131"/>
        <v>0.5</v>
      </c>
      <c r="S190" s="62">
        <f t="shared" si="1131"/>
        <v>0.5</v>
      </c>
      <c r="T190" s="62">
        <f t="shared" si="1131"/>
        <v>0.5</v>
      </c>
      <c r="U190" s="62">
        <f t="shared" si="1131"/>
        <v>0.5</v>
      </c>
      <c r="V190" s="62" t="str">
        <f t="shared" si="1131"/>
        <v/>
      </c>
      <c r="W190" s="62" t="str">
        <f t="shared" si="1131"/>
        <v/>
      </c>
      <c r="X190" s="62" t="str">
        <f t="shared" si="1131"/>
        <v/>
      </c>
      <c r="Y190" s="62" t="str">
        <f t="shared" si="1131"/>
        <v/>
      </c>
      <c r="Z190" s="62" t="str">
        <f t="shared" si="1131"/>
        <v/>
      </c>
      <c r="AA190" s="62">
        <f t="shared" si="1131"/>
        <v>0.52529629629629626</v>
      </c>
      <c r="AB190" s="62">
        <f t="shared" si="1131"/>
        <v>0.52529629629629626</v>
      </c>
      <c r="AC190" s="62">
        <f t="shared" si="1131"/>
        <v>0.52529629629629626</v>
      </c>
      <c r="AD190" s="62">
        <f t="shared" si="1131"/>
        <v>0.52529629629629626</v>
      </c>
      <c r="AE190" s="62">
        <f t="shared" si="1131"/>
        <v>0.52529629629629626</v>
      </c>
      <c r="AF190" s="62">
        <f t="shared" si="1131"/>
        <v>0.52529629629629626</v>
      </c>
      <c r="AG190" s="62">
        <f t="shared" si="1131"/>
        <v>0.52529629629629626</v>
      </c>
      <c r="AH190" s="62" t="str">
        <f t="shared" si="1131"/>
        <v/>
      </c>
      <c r="AI190" s="62" t="str">
        <f t="shared" si="1131"/>
        <v/>
      </c>
      <c r="AJ190" s="62" t="str">
        <f t="shared" si="1131"/>
        <v/>
      </c>
      <c r="AK190" s="412"/>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412"/>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412"/>
      <c r="CP190" s="14" t="str">
        <f t="shared" ref="CP190:DP190" si="1132">IF(CP153&lt;&gt;0,CP152/CP153,"")</f>
        <v/>
      </c>
      <c r="CQ190" s="14" t="str">
        <f t="shared" si="1132"/>
        <v/>
      </c>
      <c r="CR190" s="14">
        <f t="shared" si="1132"/>
        <v>0.5</v>
      </c>
      <c r="CS190" s="14">
        <f t="shared" si="1132"/>
        <v>0.5</v>
      </c>
      <c r="CT190" s="14">
        <f t="shared" si="1132"/>
        <v>0.5</v>
      </c>
      <c r="CU190" s="14">
        <f t="shared" si="1132"/>
        <v>0.5</v>
      </c>
      <c r="CV190" s="14">
        <f t="shared" si="1132"/>
        <v>0.5</v>
      </c>
      <c r="CW190" s="14">
        <f t="shared" si="1132"/>
        <v>0.5</v>
      </c>
      <c r="CX190" s="14">
        <f t="shared" si="1132"/>
        <v>0.5</v>
      </c>
      <c r="CY190" s="14">
        <f t="shared" si="1132"/>
        <v>0.5</v>
      </c>
      <c r="CZ190" s="14">
        <f t="shared" si="1132"/>
        <v>0.5</v>
      </c>
      <c r="DA190" s="14">
        <f t="shared" si="1132"/>
        <v>0.5</v>
      </c>
      <c r="DB190" s="14" t="str">
        <f t="shared" si="1132"/>
        <v/>
      </c>
      <c r="DC190" s="14" t="str">
        <f t="shared" si="1132"/>
        <v/>
      </c>
      <c r="DD190" s="14" t="str">
        <f t="shared" si="1132"/>
        <v/>
      </c>
      <c r="DE190" s="14" t="str">
        <f t="shared" si="1132"/>
        <v/>
      </c>
      <c r="DF190" s="14" t="str">
        <f t="shared" si="1132"/>
        <v/>
      </c>
      <c r="DG190" s="14">
        <f t="shared" si="1132"/>
        <v>0.52529629629629626</v>
      </c>
      <c r="DH190" s="14">
        <f t="shared" si="1132"/>
        <v>0.52529629629629626</v>
      </c>
      <c r="DI190" s="14">
        <f t="shared" si="1132"/>
        <v>0.52529629629629626</v>
      </c>
      <c r="DJ190" s="14">
        <f t="shared" si="1132"/>
        <v>0.52529629629629626</v>
      </c>
      <c r="DK190" s="14">
        <f t="shared" si="1132"/>
        <v>0.52529629629629626</v>
      </c>
      <c r="DL190" s="14">
        <f t="shared" si="1132"/>
        <v>0.52529629629629626</v>
      </c>
      <c r="DM190" s="14">
        <f t="shared" si="1132"/>
        <v>0.52529629629629626</v>
      </c>
      <c r="DN190" s="14" t="str">
        <f t="shared" si="1132"/>
        <v/>
      </c>
      <c r="DO190" s="14" t="str">
        <f t="shared" si="1132"/>
        <v/>
      </c>
      <c r="DP190" s="14" t="str">
        <f t="shared" si="1132"/>
        <v/>
      </c>
      <c r="DQ190" s="14"/>
      <c r="DR190" s="14"/>
      <c r="DS190" s="14"/>
      <c r="DT190" s="14"/>
      <c r="DU190" s="14"/>
      <c r="DV190" s="14"/>
      <c r="DW190" s="14"/>
      <c r="DX190" s="14"/>
      <c r="DY190" s="14"/>
      <c r="DZ190" s="14"/>
      <c r="EA190" s="14">
        <f>IF(EA153&lt;&gt;0,EA152/EA153,"")</f>
        <v>0.5</v>
      </c>
      <c r="EB190" s="14">
        <f>IF(EB153&lt;&gt;0,EB152/EB153,"")</f>
        <v>0.52529629629629626</v>
      </c>
      <c r="EC190" s="14"/>
      <c r="ED190" s="429"/>
      <c r="EE190" s="14"/>
      <c r="EF190" s="14"/>
      <c r="EG190" s="14">
        <f>IF(EG153&lt;&gt;0,EG152/EG153,"")</f>
        <v>0.5048209028459274</v>
      </c>
      <c r="EK190" s="24"/>
      <c r="EL190" s="65"/>
      <c r="EM190" s="65"/>
      <c r="EN190" s="47"/>
    </row>
    <row r="191" spans="1:149">
      <c r="A191" s="6" t="s">
        <v>29</v>
      </c>
      <c r="G191" s="28"/>
      <c r="H191" s="28"/>
      <c r="I191" s="28"/>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ED191" s="429"/>
      <c r="EE191" s="23"/>
      <c r="EF191" s="23"/>
      <c r="EG191" s="23"/>
      <c r="EH191" s="25"/>
      <c r="EI191" s="25"/>
      <c r="EJ191" s="25"/>
      <c r="EK191" s="23"/>
    </row>
    <row r="192" spans="1:149">
      <c r="A192" s="6" t="s">
        <v>23</v>
      </c>
      <c r="B192" s="2" t="s">
        <v>24</v>
      </c>
      <c r="C192" s="3" t="s">
        <v>83</v>
      </c>
      <c r="E192" s="4" t="str">
        <f>C165</f>
        <v>AInBusNew</v>
      </c>
      <c r="F192" s="4" t="s">
        <v>31</v>
      </c>
      <c r="G192" s="28" t="str">
        <f>C164</f>
        <v>AAllNew</v>
      </c>
      <c r="H192" s="28"/>
      <c r="I192" s="28"/>
      <c r="J192" s="62">
        <f t="shared" ref="J192:AJ192" si="1133">IF(J164&lt;&gt;0,J165/J164,"")</f>
        <v>0</v>
      </c>
      <c r="K192" s="62">
        <f t="shared" si="1133"/>
        <v>0.1</v>
      </c>
      <c r="L192" s="62">
        <f t="shared" si="1133"/>
        <v>0.35294117647058826</v>
      </c>
      <c r="M192" s="62">
        <f t="shared" si="1133"/>
        <v>0.4</v>
      </c>
      <c r="N192" s="62">
        <f t="shared" si="1133"/>
        <v>0.5</v>
      </c>
      <c r="O192" s="62">
        <f t="shared" si="1133"/>
        <v>0.55882352941176472</v>
      </c>
      <c r="P192" s="62">
        <f t="shared" si="1133"/>
        <v>0.59459459459459463</v>
      </c>
      <c r="Q192" s="62">
        <f t="shared" si="1133"/>
        <v>0.63265306122448983</v>
      </c>
      <c r="R192" s="62">
        <f t="shared" si="1133"/>
        <v>0.63157894736842102</v>
      </c>
      <c r="S192" s="62">
        <f t="shared" si="1133"/>
        <v>0.59090909090909094</v>
      </c>
      <c r="T192" s="62">
        <f t="shared" si="1133"/>
        <v>0.59420289855072461</v>
      </c>
      <c r="U192" s="62">
        <f t="shared" si="1133"/>
        <v>0.60526315789473684</v>
      </c>
      <c r="V192" s="62">
        <f t="shared" si="1133"/>
        <v>0.66666666666666663</v>
      </c>
      <c r="W192" s="62">
        <f t="shared" si="1133"/>
        <v>0.61111111111111116</v>
      </c>
      <c r="X192" s="62">
        <f t="shared" si="1133"/>
        <v>0.57692307692307687</v>
      </c>
      <c r="Y192" s="62">
        <f t="shared" si="1133"/>
        <v>0.5</v>
      </c>
      <c r="Z192" s="62">
        <f t="shared" si="1133"/>
        <v>0.48571428571428571</v>
      </c>
      <c r="AA192" s="62">
        <f t="shared" si="1133"/>
        <v>0.48648648648648651</v>
      </c>
      <c r="AB192" s="62">
        <f t="shared" si="1133"/>
        <v>0.44186046511627908</v>
      </c>
      <c r="AC192" s="62">
        <f t="shared" si="1133"/>
        <v>0.43478260869565216</v>
      </c>
      <c r="AD192" s="62">
        <f t="shared" si="1133"/>
        <v>0.49019607843137253</v>
      </c>
      <c r="AE192" s="62">
        <f t="shared" si="1133"/>
        <v>0.5</v>
      </c>
      <c r="AF192" s="62">
        <f t="shared" si="1133"/>
        <v>0.51666666666666672</v>
      </c>
      <c r="AG192" s="62">
        <f t="shared" si="1133"/>
        <v>0.52857142857142858</v>
      </c>
      <c r="AH192" s="62">
        <f t="shared" si="1133"/>
        <v>0.5</v>
      </c>
      <c r="AI192" s="62">
        <f t="shared" si="1133"/>
        <v>0.45454545454545453</v>
      </c>
      <c r="AJ192" s="62" t="str">
        <f t="shared" si="1133"/>
        <v/>
      </c>
      <c r="AK192" s="412"/>
      <c r="AL192" s="14">
        <f t="shared" ref="AL192:BL192" si="1134">IF(AL164&lt;&gt;0,AL165/AL164,"")</f>
        <v>0</v>
      </c>
      <c r="AM192" s="14">
        <f t="shared" si="1134"/>
        <v>0.16666666666666666</v>
      </c>
      <c r="AN192" s="14">
        <f t="shared" si="1134"/>
        <v>0.7142857142857143</v>
      </c>
      <c r="AO192" s="14">
        <f t="shared" si="1134"/>
        <v>0.66666666666666663</v>
      </c>
      <c r="AP192" s="14">
        <f t="shared" si="1134"/>
        <v>0.83333333333333337</v>
      </c>
      <c r="AQ192" s="14">
        <f t="shared" si="1134"/>
        <v>0.75</v>
      </c>
      <c r="AR192" s="14">
        <f t="shared" si="1134"/>
        <v>1</v>
      </c>
      <c r="AS192" s="14">
        <f t="shared" si="1134"/>
        <v>0.75</v>
      </c>
      <c r="AT192" s="14">
        <f t="shared" si="1134"/>
        <v>0.625</v>
      </c>
      <c r="AU192" s="14">
        <f t="shared" si="1134"/>
        <v>0.33333333333333331</v>
      </c>
      <c r="AV192" s="14">
        <f t="shared" si="1134"/>
        <v>0.66666666666666663</v>
      </c>
      <c r="AW192" s="14">
        <f t="shared" si="1134"/>
        <v>0.7142857142857143</v>
      </c>
      <c r="AX192" s="14">
        <f t="shared" si="1134"/>
        <v>0.66666666666666663</v>
      </c>
      <c r="AY192" s="14">
        <f t="shared" si="1134"/>
        <v>0.5</v>
      </c>
      <c r="AZ192" s="14">
        <f t="shared" si="1134"/>
        <v>0.5</v>
      </c>
      <c r="BA192" s="14">
        <f t="shared" si="1134"/>
        <v>0.16666666666666666</v>
      </c>
      <c r="BB192" s="14">
        <f t="shared" si="1134"/>
        <v>0.33333333333333331</v>
      </c>
      <c r="BC192" s="14">
        <f t="shared" si="1134"/>
        <v>0.5</v>
      </c>
      <c r="BD192" s="14">
        <f t="shared" si="1134"/>
        <v>0.16666666666666666</v>
      </c>
      <c r="BE192" s="14">
        <f t="shared" si="1134"/>
        <v>0.33333333333333331</v>
      </c>
      <c r="BF192" s="14">
        <f t="shared" si="1134"/>
        <v>1</v>
      </c>
      <c r="BG192" s="14">
        <f t="shared" si="1134"/>
        <v>0.66666666666666663</v>
      </c>
      <c r="BH192" s="14">
        <f t="shared" si="1134"/>
        <v>0.66666666666666663</v>
      </c>
      <c r="BI192" s="14">
        <f t="shared" si="1134"/>
        <v>0.6</v>
      </c>
      <c r="BJ192" s="14">
        <f t="shared" si="1134"/>
        <v>0.5</v>
      </c>
      <c r="BK192" s="14">
        <f t="shared" si="1134"/>
        <v>0.42857142857142855</v>
      </c>
      <c r="BL192" s="14" t="str">
        <f t="shared" si="1134"/>
        <v/>
      </c>
      <c r="BM192" s="412"/>
      <c r="BN192" s="14">
        <f t="shared" ref="BN192:CN192" si="1135">IF(BN164&lt;&gt;0,BN165/BN164,"")</f>
        <v>0.35294117647058826</v>
      </c>
      <c r="BO192" s="14">
        <f t="shared" si="1135"/>
        <v>0.35294117647058826</v>
      </c>
      <c r="BP192" s="14">
        <f t="shared" si="1135"/>
        <v>0.35294117647058826</v>
      </c>
      <c r="BQ192" s="14">
        <f t="shared" si="1135"/>
        <v>0.76470588235294112</v>
      </c>
      <c r="BR192" s="14">
        <f t="shared" si="1135"/>
        <v>0.76470588235294112</v>
      </c>
      <c r="BS192" s="14">
        <f t="shared" si="1135"/>
        <v>0.76470588235294112</v>
      </c>
      <c r="BT192" s="14">
        <f t="shared" si="1135"/>
        <v>0.73913043478260865</v>
      </c>
      <c r="BU192" s="14">
        <f t="shared" si="1135"/>
        <v>0.73913043478260865</v>
      </c>
      <c r="BV192" s="14">
        <f t="shared" si="1135"/>
        <v>0.73913043478260865</v>
      </c>
      <c r="BW192" s="14">
        <f t="shared" si="1135"/>
        <v>0.52631578947368418</v>
      </c>
      <c r="BX192" s="14">
        <f t="shared" si="1135"/>
        <v>0.52631578947368418</v>
      </c>
      <c r="BY192" s="14">
        <f t="shared" si="1135"/>
        <v>0.52631578947368418</v>
      </c>
      <c r="BZ192" s="14">
        <f t="shared" si="1135"/>
        <v>0.57692307692307687</v>
      </c>
      <c r="CA192" s="14">
        <f t="shared" si="1135"/>
        <v>0.57692307692307687</v>
      </c>
      <c r="CB192" s="14">
        <f t="shared" si="1135"/>
        <v>0.57692307692307687</v>
      </c>
      <c r="CC192" s="14">
        <f t="shared" si="1135"/>
        <v>0.27272727272727271</v>
      </c>
      <c r="CD192" s="14">
        <f t="shared" si="1135"/>
        <v>0.27272727272727271</v>
      </c>
      <c r="CE192" s="14">
        <f t="shared" si="1135"/>
        <v>0.27272727272727271</v>
      </c>
      <c r="CF192" s="14">
        <f t="shared" si="1135"/>
        <v>0.5</v>
      </c>
      <c r="CG192" s="14">
        <f t="shared" si="1135"/>
        <v>0.5</v>
      </c>
      <c r="CH192" s="14">
        <f t="shared" si="1135"/>
        <v>0.5</v>
      </c>
      <c r="CI192" s="14">
        <f t="shared" si="1135"/>
        <v>0.63157894736842102</v>
      </c>
      <c r="CJ192" s="14">
        <f t="shared" si="1135"/>
        <v>0.63157894736842102</v>
      </c>
      <c r="CK192" s="14">
        <f t="shared" si="1135"/>
        <v>0.63157894736842102</v>
      </c>
      <c r="CL192" s="14">
        <f t="shared" si="1135"/>
        <v>0.45454545454545453</v>
      </c>
      <c r="CM192" s="14">
        <f t="shared" si="1135"/>
        <v>0.45454545454545453</v>
      </c>
      <c r="CN192" s="14">
        <f t="shared" si="1135"/>
        <v>0.45454545454545453</v>
      </c>
      <c r="CO192" s="412"/>
      <c r="CP192" s="14">
        <f t="shared" ref="CP192:DP192" si="1136">IF(CP164&lt;&gt;0,CP165/CP164,"")</f>
        <v>0</v>
      </c>
      <c r="CQ192" s="14">
        <f t="shared" si="1136"/>
        <v>0.1</v>
      </c>
      <c r="CR192" s="14">
        <f t="shared" si="1136"/>
        <v>0.35294117647058826</v>
      </c>
      <c r="CS192" s="14">
        <f t="shared" si="1136"/>
        <v>0.4</v>
      </c>
      <c r="CT192" s="14">
        <f t="shared" si="1136"/>
        <v>0.5</v>
      </c>
      <c r="CU192" s="14">
        <f t="shared" si="1136"/>
        <v>0.55882352941176472</v>
      </c>
      <c r="CV192" s="14">
        <f t="shared" si="1136"/>
        <v>0.59459459459459463</v>
      </c>
      <c r="CW192" s="14">
        <f t="shared" si="1136"/>
        <v>0.63265306122448983</v>
      </c>
      <c r="CX192" s="14">
        <f t="shared" si="1136"/>
        <v>0.63157894736842102</v>
      </c>
      <c r="CY192" s="14">
        <f t="shared" si="1136"/>
        <v>0.59090909090909094</v>
      </c>
      <c r="CZ192" s="14">
        <f t="shared" si="1136"/>
        <v>0.59420289855072461</v>
      </c>
      <c r="DA192" s="14">
        <f t="shared" si="1136"/>
        <v>0.60526315789473684</v>
      </c>
      <c r="DB192" s="14">
        <f t="shared" si="1136"/>
        <v>0.66666666666666663</v>
      </c>
      <c r="DC192" s="14">
        <f t="shared" si="1136"/>
        <v>0.61111111111111116</v>
      </c>
      <c r="DD192" s="14">
        <f t="shared" si="1136"/>
        <v>0.57692307692307687</v>
      </c>
      <c r="DE192" s="14">
        <f t="shared" si="1136"/>
        <v>0.5</v>
      </c>
      <c r="DF192" s="14">
        <f t="shared" si="1136"/>
        <v>0.48571428571428571</v>
      </c>
      <c r="DG192" s="14">
        <f t="shared" si="1136"/>
        <v>0.48648648648648651</v>
      </c>
      <c r="DH192" s="14">
        <f t="shared" si="1136"/>
        <v>0.44186046511627908</v>
      </c>
      <c r="DI192" s="14">
        <f t="shared" si="1136"/>
        <v>0.43478260869565216</v>
      </c>
      <c r="DJ192" s="14">
        <f t="shared" si="1136"/>
        <v>0.49019607843137253</v>
      </c>
      <c r="DK192" s="14">
        <f t="shared" si="1136"/>
        <v>0.5</v>
      </c>
      <c r="DL192" s="14">
        <f t="shared" si="1136"/>
        <v>0.51666666666666672</v>
      </c>
      <c r="DM192" s="14">
        <f t="shared" si="1136"/>
        <v>0.52857142857142858</v>
      </c>
      <c r="DN192" s="14">
        <f t="shared" si="1136"/>
        <v>0.5</v>
      </c>
      <c r="DO192" s="14">
        <f t="shared" si="1136"/>
        <v>0.45454545454545453</v>
      </c>
      <c r="DP192" s="14">
        <f t="shared" si="1136"/>
        <v>0.45454545454545453</v>
      </c>
      <c r="DQ192" s="14"/>
      <c r="DR192" s="14"/>
      <c r="DS192" s="14"/>
      <c r="DT192" s="14"/>
      <c r="DU192" s="14"/>
      <c r="DV192" s="14"/>
      <c r="DW192" s="14"/>
      <c r="DX192" s="14"/>
      <c r="DY192" s="14"/>
      <c r="ED192" s="429"/>
      <c r="EE192" s="23"/>
      <c r="EF192" s="23"/>
      <c r="EG192" s="23"/>
      <c r="EH192" s="14">
        <f>IF(EH164&lt;&gt;0,EH165/EH164,"")</f>
        <v>0.42857142857142855</v>
      </c>
      <c r="EI192" s="14">
        <f>IF(EI164&lt;&gt;0,EI165/EI164,"")</f>
        <v>0.45454545454545453</v>
      </c>
      <c r="EJ192" s="14">
        <f>IF(EJ164&lt;&gt;0,EJ165/EJ164,"")</f>
        <v>0.45454545454545453</v>
      </c>
      <c r="EK192" s="24"/>
      <c r="EL192" s="47">
        <f t="shared" ref="EL192:EN196" si="1137">+EH192-EE185</f>
        <v>-7.8891257995735653E-2</v>
      </c>
      <c r="EM192" s="47">
        <f t="shared" si="1137"/>
        <v>-5.291723202170967E-2</v>
      </c>
      <c r="EN192" s="47">
        <f t="shared" si="1137"/>
        <v>-5.291723202170967E-2</v>
      </c>
      <c r="EO192" s="46" t="str">
        <f t="shared" ref="EO192:EP196" si="1138">IF(EH192&lt;0,,IF(EH192&lt;EE185,"È",IF(EH192=EE185,"Æ","Ç")))</f>
        <v>È</v>
      </c>
      <c r="EP192" s="46" t="str">
        <f>IF(EI192&lt;0,,IF(EI192&lt;EF185,"È",IF(EI192=EF185,"Æ","Ç")))</f>
        <v>È</v>
      </c>
      <c r="EQ192" s="2">
        <f t="shared" ref="EQ192:ES196" si="1139">IF(EH192/EE185&gt;=0.9,1,IF(EH192/EE185&lt;0.75,3,2))</f>
        <v>2</v>
      </c>
      <c r="ER192" s="2">
        <f t="shared" si="1139"/>
        <v>2</v>
      </c>
      <c r="ES192" s="2">
        <f t="shared" si="1139"/>
        <v>2</v>
      </c>
    </row>
    <row r="193" spans="1:149">
      <c r="A193" s="6" t="s">
        <v>23</v>
      </c>
      <c r="B193" s="2" t="s">
        <v>25</v>
      </c>
      <c r="C193" s="3" t="s">
        <v>79</v>
      </c>
      <c r="E193" s="4" t="str">
        <f>C180</f>
        <v>ASEE</v>
      </c>
      <c r="F193" s="4" t="s">
        <v>31</v>
      </c>
      <c r="G193" s="28" t="str">
        <f>C179</f>
        <v>ASUniq</v>
      </c>
      <c r="H193" s="28"/>
      <c r="I193" s="28"/>
      <c r="J193" s="62">
        <f>IF(J179&lt;&gt;0,J180/J179,"")</f>
        <v>0.33333333333333331</v>
      </c>
      <c r="K193" s="62">
        <f>IF(K179&lt;&gt;0,K180/K179,"")</f>
        <v>0.21428571428571427</v>
      </c>
      <c r="L193" s="62">
        <f>IF(L179&lt;&gt;0,L180/L179,"")</f>
        <v>0.33333333333333331</v>
      </c>
      <c r="M193" s="62">
        <f>IF(M179&lt;&gt;0,M180/M179,"")</f>
        <v>0.75</v>
      </c>
      <c r="N193" s="62">
        <f>IF(N179&lt;&gt;0,N180/N179,"")</f>
        <v>0</v>
      </c>
      <c r="O193" s="62">
        <f>IF(O179&lt;&gt;"",O180/O179,"")</f>
        <v>0.36363636363636365</v>
      </c>
      <c r="P193" s="62">
        <f t="shared" ref="P193:AJ193" si="1140">IF(P179&lt;&gt;"",P180/P179,"")</f>
        <v>0.25</v>
      </c>
      <c r="Q193" s="62">
        <f t="shared" si="1140"/>
        <v>0.13333333333333333</v>
      </c>
      <c r="R193" s="62">
        <f t="shared" si="1140"/>
        <v>0.22222222222222221</v>
      </c>
      <c r="S193" s="62">
        <f t="shared" si="1140"/>
        <v>8.3333333333333329E-2</v>
      </c>
      <c r="T193" s="62">
        <f t="shared" si="1140"/>
        <v>0.66666666666666663</v>
      </c>
      <c r="U193" s="62">
        <f t="shared" si="1140"/>
        <v>0.1111111111111111</v>
      </c>
      <c r="V193" s="62">
        <f t="shared" si="1140"/>
        <v>0.38461538461538464</v>
      </c>
      <c r="W193" s="62">
        <f t="shared" si="1140"/>
        <v>0.2</v>
      </c>
      <c r="X193" s="62">
        <f t="shared" si="1140"/>
        <v>0.31578947368421051</v>
      </c>
      <c r="Y193" s="62">
        <f t="shared" si="1140"/>
        <v>0.1875</v>
      </c>
      <c r="Z193" s="62">
        <f t="shared" si="1140"/>
        <v>1</v>
      </c>
      <c r="AA193" s="62">
        <f t="shared" si="1140"/>
        <v>0</v>
      </c>
      <c r="AB193" s="62">
        <f t="shared" si="1140"/>
        <v>0.14285714285714285</v>
      </c>
      <c r="AC193" s="62">
        <f t="shared" si="1140"/>
        <v>0.2</v>
      </c>
      <c r="AD193" s="62">
        <f t="shared" si="1140"/>
        <v>0.54545454545454541</v>
      </c>
      <c r="AE193" s="62">
        <f t="shared" si="1140"/>
        <v>0</v>
      </c>
      <c r="AF193" s="62">
        <f t="shared" si="1140"/>
        <v>0.22222222222222221</v>
      </c>
      <c r="AG193" s="62">
        <f t="shared" si="1140"/>
        <v>0.36363636363636365</v>
      </c>
      <c r="AH193" s="62">
        <f t="shared" si="1140"/>
        <v>0.2857142857142857</v>
      </c>
      <c r="AI193" s="62">
        <f t="shared" si="1140"/>
        <v>0.6</v>
      </c>
      <c r="AJ193" s="62" t="str">
        <f t="shared" si="1140"/>
        <v/>
      </c>
      <c r="AK193" s="412"/>
      <c r="AL193" s="14">
        <f t="shared" ref="AL193:BL193" si="1141">IF(AL179&lt;&gt;0,AL180/AL179,"")</f>
        <v>0.33333333333333331</v>
      </c>
      <c r="AM193" s="14">
        <f t="shared" si="1141"/>
        <v>0.21428571428571427</v>
      </c>
      <c r="AN193" s="14">
        <f t="shared" si="1141"/>
        <v>0.33333333333333331</v>
      </c>
      <c r="AO193" s="14">
        <f t="shared" si="1141"/>
        <v>0.75</v>
      </c>
      <c r="AP193" s="14">
        <f t="shared" si="1141"/>
        <v>0</v>
      </c>
      <c r="AQ193" s="14">
        <f t="shared" si="1141"/>
        <v>0.36363636363636365</v>
      </c>
      <c r="AR193" s="14">
        <f t="shared" si="1141"/>
        <v>0.25</v>
      </c>
      <c r="AS193" s="14">
        <f t="shared" si="1141"/>
        <v>0.13333333333333333</v>
      </c>
      <c r="AT193" s="14">
        <f t="shared" si="1141"/>
        <v>0.22222222222222221</v>
      </c>
      <c r="AU193" s="14">
        <f t="shared" si="1141"/>
        <v>8.3333333333333329E-2</v>
      </c>
      <c r="AV193" s="14">
        <f t="shared" si="1141"/>
        <v>0.66666666666666663</v>
      </c>
      <c r="AW193" s="14">
        <f t="shared" si="1141"/>
        <v>0.1111111111111111</v>
      </c>
      <c r="AX193" s="14">
        <f t="shared" si="1141"/>
        <v>0.38461538461538464</v>
      </c>
      <c r="AY193" s="14">
        <f t="shared" si="1141"/>
        <v>0.2</v>
      </c>
      <c r="AZ193" s="14">
        <f t="shared" si="1141"/>
        <v>0.31578947368421051</v>
      </c>
      <c r="BA193" s="14">
        <f t="shared" si="1141"/>
        <v>0.1875</v>
      </c>
      <c r="BB193" s="14">
        <f t="shared" si="1141"/>
        <v>1</v>
      </c>
      <c r="BC193" s="14">
        <f t="shared" si="1141"/>
        <v>0</v>
      </c>
      <c r="BD193" s="14">
        <f t="shared" si="1141"/>
        <v>0.14285714285714285</v>
      </c>
      <c r="BE193" s="14">
        <f t="shared" si="1141"/>
        <v>0.2</v>
      </c>
      <c r="BF193" s="14">
        <f t="shared" si="1141"/>
        <v>0.54545454545454541</v>
      </c>
      <c r="BG193" s="14">
        <f t="shared" si="1141"/>
        <v>0</v>
      </c>
      <c r="BH193" s="14">
        <f t="shared" si="1141"/>
        <v>0.22222222222222221</v>
      </c>
      <c r="BI193" s="14">
        <f t="shared" si="1141"/>
        <v>0.36363636363636365</v>
      </c>
      <c r="BJ193" s="14">
        <f t="shared" si="1141"/>
        <v>0.2857142857142857</v>
      </c>
      <c r="BK193" s="14">
        <f t="shared" si="1141"/>
        <v>0.6</v>
      </c>
      <c r="BL193" s="14" t="e">
        <f t="shared" si="1141"/>
        <v>#VALUE!</v>
      </c>
      <c r="BM193" s="412"/>
      <c r="BN193" s="14">
        <f t="shared" ref="BN193:CN193" si="1142">IF(BN179&lt;&gt;0,BN180/BN179,"")</f>
        <v>0.33333333333333331</v>
      </c>
      <c r="BO193" s="14">
        <f t="shared" si="1142"/>
        <v>0.2608695652173913</v>
      </c>
      <c r="BP193" s="14">
        <f t="shared" si="1142"/>
        <v>0.2857142857142857</v>
      </c>
      <c r="BQ193" s="14">
        <f t="shared" si="1142"/>
        <v>0.75</v>
      </c>
      <c r="BR193" s="14">
        <f t="shared" si="1142"/>
        <v>0.17647058823529413</v>
      </c>
      <c r="BS193" s="14">
        <f t="shared" si="1142"/>
        <v>0.25</v>
      </c>
      <c r="BT193" s="14">
        <f t="shared" si="1142"/>
        <v>0.25</v>
      </c>
      <c r="BU193" s="14">
        <f t="shared" si="1142"/>
        <v>0.15789473684210525</v>
      </c>
      <c r="BV193" s="14">
        <f t="shared" si="1142"/>
        <v>0.17857142857142858</v>
      </c>
      <c r="BW193" s="14">
        <f t="shared" si="1142"/>
        <v>8.3333333333333329E-2</v>
      </c>
      <c r="BX193" s="14">
        <f t="shared" si="1142"/>
        <v>0.2</v>
      </c>
      <c r="BY193" s="14">
        <f t="shared" si="1142"/>
        <v>0.16666666666666666</v>
      </c>
      <c r="BZ193" s="14">
        <f t="shared" si="1142"/>
        <v>0.38461538461538464</v>
      </c>
      <c r="CA193" s="14">
        <f t="shared" si="1142"/>
        <v>0.30434782608695654</v>
      </c>
      <c r="CB193" s="14">
        <f t="shared" si="1142"/>
        <v>0.30952380952380953</v>
      </c>
      <c r="CC193" s="14">
        <f t="shared" si="1142"/>
        <v>0.1875</v>
      </c>
      <c r="CD193" s="14">
        <f t="shared" si="1142"/>
        <v>0.35</v>
      </c>
      <c r="CE193" s="14">
        <f t="shared" si="1142"/>
        <v>0.31818181818181818</v>
      </c>
      <c r="CF193" s="14">
        <f t="shared" si="1142"/>
        <v>0.14285714285714285</v>
      </c>
      <c r="CG193" s="14">
        <f t="shared" si="1142"/>
        <v>0.16666666666666666</v>
      </c>
      <c r="CH193" s="14">
        <f t="shared" si="1142"/>
        <v>0.34782608695652173</v>
      </c>
      <c r="CI193" s="14">
        <f t="shared" si="1142"/>
        <v>0</v>
      </c>
      <c r="CJ193" s="14">
        <f t="shared" si="1142"/>
        <v>0.15384615384615385</v>
      </c>
      <c r="CK193" s="14">
        <f t="shared" si="1142"/>
        <v>0.25</v>
      </c>
      <c r="CL193" s="14">
        <f t="shared" si="1142"/>
        <v>0.2857142857142857</v>
      </c>
      <c r="CM193" s="14">
        <f t="shared" si="1142"/>
        <v>0.44827586206896552</v>
      </c>
      <c r="CN193" s="14" t="e">
        <f t="shared" si="1142"/>
        <v>#VALUE!</v>
      </c>
      <c r="CO193" s="412"/>
      <c r="CP193" s="14">
        <f t="shared" ref="CP193:DP193" si="1143">IF(CP179&lt;&gt;0,CP180/CP179,"")</f>
        <v>0.33333333333333331</v>
      </c>
      <c r="CQ193" s="14">
        <f t="shared" si="1143"/>
        <v>0.2608695652173913</v>
      </c>
      <c r="CR193" s="14">
        <f t="shared" si="1143"/>
        <v>0.2857142857142857</v>
      </c>
      <c r="CS193" s="14">
        <f t="shared" si="1143"/>
        <v>0.33333333333333331</v>
      </c>
      <c r="CT193" s="14">
        <f t="shared" si="1143"/>
        <v>0.25</v>
      </c>
      <c r="CU193" s="14">
        <f t="shared" si="1143"/>
        <v>0.26984126984126983</v>
      </c>
      <c r="CV193" s="14">
        <f t="shared" si="1143"/>
        <v>0.26865671641791045</v>
      </c>
      <c r="CW193" s="14">
        <f t="shared" si="1143"/>
        <v>0.24390243902439024</v>
      </c>
      <c r="CX193" s="14">
        <f t="shared" si="1143"/>
        <v>0.24175824175824176</v>
      </c>
      <c r="CY193" s="14">
        <f t="shared" si="1143"/>
        <v>0.22330097087378642</v>
      </c>
      <c r="CZ193" s="14">
        <f t="shared" si="1143"/>
        <v>0.23584905660377359</v>
      </c>
      <c r="DA193" s="14">
        <f t="shared" si="1143"/>
        <v>0.22608695652173913</v>
      </c>
      <c r="DB193" s="14">
        <f t="shared" si="1143"/>
        <v>0.38461538461538464</v>
      </c>
      <c r="DC193" s="14">
        <f t="shared" si="1143"/>
        <v>0.30434782608695654</v>
      </c>
      <c r="DD193" s="14">
        <f t="shared" si="1143"/>
        <v>0.30952380952380953</v>
      </c>
      <c r="DE193" s="14">
        <f t="shared" si="1143"/>
        <v>0.27586206896551724</v>
      </c>
      <c r="DF193" s="14">
        <f t="shared" si="1143"/>
        <v>0.32258064516129031</v>
      </c>
      <c r="DG193" s="14">
        <f t="shared" si="1143"/>
        <v>0.3125</v>
      </c>
      <c r="DH193" s="14">
        <f t="shared" si="1143"/>
        <v>0.29577464788732394</v>
      </c>
      <c r="DI193" s="14">
        <f t="shared" si="1143"/>
        <v>0.28947368421052633</v>
      </c>
      <c r="DJ193" s="14">
        <f t="shared" si="1143"/>
        <v>0.32183908045977011</v>
      </c>
      <c r="DK193" s="14">
        <f t="shared" si="1143"/>
        <v>0.30769230769230771</v>
      </c>
      <c r="DL193" s="14">
        <f t="shared" si="1143"/>
        <v>0.3</v>
      </c>
      <c r="DM193" s="14">
        <f t="shared" si="1143"/>
        <v>0.30630630630630629</v>
      </c>
      <c r="DN193" s="14">
        <f t="shared" si="1143"/>
        <v>0.2857142857142857</v>
      </c>
      <c r="DO193" s="14">
        <f t="shared" si="1143"/>
        <v>0.44827586206896552</v>
      </c>
      <c r="DP193" s="14" t="e">
        <f t="shared" si="1143"/>
        <v>#VALUE!</v>
      </c>
      <c r="DQ193" s="14"/>
      <c r="DR193" s="14"/>
      <c r="DS193" s="14"/>
      <c r="DT193" s="14"/>
      <c r="DU193" s="14"/>
      <c r="DV193" s="14"/>
      <c r="DW193" s="14"/>
      <c r="DX193" s="14"/>
      <c r="DY193" s="14"/>
      <c r="ED193" s="429"/>
      <c r="EE193" s="23"/>
      <c r="EF193" s="23"/>
      <c r="EG193" s="23"/>
      <c r="EH193" s="14">
        <f>IF(EH179&lt;&gt;0,EH180/EH179,"")</f>
        <v>0.6</v>
      </c>
      <c r="EI193" s="14">
        <f>IF(EI179&lt;&gt;0,EI180/EI179,"")</f>
        <v>0.44827586206896552</v>
      </c>
      <c r="EJ193" s="14">
        <f>IF(EJ179&lt;&gt;0,EJ180/EJ179,"")</f>
        <v>0.44827586206896552</v>
      </c>
      <c r="EK193" s="24"/>
      <c r="EL193" s="47">
        <f t="shared" si="1137"/>
        <v>0.6</v>
      </c>
      <c r="EM193" s="47">
        <f t="shared" si="1137"/>
        <v>0.44827586206896552</v>
      </c>
      <c r="EN193" s="47">
        <f t="shared" si="1137"/>
        <v>0.44827586206896552</v>
      </c>
      <c r="EO193" s="46" t="str">
        <f t="shared" si="1138"/>
        <v>Ç</v>
      </c>
      <c r="EP193" s="46" t="str">
        <f t="shared" si="1138"/>
        <v>Ç</v>
      </c>
      <c r="EQ193" s="2" t="e">
        <f t="shared" si="1139"/>
        <v>#DIV/0!</v>
      </c>
      <c r="ER193" s="2" t="e">
        <f t="shared" si="1139"/>
        <v>#DIV/0!</v>
      </c>
      <c r="ES193" s="2" t="e">
        <f t="shared" si="1139"/>
        <v>#DIV/0!</v>
      </c>
    </row>
    <row r="194" spans="1:149">
      <c r="A194" s="6" t="s">
        <v>23</v>
      </c>
      <c r="B194" s="2" t="s">
        <v>160</v>
      </c>
      <c r="C194" s="3" t="s">
        <v>80</v>
      </c>
      <c r="E194" s="3" t="str">
        <f>C169</f>
        <v>ASatRate</v>
      </c>
      <c r="F194" s="3" t="s">
        <v>32</v>
      </c>
      <c r="G194" s="28" t="str">
        <f>C164</f>
        <v>AAllNew</v>
      </c>
      <c r="H194" s="63" t="s">
        <v>31</v>
      </c>
      <c r="I194" s="28" t="str">
        <f>C168</f>
        <v>ASatResp</v>
      </c>
      <c r="J194" s="62">
        <f t="shared" ref="J194:O194" si="1144">IF(J164&lt;&gt;0,J169*J168/J164,"")</f>
        <v>0</v>
      </c>
      <c r="K194" s="62">
        <f t="shared" si="1144"/>
        <v>0</v>
      </c>
      <c r="L194" s="62">
        <f t="shared" si="1144"/>
        <v>0</v>
      </c>
      <c r="M194" s="62">
        <f t="shared" si="1144"/>
        <v>0</v>
      </c>
      <c r="N194" s="62">
        <f t="shared" si="1144"/>
        <v>0</v>
      </c>
      <c r="O194" s="62">
        <f t="shared" si="1144"/>
        <v>2.9411764705882353E-2</v>
      </c>
      <c r="P194" s="62">
        <f t="shared" ref="P194:AJ194" si="1145">IF(P164&lt;&gt;0,P169*P168/P164,"")</f>
        <v>5.4054054054054057E-2</v>
      </c>
      <c r="Q194" s="62">
        <f t="shared" si="1145"/>
        <v>2.0408163265306121E-2</v>
      </c>
      <c r="R194" s="62">
        <f t="shared" si="1145"/>
        <v>5.2631578947368418E-2</v>
      </c>
      <c r="S194" s="62">
        <f t="shared" si="1145"/>
        <v>3.0303030303030304E-2</v>
      </c>
      <c r="T194" s="62">
        <f t="shared" si="1145"/>
        <v>2.8985507246376812E-2</v>
      </c>
      <c r="U194" s="62">
        <f t="shared" si="1145"/>
        <v>3.9473684210526314E-2</v>
      </c>
      <c r="V194" s="62">
        <f t="shared" si="1145"/>
        <v>0.16666666666666666</v>
      </c>
      <c r="W194" s="62">
        <f t="shared" si="1145"/>
        <v>0.22222222222222221</v>
      </c>
      <c r="X194" s="62">
        <f t="shared" si="1145"/>
        <v>3.8461538461538464E-2</v>
      </c>
      <c r="Y194" s="62">
        <f t="shared" si="1145"/>
        <v>0</v>
      </c>
      <c r="Z194" s="62">
        <f t="shared" si="1145"/>
        <v>8.5714285714285715E-2</v>
      </c>
      <c r="AA194" s="62">
        <f t="shared" si="1145"/>
        <v>0</v>
      </c>
      <c r="AB194" s="62">
        <f t="shared" si="1145"/>
        <v>0</v>
      </c>
      <c r="AC194" s="62">
        <f t="shared" si="1145"/>
        <v>2.1739130434782608E-2</v>
      </c>
      <c r="AD194" s="62">
        <f t="shared" si="1145"/>
        <v>1.9607843137254902E-2</v>
      </c>
      <c r="AE194" s="62">
        <f t="shared" si="1145"/>
        <v>3.7037037037037035E-2</v>
      </c>
      <c r="AF194" s="62">
        <f t="shared" si="1145"/>
        <v>1.6666666666666666E-2</v>
      </c>
      <c r="AG194" s="62">
        <f t="shared" si="1145"/>
        <v>1.4285714285714285E-2</v>
      </c>
      <c r="AH194" s="62">
        <f t="shared" si="1145"/>
        <v>0.75</v>
      </c>
      <c r="AI194" s="62">
        <f t="shared" si="1145"/>
        <v>9.0909090909090912E-2</v>
      </c>
      <c r="AJ194" s="62" t="str">
        <f t="shared" si="1145"/>
        <v/>
      </c>
      <c r="AK194" s="412"/>
      <c r="AL194" s="14">
        <f t="shared" ref="AL194:BL194" si="1146">IF(AL164&lt;&gt;0,AL169*AL168/AL164,"")</f>
        <v>0</v>
      </c>
      <c r="AM194" s="14">
        <f t="shared" si="1146"/>
        <v>0</v>
      </c>
      <c r="AN194" s="14">
        <f t="shared" si="1146"/>
        <v>0</v>
      </c>
      <c r="AO194" s="14">
        <f t="shared" si="1146"/>
        <v>0</v>
      </c>
      <c r="AP194" s="14">
        <f t="shared" si="1146"/>
        <v>0</v>
      </c>
      <c r="AQ194" s="14">
        <f t="shared" si="1146"/>
        <v>0.125</v>
      </c>
      <c r="AR194" s="14">
        <f t="shared" si="1146"/>
        <v>0.66666666666666663</v>
      </c>
      <c r="AS194" s="14">
        <f t="shared" si="1146"/>
        <v>8.3333333333333329E-2</v>
      </c>
      <c r="AT194" s="14">
        <f t="shared" si="1146"/>
        <v>0.375</v>
      </c>
      <c r="AU194" s="14">
        <f t="shared" si="1146"/>
        <v>0.22222222222222221</v>
      </c>
      <c r="AV194" s="14">
        <f t="shared" si="1146"/>
        <v>0.66666666666666663</v>
      </c>
      <c r="AW194" s="14">
        <f t="shared" si="1146"/>
        <v>0.42857142857142855</v>
      </c>
      <c r="AX194" s="14">
        <f t="shared" si="1146"/>
        <v>0.16666666666666666</v>
      </c>
      <c r="AY194" s="14">
        <f t="shared" si="1146"/>
        <v>0.66666666666666663</v>
      </c>
      <c r="AZ194" s="14">
        <f t="shared" si="1146"/>
        <v>0.125</v>
      </c>
      <c r="BA194" s="14">
        <f t="shared" si="1146"/>
        <v>0</v>
      </c>
      <c r="BB194" s="14">
        <f t="shared" si="1146"/>
        <v>1</v>
      </c>
      <c r="BC194" s="14">
        <f t="shared" si="1146"/>
        <v>0</v>
      </c>
      <c r="BD194" s="14">
        <f t="shared" si="1146"/>
        <v>0</v>
      </c>
      <c r="BE194" s="14">
        <f t="shared" si="1146"/>
        <v>0.33333333333333331</v>
      </c>
      <c r="BF194" s="14">
        <f t="shared" si="1146"/>
        <v>0.2</v>
      </c>
      <c r="BG194" s="14">
        <f t="shared" si="1146"/>
        <v>0.66666666666666663</v>
      </c>
      <c r="BH194" s="14">
        <f t="shared" si="1146"/>
        <v>0.16666666666666666</v>
      </c>
      <c r="BI194" s="14">
        <f t="shared" si="1146"/>
        <v>0.1</v>
      </c>
      <c r="BJ194" s="14">
        <f t="shared" si="1146"/>
        <v>0.75</v>
      </c>
      <c r="BK194" s="14">
        <f t="shared" si="1146"/>
        <v>0</v>
      </c>
      <c r="BL194" s="14" t="str">
        <f t="shared" si="1146"/>
        <v/>
      </c>
      <c r="BM194" s="412"/>
      <c r="BN194" s="14">
        <f t="shared" ref="BN194:CN194" si="1147">IF(BN164&lt;&gt;0,BN169*BN168/BN164,"")</f>
        <v>0</v>
      </c>
      <c r="BO194" s="14">
        <f t="shared" si="1147"/>
        <v>0</v>
      </c>
      <c r="BP194" s="14">
        <f t="shared" si="1147"/>
        <v>0</v>
      </c>
      <c r="BQ194" s="14">
        <f t="shared" si="1147"/>
        <v>5.8823529411764705E-2</v>
      </c>
      <c r="BR194" s="14">
        <f t="shared" si="1147"/>
        <v>5.8823529411764705E-2</v>
      </c>
      <c r="BS194" s="14">
        <f t="shared" si="1147"/>
        <v>5.8823529411764705E-2</v>
      </c>
      <c r="BT194" s="14">
        <f t="shared" si="1147"/>
        <v>0.2608695652173913</v>
      </c>
      <c r="BU194" s="14">
        <f t="shared" si="1147"/>
        <v>0.2608695652173913</v>
      </c>
      <c r="BV194" s="14">
        <f t="shared" si="1147"/>
        <v>0.2608695652173913</v>
      </c>
      <c r="BW194" s="14">
        <f t="shared" si="1147"/>
        <v>0.36842105263157893</v>
      </c>
      <c r="BX194" s="14">
        <f t="shared" si="1147"/>
        <v>0.36842105263157893</v>
      </c>
      <c r="BY194" s="14">
        <f t="shared" si="1147"/>
        <v>0.36842105263157893</v>
      </c>
      <c r="BZ194" s="14">
        <f t="shared" si="1147"/>
        <v>0.26923076923076922</v>
      </c>
      <c r="CA194" s="14">
        <f t="shared" si="1147"/>
        <v>0.26923076923076922</v>
      </c>
      <c r="CB194" s="14">
        <f t="shared" si="1147"/>
        <v>0.26923076923076922</v>
      </c>
      <c r="CC194" s="14">
        <f t="shared" si="1147"/>
        <v>0.27272727272727271</v>
      </c>
      <c r="CD194" s="14">
        <f t="shared" si="1147"/>
        <v>0.27272727272727271</v>
      </c>
      <c r="CE194" s="14">
        <f t="shared" si="1147"/>
        <v>0.27272727272727271</v>
      </c>
      <c r="CF194" s="14">
        <f t="shared" si="1147"/>
        <v>0.14285714285714285</v>
      </c>
      <c r="CG194" s="14">
        <f t="shared" si="1147"/>
        <v>0.14285714285714285</v>
      </c>
      <c r="CH194" s="14">
        <f t="shared" si="1147"/>
        <v>0.14285714285714285</v>
      </c>
      <c r="CI194" s="14">
        <f t="shared" si="1147"/>
        <v>0.21052631578947367</v>
      </c>
      <c r="CJ194" s="14">
        <f t="shared" si="1147"/>
        <v>0.21052631578947367</v>
      </c>
      <c r="CK194" s="14">
        <f t="shared" si="1147"/>
        <v>0.21052631578947367</v>
      </c>
      <c r="CL194" s="14">
        <f t="shared" si="1147"/>
        <v>0.27272727272727271</v>
      </c>
      <c r="CM194" s="14">
        <f t="shared" si="1147"/>
        <v>0.27272727272727271</v>
      </c>
      <c r="CN194" s="14">
        <f t="shared" si="1147"/>
        <v>0.27272727272727271</v>
      </c>
      <c r="CO194" s="412"/>
      <c r="CP194" s="14">
        <f t="shared" ref="CP194:DP194" si="1148">IF(CP164&lt;&gt;0,CP169*CP168/CP164,"")</f>
        <v>0</v>
      </c>
      <c r="CQ194" s="14">
        <f t="shared" si="1148"/>
        <v>0</v>
      </c>
      <c r="CR194" s="14">
        <f t="shared" si="1148"/>
        <v>0</v>
      </c>
      <c r="CS194" s="14">
        <f t="shared" si="1148"/>
        <v>0</v>
      </c>
      <c r="CT194" s="14">
        <f t="shared" si="1148"/>
        <v>0</v>
      </c>
      <c r="CU194" s="14">
        <f t="shared" si="1148"/>
        <v>2.9411764705882353E-2</v>
      </c>
      <c r="CV194" s="14">
        <f t="shared" si="1148"/>
        <v>8.1081081081081086E-2</v>
      </c>
      <c r="CW194" s="14">
        <f t="shared" si="1148"/>
        <v>8.1632653061224483E-2</v>
      </c>
      <c r="CX194" s="14">
        <f t="shared" si="1148"/>
        <v>0.12280701754385964</v>
      </c>
      <c r="CY194" s="14">
        <f t="shared" si="1148"/>
        <v>0.13636363636363635</v>
      </c>
      <c r="CZ194" s="14">
        <f t="shared" si="1148"/>
        <v>0.15942028985507245</v>
      </c>
      <c r="DA194" s="14">
        <f t="shared" si="1148"/>
        <v>0.18421052631578946</v>
      </c>
      <c r="DB194" s="14">
        <f t="shared" si="1148"/>
        <v>0.16666666666666666</v>
      </c>
      <c r="DC194" s="14">
        <f t="shared" si="1148"/>
        <v>0.33333333333333331</v>
      </c>
      <c r="DD194" s="14">
        <f t="shared" si="1148"/>
        <v>0.26923076923076922</v>
      </c>
      <c r="DE194" s="14">
        <f t="shared" si="1148"/>
        <v>0.21875</v>
      </c>
      <c r="DF194" s="14">
        <f t="shared" si="1148"/>
        <v>0.2857142857142857</v>
      </c>
      <c r="DG194" s="14">
        <f t="shared" si="1148"/>
        <v>0.27027027027027029</v>
      </c>
      <c r="DH194" s="14">
        <f t="shared" si="1148"/>
        <v>0.23255813953488372</v>
      </c>
      <c r="DI194" s="14">
        <f t="shared" si="1148"/>
        <v>0.2391304347826087</v>
      </c>
      <c r="DJ194" s="14">
        <f t="shared" si="1148"/>
        <v>0.23529411764705882</v>
      </c>
      <c r="DK194" s="14">
        <f t="shared" si="1148"/>
        <v>0.25925925925925924</v>
      </c>
      <c r="DL194" s="14">
        <f t="shared" si="1148"/>
        <v>0.25</v>
      </c>
      <c r="DM194" s="14">
        <f t="shared" si="1148"/>
        <v>0.22857142857142856</v>
      </c>
      <c r="DN194" s="14">
        <f t="shared" si="1148"/>
        <v>0.75</v>
      </c>
      <c r="DO194" s="14">
        <f t="shared" si="1148"/>
        <v>0.36363636363636365</v>
      </c>
      <c r="DP194" s="14">
        <f t="shared" si="1148"/>
        <v>0.36363636363636365</v>
      </c>
      <c r="DQ194" s="14"/>
      <c r="DR194" s="14"/>
      <c r="DS194" s="14"/>
      <c r="DT194" s="14"/>
      <c r="DU194" s="14"/>
      <c r="DV194" s="14"/>
      <c r="DW194" s="14"/>
      <c r="DX194" s="14"/>
      <c r="DY194" s="14"/>
      <c r="ED194" s="429"/>
      <c r="EE194" s="23"/>
      <c r="EF194" s="23"/>
      <c r="EG194" s="23"/>
      <c r="EH194" s="14">
        <f>IF(EH168&lt;&gt;0,EH169*EH168/EH168,"")</f>
        <v>0</v>
      </c>
      <c r="EI194" s="14">
        <f>IF(EI168&lt;&gt;0,EI169*EI168/EI168,"")</f>
        <v>0.75</v>
      </c>
      <c r="EJ194" s="14">
        <f>IF(EJ168&lt;&gt;0,EJ169*EJ168/EJ168,"")</f>
        <v>1</v>
      </c>
      <c r="EK194" s="24"/>
      <c r="EL194" s="47" t="e">
        <f t="shared" si="1137"/>
        <v>#DIV/0!</v>
      </c>
      <c r="EM194" s="47" t="e">
        <f t="shared" si="1137"/>
        <v>#DIV/0!</v>
      </c>
      <c r="EN194" s="47">
        <f t="shared" si="1137"/>
        <v>4.9999999999999822E-2</v>
      </c>
      <c r="EO194" s="46" t="e">
        <f t="shared" si="1138"/>
        <v>#DIV/0!</v>
      </c>
      <c r="EP194" s="46" t="e">
        <f t="shared" si="1138"/>
        <v>#DIV/0!</v>
      </c>
      <c r="EQ194" s="2" t="e">
        <f t="shared" si="1139"/>
        <v>#DIV/0!</v>
      </c>
      <c r="ER194" s="2" t="e">
        <f t="shared" si="1139"/>
        <v>#DIV/0!</v>
      </c>
      <c r="ES194" s="2">
        <f t="shared" si="1139"/>
        <v>1</v>
      </c>
    </row>
    <row r="195" spans="1:149">
      <c r="A195" s="6" t="s">
        <v>23</v>
      </c>
      <c r="B195" s="2" t="s">
        <v>26</v>
      </c>
      <c r="C195" s="3" t="s">
        <v>85</v>
      </c>
      <c r="E195" s="3" t="str">
        <f>C170</f>
        <v>ASpec1</v>
      </c>
      <c r="F195" s="4" t="s">
        <v>31</v>
      </c>
      <c r="G195" s="28" t="str">
        <f>C179</f>
        <v>ASUniq</v>
      </c>
      <c r="H195" s="28"/>
      <c r="I195" s="28"/>
      <c r="J195" s="62">
        <f>IF(J179&lt;&gt;0,J170/J179,"")</f>
        <v>0</v>
      </c>
      <c r="K195" s="62">
        <f>IF(K179&lt;&gt;0,K170/K179,"")</f>
        <v>0</v>
      </c>
      <c r="L195" s="62">
        <f>IF(L179&lt;&gt;0,L170/L179,"")</f>
        <v>0</v>
      </c>
      <c r="M195" s="62">
        <f>IF(M179&lt;&gt;0,M170/M179,"")</f>
        <v>0</v>
      </c>
      <c r="N195" s="62">
        <f>IF(N179&lt;&gt;0,N170/N179,"")</f>
        <v>0</v>
      </c>
      <c r="O195" s="62">
        <f>IF(O179&lt;&gt;"",O170/O179,"")</f>
        <v>0.54545454545454541</v>
      </c>
      <c r="P195" s="62">
        <f t="shared" ref="P195:AJ195" si="1149">IF(P179&lt;&gt;"",P170/P179,"")</f>
        <v>2</v>
      </c>
      <c r="Q195" s="62">
        <f t="shared" si="1149"/>
        <v>0.8</v>
      </c>
      <c r="R195" s="62">
        <f t="shared" si="1149"/>
        <v>2.2222222222222223</v>
      </c>
      <c r="S195" s="62">
        <f t="shared" si="1149"/>
        <v>1.9166666666666667</v>
      </c>
      <c r="T195" s="62">
        <f t="shared" si="1149"/>
        <v>8.3333333333333339</v>
      </c>
      <c r="U195" s="62">
        <f t="shared" si="1149"/>
        <v>2.7777777777777777</v>
      </c>
      <c r="V195" s="62">
        <f t="shared" si="1149"/>
        <v>0.30769230769230771</v>
      </c>
      <c r="W195" s="62">
        <f t="shared" si="1149"/>
        <v>0.6</v>
      </c>
      <c r="X195" s="62">
        <f t="shared" si="1149"/>
        <v>1.8421052631578947</v>
      </c>
      <c r="Y195" s="62">
        <f t="shared" si="1149"/>
        <v>2.6875</v>
      </c>
      <c r="Z195" s="62">
        <f t="shared" si="1149"/>
        <v>10.75</v>
      </c>
      <c r="AA195" s="62">
        <f t="shared" si="1149"/>
        <v>22</v>
      </c>
      <c r="AB195" s="62">
        <f t="shared" si="1149"/>
        <v>6.2857142857142856</v>
      </c>
      <c r="AC195" s="62">
        <f t="shared" si="1149"/>
        <v>8.8000000000000007</v>
      </c>
      <c r="AD195" s="62">
        <f t="shared" si="1149"/>
        <v>4.2727272727272725</v>
      </c>
      <c r="AE195" s="62">
        <f t="shared" si="1149"/>
        <v>11.75</v>
      </c>
      <c r="AF195" s="62">
        <f t="shared" si="1149"/>
        <v>5.5555555555555554</v>
      </c>
      <c r="AG195" s="62">
        <f t="shared" si="1149"/>
        <v>5</v>
      </c>
      <c r="AH195" s="62">
        <f t="shared" si="1149"/>
        <v>0</v>
      </c>
      <c r="AI195" s="62">
        <f t="shared" si="1149"/>
        <v>0</v>
      </c>
      <c r="AJ195" s="62" t="str">
        <f t="shared" si="1149"/>
        <v/>
      </c>
      <c r="AK195" s="412"/>
      <c r="AL195" s="14">
        <f t="shared" ref="AL195:BL195" si="1150">IF(AL179&lt;&gt;0,AL170/AL179,"")</f>
        <v>0</v>
      </c>
      <c r="AM195" s="14">
        <f t="shared" si="1150"/>
        <v>0</v>
      </c>
      <c r="AN195" s="14">
        <f t="shared" si="1150"/>
        <v>0</v>
      </c>
      <c r="AO195" s="14">
        <f t="shared" si="1150"/>
        <v>0</v>
      </c>
      <c r="AP195" s="14">
        <f t="shared" si="1150"/>
        <v>0</v>
      </c>
      <c r="AQ195" s="14">
        <f t="shared" si="1150"/>
        <v>0.54545454545454541</v>
      </c>
      <c r="AR195" s="14">
        <f t="shared" si="1150"/>
        <v>0.5</v>
      </c>
      <c r="AS195" s="14">
        <f t="shared" si="1150"/>
        <v>0.26666666666666666</v>
      </c>
      <c r="AT195" s="14">
        <f t="shared" si="1150"/>
        <v>0.88888888888888884</v>
      </c>
      <c r="AU195" s="14">
        <f t="shared" si="1150"/>
        <v>0.25</v>
      </c>
      <c r="AV195" s="14">
        <f t="shared" si="1150"/>
        <v>0.66666666666666663</v>
      </c>
      <c r="AW195" s="14">
        <f t="shared" si="1150"/>
        <v>0</v>
      </c>
      <c r="AX195" s="14">
        <f t="shared" si="1150"/>
        <v>0.30769230769230771</v>
      </c>
      <c r="AY195" s="14">
        <f t="shared" si="1150"/>
        <v>0.2</v>
      </c>
      <c r="AZ195" s="14">
        <f t="shared" si="1150"/>
        <v>1.5263157894736843</v>
      </c>
      <c r="BA195" s="14">
        <f t="shared" si="1150"/>
        <v>0.5</v>
      </c>
      <c r="BB195" s="14">
        <f t="shared" si="1150"/>
        <v>0</v>
      </c>
      <c r="BC195" s="14">
        <f t="shared" si="1150"/>
        <v>0.5</v>
      </c>
      <c r="BD195" s="14">
        <f t="shared" si="1150"/>
        <v>0</v>
      </c>
      <c r="BE195" s="14">
        <f t="shared" si="1150"/>
        <v>0</v>
      </c>
      <c r="BF195" s="14">
        <f t="shared" si="1150"/>
        <v>0.27272727272727271</v>
      </c>
      <c r="BG195" s="14">
        <f t="shared" si="1150"/>
        <v>0</v>
      </c>
      <c r="BH195" s="14">
        <f t="shared" si="1150"/>
        <v>0.33333333333333331</v>
      </c>
      <c r="BI195" s="14">
        <f t="shared" si="1150"/>
        <v>0.45454545454545453</v>
      </c>
      <c r="BJ195" s="14">
        <f t="shared" si="1150"/>
        <v>0</v>
      </c>
      <c r="BK195" s="14">
        <f t="shared" si="1150"/>
        <v>0</v>
      </c>
      <c r="BL195" s="14" t="e">
        <f t="shared" si="1150"/>
        <v>#VALUE!</v>
      </c>
      <c r="BM195" s="412"/>
      <c r="BN195" s="14">
        <f t="shared" ref="BN195:CN195" si="1151">IF(BN179&lt;&gt;0,BN170/BN179,"")</f>
        <v>0</v>
      </c>
      <c r="BO195" s="14">
        <f t="shared" si="1151"/>
        <v>0</v>
      </c>
      <c r="BP195" s="14">
        <f t="shared" si="1151"/>
        <v>0</v>
      </c>
      <c r="BQ195" s="14">
        <f t="shared" si="1151"/>
        <v>1.5</v>
      </c>
      <c r="BR195" s="14">
        <f t="shared" si="1151"/>
        <v>0.35294117647058826</v>
      </c>
      <c r="BS195" s="14">
        <f t="shared" si="1151"/>
        <v>0.21428571428571427</v>
      </c>
      <c r="BT195" s="14">
        <f t="shared" si="1151"/>
        <v>3.5</v>
      </c>
      <c r="BU195" s="14">
        <f t="shared" si="1151"/>
        <v>0.73684210526315785</v>
      </c>
      <c r="BV195" s="14">
        <f t="shared" si="1151"/>
        <v>0.5</v>
      </c>
      <c r="BW195" s="14">
        <f t="shared" si="1151"/>
        <v>0.41666666666666669</v>
      </c>
      <c r="BX195" s="14">
        <f t="shared" si="1151"/>
        <v>0.33333333333333331</v>
      </c>
      <c r="BY195" s="14">
        <f t="shared" si="1151"/>
        <v>0.20833333333333334</v>
      </c>
      <c r="BZ195" s="14">
        <f t="shared" si="1151"/>
        <v>2.6923076923076925</v>
      </c>
      <c r="CA195" s="14">
        <f t="shared" si="1151"/>
        <v>1.5217391304347827</v>
      </c>
      <c r="CB195" s="14">
        <f t="shared" si="1151"/>
        <v>0.83333333333333337</v>
      </c>
      <c r="CC195" s="14">
        <f t="shared" si="1151"/>
        <v>0.5625</v>
      </c>
      <c r="CD195" s="14">
        <f t="shared" si="1151"/>
        <v>0.45</v>
      </c>
      <c r="CE195" s="14">
        <f t="shared" si="1151"/>
        <v>0.40909090909090912</v>
      </c>
      <c r="CF195" s="14">
        <f t="shared" si="1151"/>
        <v>0.42857142857142855</v>
      </c>
      <c r="CG195" s="14">
        <f t="shared" si="1151"/>
        <v>0.25</v>
      </c>
      <c r="CH195" s="14">
        <f t="shared" si="1151"/>
        <v>0.13043478260869565</v>
      </c>
      <c r="CI195" s="14">
        <f t="shared" si="1151"/>
        <v>2</v>
      </c>
      <c r="CJ195" s="14">
        <f t="shared" si="1151"/>
        <v>0.61538461538461542</v>
      </c>
      <c r="CK195" s="14">
        <f t="shared" si="1151"/>
        <v>0.33333333333333331</v>
      </c>
      <c r="CL195" s="14">
        <f t="shared" si="1151"/>
        <v>0</v>
      </c>
      <c r="CM195" s="14">
        <f t="shared" si="1151"/>
        <v>0</v>
      </c>
      <c r="CN195" s="14" t="e">
        <f t="shared" si="1151"/>
        <v>#VALUE!</v>
      </c>
      <c r="CO195" s="412"/>
      <c r="CP195" s="14">
        <f t="shared" ref="CP195:DP195" si="1152">IF(CP179&lt;&gt;0,CP170/CP179,"")</f>
        <v>0</v>
      </c>
      <c r="CQ195" s="14">
        <f t="shared" si="1152"/>
        <v>0</v>
      </c>
      <c r="CR195" s="14">
        <f t="shared" si="1152"/>
        <v>0</v>
      </c>
      <c r="CS195" s="14">
        <f t="shared" si="1152"/>
        <v>0</v>
      </c>
      <c r="CT195" s="14">
        <f t="shared" si="1152"/>
        <v>0</v>
      </c>
      <c r="CU195" s="14">
        <f t="shared" si="1152"/>
        <v>9.5238095238095233E-2</v>
      </c>
      <c r="CV195" s="14">
        <f t="shared" si="1152"/>
        <v>0.11940298507462686</v>
      </c>
      <c r="CW195" s="14">
        <f t="shared" si="1152"/>
        <v>0.14634146341463414</v>
      </c>
      <c r="CX195" s="14">
        <f t="shared" si="1152"/>
        <v>0.21978021978021978</v>
      </c>
      <c r="CY195" s="14">
        <f t="shared" si="1152"/>
        <v>0.22330097087378642</v>
      </c>
      <c r="CZ195" s="14">
        <f t="shared" si="1152"/>
        <v>0.23584905660377359</v>
      </c>
      <c r="DA195" s="14">
        <f t="shared" si="1152"/>
        <v>0.21739130434782608</v>
      </c>
      <c r="DB195" s="14">
        <f t="shared" si="1152"/>
        <v>0.30769230769230771</v>
      </c>
      <c r="DC195" s="14">
        <f t="shared" si="1152"/>
        <v>0.2608695652173913</v>
      </c>
      <c r="DD195" s="14">
        <f t="shared" si="1152"/>
        <v>0.83333333333333337</v>
      </c>
      <c r="DE195" s="14">
        <f t="shared" si="1152"/>
        <v>0.74137931034482762</v>
      </c>
      <c r="DF195" s="14">
        <f t="shared" si="1152"/>
        <v>0.69354838709677424</v>
      </c>
      <c r="DG195" s="14">
        <f t="shared" si="1152"/>
        <v>0.6875</v>
      </c>
      <c r="DH195" s="14">
        <f t="shared" si="1152"/>
        <v>0.61971830985915488</v>
      </c>
      <c r="DI195" s="14">
        <f t="shared" si="1152"/>
        <v>0.57894736842105265</v>
      </c>
      <c r="DJ195" s="14">
        <f t="shared" si="1152"/>
        <v>0.54022988505747127</v>
      </c>
      <c r="DK195" s="14">
        <f t="shared" si="1152"/>
        <v>0.51648351648351654</v>
      </c>
      <c r="DL195" s="14">
        <f t="shared" si="1152"/>
        <v>0.5</v>
      </c>
      <c r="DM195" s="14">
        <f t="shared" si="1152"/>
        <v>0.49549549549549549</v>
      </c>
      <c r="DN195" s="14">
        <f t="shared" si="1152"/>
        <v>0</v>
      </c>
      <c r="DO195" s="14">
        <f t="shared" si="1152"/>
        <v>0</v>
      </c>
      <c r="DP195" s="14" t="e">
        <f t="shared" si="1152"/>
        <v>#VALUE!</v>
      </c>
      <c r="DQ195" s="14"/>
      <c r="DR195" s="14"/>
      <c r="DS195" s="14"/>
      <c r="DT195" s="14"/>
      <c r="DU195" s="14"/>
      <c r="DV195" s="14"/>
      <c r="DW195" s="14"/>
      <c r="DX195" s="14"/>
      <c r="DY195" s="14"/>
      <c r="ED195" s="429"/>
      <c r="EE195" s="23"/>
      <c r="EF195" s="23"/>
      <c r="EG195" s="23"/>
      <c r="EH195" s="14">
        <f>IF(EH166&lt;&gt;0,EH170/EH166,"0%")</f>
        <v>0</v>
      </c>
      <c r="EI195" s="14">
        <f>IF(EI166&lt;&gt;0,EI170/EI166,"0%")</f>
        <v>0</v>
      </c>
      <c r="EJ195" s="14">
        <f>IF(EJ166&lt;&gt;0,EJ170/EJ166,"0%")</f>
        <v>0</v>
      </c>
      <c r="EK195" s="24"/>
      <c r="EL195" s="47">
        <f t="shared" si="1137"/>
        <v>0</v>
      </c>
      <c r="EM195" s="47">
        <f t="shared" si="1137"/>
        <v>0</v>
      </c>
      <c r="EN195" s="47">
        <f t="shared" si="1137"/>
        <v>-0.12273684210526319</v>
      </c>
      <c r="EO195" s="46" t="str">
        <f t="shared" si="1138"/>
        <v>Æ</v>
      </c>
      <c r="EP195" s="46" t="str">
        <f t="shared" si="1138"/>
        <v>Æ</v>
      </c>
      <c r="EQ195" s="2" t="e">
        <f t="shared" si="1139"/>
        <v>#DIV/0!</v>
      </c>
      <c r="ER195" s="2" t="e">
        <f t="shared" si="1139"/>
        <v>#DIV/0!</v>
      </c>
      <c r="ES195" s="2">
        <f t="shared" si="1139"/>
        <v>3</v>
      </c>
    </row>
    <row r="196" spans="1:149">
      <c r="A196" s="6" t="s">
        <v>23</v>
      </c>
      <c r="B196" s="2" t="s">
        <v>27</v>
      </c>
      <c r="C196" s="3" t="s">
        <v>81</v>
      </c>
      <c r="E196" s="3" t="str">
        <f>C172</f>
        <v>AOnlHrs</v>
      </c>
      <c r="F196" s="4" t="s">
        <v>31</v>
      </c>
      <c r="G196" s="28" t="str">
        <f>C171</f>
        <v>ATotHrs</v>
      </c>
      <c r="H196" s="28"/>
      <c r="I196" s="28"/>
      <c r="J196" s="62">
        <f t="shared" ref="J196:AJ196" si="1153">IF(J171&lt;&gt;0,J172/J171,"")</f>
        <v>1.5337423312883436E-2</v>
      </c>
      <c r="K196" s="62">
        <f t="shared" si="1153"/>
        <v>5.8685446009389672E-2</v>
      </c>
      <c r="L196" s="62">
        <f t="shared" si="1153"/>
        <v>4.2643923240938172E-2</v>
      </c>
      <c r="M196" s="62">
        <f t="shared" si="1153"/>
        <v>0.12651555086979441</v>
      </c>
      <c r="N196" s="62">
        <f t="shared" si="1153"/>
        <v>0.12899677900856313</v>
      </c>
      <c r="O196" s="62">
        <f t="shared" si="1153"/>
        <v>0.1201155183591678</v>
      </c>
      <c r="P196" s="62">
        <f t="shared" si="1153"/>
        <v>0.15397932433100855</v>
      </c>
      <c r="Q196" s="62">
        <f t="shared" si="1153"/>
        <v>0.16612558397339455</v>
      </c>
      <c r="R196" s="62">
        <f t="shared" si="1153"/>
        <v>0.15399386854428462</v>
      </c>
      <c r="S196" s="62">
        <f t="shared" si="1153"/>
        <v>0.15244725220804711</v>
      </c>
      <c r="T196" s="62">
        <f t="shared" si="1153"/>
        <v>0.16898201521789258</v>
      </c>
      <c r="U196" s="62">
        <f t="shared" si="1153"/>
        <v>0.17394721153325024</v>
      </c>
      <c r="V196" s="62">
        <f t="shared" si="1153"/>
        <v>0.14444995044598613</v>
      </c>
      <c r="W196" s="62">
        <f t="shared" si="1153"/>
        <v>0.16892840430510062</v>
      </c>
      <c r="X196" s="62">
        <f t="shared" si="1153"/>
        <v>0.13902576944825915</v>
      </c>
      <c r="Y196" s="62">
        <f t="shared" si="1153"/>
        <v>0.18656397090286692</v>
      </c>
      <c r="Z196" s="62">
        <f t="shared" si="1153"/>
        <v>0.16379209198638978</v>
      </c>
      <c r="AA196" s="62">
        <f t="shared" si="1153"/>
        <v>0.16896926129768994</v>
      </c>
      <c r="AB196" s="62">
        <f t="shared" si="1153"/>
        <v>0.18767581162921534</v>
      </c>
      <c r="AC196" s="62">
        <f t="shared" si="1153"/>
        <v>0.17616177932405566</v>
      </c>
      <c r="AD196" s="62">
        <f t="shared" si="1153"/>
        <v>0.16085235273799717</v>
      </c>
      <c r="AE196" s="62">
        <f t="shared" si="1153"/>
        <v>0.15761639676113359</v>
      </c>
      <c r="AF196" s="62">
        <f t="shared" si="1153"/>
        <v>0.14956140350877195</v>
      </c>
      <c r="AG196" s="62">
        <f t="shared" si="1153"/>
        <v>0.12656925685329473</v>
      </c>
      <c r="AH196" s="62">
        <f t="shared" si="1153"/>
        <v>9.0591115774746406E-2</v>
      </c>
      <c r="AI196" s="62">
        <f t="shared" si="1153"/>
        <v>0.13955999460116075</v>
      </c>
      <c r="AJ196" s="62" t="str">
        <f t="shared" si="1153"/>
        <v/>
      </c>
      <c r="AK196" s="412"/>
      <c r="AL196" s="14">
        <f t="shared" ref="AL196:BL196" si="1154">IF(AL171&lt;&gt;0,AL172/AL171,"")</f>
        <v>1.5337423312883436E-2</v>
      </c>
      <c r="AM196" s="14">
        <f t="shared" si="1154"/>
        <v>8.5551330798479083E-2</v>
      </c>
      <c r="AN196" s="14">
        <f t="shared" si="1154"/>
        <v>1.8018018018018021E-2</v>
      </c>
      <c r="AO196" s="14">
        <f t="shared" si="1154"/>
        <v>0.36734693877551022</v>
      </c>
      <c r="AP196" s="14">
        <f t="shared" si="1154"/>
        <v>0.13625154130702835</v>
      </c>
      <c r="AQ196" s="14">
        <f t="shared" si="1154"/>
        <v>9.3440302029259056E-2</v>
      </c>
      <c r="AR196" s="14">
        <f t="shared" si="1154"/>
        <v>0.33076923076923076</v>
      </c>
      <c r="AS196" s="14">
        <f t="shared" si="1154"/>
        <v>0.21483832572902195</v>
      </c>
      <c r="AT196" s="14">
        <f t="shared" si="1154"/>
        <v>8.4745762711864459E-2</v>
      </c>
      <c r="AU196" s="14">
        <f t="shared" si="1154"/>
        <v>0.13675213675213677</v>
      </c>
      <c r="AV196" s="14">
        <f t="shared" si="1154"/>
        <v>0.42720306513409978</v>
      </c>
      <c r="AW196" s="14">
        <f t="shared" si="1154"/>
        <v>0.25203989120580211</v>
      </c>
      <c r="AX196" s="14">
        <f t="shared" si="1154"/>
        <v>0.14444995044598613</v>
      </c>
      <c r="AY196" s="14">
        <f t="shared" si="1154"/>
        <v>0.21052631578947367</v>
      </c>
      <c r="AZ196" s="14">
        <f t="shared" si="1154"/>
        <v>0.10690348525469169</v>
      </c>
      <c r="BA196" s="14">
        <f t="shared" si="1154"/>
        <v>0.27972138673420932</v>
      </c>
      <c r="BB196" s="14">
        <f t="shared" si="1154"/>
        <v>0.10184781027207916</v>
      </c>
      <c r="BC196" s="14">
        <f t="shared" si="1154"/>
        <v>0.28508771929824617</v>
      </c>
      <c r="BD196" s="14">
        <f t="shared" si="1154"/>
        <v>0.33010262257696649</v>
      </c>
      <c r="BE196" s="14">
        <f t="shared" si="1154"/>
        <v>0</v>
      </c>
      <c r="BF196" s="14">
        <f t="shared" si="1154"/>
        <v>7.0339761248852148E-2</v>
      </c>
      <c r="BG196" s="14">
        <f t="shared" si="1154"/>
        <v>9.2936802973977772E-2</v>
      </c>
      <c r="BH196" s="14">
        <f t="shared" si="1154"/>
        <v>6.5789473684210717E-2</v>
      </c>
      <c r="BI196" s="14">
        <f t="shared" si="1154"/>
        <v>1.7987572222827777E-2</v>
      </c>
      <c r="BJ196" s="14">
        <f t="shared" si="1154"/>
        <v>9.0591115774746406E-2</v>
      </c>
      <c r="BK196" s="14">
        <f t="shared" si="1154"/>
        <v>0.17032967032967034</v>
      </c>
      <c r="BL196" s="14" t="str">
        <f t="shared" si="1154"/>
        <v/>
      </c>
      <c r="BM196" s="412"/>
      <c r="BN196" s="14">
        <f t="shared" ref="BN196:CN196" si="1155">IF(BN171&lt;&gt;0,BN172/BN171,"")</f>
        <v>4.2643923240938172E-2</v>
      </c>
      <c r="BO196" s="14">
        <f t="shared" si="1155"/>
        <v>4.2643923240938172E-2</v>
      </c>
      <c r="BP196" s="14">
        <f t="shared" si="1155"/>
        <v>4.2643923240938172E-2</v>
      </c>
      <c r="BQ196" s="14">
        <f t="shared" si="1155"/>
        <v>0.17498993153443415</v>
      </c>
      <c r="BR196" s="14">
        <f t="shared" si="1155"/>
        <v>0.17498993153443415</v>
      </c>
      <c r="BS196" s="14">
        <f t="shared" si="1155"/>
        <v>0.17498993153443415</v>
      </c>
      <c r="BT196" s="14">
        <f t="shared" si="1155"/>
        <v>0.19919786096256686</v>
      </c>
      <c r="BU196" s="14">
        <f t="shared" si="1155"/>
        <v>0.19919786096256686</v>
      </c>
      <c r="BV196" s="14">
        <f t="shared" si="1155"/>
        <v>0.19919786096256686</v>
      </c>
      <c r="BW196" s="14">
        <f t="shared" si="1155"/>
        <v>0.25599113450616423</v>
      </c>
      <c r="BX196" s="14">
        <f t="shared" si="1155"/>
        <v>0.25599113450616423</v>
      </c>
      <c r="BY196" s="14">
        <f t="shared" si="1155"/>
        <v>0.25599113450616423</v>
      </c>
      <c r="BZ196" s="14">
        <f t="shared" si="1155"/>
        <v>0.13902576944825915</v>
      </c>
      <c r="CA196" s="14">
        <f t="shared" si="1155"/>
        <v>0.13902576944825915</v>
      </c>
      <c r="CB196" s="14">
        <f t="shared" si="1155"/>
        <v>0.13902576944825915</v>
      </c>
      <c r="CC196" s="14">
        <f t="shared" si="1155"/>
        <v>0.19483600837404055</v>
      </c>
      <c r="CD196" s="14">
        <f t="shared" si="1155"/>
        <v>0.19483600837404055</v>
      </c>
      <c r="CE196" s="14">
        <f t="shared" si="1155"/>
        <v>0.19483600837404055</v>
      </c>
      <c r="CF196" s="14">
        <f t="shared" si="1155"/>
        <v>0.14101390922401164</v>
      </c>
      <c r="CG196" s="14">
        <f t="shared" si="1155"/>
        <v>0.14101390922401164</v>
      </c>
      <c r="CH196" s="14">
        <f t="shared" si="1155"/>
        <v>0.14101390922401164</v>
      </c>
      <c r="CI196" s="14">
        <f t="shared" si="1155"/>
        <v>3.9714593430263873E-2</v>
      </c>
      <c r="CJ196" s="14">
        <f t="shared" si="1155"/>
        <v>3.9714593430263873E-2</v>
      </c>
      <c r="CK196" s="14">
        <f t="shared" si="1155"/>
        <v>3.9714593430263873E-2</v>
      </c>
      <c r="CL196" s="14">
        <f t="shared" si="1155"/>
        <v>0.13955999460116075</v>
      </c>
      <c r="CM196" s="14">
        <f t="shared" si="1155"/>
        <v>0.13955999460116075</v>
      </c>
      <c r="CN196" s="14">
        <f t="shared" si="1155"/>
        <v>0.13955999460116075</v>
      </c>
      <c r="CO196" s="412"/>
      <c r="CP196" s="14">
        <f t="shared" ref="CP196:DP196" si="1156">IF(CP171&lt;&gt;0,CP172/CP171,"")</f>
        <v>1.5337423312883436E-2</v>
      </c>
      <c r="CQ196" s="14">
        <f t="shared" si="1156"/>
        <v>5.8685446009389672E-2</v>
      </c>
      <c r="CR196" s="14">
        <f t="shared" si="1156"/>
        <v>4.2643923240938172E-2</v>
      </c>
      <c r="CS196" s="14">
        <f t="shared" si="1156"/>
        <v>0.12651555086979441</v>
      </c>
      <c r="CT196" s="14">
        <f t="shared" si="1156"/>
        <v>0.12899677900856313</v>
      </c>
      <c r="CU196" s="14">
        <f t="shared" si="1156"/>
        <v>0.1201155183591678</v>
      </c>
      <c r="CV196" s="14">
        <f t="shared" si="1156"/>
        <v>0.15397932433100855</v>
      </c>
      <c r="CW196" s="14">
        <f t="shared" si="1156"/>
        <v>0.16612558397339455</v>
      </c>
      <c r="CX196" s="14">
        <f t="shared" si="1156"/>
        <v>0.15399386854428462</v>
      </c>
      <c r="CY196" s="14">
        <f t="shared" si="1156"/>
        <v>0.15244725220804711</v>
      </c>
      <c r="CZ196" s="14">
        <f t="shared" si="1156"/>
        <v>0.16898201521789258</v>
      </c>
      <c r="DA196" s="14">
        <f t="shared" si="1156"/>
        <v>0.17394721153325024</v>
      </c>
      <c r="DB196" s="14">
        <f t="shared" si="1156"/>
        <v>0.14444995044598613</v>
      </c>
      <c r="DC196" s="14">
        <f t="shared" si="1156"/>
        <v>0.16892840430510062</v>
      </c>
      <c r="DD196" s="14">
        <f t="shared" si="1156"/>
        <v>0.13902576944825915</v>
      </c>
      <c r="DE196" s="14">
        <f t="shared" si="1156"/>
        <v>0.18656397090286692</v>
      </c>
      <c r="DF196" s="14">
        <f t="shared" si="1156"/>
        <v>0.16379209198638978</v>
      </c>
      <c r="DG196" s="14">
        <f t="shared" si="1156"/>
        <v>0.16896926129768994</v>
      </c>
      <c r="DH196" s="14">
        <f t="shared" si="1156"/>
        <v>0.18767581162921534</v>
      </c>
      <c r="DI196" s="14">
        <f t="shared" si="1156"/>
        <v>0.17616177932405566</v>
      </c>
      <c r="DJ196" s="14">
        <f t="shared" si="1156"/>
        <v>0.16085235273799717</v>
      </c>
      <c r="DK196" s="14">
        <f t="shared" si="1156"/>
        <v>0.15761639676113359</v>
      </c>
      <c r="DL196" s="14">
        <f t="shared" si="1156"/>
        <v>0.14956140350877195</v>
      </c>
      <c r="DM196" s="14">
        <f t="shared" si="1156"/>
        <v>0.12656925685329473</v>
      </c>
      <c r="DN196" s="14">
        <f t="shared" si="1156"/>
        <v>9.0591115774746406E-2</v>
      </c>
      <c r="DO196" s="14">
        <f t="shared" si="1156"/>
        <v>0.13955999460116075</v>
      </c>
      <c r="DP196" s="14">
        <f t="shared" si="1156"/>
        <v>0.13955999460116075</v>
      </c>
      <c r="DQ196" s="14"/>
      <c r="DR196" s="14"/>
      <c r="DS196" s="14"/>
      <c r="DT196" s="14"/>
      <c r="DU196" s="14"/>
      <c r="DV196" s="14"/>
      <c r="DW196" s="14"/>
      <c r="DX196" s="14"/>
      <c r="DY196" s="14"/>
      <c r="ED196" s="429"/>
      <c r="EE196" s="23"/>
      <c r="EF196" s="23"/>
      <c r="EG196" s="23"/>
      <c r="EH196" s="14">
        <f>IF(EH171&lt;&gt;0,EH172/EH171,"")</f>
        <v>0.17032967032967034</v>
      </c>
      <c r="EI196" s="14">
        <f>IF(EI171&lt;&gt;0,EI172/EI171,"")</f>
        <v>0.13955999460116075</v>
      </c>
      <c r="EJ196" s="14">
        <f>IF(EJ171&lt;&gt;0,EJ172/EJ171,"")</f>
        <v>0.13955999460116075</v>
      </c>
      <c r="EK196" s="24"/>
      <c r="EL196" s="47">
        <f t="shared" si="1137"/>
        <v>0.17032967032967034</v>
      </c>
      <c r="EM196" s="47">
        <f t="shared" si="1137"/>
        <v>0.13955999460116075</v>
      </c>
      <c r="EN196" s="47">
        <f t="shared" si="1137"/>
        <v>-1.0942684346524539E-2</v>
      </c>
      <c r="EO196" s="46" t="str">
        <f t="shared" si="1138"/>
        <v>Ç</v>
      </c>
      <c r="EP196" s="46" t="str">
        <f t="shared" si="1138"/>
        <v>Ç</v>
      </c>
      <c r="EQ196" s="2" t="e">
        <f t="shared" si="1139"/>
        <v>#DIV/0!</v>
      </c>
      <c r="ER196" s="2" t="e">
        <f t="shared" si="1139"/>
        <v>#DIV/0!</v>
      </c>
      <c r="ES196" s="2">
        <f t="shared" si="1139"/>
        <v>1</v>
      </c>
    </row>
    <row r="197" spans="1:149">
      <c r="A197" s="6" t="s">
        <v>23</v>
      </c>
      <c r="B197" s="2" t="s">
        <v>28</v>
      </c>
      <c r="C197" s="3" t="s">
        <v>82</v>
      </c>
      <c r="E197" s="3" t="str">
        <f>C177</f>
        <v>AColCash</v>
      </c>
      <c r="F197" s="4" t="s">
        <v>31</v>
      </c>
      <c r="G197" s="28" t="str">
        <f>C178</f>
        <v>AFSFunds</v>
      </c>
      <c r="H197" s="28"/>
      <c r="I197" s="28"/>
      <c r="J197" s="62" t="str">
        <f t="shared" ref="J197:AJ197" si="1157">IF(J178&lt;&gt;0,J177/J178,"")</f>
        <v/>
      </c>
      <c r="K197" s="62" t="str">
        <f t="shared" si="1157"/>
        <v/>
      </c>
      <c r="L197" s="62" t="str">
        <f t="shared" si="1157"/>
        <v/>
      </c>
      <c r="M197" s="62" t="str">
        <f t="shared" si="1157"/>
        <v/>
      </c>
      <c r="N197" s="62" t="str">
        <f t="shared" si="1157"/>
        <v/>
      </c>
      <c r="O197" s="62">
        <f t="shared" si="1157"/>
        <v>0.34184393102840549</v>
      </c>
      <c r="P197" s="62">
        <f t="shared" si="1157"/>
        <v>1.387141643949493</v>
      </c>
      <c r="Q197" s="62">
        <f t="shared" si="1157"/>
        <v>1.387141643949493</v>
      </c>
      <c r="R197" s="62">
        <f t="shared" si="1157"/>
        <v>1.387141643949493</v>
      </c>
      <c r="S197" s="62">
        <f t="shared" si="1157"/>
        <v>1.3871420737301208</v>
      </c>
      <c r="T197" s="62">
        <f t="shared" si="1157"/>
        <v>1.3871420737301208</v>
      </c>
      <c r="U197" s="62">
        <f t="shared" si="1157"/>
        <v>1.3871420737301208</v>
      </c>
      <c r="V197" s="62" t="str">
        <f t="shared" si="1157"/>
        <v/>
      </c>
      <c r="W197" s="62" t="str">
        <f t="shared" si="1157"/>
        <v/>
      </c>
      <c r="X197" s="62" t="str">
        <f t="shared" si="1157"/>
        <v/>
      </c>
      <c r="Y197" s="62" t="str">
        <f t="shared" si="1157"/>
        <v/>
      </c>
      <c r="Z197" s="62" t="str">
        <f t="shared" si="1157"/>
        <v/>
      </c>
      <c r="AA197" s="62" t="str">
        <f t="shared" si="1157"/>
        <v/>
      </c>
      <c r="AB197" s="62">
        <f t="shared" si="1157"/>
        <v>0.46142240740740742</v>
      </c>
      <c r="AC197" s="62" t="str">
        <f t="shared" si="1157"/>
        <v/>
      </c>
      <c r="AD197" s="62" t="str">
        <f t="shared" si="1157"/>
        <v/>
      </c>
      <c r="AE197" s="62" t="str">
        <f t="shared" si="1157"/>
        <v/>
      </c>
      <c r="AF197" s="62" t="str">
        <f t="shared" si="1157"/>
        <v/>
      </c>
      <c r="AG197" s="62" t="str">
        <f t="shared" si="1157"/>
        <v/>
      </c>
      <c r="AH197" s="62">
        <f t="shared" si="1157"/>
        <v>1.2187023105509178</v>
      </c>
      <c r="AI197" s="62" t="str">
        <f t="shared" si="1157"/>
        <v/>
      </c>
      <c r="AJ197" s="62" t="str">
        <f t="shared" si="1157"/>
        <v/>
      </c>
      <c r="AK197" s="412"/>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412"/>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412"/>
      <c r="CP197" s="14" t="str">
        <f t="shared" ref="CP197:DP197" si="1158">IF(CP178&lt;&gt;0,CP177/CP178,"")</f>
        <v/>
      </c>
      <c r="CQ197" s="14" t="str">
        <f t="shared" si="1158"/>
        <v/>
      </c>
      <c r="CR197" s="14" t="str">
        <f t="shared" si="1158"/>
        <v/>
      </c>
      <c r="CS197" s="14" t="str">
        <f t="shared" si="1158"/>
        <v/>
      </c>
      <c r="CT197" s="14" t="str">
        <f t="shared" si="1158"/>
        <v/>
      </c>
      <c r="CU197" s="14">
        <f t="shared" si="1158"/>
        <v>0.34184393102840549</v>
      </c>
      <c r="CV197" s="14">
        <f t="shared" si="1158"/>
        <v>1.387141643949493</v>
      </c>
      <c r="CW197" s="14">
        <f t="shared" si="1158"/>
        <v>1.387141643949493</v>
      </c>
      <c r="CX197" s="14">
        <f t="shared" si="1158"/>
        <v>1.387141643949493</v>
      </c>
      <c r="CY197" s="14">
        <f t="shared" si="1158"/>
        <v>1.3871420737301208</v>
      </c>
      <c r="CZ197" s="14">
        <f t="shared" si="1158"/>
        <v>1.3871420737301208</v>
      </c>
      <c r="DA197" s="14">
        <f t="shared" si="1158"/>
        <v>1.3871420737301208</v>
      </c>
      <c r="DB197" s="14" t="str">
        <f t="shared" si="1158"/>
        <v/>
      </c>
      <c r="DC197" s="14" t="str">
        <f t="shared" si="1158"/>
        <v/>
      </c>
      <c r="DD197" s="14" t="str">
        <f t="shared" si="1158"/>
        <v/>
      </c>
      <c r="DE197" s="14" t="str">
        <f t="shared" si="1158"/>
        <v/>
      </c>
      <c r="DF197" s="14" t="str">
        <f t="shared" si="1158"/>
        <v/>
      </c>
      <c r="DG197" s="14" t="str">
        <f t="shared" si="1158"/>
        <v/>
      </c>
      <c r="DH197" s="14">
        <f t="shared" si="1158"/>
        <v>0.46142240740740742</v>
      </c>
      <c r="DI197" s="14" t="str">
        <f t="shared" si="1158"/>
        <v/>
      </c>
      <c r="DJ197" s="14" t="str">
        <f t="shared" si="1158"/>
        <v/>
      </c>
      <c r="DK197" s="14" t="str">
        <f t="shared" si="1158"/>
        <v/>
      </c>
      <c r="DL197" s="14" t="str">
        <f t="shared" si="1158"/>
        <v/>
      </c>
      <c r="DM197" s="14" t="str">
        <f t="shared" si="1158"/>
        <v/>
      </c>
      <c r="DN197" s="14">
        <f t="shared" si="1158"/>
        <v>1.2187023105509178</v>
      </c>
      <c r="DO197" s="14" t="str">
        <f t="shared" si="1158"/>
        <v/>
      </c>
      <c r="DP197" s="14" t="str">
        <f t="shared" si="1158"/>
        <v/>
      </c>
      <c r="DQ197" s="14"/>
      <c r="DR197" s="14"/>
      <c r="DS197" s="14"/>
      <c r="DT197" s="14"/>
      <c r="DU197" s="14"/>
      <c r="DV197" s="14"/>
      <c r="DW197" s="14"/>
      <c r="DX197" s="14"/>
      <c r="DY197" s="14"/>
      <c r="ED197" s="429"/>
      <c r="EE197" s="23"/>
      <c r="EF197" s="23"/>
      <c r="EG197" s="23"/>
      <c r="EH197" s="24" t="s">
        <v>97</v>
      </c>
      <c r="EI197" s="24" t="s">
        <v>97</v>
      </c>
      <c r="EJ197" s="14" t="str">
        <f>IF(EJ178&lt;&gt;0,EJ177/EJ178,"")</f>
        <v/>
      </c>
      <c r="EK197" s="24"/>
      <c r="EL197" s="24" t="s">
        <v>97</v>
      </c>
      <c r="EM197" s="24" t="s">
        <v>97</v>
      </c>
      <c r="EN197" s="47" t="str">
        <f>IF(EJ197="","",+EJ197-EG190)</f>
        <v/>
      </c>
      <c r="EO197" s="100" t="s">
        <v>97</v>
      </c>
      <c r="EP197" s="100" t="s">
        <v>97</v>
      </c>
      <c r="EQ197" s="24" t="s">
        <v>97</v>
      </c>
      <c r="ER197" s="24" t="s">
        <v>97</v>
      </c>
      <c r="ES197" s="2" t="e">
        <f>IF(EJ197/EG190&gt;=0.9,1,IF(EJ197/EG190&lt;0.75,3,2))</f>
        <v>#VALUE!</v>
      </c>
    </row>
    <row r="198" spans="1:149">
      <c r="ED198" s="429"/>
      <c r="EE198" s="23"/>
      <c r="EF198" s="23"/>
      <c r="EG198" s="23"/>
      <c r="EH198" s="23"/>
      <c r="EI198" s="23"/>
      <c r="EJ198" s="23"/>
      <c r="EK198" s="23"/>
    </row>
    <row r="199" spans="1:149" ht="13.5" thickBot="1">
      <c r="A199" s="6" t="s">
        <v>180</v>
      </c>
      <c r="C199" s="3" t="s">
        <v>181</v>
      </c>
      <c r="E199" s="107">
        <f>I199</f>
        <v>40391</v>
      </c>
      <c r="G199" s="132" t="s">
        <v>161</v>
      </c>
      <c r="I199" s="107">
        <f>$I$1</f>
        <v>40391</v>
      </c>
      <c r="J199" s="669" t="s">
        <v>95</v>
      </c>
      <c r="K199" s="669"/>
      <c r="L199" s="669"/>
      <c r="M199" s="669"/>
      <c r="N199" s="669"/>
      <c r="O199" s="669"/>
      <c r="P199" s="669"/>
      <c r="Q199" s="669"/>
      <c r="R199" s="669"/>
      <c r="S199" s="669"/>
      <c r="T199" s="669"/>
      <c r="U199" s="669"/>
      <c r="V199" s="669"/>
      <c r="W199" s="669"/>
      <c r="X199" s="669"/>
      <c r="Y199" s="669"/>
      <c r="Z199" s="669"/>
      <c r="AA199" s="669"/>
      <c r="AB199" s="669"/>
      <c r="AC199" s="669"/>
      <c r="AD199" s="669"/>
      <c r="AE199" s="669"/>
      <c r="AF199" s="669"/>
      <c r="AG199" s="669"/>
      <c r="AH199" s="669"/>
      <c r="AI199" s="669"/>
      <c r="AJ199" s="669"/>
      <c r="AL199" s="669" t="s">
        <v>115</v>
      </c>
      <c r="AM199" s="669"/>
      <c r="AN199" s="669"/>
      <c r="AO199" s="669"/>
      <c r="AP199" s="669"/>
      <c r="AQ199" s="669"/>
      <c r="AR199" s="669"/>
      <c r="AS199" s="669"/>
      <c r="AT199" s="669"/>
      <c r="AU199" s="669"/>
      <c r="AV199" s="669"/>
      <c r="AW199" s="669"/>
      <c r="AX199" s="669"/>
      <c r="AY199" s="669"/>
      <c r="AZ199" s="669"/>
      <c r="BA199" s="669"/>
      <c r="BB199" s="669"/>
      <c r="BC199" s="669"/>
      <c r="BD199" s="669"/>
      <c r="BE199" s="669"/>
      <c r="BF199" s="669"/>
      <c r="BG199" s="669"/>
      <c r="BH199" s="669"/>
      <c r="BI199" s="669"/>
      <c r="BJ199" s="669"/>
      <c r="BK199" s="669"/>
      <c r="BL199" s="669"/>
      <c r="BN199" s="669" t="s">
        <v>116</v>
      </c>
      <c r="BO199" s="669"/>
      <c r="BP199" s="669"/>
      <c r="BQ199" s="669"/>
      <c r="BR199" s="669"/>
      <c r="BS199" s="669"/>
      <c r="BT199" s="669"/>
      <c r="BU199" s="669"/>
      <c r="BV199" s="669"/>
      <c r="BW199" s="669"/>
      <c r="BX199" s="669"/>
      <c r="BY199" s="669"/>
      <c r="BZ199" s="669"/>
      <c r="CA199" s="669"/>
      <c r="CB199" s="669"/>
      <c r="CC199" s="669"/>
      <c r="CD199" s="669"/>
      <c r="CE199" s="669"/>
      <c r="CF199" s="669"/>
      <c r="CG199" s="669"/>
      <c r="CH199" s="669"/>
      <c r="CI199" s="669"/>
      <c r="CJ199" s="669"/>
      <c r="CK199" s="669"/>
      <c r="CL199" s="669"/>
      <c r="CM199" s="669"/>
      <c r="CN199" s="669"/>
      <c r="CP199" s="669" t="s">
        <v>117</v>
      </c>
      <c r="CQ199" s="669"/>
      <c r="CR199" s="669"/>
      <c r="CS199" s="669"/>
      <c r="CT199" s="669"/>
      <c r="CU199" s="669"/>
      <c r="CV199" s="669"/>
      <c r="CW199" s="669"/>
      <c r="CX199" s="669"/>
      <c r="CY199" s="669"/>
      <c r="CZ199" s="669"/>
      <c r="DA199" s="669"/>
      <c r="DB199" s="669"/>
      <c r="DC199" s="669"/>
      <c r="DD199" s="669"/>
      <c r="DE199" s="669"/>
      <c r="DF199" s="669"/>
      <c r="DG199" s="669"/>
      <c r="DH199" s="669"/>
      <c r="DI199" s="669"/>
      <c r="DJ199" s="669"/>
      <c r="DK199" s="669"/>
      <c r="DL199" s="669"/>
      <c r="DM199" s="669"/>
      <c r="DN199" s="669"/>
      <c r="DO199" s="669"/>
      <c r="DP199" s="669"/>
      <c r="DQ199" s="578"/>
      <c r="DR199" s="578"/>
      <c r="DS199" s="578"/>
      <c r="DT199" s="578"/>
      <c r="DU199" s="578"/>
      <c r="DV199" s="578"/>
      <c r="DW199" s="578"/>
      <c r="DX199" s="578"/>
      <c r="DY199" s="578"/>
      <c r="DZ199" s="670" t="s">
        <v>118</v>
      </c>
      <c r="EA199" s="671"/>
      <c r="EB199" s="672"/>
      <c r="EC199" s="579"/>
      <c r="ED199" s="427"/>
      <c r="EE199" s="669" t="s">
        <v>112</v>
      </c>
      <c r="EF199" s="669"/>
      <c r="EG199" s="669"/>
      <c r="EH199" s="669" t="s">
        <v>111</v>
      </c>
      <c r="EI199" s="669"/>
      <c r="EJ199" s="669"/>
      <c r="EK199" s="45">
        <f>IF(MONTH(I199)&gt;9,MONTH(I199)-9,MONTH(I199)+3)</f>
        <v>11</v>
      </c>
      <c r="EL199" s="673" t="s">
        <v>119</v>
      </c>
      <c r="EM199" s="674"/>
      <c r="EN199" s="674"/>
      <c r="EO199" s="674"/>
      <c r="EP199" s="674"/>
      <c r="EQ199" s="674"/>
      <c r="ER199" s="674"/>
      <c r="ES199" s="674"/>
    </row>
    <row r="200" spans="1:149" ht="26.25" thickBot="1">
      <c r="A200" s="665" t="s">
        <v>19</v>
      </c>
      <c r="B200" s="665"/>
      <c r="C200" s="8" t="s">
        <v>34</v>
      </c>
      <c r="D200" s="9"/>
      <c r="E200" s="10" t="s">
        <v>93</v>
      </c>
      <c r="F200" s="1"/>
      <c r="G200" s="17" t="s">
        <v>90</v>
      </c>
      <c r="H200" s="1"/>
      <c r="I200" s="1" t="s">
        <v>96</v>
      </c>
      <c r="J200" s="13">
        <v>39630</v>
      </c>
      <c r="K200" s="13">
        <v>39661</v>
      </c>
      <c r="L200" s="13">
        <v>39692</v>
      </c>
      <c r="M200" s="13">
        <v>39722</v>
      </c>
      <c r="N200" s="13">
        <v>39753</v>
      </c>
      <c r="O200" s="13">
        <v>39783</v>
      </c>
      <c r="P200" s="13">
        <v>39814</v>
      </c>
      <c r="Q200" s="13">
        <v>39845</v>
      </c>
      <c r="R200" s="13">
        <v>39873</v>
      </c>
      <c r="S200" s="13">
        <v>39904</v>
      </c>
      <c r="T200" s="13">
        <v>39934</v>
      </c>
      <c r="U200" s="13">
        <v>39965</v>
      </c>
      <c r="V200" s="13">
        <v>39995</v>
      </c>
      <c r="W200" s="13">
        <v>40026</v>
      </c>
      <c r="X200" s="13">
        <v>40057</v>
      </c>
      <c r="Y200" s="13">
        <v>40087</v>
      </c>
      <c r="Z200" s="13">
        <v>40118</v>
      </c>
      <c r="AA200" s="13">
        <v>40148</v>
      </c>
      <c r="AB200" s="13">
        <v>40179</v>
      </c>
      <c r="AC200" s="13">
        <v>40210</v>
      </c>
      <c r="AD200" s="13">
        <v>40238</v>
      </c>
      <c r="AE200" s="13">
        <v>40269</v>
      </c>
      <c r="AF200" s="13">
        <v>40299</v>
      </c>
      <c r="AG200" s="13">
        <v>40330</v>
      </c>
      <c r="AH200" s="13">
        <v>40360</v>
      </c>
      <c r="AI200" s="13">
        <v>40391</v>
      </c>
      <c r="AJ200" s="13">
        <v>40422</v>
      </c>
      <c r="AK200" s="406"/>
      <c r="AL200" s="13">
        <v>39630</v>
      </c>
      <c r="AM200" s="13">
        <v>39661</v>
      </c>
      <c r="AN200" s="13">
        <v>39692</v>
      </c>
      <c r="AO200" s="13">
        <v>39722</v>
      </c>
      <c r="AP200" s="13">
        <v>39753</v>
      </c>
      <c r="AQ200" s="13">
        <v>39783</v>
      </c>
      <c r="AR200" s="13">
        <v>39814</v>
      </c>
      <c r="AS200" s="13">
        <v>39845</v>
      </c>
      <c r="AT200" s="13">
        <v>39873</v>
      </c>
      <c r="AU200" s="13">
        <v>39904</v>
      </c>
      <c r="AV200" s="13">
        <v>39934</v>
      </c>
      <c r="AW200" s="13">
        <v>39965</v>
      </c>
      <c r="AX200" s="13">
        <v>39995</v>
      </c>
      <c r="AY200" s="13">
        <v>40026</v>
      </c>
      <c r="AZ200" s="13">
        <v>40057</v>
      </c>
      <c r="BA200" s="13">
        <v>40087</v>
      </c>
      <c r="BB200" s="13">
        <v>40118</v>
      </c>
      <c r="BC200" s="13">
        <v>40148</v>
      </c>
      <c r="BD200" s="13">
        <v>40179</v>
      </c>
      <c r="BE200" s="13">
        <v>40210</v>
      </c>
      <c r="BF200" s="13">
        <v>40238</v>
      </c>
      <c r="BG200" s="13">
        <v>40269</v>
      </c>
      <c r="BH200" s="13">
        <v>40299</v>
      </c>
      <c r="BI200" s="13">
        <v>40330</v>
      </c>
      <c r="BJ200" s="13">
        <v>40360</v>
      </c>
      <c r="BK200" s="13">
        <v>40391</v>
      </c>
      <c r="BL200" s="13">
        <v>40422</v>
      </c>
      <c r="BM200" s="406"/>
      <c r="BN200" s="13">
        <v>39630</v>
      </c>
      <c r="BO200" s="13">
        <v>39661</v>
      </c>
      <c r="BP200" s="13">
        <v>39692</v>
      </c>
      <c r="BQ200" s="13">
        <v>39722</v>
      </c>
      <c r="BR200" s="13">
        <v>39753</v>
      </c>
      <c r="BS200" s="13">
        <v>39783</v>
      </c>
      <c r="BT200" s="13">
        <v>39814</v>
      </c>
      <c r="BU200" s="13">
        <v>39845</v>
      </c>
      <c r="BV200" s="13">
        <v>39873</v>
      </c>
      <c r="BW200" s="13">
        <v>39904</v>
      </c>
      <c r="BX200" s="13">
        <v>39934</v>
      </c>
      <c r="BY200" s="13">
        <v>39965</v>
      </c>
      <c r="BZ200" s="13">
        <v>39995</v>
      </c>
      <c r="CA200" s="13">
        <v>40026</v>
      </c>
      <c r="CB200" s="13">
        <v>40057</v>
      </c>
      <c r="CC200" s="13">
        <v>40087</v>
      </c>
      <c r="CD200" s="13">
        <v>40118</v>
      </c>
      <c r="CE200" s="13">
        <v>40148</v>
      </c>
      <c r="CF200" s="13">
        <v>40179</v>
      </c>
      <c r="CG200" s="13">
        <v>40210</v>
      </c>
      <c r="CH200" s="13">
        <v>40238</v>
      </c>
      <c r="CI200" s="13">
        <v>40269</v>
      </c>
      <c r="CJ200" s="13">
        <v>40299</v>
      </c>
      <c r="CK200" s="13">
        <v>40330</v>
      </c>
      <c r="CL200" s="13">
        <v>40360</v>
      </c>
      <c r="CM200" s="13">
        <v>40391</v>
      </c>
      <c r="CN200" s="13">
        <v>40422</v>
      </c>
      <c r="CO200" s="420"/>
      <c r="CP200" s="13">
        <v>39630</v>
      </c>
      <c r="CQ200" s="13">
        <v>39661</v>
      </c>
      <c r="CR200" s="13">
        <v>39692</v>
      </c>
      <c r="CS200" s="13">
        <v>39722</v>
      </c>
      <c r="CT200" s="13">
        <v>39753</v>
      </c>
      <c r="CU200" s="13">
        <v>39783</v>
      </c>
      <c r="CV200" s="13">
        <v>39814</v>
      </c>
      <c r="CW200" s="13">
        <v>39845</v>
      </c>
      <c r="CX200" s="13">
        <v>39873</v>
      </c>
      <c r="CY200" s="13">
        <v>39904</v>
      </c>
      <c r="CZ200" s="13">
        <v>39934</v>
      </c>
      <c r="DA200" s="13">
        <v>39965</v>
      </c>
      <c r="DB200" s="13">
        <v>39995</v>
      </c>
      <c r="DC200" s="13">
        <v>40026</v>
      </c>
      <c r="DD200" s="13">
        <v>40057</v>
      </c>
      <c r="DE200" s="13">
        <v>40087</v>
      </c>
      <c r="DF200" s="13">
        <v>40118</v>
      </c>
      <c r="DG200" s="13">
        <v>40148</v>
      </c>
      <c r="DH200" s="13">
        <v>40179</v>
      </c>
      <c r="DI200" s="13">
        <v>40210</v>
      </c>
      <c r="DJ200" s="13">
        <v>40238</v>
      </c>
      <c r="DK200" s="13">
        <v>40269</v>
      </c>
      <c r="DL200" s="13">
        <v>40299</v>
      </c>
      <c r="DM200" s="13">
        <v>40330</v>
      </c>
      <c r="DN200" s="13">
        <v>40360</v>
      </c>
      <c r="DO200" s="13">
        <v>40391</v>
      </c>
      <c r="DP200" s="13">
        <v>40422</v>
      </c>
      <c r="DQ200" s="580"/>
      <c r="DR200" s="580"/>
      <c r="DS200" s="580"/>
      <c r="DT200" s="580"/>
      <c r="DU200" s="580"/>
      <c r="DV200" s="580"/>
      <c r="DW200" s="580"/>
      <c r="DX200" s="580"/>
      <c r="DY200" s="580"/>
      <c r="DZ200" s="1">
        <v>2008</v>
      </c>
      <c r="EA200" s="135">
        <v>2009</v>
      </c>
      <c r="EB200" s="135">
        <v>2010</v>
      </c>
      <c r="EC200" s="577"/>
      <c r="ED200" s="428"/>
      <c r="EE200" s="115" t="s">
        <v>89</v>
      </c>
      <c r="EF200" s="115" t="s">
        <v>110</v>
      </c>
      <c r="EG200" s="115" t="s">
        <v>128</v>
      </c>
      <c r="EH200" s="115" t="s">
        <v>89</v>
      </c>
      <c r="EI200" s="115" t="s">
        <v>110</v>
      </c>
      <c r="EJ200" s="115" t="s">
        <v>91</v>
      </c>
      <c r="EK200" s="45">
        <f>IF(MONTH(I199)&gt;6,MONTH(I199)-6,MONTH(I199)+6)</f>
        <v>2</v>
      </c>
      <c r="EL200" s="115" t="s">
        <v>124</v>
      </c>
      <c r="EM200" s="115" t="s">
        <v>125</v>
      </c>
      <c r="EN200" s="115" t="s">
        <v>126</v>
      </c>
      <c r="EO200" s="115" t="s">
        <v>122</v>
      </c>
      <c r="EP200" s="115" t="s">
        <v>123</v>
      </c>
      <c r="EQ200" s="115" t="s">
        <v>120</v>
      </c>
      <c r="ER200" s="115" t="s">
        <v>127</v>
      </c>
      <c r="ES200" s="115" t="s">
        <v>121</v>
      </c>
    </row>
    <row r="201" spans="1:149">
      <c r="A201" s="36" t="s">
        <v>20</v>
      </c>
      <c r="B201" s="36"/>
      <c r="C201" s="37"/>
      <c r="D201" s="37"/>
      <c r="E201" s="37"/>
      <c r="F201" s="37"/>
      <c r="G201" s="37"/>
      <c r="H201" s="37"/>
      <c r="I201" s="37"/>
      <c r="J201" s="38"/>
      <c r="K201" s="38"/>
      <c r="L201" s="10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407"/>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407"/>
      <c r="BN201" s="39"/>
      <c r="BO201" s="39"/>
      <c r="BP201" s="39"/>
      <c r="BQ201" s="39"/>
      <c r="BR201" s="39"/>
      <c r="BS201" s="39"/>
      <c r="BT201" s="39"/>
      <c r="BU201" s="39"/>
      <c r="BV201" s="39"/>
      <c r="BW201" s="39"/>
      <c r="BX201" s="39"/>
      <c r="BY201" s="39"/>
      <c r="BZ201" s="39"/>
      <c r="CA201" s="39"/>
      <c r="CB201" s="39"/>
      <c r="CC201" s="39"/>
      <c r="CD201" s="39"/>
      <c r="CE201" s="39"/>
      <c r="CF201" s="39"/>
      <c r="CG201" s="39"/>
      <c r="CH201" s="39"/>
      <c r="CI201" s="39"/>
      <c r="CJ201" s="39"/>
      <c r="CK201" s="39"/>
      <c r="CL201" s="39"/>
      <c r="CM201" s="39"/>
      <c r="CN201" s="39"/>
      <c r="CO201" s="407"/>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7"/>
      <c r="EA201" s="37"/>
      <c r="EB201" s="37"/>
      <c r="EC201" s="37"/>
      <c r="ED201" s="408"/>
      <c r="EE201" s="40"/>
      <c r="EF201" s="37"/>
      <c r="EG201" s="37"/>
      <c r="EH201" s="37"/>
      <c r="EI201" s="110" t="s">
        <v>155</v>
      </c>
      <c r="EJ201" s="110">
        <f>IF(I199&lt;M200,2008,IF(AND(I199&gt;=M200,I199&lt;=X200),2009,2010))</f>
        <v>2010</v>
      </c>
      <c r="EK201" s="40"/>
      <c r="EL201" s="37"/>
      <c r="EM201" s="37"/>
      <c r="EN201" s="37"/>
      <c r="EO201" s="37"/>
      <c r="EP201" s="37"/>
      <c r="EQ201" s="37"/>
      <c r="ER201" s="37"/>
      <c r="ES201" s="37"/>
    </row>
    <row r="202" spans="1:149">
      <c r="A202" s="134" t="s">
        <v>22</v>
      </c>
      <c r="B202" s="2" t="s">
        <v>0</v>
      </c>
      <c r="C202" s="3" t="s">
        <v>35</v>
      </c>
      <c r="E202" s="3" t="s">
        <v>16</v>
      </c>
      <c r="F202" s="1"/>
      <c r="G202" s="1" t="s">
        <v>91</v>
      </c>
      <c r="H202" s="1"/>
      <c r="I202" s="18">
        <f>10*9</f>
        <v>90</v>
      </c>
      <c r="J202" s="21">
        <f>I202+10</f>
        <v>100</v>
      </c>
      <c r="K202" s="21">
        <f>J202+10</f>
        <v>110</v>
      </c>
      <c r="L202" s="21">
        <f>K202+10</f>
        <v>120</v>
      </c>
      <c r="M202" s="20">
        <f>93/12</f>
        <v>7.75</v>
      </c>
      <c r="N202" s="19">
        <f>M202+7.75</f>
        <v>15.5</v>
      </c>
      <c r="O202" s="19">
        <f t="shared" ref="O202:X202" si="1159">N202+7.75</f>
        <v>23.25</v>
      </c>
      <c r="P202" s="19">
        <f t="shared" si="1159"/>
        <v>31</v>
      </c>
      <c r="Q202" s="19">
        <f t="shared" si="1159"/>
        <v>38.75</v>
      </c>
      <c r="R202" s="19">
        <f t="shared" si="1159"/>
        <v>46.5</v>
      </c>
      <c r="S202" s="19">
        <f t="shared" si="1159"/>
        <v>54.25</v>
      </c>
      <c r="T202" s="19">
        <f t="shared" si="1159"/>
        <v>62</v>
      </c>
      <c r="U202" s="19">
        <f t="shared" si="1159"/>
        <v>69.75</v>
      </c>
      <c r="V202" s="19">
        <f t="shared" si="1159"/>
        <v>77.5</v>
      </c>
      <c r="W202" s="19">
        <f t="shared" si="1159"/>
        <v>85.25</v>
      </c>
      <c r="X202" s="19">
        <f t="shared" si="1159"/>
        <v>93</v>
      </c>
      <c r="Y202" s="219">
        <v>7.5</v>
      </c>
      <c r="Z202" s="246">
        <f>Y202+7.5</f>
        <v>15</v>
      </c>
      <c r="AA202" s="376">
        <f t="shared" ref="AA202:AJ202" si="1160">Z202+7.5</f>
        <v>22.5</v>
      </c>
      <c r="AB202" s="376">
        <f t="shared" si="1160"/>
        <v>30</v>
      </c>
      <c r="AC202" s="376">
        <f t="shared" si="1160"/>
        <v>37.5</v>
      </c>
      <c r="AD202" s="376">
        <f t="shared" si="1160"/>
        <v>45</v>
      </c>
      <c r="AE202" s="376">
        <f t="shared" si="1160"/>
        <v>52.5</v>
      </c>
      <c r="AF202" s="376">
        <f t="shared" si="1160"/>
        <v>60</v>
      </c>
      <c r="AG202" s="376">
        <f t="shared" si="1160"/>
        <v>67.5</v>
      </c>
      <c r="AH202" s="376">
        <f t="shared" si="1160"/>
        <v>75</v>
      </c>
      <c r="AI202" s="376">
        <f t="shared" si="1160"/>
        <v>82.5</v>
      </c>
      <c r="AJ202" s="376">
        <f t="shared" si="1160"/>
        <v>90</v>
      </c>
      <c r="AK202" s="408"/>
      <c r="AL202" s="48">
        <f>J202-I202</f>
        <v>10</v>
      </c>
      <c r="AM202" s="48">
        <f t="shared" ref="AM202:AM208" si="1161">K202-J202</f>
        <v>10</v>
      </c>
      <c r="AN202" s="48">
        <f t="shared" ref="AN202:AN208" si="1162">L202-K202</f>
        <v>10</v>
      </c>
      <c r="AO202" s="48">
        <f>M202</f>
        <v>7.75</v>
      </c>
      <c r="AP202" s="48">
        <f t="shared" ref="AP202:AP208" si="1163">N202-M202</f>
        <v>7.75</v>
      </c>
      <c r="AQ202" s="48">
        <f t="shared" ref="AQ202:AQ208" si="1164">O202-N202</f>
        <v>7.75</v>
      </c>
      <c r="AR202" s="48">
        <f t="shared" ref="AR202:AR208" si="1165">P202-O202</f>
        <v>7.75</v>
      </c>
      <c r="AS202" s="48">
        <f t="shared" ref="AS202:AS208" si="1166">Q202-P202</f>
        <v>7.75</v>
      </c>
      <c r="AT202" s="48">
        <f t="shared" ref="AT202:AT208" si="1167">R202-Q202</f>
        <v>7.75</v>
      </c>
      <c r="AU202" s="48">
        <f t="shared" ref="AU202:AU208" si="1168">S202-R202</f>
        <v>7.75</v>
      </c>
      <c r="AV202" s="48">
        <f t="shared" ref="AV202:AV208" si="1169">T202-S202</f>
        <v>7.75</v>
      </c>
      <c r="AW202" s="48">
        <f t="shared" ref="AW202:AW208" si="1170">U202-T202</f>
        <v>7.75</v>
      </c>
      <c r="AX202" s="48">
        <f>V202-U202</f>
        <v>7.75</v>
      </c>
      <c r="AY202" s="48">
        <f t="shared" ref="AY202:AY208" si="1171">W202-V202</f>
        <v>7.75</v>
      </c>
      <c r="AZ202" s="48">
        <f t="shared" ref="AZ202:AZ208" si="1172">X202-W202</f>
        <v>7.75</v>
      </c>
      <c r="BA202" s="48">
        <f>Y202</f>
        <v>7.5</v>
      </c>
      <c r="BB202" s="48">
        <f t="shared" ref="BB202:BB208" si="1173">Z202-Y202</f>
        <v>7.5</v>
      </c>
      <c r="BC202" s="48">
        <f t="shared" ref="BC202:BC208" si="1174">AA202-Z202</f>
        <v>7.5</v>
      </c>
      <c r="BD202" s="48">
        <f t="shared" ref="BD202:BD208" si="1175">AB202-AA202</f>
        <v>7.5</v>
      </c>
      <c r="BE202" s="48">
        <f t="shared" ref="BE202:BE208" si="1176">AC202-AB202</f>
        <v>7.5</v>
      </c>
      <c r="BF202" s="48">
        <f t="shared" ref="BF202:BF208" si="1177">AD202-AC202</f>
        <v>7.5</v>
      </c>
      <c r="BG202" s="48">
        <f t="shared" ref="BG202:BG208" si="1178">AE202-AD202</f>
        <v>7.5</v>
      </c>
      <c r="BH202" s="48">
        <f t="shared" ref="BH202:BH208" si="1179">AF202-AE202</f>
        <v>7.5</v>
      </c>
      <c r="BI202" s="48">
        <f t="shared" ref="BI202:BI208" si="1180">AG202-AF202</f>
        <v>7.5</v>
      </c>
      <c r="BJ202" s="48">
        <f t="shared" ref="BJ202:BL206" si="1181">AH202-AG202</f>
        <v>7.5</v>
      </c>
      <c r="BK202" s="48">
        <f t="shared" si="1181"/>
        <v>7.5</v>
      </c>
      <c r="BL202" s="48">
        <f t="shared" si="1181"/>
        <v>7.5</v>
      </c>
      <c r="BM202" s="408"/>
      <c r="BN202" s="48">
        <f>BP202</f>
        <v>30</v>
      </c>
      <c r="BO202" s="48">
        <f>BP202</f>
        <v>30</v>
      </c>
      <c r="BP202" s="48">
        <f>SUM(AL202:AN202)</f>
        <v>30</v>
      </c>
      <c r="BQ202" s="48">
        <f>BS202</f>
        <v>23.25</v>
      </c>
      <c r="BR202" s="48">
        <f>BS202</f>
        <v>23.25</v>
      </c>
      <c r="BS202" s="48">
        <f>SUM(AO202:AQ202)</f>
        <v>23.25</v>
      </c>
      <c r="BT202" s="48">
        <f>BV202</f>
        <v>23.25</v>
      </c>
      <c r="BU202" s="48">
        <f>BV202</f>
        <v>23.25</v>
      </c>
      <c r="BV202" s="48">
        <f>SUM(AR202:AT202)</f>
        <v>23.25</v>
      </c>
      <c r="BW202" s="48">
        <f>BY202</f>
        <v>23.25</v>
      </c>
      <c r="BX202" s="48">
        <f>BY202</f>
        <v>23.25</v>
      </c>
      <c r="BY202" s="48">
        <f>SUM(AU202:AW202)</f>
        <v>23.25</v>
      </c>
      <c r="BZ202" s="48">
        <f>CB202</f>
        <v>23.25</v>
      </c>
      <c r="CA202" s="48">
        <f>CB202</f>
        <v>23.25</v>
      </c>
      <c r="CB202" s="48">
        <f>SUM(AX202:AZ202)</f>
        <v>23.25</v>
      </c>
      <c r="CC202" s="48">
        <f>CE202</f>
        <v>22.5</v>
      </c>
      <c r="CD202" s="48">
        <f>CE202</f>
        <v>22.5</v>
      </c>
      <c r="CE202" s="48">
        <f>SUM(BA202:BC202)</f>
        <v>22.5</v>
      </c>
      <c r="CF202" s="48">
        <f>CH202</f>
        <v>22.5</v>
      </c>
      <c r="CG202" s="48">
        <f>CH202</f>
        <v>22.5</v>
      </c>
      <c r="CH202" s="48">
        <f>SUM(BD202:BF202)</f>
        <v>22.5</v>
      </c>
      <c r="CI202" s="48">
        <f>CK202</f>
        <v>22.5</v>
      </c>
      <c r="CJ202" s="48">
        <f>CK202</f>
        <v>22.5</v>
      </c>
      <c r="CK202" s="48">
        <f>SUM(BG202:BI202)</f>
        <v>22.5</v>
      </c>
      <c r="CL202" s="48">
        <f>CN202</f>
        <v>22.5</v>
      </c>
      <c r="CM202" s="48">
        <f>CN202</f>
        <v>22.5</v>
      </c>
      <c r="CN202" s="48">
        <f t="shared" ref="CN202:CN209" si="1182">SUM(BJ202:BL202)</f>
        <v>22.5</v>
      </c>
      <c r="CO202" s="406"/>
      <c r="CP202" s="48">
        <f t="shared" ref="CP202:CR206" si="1183">I202+AL202</f>
        <v>100</v>
      </c>
      <c r="CQ202" s="48">
        <f t="shared" si="1183"/>
        <v>110</v>
      </c>
      <c r="CR202" s="48">
        <f t="shared" si="1183"/>
        <v>120</v>
      </c>
      <c r="CS202" s="48">
        <f>AO202</f>
        <v>7.75</v>
      </c>
      <c r="CT202" s="48">
        <f t="shared" ref="CT202:DD206" si="1184">M202+AP202</f>
        <v>15.5</v>
      </c>
      <c r="CU202" s="48">
        <f t="shared" si="1184"/>
        <v>23.25</v>
      </c>
      <c r="CV202" s="48">
        <f t="shared" si="1184"/>
        <v>31</v>
      </c>
      <c r="CW202" s="48">
        <f t="shared" si="1184"/>
        <v>38.75</v>
      </c>
      <c r="CX202" s="48">
        <f t="shared" si="1184"/>
        <v>46.5</v>
      </c>
      <c r="CY202" s="48">
        <f t="shared" si="1184"/>
        <v>54.25</v>
      </c>
      <c r="CZ202" s="48">
        <f t="shared" si="1184"/>
        <v>62</v>
      </c>
      <c r="DA202" s="48">
        <f t="shared" si="1184"/>
        <v>69.75</v>
      </c>
      <c r="DB202" s="48">
        <f t="shared" si="1184"/>
        <v>77.5</v>
      </c>
      <c r="DC202" s="48">
        <f t="shared" si="1184"/>
        <v>85.25</v>
      </c>
      <c r="DD202" s="48">
        <f t="shared" si="1184"/>
        <v>93</v>
      </c>
      <c r="DE202" s="48">
        <f>+BA202</f>
        <v>7.5</v>
      </c>
      <c r="DF202" s="48">
        <f t="shared" ref="DF202:DP206" si="1185">Y202+BB202</f>
        <v>15</v>
      </c>
      <c r="DG202" s="48">
        <f t="shared" si="1185"/>
        <v>22.5</v>
      </c>
      <c r="DH202" s="48">
        <f t="shared" si="1185"/>
        <v>30</v>
      </c>
      <c r="DI202" s="48">
        <f t="shared" si="1185"/>
        <v>37.5</v>
      </c>
      <c r="DJ202" s="48">
        <f t="shared" si="1185"/>
        <v>45</v>
      </c>
      <c r="DK202" s="48">
        <f t="shared" si="1185"/>
        <v>52.5</v>
      </c>
      <c r="DL202" s="48">
        <f t="shared" si="1185"/>
        <v>60</v>
      </c>
      <c r="DM202" s="48">
        <f t="shared" si="1185"/>
        <v>67.5</v>
      </c>
      <c r="DN202" s="48">
        <f t="shared" si="1185"/>
        <v>75</v>
      </c>
      <c r="DO202" s="48">
        <f t="shared" si="1185"/>
        <v>82.5</v>
      </c>
      <c r="DP202" s="48">
        <f t="shared" si="1185"/>
        <v>90</v>
      </c>
      <c r="DQ202" s="48"/>
      <c r="DR202" s="48"/>
      <c r="DS202" s="48"/>
      <c r="DT202" s="48"/>
      <c r="DU202" s="48"/>
      <c r="DV202" s="48"/>
      <c r="DW202" s="48"/>
      <c r="DX202" s="48"/>
      <c r="DY202" s="48"/>
      <c r="DZ202" s="1">
        <f>'Input &amp; Calc'!L202</f>
        <v>120</v>
      </c>
      <c r="EA202" s="49">
        <f>DD202</f>
        <v>93</v>
      </c>
      <c r="EB202" s="50">
        <f>DP202</f>
        <v>90</v>
      </c>
      <c r="EC202" s="50"/>
      <c r="ED202" s="408"/>
      <c r="EE202" s="51">
        <f t="shared" ref="EE202:EE217" si="1186">HLOOKUP($I$1,Month,ROW()-1)</f>
        <v>7.5</v>
      </c>
      <c r="EF202" s="51">
        <f t="shared" ref="EF202:EF217" si="1187">HLOOKUP($I$1,Qtr,ROW()-1)</f>
        <v>22.5</v>
      </c>
      <c r="EG202" s="51">
        <f>HLOOKUP($EJ$3,Budget,ROW()-1)</f>
        <v>90</v>
      </c>
      <c r="EH202" s="40"/>
      <c r="EI202" s="110" t="s">
        <v>154</v>
      </c>
      <c r="EJ202" s="110">
        <f>IF(AND(I199&gt;=J200,I199&lt;=U200),2009,2010)</f>
        <v>2010</v>
      </c>
      <c r="EK202" s="675" t="s">
        <v>129</v>
      </c>
      <c r="EL202" s="37"/>
      <c r="EM202" s="37"/>
      <c r="EN202" s="37"/>
      <c r="EO202" s="49"/>
      <c r="EP202" s="49"/>
      <c r="EQ202" s="49"/>
      <c r="ER202" s="1"/>
      <c r="ES202" s="1"/>
    </row>
    <row r="203" spans="1:149">
      <c r="A203" s="134" t="s">
        <v>22</v>
      </c>
      <c r="B203" s="2" t="s">
        <v>1</v>
      </c>
      <c r="C203" s="3" t="s">
        <v>36</v>
      </c>
      <c r="E203" s="3" t="s">
        <v>16</v>
      </c>
      <c r="F203" s="1"/>
      <c r="G203" s="1" t="s">
        <v>91</v>
      </c>
      <c r="H203" s="1"/>
      <c r="I203" s="18">
        <f>3*9</f>
        <v>27</v>
      </c>
      <c r="J203" s="21">
        <f>I203+3</f>
        <v>30</v>
      </c>
      <c r="K203" s="21">
        <f>J203+3</f>
        <v>33</v>
      </c>
      <c r="L203" s="21">
        <f>K203+3</f>
        <v>36</v>
      </c>
      <c r="M203" s="20">
        <f>30/12</f>
        <v>2.5</v>
      </c>
      <c r="N203" s="19">
        <f>M203+2.5</f>
        <v>5</v>
      </c>
      <c r="O203" s="19">
        <f t="shared" ref="O203:X203" si="1188">N203+2.5</f>
        <v>7.5</v>
      </c>
      <c r="P203" s="19">
        <f t="shared" si="1188"/>
        <v>10</v>
      </c>
      <c r="Q203" s="19">
        <f t="shared" si="1188"/>
        <v>12.5</v>
      </c>
      <c r="R203" s="19">
        <f t="shared" si="1188"/>
        <v>15</v>
      </c>
      <c r="S203" s="19">
        <f t="shared" si="1188"/>
        <v>17.5</v>
      </c>
      <c r="T203" s="19">
        <f t="shared" si="1188"/>
        <v>20</v>
      </c>
      <c r="U203" s="19">
        <f t="shared" si="1188"/>
        <v>22.5</v>
      </c>
      <c r="V203" s="19">
        <f t="shared" si="1188"/>
        <v>25</v>
      </c>
      <c r="W203" s="19">
        <f t="shared" si="1188"/>
        <v>27.5</v>
      </c>
      <c r="X203" s="19">
        <f t="shared" si="1188"/>
        <v>30</v>
      </c>
      <c r="Y203" s="219">
        <v>3.0832999999999999</v>
      </c>
      <c r="Z203" s="246">
        <f>Y203+3.0833</f>
        <v>6.1665999999999999</v>
      </c>
      <c r="AA203" s="376">
        <f t="shared" ref="AA203:AJ203" si="1189">Z203+3.0833</f>
        <v>9.2499000000000002</v>
      </c>
      <c r="AB203" s="376">
        <f t="shared" si="1189"/>
        <v>12.3332</v>
      </c>
      <c r="AC203" s="376">
        <f t="shared" si="1189"/>
        <v>15.416499999999999</v>
      </c>
      <c r="AD203" s="376">
        <f t="shared" si="1189"/>
        <v>18.4998</v>
      </c>
      <c r="AE203" s="376">
        <f t="shared" si="1189"/>
        <v>21.583100000000002</v>
      </c>
      <c r="AF203" s="376">
        <f t="shared" si="1189"/>
        <v>24.666400000000003</v>
      </c>
      <c r="AG203" s="376">
        <f t="shared" si="1189"/>
        <v>27.749700000000004</v>
      </c>
      <c r="AH203" s="376">
        <f t="shared" si="1189"/>
        <v>30.833000000000006</v>
      </c>
      <c r="AI203" s="376">
        <f t="shared" si="1189"/>
        <v>33.916300000000007</v>
      </c>
      <c r="AJ203" s="263">
        <f t="shared" si="1189"/>
        <v>36.999600000000008</v>
      </c>
      <c r="AK203" s="408"/>
      <c r="AL203" s="48">
        <f>J203-I203</f>
        <v>3</v>
      </c>
      <c r="AM203" s="48">
        <f t="shared" si="1161"/>
        <v>3</v>
      </c>
      <c r="AN203" s="48">
        <f t="shared" si="1162"/>
        <v>3</v>
      </c>
      <c r="AO203" s="48">
        <f>M203</f>
        <v>2.5</v>
      </c>
      <c r="AP203" s="48">
        <f t="shared" si="1163"/>
        <v>2.5</v>
      </c>
      <c r="AQ203" s="48">
        <f t="shared" si="1164"/>
        <v>2.5</v>
      </c>
      <c r="AR203" s="48">
        <f t="shared" si="1165"/>
        <v>2.5</v>
      </c>
      <c r="AS203" s="48">
        <f t="shared" si="1166"/>
        <v>2.5</v>
      </c>
      <c r="AT203" s="48">
        <f t="shared" si="1167"/>
        <v>2.5</v>
      </c>
      <c r="AU203" s="48">
        <f t="shared" si="1168"/>
        <v>2.5</v>
      </c>
      <c r="AV203" s="48">
        <f t="shared" si="1169"/>
        <v>2.5</v>
      </c>
      <c r="AW203" s="48">
        <f t="shared" si="1170"/>
        <v>2.5</v>
      </c>
      <c r="AX203" s="48">
        <f>V203-U203</f>
        <v>2.5</v>
      </c>
      <c r="AY203" s="48">
        <f t="shared" si="1171"/>
        <v>2.5</v>
      </c>
      <c r="AZ203" s="48">
        <f t="shared" si="1172"/>
        <v>2.5</v>
      </c>
      <c r="BA203" s="48">
        <f>Y203</f>
        <v>3.0832999999999999</v>
      </c>
      <c r="BB203" s="48">
        <f t="shared" si="1173"/>
        <v>3.0832999999999999</v>
      </c>
      <c r="BC203" s="48">
        <f t="shared" si="1174"/>
        <v>3.0833000000000004</v>
      </c>
      <c r="BD203" s="48">
        <f t="shared" si="1175"/>
        <v>3.0832999999999995</v>
      </c>
      <c r="BE203" s="48">
        <f t="shared" si="1176"/>
        <v>3.0832999999999995</v>
      </c>
      <c r="BF203" s="48">
        <f t="shared" si="1177"/>
        <v>3.0833000000000013</v>
      </c>
      <c r="BG203" s="48">
        <f t="shared" si="1178"/>
        <v>3.0833000000000013</v>
      </c>
      <c r="BH203" s="48">
        <f t="shared" si="1179"/>
        <v>3.0833000000000013</v>
      </c>
      <c r="BI203" s="48">
        <f t="shared" si="1180"/>
        <v>3.0833000000000013</v>
      </c>
      <c r="BJ203" s="48">
        <f t="shared" si="1181"/>
        <v>3.0833000000000013</v>
      </c>
      <c r="BK203" s="48">
        <f t="shared" si="1181"/>
        <v>3.0833000000000013</v>
      </c>
      <c r="BL203" s="48">
        <f t="shared" si="1181"/>
        <v>3.0833000000000013</v>
      </c>
      <c r="BM203" s="408"/>
      <c r="BN203" s="48">
        <f t="shared" ref="BN203:BN217" si="1190">BP203</f>
        <v>9</v>
      </c>
      <c r="BO203" s="48">
        <f t="shared" ref="BO203:BO217" si="1191">BP203</f>
        <v>9</v>
      </c>
      <c r="BP203" s="48">
        <f t="shared" ref="BP203:BP208" si="1192">SUM(AL203:AN203)</f>
        <v>9</v>
      </c>
      <c r="BQ203" s="48">
        <f t="shared" ref="BQ203:BQ217" si="1193">BS203</f>
        <v>7.5</v>
      </c>
      <c r="BR203" s="48">
        <f t="shared" ref="BR203:BR217" si="1194">BS203</f>
        <v>7.5</v>
      </c>
      <c r="BS203" s="48">
        <f t="shared" ref="BS203:BS208" si="1195">SUM(AO203:AQ203)</f>
        <v>7.5</v>
      </c>
      <c r="BT203" s="48">
        <f t="shared" ref="BT203:BT217" si="1196">BV203</f>
        <v>7.5</v>
      </c>
      <c r="BU203" s="48">
        <f t="shared" ref="BU203:BU217" si="1197">BV203</f>
        <v>7.5</v>
      </c>
      <c r="BV203" s="48">
        <f t="shared" ref="BV203:BV208" si="1198">SUM(AR203:AT203)</f>
        <v>7.5</v>
      </c>
      <c r="BW203" s="48">
        <f t="shared" ref="BW203:BW217" si="1199">BY203</f>
        <v>7.5</v>
      </c>
      <c r="BX203" s="48">
        <f t="shared" ref="BX203:BX217" si="1200">BY203</f>
        <v>7.5</v>
      </c>
      <c r="BY203" s="48">
        <f t="shared" ref="BY203:BY208" si="1201">SUM(AU203:AW203)</f>
        <v>7.5</v>
      </c>
      <c r="BZ203" s="48">
        <f t="shared" ref="BZ203:BZ217" si="1202">CB203</f>
        <v>7.5</v>
      </c>
      <c r="CA203" s="48">
        <f t="shared" ref="CA203:CA217" si="1203">CB203</f>
        <v>7.5</v>
      </c>
      <c r="CB203" s="48">
        <f>SUM(AX203:AZ203)</f>
        <v>7.5</v>
      </c>
      <c r="CC203" s="48">
        <f>CE203</f>
        <v>9.2499000000000002</v>
      </c>
      <c r="CD203" s="48">
        <f t="shared" ref="CD203:CD217" si="1204">CE203</f>
        <v>9.2499000000000002</v>
      </c>
      <c r="CE203" s="48">
        <f t="shared" ref="CE203:CE208" si="1205">SUM(BA203:BC203)</f>
        <v>9.2499000000000002</v>
      </c>
      <c r="CF203" s="48">
        <f t="shared" ref="CF203:CF213" si="1206">CH203</f>
        <v>9.2499000000000002</v>
      </c>
      <c r="CG203" s="48">
        <f t="shared" ref="CG203:CG213" si="1207">CH203</f>
        <v>9.2499000000000002</v>
      </c>
      <c r="CH203" s="48">
        <f t="shared" ref="CH203:CH208" si="1208">SUM(BD203:BF203)</f>
        <v>9.2499000000000002</v>
      </c>
      <c r="CI203" s="48">
        <f t="shared" ref="CI203:CI213" si="1209">CK203</f>
        <v>9.2499000000000038</v>
      </c>
      <c r="CJ203" s="48">
        <f t="shared" ref="CJ203:CJ213" si="1210">CK203</f>
        <v>9.2499000000000038</v>
      </c>
      <c r="CK203" s="48">
        <f t="shared" ref="CK203:CK208" si="1211">SUM(BG203:BI203)</f>
        <v>9.2499000000000038</v>
      </c>
      <c r="CL203" s="48">
        <f t="shared" ref="CL203:CL213" si="1212">CN203</f>
        <v>9.2499000000000038</v>
      </c>
      <c r="CM203" s="48">
        <f t="shared" ref="CM203:CM213" si="1213">CN203</f>
        <v>9.2499000000000038</v>
      </c>
      <c r="CN203" s="48">
        <f t="shared" si="1182"/>
        <v>9.2499000000000038</v>
      </c>
      <c r="CO203" s="406"/>
      <c r="CP203" s="48">
        <f t="shared" si="1183"/>
        <v>30</v>
      </c>
      <c r="CQ203" s="48">
        <f t="shared" si="1183"/>
        <v>33</v>
      </c>
      <c r="CR203" s="48">
        <f t="shared" si="1183"/>
        <v>36</v>
      </c>
      <c r="CS203" s="48">
        <f>AO203</f>
        <v>2.5</v>
      </c>
      <c r="CT203" s="48">
        <f t="shared" si="1184"/>
        <v>5</v>
      </c>
      <c r="CU203" s="48">
        <f t="shared" si="1184"/>
        <v>7.5</v>
      </c>
      <c r="CV203" s="48">
        <f t="shared" si="1184"/>
        <v>10</v>
      </c>
      <c r="CW203" s="48">
        <f t="shared" si="1184"/>
        <v>12.5</v>
      </c>
      <c r="CX203" s="48">
        <f t="shared" si="1184"/>
        <v>15</v>
      </c>
      <c r="CY203" s="48">
        <f t="shared" si="1184"/>
        <v>17.5</v>
      </c>
      <c r="CZ203" s="48">
        <f t="shared" si="1184"/>
        <v>20</v>
      </c>
      <c r="DA203" s="48">
        <f t="shared" si="1184"/>
        <v>22.5</v>
      </c>
      <c r="DB203" s="48">
        <f t="shared" si="1184"/>
        <v>25</v>
      </c>
      <c r="DC203" s="48">
        <f t="shared" si="1184"/>
        <v>27.5</v>
      </c>
      <c r="DD203" s="48">
        <f t="shared" si="1184"/>
        <v>30</v>
      </c>
      <c r="DE203" s="48">
        <f>+BA203</f>
        <v>3.0832999999999999</v>
      </c>
      <c r="DF203" s="48">
        <f t="shared" si="1185"/>
        <v>6.1665999999999999</v>
      </c>
      <c r="DG203" s="48">
        <f t="shared" si="1185"/>
        <v>9.2499000000000002</v>
      </c>
      <c r="DH203" s="48">
        <f t="shared" si="1185"/>
        <v>12.3332</v>
      </c>
      <c r="DI203" s="48">
        <f t="shared" si="1185"/>
        <v>15.416499999999999</v>
      </c>
      <c r="DJ203" s="48">
        <f t="shared" si="1185"/>
        <v>18.4998</v>
      </c>
      <c r="DK203" s="48">
        <f t="shared" si="1185"/>
        <v>21.583100000000002</v>
      </c>
      <c r="DL203" s="48">
        <f t="shared" si="1185"/>
        <v>24.666400000000003</v>
      </c>
      <c r="DM203" s="48">
        <f t="shared" si="1185"/>
        <v>27.749700000000004</v>
      </c>
      <c r="DN203" s="48">
        <f t="shared" si="1185"/>
        <v>30.833000000000006</v>
      </c>
      <c r="DO203" s="48">
        <f t="shared" si="1185"/>
        <v>33.916300000000007</v>
      </c>
      <c r="DP203" s="48">
        <f t="shared" si="1185"/>
        <v>36.999600000000008</v>
      </c>
      <c r="DQ203" s="48"/>
      <c r="DR203" s="48"/>
      <c r="DS203" s="48"/>
      <c r="DT203" s="48"/>
      <c r="DU203" s="48"/>
      <c r="DV203" s="48"/>
      <c r="DW203" s="48"/>
      <c r="DX203" s="48"/>
      <c r="DY203" s="48"/>
      <c r="DZ203" s="1">
        <f>'Input &amp; Calc'!L203</f>
        <v>36</v>
      </c>
      <c r="EA203" s="49">
        <f>DD203</f>
        <v>30</v>
      </c>
      <c r="EB203" s="50">
        <f>DP203</f>
        <v>36.999600000000008</v>
      </c>
      <c r="EC203" s="50"/>
      <c r="ED203" s="408"/>
      <c r="EE203" s="51">
        <f t="shared" si="1186"/>
        <v>3.0833000000000013</v>
      </c>
      <c r="EF203" s="400">
        <f t="shared" si="1187"/>
        <v>9.2499000000000038</v>
      </c>
      <c r="EG203" s="51">
        <f>HLOOKUP($EJ$3,Budget,ROW()-1)</f>
        <v>36.999600000000008</v>
      </c>
      <c r="EH203" s="40"/>
      <c r="EI203" s="111" t="s">
        <v>157</v>
      </c>
      <c r="EJ203" s="113">
        <f>HLOOKUP($I$1,YTD,47)</f>
        <v>70</v>
      </c>
      <c r="EK203" s="675"/>
      <c r="EL203" s="37"/>
      <c r="EM203" s="37"/>
      <c r="EN203" s="37"/>
      <c r="EO203" s="49"/>
      <c r="EP203" s="49"/>
      <c r="EQ203" s="49"/>
      <c r="ER203" s="1"/>
      <c r="ES203" s="1"/>
    </row>
    <row r="204" spans="1:149">
      <c r="A204" s="134" t="s">
        <v>22</v>
      </c>
      <c r="B204" s="2" t="s">
        <v>2</v>
      </c>
      <c r="C204" s="3" t="s">
        <v>37</v>
      </c>
      <c r="E204" s="3" t="s">
        <v>16</v>
      </c>
      <c r="F204" s="1"/>
      <c r="G204" s="1" t="s">
        <v>91</v>
      </c>
      <c r="H204" s="1"/>
      <c r="I204" s="18">
        <f>6*9</f>
        <v>54</v>
      </c>
      <c r="J204" s="21">
        <f>I204+6</f>
        <v>60</v>
      </c>
      <c r="K204" s="21">
        <f>J204+6</f>
        <v>66</v>
      </c>
      <c r="L204" s="21">
        <f>K204+6</f>
        <v>72</v>
      </c>
      <c r="M204" s="20">
        <f>20/12</f>
        <v>1.6666666666666667</v>
      </c>
      <c r="N204" s="19">
        <f>M204+1.6667</f>
        <v>3.3333666666666666</v>
      </c>
      <c r="O204" s="19">
        <f t="shared" ref="O204:X204" si="1214">N204+1.6667</f>
        <v>5.0000666666666671</v>
      </c>
      <c r="P204" s="19">
        <f t="shared" si="1214"/>
        <v>6.6667666666666676</v>
      </c>
      <c r="Q204" s="19">
        <f t="shared" si="1214"/>
        <v>8.3334666666666681</v>
      </c>
      <c r="R204" s="19">
        <f t="shared" si="1214"/>
        <v>10.000166666666669</v>
      </c>
      <c r="S204" s="19">
        <f t="shared" si="1214"/>
        <v>11.666866666666669</v>
      </c>
      <c r="T204" s="19">
        <f t="shared" si="1214"/>
        <v>13.33356666666667</v>
      </c>
      <c r="U204" s="19">
        <f t="shared" si="1214"/>
        <v>15.00026666666667</v>
      </c>
      <c r="V204" s="19">
        <f t="shared" si="1214"/>
        <v>16.666966666666671</v>
      </c>
      <c r="W204" s="19">
        <f t="shared" si="1214"/>
        <v>18.333666666666669</v>
      </c>
      <c r="X204" s="19">
        <f t="shared" si="1214"/>
        <v>20.000366666666668</v>
      </c>
      <c r="Y204" s="219">
        <f>ROUND(Z204/2,0)</f>
        <v>1</v>
      </c>
      <c r="Z204" s="246">
        <f t="shared" ref="Z204:AH204" si="1215">AA204-(AB204-AA204)</f>
        <v>2</v>
      </c>
      <c r="AA204" s="246">
        <f t="shared" si="1215"/>
        <v>6</v>
      </c>
      <c r="AB204" s="246">
        <f t="shared" si="1215"/>
        <v>10</v>
      </c>
      <c r="AC204" s="246">
        <f t="shared" si="1215"/>
        <v>14</v>
      </c>
      <c r="AD204" s="246">
        <f t="shared" si="1215"/>
        <v>18</v>
      </c>
      <c r="AE204" s="246">
        <f t="shared" si="1215"/>
        <v>22</v>
      </c>
      <c r="AF204" s="246">
        <f t="shared" si="1215"/>
        <v>26</v>
      </c>
      <c r="AG204" s="246">
        <f t="shared" si="1215"/>
        <v>30</v>
      </c>
      <c r="AH204" s="246">
        <f t="shared" si="1215"/>
        <v>34</v>
      </c>
      <c r="AI204" s="246">
        <f>-ROUND(AJ204/12,0)+AJ204</f>
        <v>38</v>
      </c>
      <c r="AJ204" s="246">
        <v>42</v>
      </c>
      <c r="AK204" s="408"/>
      <c r="AL204" s="48">
        <f>J204-I204</f>
        <v>6</v>
      </c>
      <c r="AM204" s="48">
        <f t="shared" si="1161"/>
        <v>6</v>
      </c>
      <c r="AN204" s="48">
        <f t="shared" si="1162"/>
        <v>6</v>
      </c>
      <c r="AO204" s="48">
        <f>M204</f>
        <v>1.6666666666666667</v>
      </c>
      <c r="AP204" s="48">
        <f t="shared" si="1163"/>
        <v>1.6666999999999998</v>
      </c>
      <c r="AQ204" s="48">
        <f t="shared" si="1164"/>
        <v>1.6667000000000005</v>
      </c>
      <c r="AR204" s="48">
        <f t="shared" si="1165"/>
        <v>1.6667000000000005</v>
      </c>
      <c r="AS204" s="48">
        <f t="shared" si="1166"/>
        <v>1.6667000000000005</v>
      </c>
      <c r="AT204" s="48">
        <f t="shared" si="1167"/>
        <v>1.6667000000000005</v>
      </c>
      <c r="AU204" s="48">
        <f t="shared" si="1168"/>
        <v>1.6667000000000005</v>
      </c>
      <c r="AV204" s="48">
        <f t="shared" si="1169"/>
        <v>1.6667000000000005</v>
      </c>
      <c r="AW204" s="48">
        <f t="shared" si="1170"/>
        <v>1.6667000000000005</v>
      </c>
      <c r="AX204" s="48">
        <f>V204-U204</f>
        <v>1.6667000000000005</v>
      </c>
      <c r="AY204" s="48">
        <f t="shared" si="1171"/>
        <v>1.6666999999999987</v>
      </c>
      <c r="AZ204" s="48">
        <f t="shared" si="1172"/>
        <v>1.6666999999999987</v>
      </c>
      <c r="BA204" s="48">
        <f>Y204</f>
        <v>1</v>
      </c>
      <c r="BB204" s="48">
        <f t="shared" si="1173"/>
        <v>1</v>
      </c>
      <c r="BC204" s="48">
        <f t="shared" si="1174"/>
        <v>4</v>
      </c>
      <c r="BD204" s="48">
        <f t="shared" si="1175"/>
        <v>4</v>
      </c>
      <c r="BE204" s="48">
        <f t="shared" si="1176"/>
        <v>4</v>
      </c>
      <c r="BF204" s="48">
        <f t="shared" si="1177"/>
        <v>4</v>
      </c>
      <c r="BG204" s="48">
        <f t="shared" si="1178"/>
        <v>4</v>
      </c>
      <c r="BH204" s="48">
        <f t="shared" si="1179"/>
        <v>4</v>
      </c>
      <c r="BI204" s="48">
        <f t="shared" si="1180"/>
        <v>4</v>
      </c>
      <c r="BJ204" s="48">
        <f t="shared" si="1181"/>
        <v>4</v>
      </c>
      <c r="BK204" s="48">
        <f t="shared" si="1181"/>
        <v>4</v>
      </c>
      <c r="BL204" s="48">
        <f t="shared" si="1181"/>
        <v>4</v>
      </c>
      <c r="BM204" s="408"/>
      <c r="BN204" s="48">
        <f t="shared" si="1190"/>
        <v>18</v>
      </c>
      <c r="BO204" s="48">
        <f t="shared" si="1191"/>
        <v>18</v>
      </c>
      <c r="BP204" s="48">
        <f t="shared" si="1192"/>
        <v>18</v>
      </c>
      <c r="BQ204" s="48">
        <f t="shared" si="1193"/>
        <v>5.0000666666666671</v>
      </c>
      <c r="BR204" s="48">
        <f t="shared" si="1194"/>
        <v>5.0000666666666671</v>
      </c>
      <c r="BS204" s="48">
        <f t="shared" si="1195"/>
        <v>5.0000666666666671</v>
      </c>
      <c r="BT204" s="48">
        <f t="shared" si="1196"/>
        <v>5.0001000000000015</v>
      </c>
      <c r="BU204" s="48">
        <f t="shared" si="1197"/>
        <v>5.0001000000000015</v>
      </c>
      <c r="BV204" s="48">
        <f t="shared" si="1198"/>
        <v>5.0001000000000015</v>
      </c>
      <c r="BW204" s="48">
        <f t="shared" si="1199"/>
        <v>5.0001000000000015</v>
      </c>
      <c r="BX204" s="48">
        <f t="shared" si="1200"/>
        <v>5.0001000000000015</v>
      </c>
      <c r="BY204" s="48">
        <f t="shared" si="1201"/>
        <v>5.0001000000000015</v>
      </c>
      <c r="BZ204" s="48">
        <f t="shared" si="1202"/>
        <v>5.000099999999998</v>
      </c>
      <c r="CA204" s="48">
        <f t="shared" si="1203"/>
        <v>5.000099999999998</v>
      </c>
      <c r="CB204" s="48">
        <f>SUM(AX204:AZ204)</f>
        <v>5.000099999999998</v>
      </c>
      <c r="CC204" s="48">
        <f>CE204</f>
        <v>6</v>
      </c>
      <c r="CD204" s="48">
        <f t="shared" si="1204"/>
        <v>6</v>
      </c>
      <c r="CE204" s="48">
        <f t="shared" si="1205"/>
        <v>6</v>
      </c>
      <c r="CF204" s="48">
        <f t="shared" si="1206"/>
        <v>12</v>
      </c>
      <c r="CG204" s="48">
        <f t="shared" si="1207"/>
        <v>12</v>
      </c>
      <c r="CH204" s="48">
        <f t="shared" si="1208"/>
        <v>12</v>
      </c>
      <c r="CI204" s="48">
        <f t="shared" si="1209"/>
        <v>12</v>
      </c>
      <c r="CJ204" s="48">
        <f t="shared" si="1210"/>
        <v>12</v>
      </c>
      <c r="CK204" s="48">
        <f t="shared" si="1211"/>
        <v>12</v>
      </c>
      <c r="CL204" s="48">
        <f t="shared" si="1212"/>
        <v>12</v>
      </c>
      <c r="CM204" s="48">
        <f t="shared" si="1213"/>
        <v>12</v>
      </c>
      <c r="CN204" s="48">
        <f t="shared" si="1182"/>
        <v>12</v>
      </c>
      <c r="CO204" s="406"/>
      <c r="CP204" s="48">
        <f t="shared" si="1183"/>
        <v>60</v>
      </c>
      <c r="CQ204" s="48">
        <f t="shared" si="1183"/>
        <v>66</v>
      </c>
      <c r="CR204" s="48">
        <f t="shared" si="1183"/>
        <v>72</v>
      </c>
      <c r="CS204" s="48">
        <f>AO204</f>
        <v>1.6666666666666667</v>
      </c>
      <c r="CT204" s="48">
        <f t="shared" si="1184"/>
        <v>3.3333666666666666</v>
      </c>
      <c r="CU204" s="48">
        <f t="shared" si="1184"/>
        <v>5.0000666666666671</v>
      </c>
      <c r="CV204" s="48">
        <f t="shared" si="1184"/>
        <v>6.6667666666666676</v>
      </c>
      <c r="CW204" s="48">
        <f t="shared" si="1184"/>
        <v>8.3334666666666681</v>
      </c>
      <c r="CX204" s="48">
        <f t="shared" si="1184"/>
        <v>10.000166666666669</v>
      </c>
      <c r="CY204" s="48">
        <f t="shared" si="1184"/>
        <v>11.666866666666669</v>
      </c>
      <c r="CZ204" s="48">
        <f t="shared" si="1184"/>
        <v>13.33356666666667</v>
      </c>
      <c r="DA204" s="48">
        <f t="shared" si="1184"/>
        <v>15.00026666666667</v>
      </c>
      <c r="DB204" s="48">
        <f t="shared" si="1184"/>
        <v>16.666966666666671</v>
      </c>
      <c r="DC204" s="48">
        <f t="shared" si="1184"/>
        <v>18.333666666666669</v>
      </c>
      <c r="DD204" s="48">
        <f t="shared" si="1184"/>
        <v>20.000366666666668</v>
      </c>
      <c r="DE204" s="48">
        <f>+BA204</f>
        <v>1</v>
      </c>
      <c r="DF204" s="48">
        <f t="shared" si="1185"/>
        <v>2</v>
      </c>
      <c r="DG204" s="48">
        <f t="shared" si="1185"/>
        <v>6</v>
      </c>
      <c r="DH204" s="48">
        <f t="shared" si="1185"/>
        <v>10</v>
      </c>
      <c r="DI204" s="48">
        <f t="shared" si="1185"/>
        <v>14</v>
      </c>
      <c r="DJ204" s="48">
        <f t="shared" si="1185"/>
        <v>18</v>
      </c>
      <c r="DK204" s="48">
        <f t="shared" si="1185"/>
        <v>22</v>
      </c>
      <c r="DL204" s="48">
        <f t="shared" si="1185"/>
        <v>26</v>
      </c>
      <c r="DM204" s="48">
        <f t="shared" si="1185"/>
        <v>30</v>
      </c>
      <c r="DN204" s="48">
        <f t="shared" si="1185"/>
        <v>34</v>
      </c>
      <c r="DO204" s="48">
        <f t="shared" si="1185"/>
        <v>38</v>
      </c>
      <c r="DP204" s="48">
        <f t="shared" si="1185"/>
        <v>42</v>
      </c>
      <c r="DQ204" s="48"/>
      <c r="DR204" s="48"/>
      <c r="DS204" s="48"/>
      <c r="DT204" s="48"/>
      <c r="DU204" s="48"/>
      <c r="DV204" s="48"/>
      <c r="DW204" s="48"/>
      <c r="DX204" s="48"/>
      <c r="DY204" s="48"/>
      <c r="DZ204" s="1">
        <f>'Input &amp; Calc'!L204</f>
        <v>72</v>
      </c>
      <c r="EA204" s="49">
        <f>DD204</f>
        <v>20.000366666666668</v>
      </c>
      <c r="EB204" s="50">
        <f>DP204</f>
        <v>42</v>
      </c>
      <c r="EC204" s="50"/>
      <c r="ED204" s="408"/>
      <c r="EE204" s="51">
        <f t="shared" si="1186"/>
        <v>4</v>
      </c>
      <c r="EF204" s="51">
        <f t="shared" si="1187"/>
        <v>12</v>
      </c>
      <c r="EG204" s="51">
        <f>HLOOKUP($EJ$3,Budget,ROW()-1)</f>
        <v>42</v>
      </c>
      <c r="EH204" s="40"/>
      <c r="EI204" s="112" t="s">
        <v>156</v>
      </c>
      <c r="EJ204" s="113">
        <f>HLOOKUP($I$1,YTD,48)</f>
        <v>0</v>
      </c>
      <c r="EK204" s="675"/>
      <c r="EL204" s="37"/>
      <c r="EM204" s="37"/>
      <c r="EN204" s="37"/>
      <c r="EO204" s="49"/>
      <c r="EP204" s="49"/>
      <c r="EQ204" s="49"/>
      <c r="ER204" s="1"/>
      <c r="ES204" s="1"/>
    </row>
    <row r="205" spans="1:149">
      <c r="A205" s="134" t="s">
        <v>22</v>
      </c>
      <c r="B205" s="2" t="s">
        <v>3</v>
      </c>
      <c r="C205" s="3" t="s">
        <v>38</v>
      </c>
      <c r="E205" s="3" t="s">
        <v>16</v>
      </c>
      <c r="F205" s="1"/>
      <c r="G205" s="1" t="s">
        <v>91</v>
      </c>
      <c r="H205" s="1"/>
      <c r="I205" s="18">
        <f>0.83*9</f>
        <v>7.47</v>
      </c>
      <c r="J205" s="159">
        <f>I205+0.83</f>
        <v>8.2999999999999989</v>
      </c>
      <c r="K205" s="159">
        <f>J205+0.83</f>
        <v>9.129999999999999</v>
      </c>
      <c r="L205" s="159">
        <f>K205+0.83</f>
        <v>9.9599999999999991</v>
      </c>
      <c r="M205" s="20">
        <f>7/12</f>
        <v>0.58333333333333337</v>
      </c>
      <c r="N205" s="19">
        <f>M205+0.5833</f>
        <v>1.1666333333333334</v>
      </c>
      <c r="O205" s="19">
        <f t="shared" ref="O205:X205" si="1216">N205+0.5833</f>
        <v>1.7499333333333333</v>
      </c>
      <c r="P205" s="19">
        <f t="shared" si="1216"/>
        <v>2.3332333333333333</v>
      </c>
      <c r="Q205" s="19">
        <f t="shared" si="1216"/>
        <v>2.9165333333333332</v>
      </c>
      <c r="R205" s="19">
        <f t="shared" si="1216"/>
        <v>3.4998333333333331</v>
      </c>
      <c r="S205" s="19">
        <f t="shared" si="1216"/>
        <v>4.0831333333333335</v>
      </c>
      <c r="T205" s="19">
        <f t="shared" si="1216"/>
        <v>4.6664333333333339</v>
      </c>
      <c r="U205" s="19">
        <f t="shared" si="1216"/>
        <v>5.2497333333333343</v>
      </c>
      <c r="V205" s="19">
        <f t="shared" si="1216"/>
        <v>5.8330333333333346</v>
      </c>
      <c r="W205" s="19">
        <f t="shared" si="1216"/>
        <v>6.416333333333335</v>
      </c>
      <c r="X205" s="19">
        <f t="shared" si="1216"/>
        <v>6.9996333333333354</v>
      </c>
      <c r="Y205" s="219">
        <v>0.66</v>
      </c>
      <c r="Z205" s="246">
        <f>Y205+0.66</f>
        <v>1.32</v>
      </c>
      <c r="AA205" s="376">
        <f t="shared" ref="AA205:AI205" si="1217">Z205+0.66</f>
        <v>1.98</v>
      </c>
      <c r="AB205" s="376">
        <f t="shared" si="1217"/>
        <v>2.64</v>
      </c>
      <c r="AC205" s="376">
        <f t="shared" si="1217"/>
        <v>3.3000000000000003</v>
      </c>
      <c r="AD205" s="376">
        <f t="shared" si="1217"/>
        <v>3.9600000000000004</v>
      </c>
      <c r="AE205" s="376">
        <f t="shared" si="1217"/>
        <v>4.62</v>
      </c>
      <c r="AF205" s="376">
        <f t="shared" si="1217"/>
        <v>5.28</v>
      </c>
      <c r="AG205" s="376">
        <f t="shared" si="1217"/>
        <v>5.94</v>
      </c>
      <c r="AH205" s="376">
        <f t="shared" si="1217"/>
        <v>6.6000000000000005</v>
      </c>
      <c r="AI205" s="376">
        <f t="shared" si="1217"/>
        <v>7.2600000000000007</v>
      </c>
      <c r="AJ205" s="263">
        <f>AI205+0.66</f>
        <v>7.9200000000000008</v>
      </c>
      <c r="AK205" s="408"/>
      <c r="AL205" s="48">
        <f>J205-I205</f>
        <v>0.82999999999999918</v>
      </c>
      <c r="AM205" s="48">
        <f t="shared" si="1161"/>
        <v>0.83000000000000007</v>
      </c>
      <c r="AN205" s="48">
        <f t="shared" si="1162"/>
        <v>0.83000000000000007</v>
      </c>
      <c r="AO205" s="48">
        <f>M205</f>
        <v>0.58333333333333337</v>
      </c>
      <c r="AP205" s="48">
        <f t="shared" si="1163"/>
        <v>0.58330000000000004</v>
      </c>
      <c r="AQ205" s="48">
        <f t="shared" si="1164"/>
        <v>0.58329999999999993</v>
      </c>
      <c r="AR205" s="48">
        <f t="shared" si="1165"/>
        <v>0.58329999999999993</v>
      </c>
      <c r="AS205" s="48">
        <f t="shared" si="1166"/>
        <v>0.58329999999999993</v>
      </c>
      <c r="AT205" s="48">
        <f t="shared" si="1167"/>
        <v>0.58329999999999993</v>
      </c>
      <c r="AU205" s="48">
        <f t="shared" si="1168"/>
        <v>0.58330000000000037</v>
      </c>
      <c r="AV205" s="48">
        <f t="shared" si="1169"/>
        <v>0.58330000000000037</v>
      </c>
      <c r="AW205" s="48">
        <f t="shared" si="1170"/>
        <v>0.58330000000000037</v>
      </c>
      <c r="AX205" s="48">
        <f>V205-U205</f>
        <v>0.58330000000000037</v>
      </c>
      <c r="AY205" s="48">
        <f t="shared" si="1171"/>
        <v>0.58330000000000037</v>
      </c>
      <c r="AZ205" s="48">
        <f t="shared" si="1172"/>
        <v>0.58330000000000037</v>
      </c>
      <c r="BA205" s="48">
        <f>Y205</f>
        <v>0.66</v>
      </c>
      <c r="BB205" s="48">
        <f t="shared" si="1173"/>
        <v>0.66</v>
      </c>
      <c r="BC205" s="48">
        <f t="shared" si="1174"/>
        <v>0.65999999999999992</v>
      </c>
      <c r="BD205" s="48">
        <f t="shared" si="1175"/>
        <v>0.66000000000000014</v>
      </c>
      <c r="BE205" s="48">
        <f t="shared" si="1176"/>
        <v>0.66000000000000014</v>
      </c>
      <c r="BF205" s="48">
        <f t="shared" si="1177"/>
        <v>0.66000000000000014</v>
      </c>
      <c r="BG205" s="48">
        <f t="shared" si="1178"/>
        <v>0.6599999999999997</v>
      </c>
      <c r="BH205" s="48">
        <f t="shared" si="1179"/>
        <v>0.66000000000000014</v>
      </c>
      <c r="BI205" s="48">
        <f t="shared" si="1180"/>
        <v>0.66000000000000014</v>
      </c>
      <c r="BJ205" s="48">
        <f t="shared" si="1181"/>
        <v>0.66000000000000014</v>
      </c>
      <c r="BK205" s="48">
        <f t="shared" si="1181"/>
        <v>0.66000000000000014</v>
      </c>
      <c r="BL205" s="48">
        <f t="shared" si="1181"/>
        <v>0.66000000000000014</v>
      </c>
      <c r="BM205" s="408"/>
      <c r="BN205" s="48">
        <f t="shared" si="1190"/>
        <v>2.4899999999999993</v>
      </c>
      <c r="BO205" s="48">
        <f t="shared" si="1191"/>
        <v>2.4899999999999993</v>
      </c>
      <c r="BP205" s="48">
        <f t="shared" si="1192"/>
        <v>2.4899999999999993</v>
      </c>
      <c r="BQ205" s="48">
        <f t="shared" si="1193"/>
        <v>1.7499333333333333</v>
      </c>
      <c r="BR205" s="48">
        <f t="shared" si="1194"/>
        <v>1.7499333333333333</v>
      </c>
      <c r="BS205" s="48">
        <f t="shared" si="1195"/>
        <v>1.7499333333333333</v>
      </c>
      <c r="BT205" s="48">
        <f t="shared" si="1196"/>
        <v>1.7498999999999998</v>
      </c>
      <c r="BU205" s="48">
        <f t="shared" si="1197"/>
        <v>1.7498999999999998</v>
      </c>
      <c r="BV205" s="48">
        <f t="shared" si="1198"/>
        <v>1.7498999999999998</v>
      </c>
      <c r="BW205" s="48">
        <f t="shared" si="1199"/>
        <v>1.7499000000000011</v>
      </c>
      <c r="BX205" s="48">
        <f t="shared" si="1200"/>
        <v>1.7499000000000011</v>
      </c>
      <c r="BY205" s="48">
        <f t="shared" si="1201"/>
        <v>1.7499000000000011</v>
      </c>
      <c r="BZ205" s="48">
        <f t="shared" si="1202"/>
        <v>1.7499000000000011</v>
      </c>
      <c r="CA205" s="48">
        <f t="shared" si="1203"/>
        <v>1.7499000000000011</v>
      </c>
      <c r="CB205" s="48">
        <f>SUM(AX205:AZ205)</f>
        <v>1.7499000000000011</v>
      </c>
      <c r="CC205" s="48">
        <f>CE205</f>
        <v>1.98</v>
      </c>
      <c r="CD205" s="48">
        <f t="shared" si="1204"/>
        <v>1.98</v>
      </c>
      <c r="CE205" s="48">
        <f t="shared" si="1205"/>
        <v>1.98</v>
      </c>
      <c r="CF205" s="48">
        <f t="shared" si="1206"/>
        <v>1.9800000000000004</v>
      </c>
      <c r="CG205" s="48">
        <f t="shared" si="1207"/>
        <v>1.9800000000000004</v>
      </c>
      <c r="CH205" s="48">
        <f t="shared" si="1208"/>
        <v>1.9800000000000004</v>
      </c>
      <c r="CI205" s="48">
        <f t="shared" si="1209"/>
        <v>1.98</v>
      </c>
      <c r="CJ205" s="48">
        <f t="shared" si="1210"/>
        <v>1.98</v>
      </c>
      <c r="CK205" s="48">
        <f t="shared" si="1211"/>
        <v>1.98</v>
      </c>
      <c r="CL205" s="48">
        <f t="shared" si="1212"/>
        <v>1.9800000000000004</v>
      </c>
      <c r="CM205" s="48">
        <f t="shared" si="1213"/>
        <v>1.9800000000000004</v>
      </c>
      <c r="CN205" s="48">
        <f t="shared" si="1182"/>
        <v>1.9800000000000004</v>
      </c>
      <c r="CO205" s="406"/>
      <c r="CP205" s="48">
        <f t="shared" si="1183"/>
        <v>8.2999999999999989</v>
      </c>
      <c r="CQ205" s="48">
        <f t="shared" si="1183"/>
        <v>9.129999999999999</v>
      </c>
      <c r="CR205" s="48">
        <f t="shared" si="1183"/>
        <v>9.9599999999999991</v>
      </c>
      <c r="CS205" s="48">
        <f>AO205</f>
        <v>0.58333333333333337</v>
      </c>
      <c r="CT205" s="48">
        <f t="shared" si="1184"/>
        <v>1.1666333333333334</v>
      </c>
      <c r="CU205" s="48">
        <f t="shared" si="1184"/>
        <v>1.7499333333333333</v>
      </c>
      <c r="CV205" s="48">
        <f t="shared" si="1184"/>
        <v>2.3332333333333333</v>
      </c>
      <c r="CW205" s="48">
        <f t="shared" si="1184"/>
        <v>2.9165333333333332</v>
      </c>
      <c r="CX205" s="48">
        <f t="shared" si="1184"/>
        <v>3.4998333333333331</v>
      </c>
      <c r="CY205" s="48">
        <f t="shared" si="1184"/>
        <v>4.0831333333333335</v>
      </c>
      <c r="CZ205" s="48">
        <f t="shared" si="1184"/>
        <v>4.6664333333333339</v>
      </c>
      <c r="DA205" s="48">
        <f t="shared" si="1184"/>
        <v>5.2497333333333343</v>
      </c>
      <c r="DB205" s="48">
        <f t="shared" si="1184"/>
        <v>5.8330333333333346</v>
      </c>
      <c r="DC205" s="48">
        <f t="shared" si="1184"/>
        <v>6.416333333333335</v>
      </c>
      <c r="DD205" s="48">
        <f t="shared" si="1184"/>
        <v>6.9996333333333354</v>
      </c>
      <c r="DE205" s="48">
        <f>+BA205</f>
        <v>0.66</v>
      </c>
      <c r="DF205" s="48">
        <f t="shared" si="1185"/>
        <v>1.32</v>
      </c>
      <c r="DG205" s="48">
        <f t="shared" si="1185"/>
        <v>1.98</v>
      </c>
      <c r="DH205" s="48">
        <f t="shared" si="1185"/>
        <v>2.64</v>
      </c>
      <c r="DI205" s="48">
        <f t="shared" si="1185"/>
        <v>3.3000000000000003</v>
      </c>
      <c r="DJ205" s="48">
        <f t="shared" si="1185"/>
        <v>3.9600000000000004</v>
      </c>
      <c r="DK205" s="48">
        <f t="shared" si="1185"/>
        <v>4.62</v>
      </c>
      <c r="DL205" s="48">
        <f t="shared" si="1185"/>
        <v>5.28</v>
      </c>
      <c r="DM205" s="48">
        <f t="shared" si="1185"/>
        <v>5.94</v>
      </c>
      <c r="DN205" s="48">
        <f t="shared" si="1185"/>
        <v>6.6000000000000005</v>
      </c>
      <c r="DO205" s="48">
        <f t="shared" si="1185"/>
        <v>7.2600000000000007</v>
      </c>
      <c r="DP205" s="48">
        <f t="shared" si="1185"/>
        <v>7.9200000000000008</v>
      </c>
      <c r="DQ205" s="48"/>
      <c r="DR205" s="48"/>
      <c r="DS205" s="48"/>
      <c r="DT205" s="48"/>
      <c r="DU205" s="48"/>
      <c r="DV205" s="48"/>
      <c r="DW205" s="48"/>
      <c r="DX205" s="48"/>
      <c r="DY205" s="48"/>
      <c r="DZ205" s="1">
        <f>'Input &amp; Calc'!L205</f>
        <v>9.9599999999999991</v>
      </c>
      <c r="EA205" s="49">
        <f>DD205</f>
        <v>6.9996333333333354</v>
      </c>
      <c r="EB205" s="50">
        <f>DP205</f>
        <v>7.9200000000000008</v>
      </c>
      <c r="EC205" s="50"/>
      <c r="ED205" s="408"/>
      <c r="EE205" s="51">
        <f t="shared" si="1186"/>
        <v>0.66000000000000014</v>
      </c>
      <c r="EF205" s="51">
        <f t="shared" si="1187"/>
        <v>1.9800000000000004</v>
      </c>
      <c r="EG205" s="51">
        <f>HLOOKUP($EJ$3,Budget,ROW()-1)</f>
        <v>7.9200000000000008</v>
      </c>
      <c r="EH205" s="40"/>
      <c r="EI205" s="114" t="s">
        <v>158</v>
      </c>
      <c r="EJ205" s="133">
        <f>I199</f>
        <v>40391</v>
      </c>
      <c r="EK205" s="675"/>
      <c r="EL205" s="37"/>
      <c r="EM205" s="37"/>
      <c r="EN205" s="37"/>
      <c r="EO205" s="49"/>
      <c r="EP205" s="49"/>
      <c r="EQ205" s="49"/>
      <c r="ER205" s="1"/>
      <c r="ES205" s="1"/>
    </row>
    <row r="206" spans="1:149" ht="13.5" thickBot="1">
      <c r="A206" s="134" t="s">
        <v>22</v>
      </c>
      <c r="B206" s="2" t="s">
        <v>94</v>
      </c>
      <c r="C206" s="3" t="s">
        <v>39</v>
      </c>
      <c r="E206" s="3" t="s">
        <v>16</v>
      </c>
      <c r="F206" s="1"/>
      <c r="G206" s="1" t="s">
        <v>91</v>
      </c>
      <c r="H206" s="1"/>
      <c r="I206" s="116">
        <f>0.1*9</f>
        <v>0.9</v>
      </c>
      <c r="J206" s="116">
        <f>I206+0.1</f>
        <v>1</v>
      </c>
      <c r="K206" s="116">
        <f>J206+0.1</f>
        <v>1.1000000000000001</v>
      </c>
      <c r="L206" s="116">
        <f>K206+0.1</f>
        <v>1.2000000000000002</v>
      </c>
      <c r="M206" s="160">
        <f>2/12</f>
        <v>0.16666666666666666</v>
      </c>
      <c r="N206" s="116">
        <f>M206+0.166667</f>
        <v>0.33333366666666664</v>
      </c>
      <c r="O206" s="116">
        <f t="shared" ref="O206:X206" si="1218">N206+0.166667</f>
        <v>0.50000066666666665</v>
      </c>
      <c r="P206" s="116">
        <f t="shared" si="1218"/>
        <v>0.66666766666666666</v>
      </c>
      <c r="Q206" s="116">
        <f t="shared" si="1218"/>
        <v>0.83333466666666667</v>
      </c>
      <c r="R206" s="116">
        <f t="shared" si="1218"/>
        <v>1.0000016666666667</v>
      </c>
      <c r="S206" s="116">
        <f t="shared" si="1218"/>
        <v>1.1666686666666668</v>
      </c>
      <c r="T206" s="116">
        <f t="shared" si="1218"/>
        <v>1.3333356666666667</v>
      </c>
      <c r="U206" s="116">
        <f t="shared" si="1218"/>
        <v>1.5000026666666666</v>
      </c>
      <c r="V206" s="116">
        <f t="shared" si="1218"/>
        <v>1.6666696666666665</v>
      </c>
      <c r="W206" s="116">
        <f t="shared" si="1218"/>
        <v>1.8333366666666664</v>
      </c>
      <c r="X206" s="116">
        <f t="shared" si="1218"/>
        <v>2.0000036666666663</v>
      </c>
      <c r="Y206" s="221">
        <v>0.1666</v>
      </c>
      <c r="Z206" s="246">
        <f>Y206+0.166</f>
        <v>0.33260000000000001</v>
      </c>
      <c r="AA206" s="376">
        <f t="shared" ref="AA206:AJ206" si="1219">Z206+0.166</f>
        <v>0.49860000000000004</v>
      </c>
      <c r="AB206" s="376">
        <f t="shared" si="1219"/>
        <v>0.66460000000000008</v>
      </c>
      <c r="AC206" s="376">
        <f t="shared" si="1219"/>
        <v>0.83060000000000012</v>
      </c>
      <c r="AD206" s="376">
        <f t="shared" si="1219"/>
        <v>0.99660000000000015</v>
      </c>
      <c r="AE206" s="376">
        <f t="shared" si="1219"/>
        <v>1.1626000000000001</v>
      </c>
      <c r="AF206" s="376">
        <f t="shared" si="1219"/>
        <v>1.3286</v>
      </c>
      <c r="AG206" s="376">
        <f t="shared" si="1219"/>
        <v>1.4945999999999999</v>
      </c>
      <c r="AH206" s="376">
        <f t="shared" si="1219"/>
        <v>1.6605999999999999</v>
      </c>
      <c r="AI206" s="376">
        <f t="shared" si="1219"/>
        <v>1.8265999999999998</v>
      </c>
      <c r="AJ206" s="189">
        <f t="shared" si="1219"/>
        <v>1.9925999999999997</v>
      </c>
      <c r="AK206" s="416"/>
      <c r="AL206" s="118">
        <f>J206-I206</f>
        <v>9.9999999999999978E-2</v>
      </c>
      <c r="AM206" s="118">
        <f t="shared" si="1161"/>
        <v>0.10000000000000009</v>
      </c>
      <c r="AN206" s="118">
        <f t="shared" si="1162"/>
        <v>0.10000000000000009</v>
      </c>
      <c r="AO206" s="119">
        <f>M206</f>
        <v>0.16666666666666666</v>
      </c>
      <c r="AP206" s="118">
        <f t="shared" si="1163"/>
        <v>0.16666699999999998</v>
      </c>
      <c r="AQ206" s="118">
        <f t="shared" si="1164"/>
        <v>0.16666700000000001</v>
      </c>
      <c r="AR206" s="118">
        <f t="shared" si="1165"/>
        <v>0.16666700000000001</v>
      </c>
      <c r="AS206" s="118">
        <f t="shared" si="1166"/>
        <v>0.16666700000000001</v>
      </c>
      <c r="AT206" s="118">
        <f t="shared" si="1167"/>
        <v>0.16666700000000001</v>
      </c>
      <c r="AU206" s="118">
        <f t="shared" si="1168"/>
        <v>0.16666700000000012</v>
      </c>
      <c r="AV206" s="118">
        <f t="shared" si="1169"/>
        <v>0.1666669999999999</v>
      </c>
      <c r="AW206" s="118">
        <f t="shared" si="1170"/>
        <v>0.1666669999999999</v>
      </c>
      <c r="AX206" s="118">
        <f>V206-U206</f>
        <v>0.1666669999999999</v>
      </c>
      <c r="AY206" s="118">
        <f t="shared" si="1171"/>
        <v>0.1666669999999999</v>
      </c>
      <c r="AZ206" s="118">
        <f t="shared" si="1172"/>
        <v>0.1666669999999999</v>
      </c>
      <c r="BA206" s="118">
        <f>Y206</f>
        <v>0.1666</v>
      </c>
      <c r="BB206" s="118">
        <f t="shared" si="1173"/>
        <v>0.16600000000000001</v>
      </c>
      <c r="BC206" s="118">
        <f t="shared" si="1174"/>
        <v>0.16600000000000004</v>
      </c>
      <c r="BD206" s="118">
        <f t="shared" si="1175"/>
        <v>0.16600000000000004</v>
      </c>
      <c r="BE206" s="118">
        <f t="shared" si="1176"/>
        <v>0.16600000000000004</v>
      </c>
      <c r="BF206" s="118">
        <f t="shared" si="1177"/>
        <v>0.16600000000000004</v>
      </c>
      <c r="BG206" s="118">
        <f t="shared" si="1178"/>
        <v>0.16599999999999993</v>
      </c>
      <c r="BH206" s="118">
        <f t="shared" si="1179"/>
        <v>0.16599999999999993</v>
      </c>
      <c r="BI206" s="118">
        <f t="shared" si="1180"/>
        <v>0.16599999999999993</v>
      </c>
      <c r="BJ206" s="118">
        <f t="shared" si="1181"/>
        <v>0.16599999999999993</v>
      </c>
      <c r="BK206" s="118">
        <f t="shared" si="1181"/>
        <v>0.16599999999999993</v>
      </c>
      <c r="BL206" s="118">
        <f t="shared" si="1181"/>
        <v>0.16599999999999993</v>
      </c>
      <c r="BM206" s="409"/>
      <c r="BN206" s="119">
        <f t="shared" si="1190"/>
        <v>0.30000000000000016</v>
      </c>
      <c r="BO206" s="119">
        <f t="shared" si="1191"/>
        <v>0.30000000000000016</v>
      </c>
      <c r="BP206" s="119">
        <f t="shared" si="1192"/>
        <v>0.30000000000000016</v>
      </c>
      <c r="BQ206" s="119">
        <f t="shared" si="1193"/>
        <v>0.50000066666666665</v>
      </c>
      <c r="BR206" s="119">
        <f t="shared" si="1194"/>
        <v>0.50000066666666665</v>
      </c>
      <c r="BS206" s="119">
        <f t="shared" si="1195"/>
        <v>0.50000066666666665</v>
      </c>
      <c r="BT206" s="119">
        <f t="shared" si="1196"/>
        <v>0.50000100000000003</v>
      </c>
      <c r="BU206" s="119">
        <f t="shared" si="1197"/>
        <v>0.50000100000000003</v>
      </c>
      <c r="BV206" s="119">
        <f t="shared" si="1198"/>
        <v>0.50000100000000003</v>
      </c>
      <c r="BW206" s="119">
        <f t="shared" si="1199"/>
        <v>0.50000099999999992</v>
      </c>
      <c r="BX206" s="119">
        <f t="shared" si="1200"/>
        <v>0.50000099999999992</v>
      </c>
      <c r="BY206" s="119">
        <f t="shared" si="1201"/>
        <v>0.50000099999999992</v>
      </c>
      <c r="BZ206" s="119">
        <f t="shared" si="1202"/>
        <v>0.5000009999999997</v>
      </c>
      <c r="CA206" s="119">
        <f t="shared" si="1203"/>
        <v>0.5000009999999997</v>
      </c>
      <c r="CB206" s="119">
        <f>SUM(AX206:AZ206)</f>
        <v>0.5000009999999997</v>
      </c>
      <c r="CC206" s="119">
        <f>CE206</f>
        <v>0.49860000000000004</v>
      </c>
      <c r="CD206" s="119">
        <f t="shared" si="1204"/>
        <v>0.49860000000000004</v>
      </c>
      <c r="CE206" s="119">
        <f t="shared" si="1205"/>
        <v>0.49860000000000004</v>
      </c>
      <c r="CF206" s="119">
        <f t="shared" si="1206"/>
        <v>0.49800000000000011</v>
      </c>
      <c r="CG206" s="119">
        <f t="shared" si="1207"/>
        <v>0.49800000000000011</v>
      </c>
      <c r="CH206" s="119">
        <f t="shared" si="1208"/>
        <v>0.49800000000000011</v>
      </c>
      <c r="CI206" s="119">
        <f t="shared" si="1209"/>
        <v>0.49799999999999978</v>
      </c>
      <c r="CJ206" s="119">
        <f t="shared" si="1210"/>
        <v>0.49799999999999978</v>
      </c>
      <c r="CK206" s="119">
        <f t="shared" si="1211"/>
        <v>0.49799999999999978</v>
      </c>
      <c r="CL206" s="119">
        <f t="shared" si="1212"/>
        <v>0.49799999999999978</v>
      </c>
      <c r="CM206" s="119">
        <f t="shared" si="1213"/>
        <v>0.49799999999999978</v>
      </c>
      <c r="CN206" s="48">
        <f t="shared" si="1182"/>
        <v>0.49799999999999978</v>
      </c>
      <c r="CO206" s="421"/>
      <c r="CP206" s="118">
        <f t="shared" si="1183"/>
        <v>1</v>
      </c>
      <c r="CQ206" s="118">
        <f t="shared" si="1183"/>
        <v>1.1000000000000001</v>
      </c>
      <c r="CR206" s="118">
        <f t="shared" si="1183"/>
        <v>1.2000000000000002</v>
      </c>
      <c r="CS206" s="118">
        <f>AO206</f>
        <v>0.16666666666666666</v>
      </c>
      <c r="CT206" s="118">
        <f t="shared" si="1184"/>
        <v>0.33333366666666664</v>
      </c>
      <c r="CU206" s="118">
        <f t="shared" si="1184"/>
        <v>0.50000066666666665</v>
      </c>
      <c r="CV206" s="118">
        <f t="shared" si="1184"/>
        <v>0.66666766666666666</v>
      </c>
      <c r="CW206" s="118">
        <f t="shared" si="1184"/>
        <v>0.83333466666666667</v>
      </c>
      <c r="CX206" s="118">
        <f t="shared" si="1184"/>
        <v>1.0000016666666667</v>
      </c>
      <c r="CY206" s="118">
        <f t="shared" si="1184"/>
        <v>1.1666686666666668</v>
      </c>
      <c r="CZ206" s="118">
        <f t="shared" si="1184"/>
        <v>1.3333356666666667</v>
      </c>
      <c r="DA206" s="118">
        <f t="shared" si="1184"/>
        <v>1.5000026666666666</v>
      </c>
      <c r="DB206" s="118">
        <f t="shared" si="1184"/>
        <v>1.6666696666666665</v>
      </c>
      <c r="DC206" s="118">
        <f t="shared" si="1184"/>
        <v>1.8333366666666664</v>
      </c>
      <c r="DD206" s="118">
        <f t="shared" si="1184"/>
        <v>2.0000036666666663</v>
      </c>
      <c r="DE206" s="118">
        <f>+BA206</f>
        <v>0.1666</v>
      </c>
      <c r="DF206" s="118">
        <f t="shared" si="1185"/>
        <v>0.33260000000000001</v>
      </c>
      <c r="DG206" s="118">
        <f t="shared" si="1185"/>
        <v>0.49860000000000004</v>
      </c>
      <c r="DH206" s="118">
        <f t="shared" si="1185"/>
        <v>0.66460000000000008</v>
      </c>
      <c r="DI206" s="118">
        <f t="shared" si="1185"/>
        <v>0.83060000000000012</v>
      </c>
      <c r="DJ206" s="118">
        <f t="shared" si="1185"/>
        <v>0.99660000000000015</v>
      </c>
      <c r="DK206" s="118">
        <f t="shared" si="1185"/>
        <v>1.1626000000000001</v>
      </c>
      <c r="DL206" s="118">
        <f t="shared" si="1185"/>
        <v>1.3286</v>
      </c>
      <c r="DM206" s="118">
        <f t="shared" si="1185"/>
        <v>1.4945999999999999</v>
      </c>
      <c r="DN206" s="118">
        <f t="shared" si="1185"/>
        <v>1.6605999999999999</v>
      </c>
      <c r="DO206" s="118">
        <f t="shared" si="1185"/>
        <v>1.8265999999999998</v>
      </c>
      <c r="DP206" s="118">
        <f t="shared" si="1185"/>
        <v>1.9925999999999997</v>
      </c>
      <c r="DQ206" s="118"/>
      <c r="DR206" s="118"/>
      <c r="DS206" s="118"/>
      <c r="DT206" s="118"/>
      <c r="DU206" s="118"/>
      <c r="DV206" s="118"/>
      <c r="DW206" s="118"/>
      <c r="DX206" s="118"/>
      <c r="DY206" s="118"/>
      <c r="DZ206" s="121">
        <f>'Input &amp; Calc'!L206</f>
        <v>1.2000000000000002</v>
      </c>
      <c r="EA206" s="122">
        <f>DD206</f>
        <v>2.0000036666666663</v>
      </c>
      <c r="EB206" s="120">
        <f>DP206</f>
        <v>1.9925999999999997</v>
      </c>
      <c r="EC206" s="120"/>
      <c r="ED206" s="409"/>
      <c r="EE206" s="118">
        <f t="shared" si="1186"/>
        <v>0.16599999999999993</v>
      </c>
      <c r="EF206" s="118">
        <f t="shared" si="1187"/>
        <v>0.49799999999999978</v>
      </c>
      <c r="EG206" s="118">
        <f>HLOOKUP($EJ$3,Budget,ROW()-1)</f>
        <v>1.9925999999999997</v>
      </c>
      <c r="EH206" s="40"/>
      <c r="EI206" s="1"/>
      <c r="EJ206" s="1"/>
      <c r="EK206" s="675"/>
      <c r="EL206" s="37"/>
      <c r="EM206" s="37"/>
      <c r="EN206" s="37"/>
      <c r="EO206" s="49"/>
      <c r="EP206" s="49"/>
      <c r="EQ206" s="49"/>
      <c r="ER206" s="1"/>
      <c r="ES206" s="1"/>
    </row>
    <row r="207" spans="1:149">
      <c r="A207" s="6" t="s">
        <v>23</v>
      </c>
      <c r="B207" s="2" t="s">
        <v>5</v>
      </c>
      <c r="C207" s="3" t="s">
        <v>42</v>
      </c>
      <c r="E207" s="3" t="s">
        <v>16</v>
      </c>
      <c r="G207" s="3" t="s">
        <v>91</v>
      </c>
      <c r="I207" s="23"/>
      <c r="J207" s="19">
        <f>78/12</f>
        <v>6.5</v>
      </c>
      <c r="K207" s="19">
        <f>J207+6.5</f>
        <v>13</v>
      </c>
      <c r="L207" s="19">
        <f t="shared" ref="L207:U207" si="1220">K207+6.5</f>
        <v>19.5</v>
      </c>
      <c r="M207" s="19">
        <f t="shared" si="1220"/>
        <v>26</v>
      </c>
      <c r="N207" s="19">
        <f t="shared" si="1220"/>
        <v>32.5</v>
      </c>
      <c r="O207" s="19">
        <f t="shared" si="1220"/>
        <v>39</v>
      </c>
      <c r="P207" s="19">
        <f t="shared" si="1220"/>
        <v>45.5</v>
      </c>
      <c r="Q207" s="19">
        <f t="shared" si="1220"/>
        <v>52</v>
      </c>
      <c r="R207" s="19">
        <f t="shared" si="1220"/>
        <v>58.5</v>
      </c>
      <c r="S207" s="19">
        <f t="shared" si="1220"/>
        <v>65</v>
      </c>
      <c r="T207" s="19">
        <f t="shared" si="1220"/>
        <v>71.5</v>
      </c>
      <c r="U207" s="19">
        <f t="shared" si="1220"/>
        <v>78</v>
      </c>
      <c r="V207" s="219">
        <v>6.5</v>
      </c>
      <c r="W207" s="246">
        <f>V207+6.5</f>
        <v>13</v>
      </c>
      <c r="X207" s="376">
        <f t="shared" ref="X207:AG207" si="1221">W207+6.5</f>
        <v>19.5</v>
      </c>
      <c r="Y207" s="376">
        <f t="shared" si="1221"/>
        <v>26</v>
      </c>
      <c r="Z207" s="376">
        <f t="shared" si="1221"/>
        <v>32.5</v>
      </c>
      <c r="AA207" s="376">
        <f t="shared" si="1221"/>
        <v>39</v>
      </c>
      <c r="AB207" s="376">
        <f t="shared" si="1221"/>
        <v>45.5</v>
      </c>
      <c r="AC207" s="376">
        <f t="shared" si="1221"/>
        <v>52</v>
      </c>
      <c r="AD207" s="376">
        <f t="shared" si="1221"/>
        <v>58.5</v>
      </c>
      <c r="AE207" s="376">
        <f t="shared" si="1221"/>
        <v>65</v>
      </c>
      <c r="AF207" s="376">
        <f t="shared" si="1221"/>
        <v>71.5</v>
      </c>
      <c r="AG207" s="376">
        <f t="shared" si="1221"/>
        <v>78</v>
      </c>
      <c r="AH207" s="31">
        <f>113/12</f>
        <v>9.4166666666666661</v>
      </c>
      <c r="AI207" s="19"/>
      <c r="AJ207" s="19"/>
      <c r="AK207" s="408"/>
      <c r="AL207" s="40">
        <f>J207</f>
        <v>6.5</v>
      </c>
      <c r="AM207" s="40">
        <f t="shared" si="1161"/>
        <v>6.5</v>
      </c>
      <c r="AN207" s="40">
        <f t="shared" si="1162"/>
        <v>6.5</v>
      </c>
      <c r="AO207" s="40">
        <f>M207-L207</f>
        <v>6.5</v>
      </c>
      <c r="AP207" s="40">
        <f t="shared" si="1163"/>
        <v>6.5</v>
      </c>
      <c r="AQ207" s="40">
        <f t="shared" si="1164"/>
        <v>6.5</v>
      </c>
      <c r="AR207" s="40">
        <f t="shared" si="1165"/>
        <v>6.5</v>
      </c>
      <c r="AS207" s="40">
        <f t="shared" si="1166"/>
        <v>6.5</v>
      </c>
      <c r="AT207" s="40">
        <f t="shared" si="1167"/>
        <v>6.5</v>
      </c>
      <c r="AU207" s="40">
        <f t="shared" si="1168"/>
        <v>6.5</v>
      </c>
      <c r="AV207" s="40">
        <f t="shared" si="1169"/>
        <v>6.5</v>
      </c>
      <c r="AW207" s="40">
        <f t="shared" si="1170"/>
        <v>6.5</v>
      </c>
      <c r="AX207" s="40">
        <f>V207</f>
        <v>6.5</v>
      </c>
      <c r="AY207" s="40">
        <f t="shared" si="1171"/>
        <v>6.5</v>
      </c>
      <c r="AZ207" s="40">
        <f t="shared" si="1172"/>
        <v>6.5</v>
      </c>
      <c r="BA207" s="40">
        <f>Y207-X207</f>
        <v>6.5</v>
      </c>
      <c r="BB207" s="40">
        <f t="shared" si="1173"/>
        <v>6.5</v>
      </c>
      <c r="BC207" s="40">
        <f t="shared" si="1174"/>
        <v>6.5</v>
      </c>
      <c r="BD207" s="40">
        <f t="shared" si="1175"/>
        <v>6.5</v>
      </c>
      <c r="BE207" s="40">
        <f t="shared" si="1176"/>
        <v>6.5</v>
      </c>
      <c r="BF207" s="40">
        <f t="shared" si="1177"/>
        <v>6.5</v>
      </c>
      <c r="BG207" s="40">
        <f t="shared" si="1178"/>
        <v>6.5</v>
      </c>
      <c r="BH207" s="40">
        <f t="shared" si="1179"/>
        <v>6.5</v>
      </c>
      <c r="BI207" s="40">
        <f t="shared" si="1180"/>
        <v>6.5</v>
      </c>
      <c r="BJ207" s="40">
        <f>AH207</f>
        <v>9.4166666666666661</v>
      </c>
      <c r="BK207" s="40">
        <f t="shared" ref="BK207:BL208" si="1222">AI207</f>
        <v>0</v>
      </c>
      <c r="BL207" s="40">
        <f t="shared" si="1222"/>
        <v>0</v>
      </c>
      <c r="BM207" s="408"/>
      <c r="BN207" s="48">
        <f t="shared" si="1190"/>
        <v>19.5</v>
      </c>
      <c r="BO207" s="48">
        <f t="shared" si="1191"/>
        <v>19.5</v>
      </c>
      <c r="BP207" s="48">
        <f t="shared" si="1192"/>
        <v>19.5</v>
      </c>
      <c r="BQ207" s="48">
        <f t="shared" si="1193"/>
        <v>19.5</v>
      </c>
      <c r="BR207" s="48">
        <f t="shared" si="1194"/>
        <v>19.5</v>
      </c>
      <c r="BS207" s="48">
        <f t="shared" si="1195"/>
        <v>19.5</v>
      </c>
      <c r="BT207" s="48">
        <f t="shared" si="1196"/>
        <v>19.5</v>
      </c>
      <c r="BU207" s="48">
        <f t="shared" si="1197"/>
        <v>19.5</v>
      </c>
      <c r="BV207" s="48">
        <f t="shared" si="1198"/>
        <v>19.5</v>
      </c>
      <c r="BW207" s="48">
        <f t="shared" si="1199"/>
        <v>19.5</v>
      </c>
      <c r="BX207" s="48">
        <f t="shared" si="1200"/>
        <v>19.5</v>
      </c>
      <c r="BY207" s="48">
        <f t="shared" si="1201"/>
        <v>19.5</v>
      </c>
      <c r="BZ207" s="48">
        <f t="shared" si="1202"/>
        <v>19.5</v>
      </c>
      <c r="CA207" s="48">
        <f t="shared" si="1203"/>
        <v>19.5</v>
      </c>
      <c r="CB207" s="48">
        <f>X207</f>
        <v>19.5</v>
      </c>
      <c r="CC207" s="48">
        <f t="shared" ref="CC207:CC217" si="1223">CE207</f>
        <v>19.5</v>
      </c>
      <c r="CD207" s="48">
        <f t="shared" si="1204"/>
        <v>19.5</v>
      </c>
      <c r="CE207" s="48">
        <f t="shared" si="1205"/>
        <v>19.5</v>
      </c>
      <c r="CF207" s="48">
        <f t="shared" si="1206"/>
        <v>19.5</v>
      </c>
      <c r="CG207" s="48">
        <f t="shared" si="1207"/>
        <v>19.5</v>
      </c>
      <c r="CH207" s="48">
        <f t="shared" si="1208"/>
        <v>19.5</v>
      </c>
      <c r="CI207" s="48">
        <f t="shared" si="1209"/>
        <v>19.5</v>
      </c>
      <c r="CJ207" s="48">
        <f t="shared" si="1210"/>
        <v>19.5</v>
      </c>
      <c r="CK207" s="48">
        <f t="shared" si="1211"/>
        <v>19.5</v>
      </c>
      <c r="CL207" s="48">
        <f t="shared" si="1212"/>
        <v>28.25</v>
      </c>
      <c r="CM207" s="48">
        <f t="shared" si="1213"/>
        <v>28.25</v>
      </c>
      <c r="CN207" s="48">
        <f>113/4</f>
        <v>28.25</v>
      </c>
      <c r="CO207" s="406"/>
      <c r="CP207" s="48">
        <f>+AL207</f>
        <v>6.5</v>
      </c>
      <c r="CQ207" s="48">
        <f t="shared" ref="CQ207:DA207" si="1224">+CP207+AM207</f>
        <v>13</v>
      </c>
      <c r="CR207" s="48">
        <f t="shared" si="1224"/>
        <v>19.5</v>
      </c>
      <c r="CS207" s="48">
        <f t="shared" si="1224"/>
        <v>26</v>
      </c>
      <c r="CT207" s="48">
        <f t="shared" si="1224"/>
        <v>32.5</v>
      </c>
      <c r="CU207" s="48">
        <f t="shared" si="1224"/>
        <v>39</v>
      </c>
      <c r="CV207" s="48">
        <f t="shared" si="1224"/>
        <v>45.5</v>
      </c>
      <c r="CW207" s="48">
        <f t="shared" si="1224"/>
        <v>52</v>
      </c>
      <c r="CX207" s="48">
        <f t="shared" si="1224"/>
        <v>58.5</v>
      </c>
      <c r="CY207" s="48">
        <f t="shared" si="1224"/>
        <v>65</v>
      </c>
      <c r="CZ207" s="48">
        <f t="shared" si="1224"/>
        <v>71.5</v>
      </c>
      <c r="DA207" s="48">
        <f t="shared" si="1224"/>
        <v>78</v>
      </c>
      <c r="DB207" s="48">
        <f>AX207</f>
        <v>6.5</v>
      </c>
      <c r="DC207" s="48">
        <f t="shared" ref="DC207:DM207" si="1225">+DB207+AY207</f>
        <v>13</v>
      </c>
      <c r="DD207" s="48">
        <f t="shared" si="1225"/>
        <v>19.5</v>
      </c>
      <c r="DE207" s="48">
        <f t="shared" si="1225"/>
        <v>26</v>
      </c>
      <c r="DF207" s="48">
        <f t="shared" si="1225"/>
        <v>32.5</v>
      </c>
      <c r="DG207" s="48">
        <f t="shared" si="1225"/>
        <v>39</v>
      </c>
      <c r="DH207" s="48">
        <f t="shared" si="1225"/>
        <v>45.5</v>
      </c>
      <c r="DI207" s="48">
        <f t="shared" si="1225"/>
        <v>52</v>
      </c>
      <c r="DJ207" s="48">
        <f t="shared" si="1225"/>
        <v>58.5</v>
      </c>
      <c r="DK207" s="48">
        <f t="shared" si="1225"/>
        <v>65</v>
      </c>
      <c r="DL207" s="48">
        <f t="shared" si="1225"/>
        <v>71.5</v>
      </c>
      <c r="DM207" s="48">
        <f t="shared" si="1225"/>
        <v>78</v>
      </c>
      <c r="DN207" s="48">
        <f>+BJ207</f>
        <v>9.4166666666666661</v>
      </c>
      <c r="DO207" s="48">
        <f>+DN207+BK207</f>
        <v>9.4166666666666661</v>
      </c>
      <c r="DP207" s="48">
        <f>+DO207+BL207</f>
        <v>9.4166666666666661</v>
      </c>
      <c r="DQ207" s="48"/>
      <c r="DR207" s="48"/>
      <c r="DS207" s="48"/>
      <c r="DT207" s="48"/>
      <c r="DU207" s="48"/>
      <c r="DV207" s="48"/>
      <c r="DW207" s="48"/>
      <c r="DX207" s="48"/>
      <c r="DY207" s="48"/>
      <c r="EA207" s="52">
        <f t="shared" ref="EA207:EA221" si="1226">DA207</f>
        <v>78</v>
      </c>
      <c r="EB207" s="52">
        <f t="shared" ref="EB207:EB219" si="1227">DM207</f>
        <v>78</v>
      </c>
      <c r="EC207" s="52">
        <v>113</v>
      </c>
      <c r="ED207" s="429"/>
      <c r="EE207" s="51">
        <f t="shared" si="1186"/>
        <v>0</v>
      </c>
      <c r="EF207" s="51">
        <f t="shared" si="1187"/>
        <v>28.25</v>
      </c>
      <c r="EG207" s="51">
        <v>113</v>
      </c>
      <c r="EH207" s="54"/>
      <c r="EI207" s="54"/>
      <c r="EJ207" s="54"/>
      <c r="EK207" s="675"/>
      <c r="EL207" s="53"/>
      <c r="EM207" s="53"/>
      <c r="EN207" s="53"/>
      <c r="EO207" s="49"/>
      <c r="EP207" s="49"/>
      <c r="EQ207" s="49"/>
    </row>
    <row r="208" spans="1:149">
      <c r="A208" s="6" t="s">
        <v>23</v>
      </c>
      <c r="B208" s="2" t="s">
        <v>4</v>
      </c>
      <c r="C208" s="3" t="s">
        <v>43</v>
      </c>
      <c r="E208" s="3" t="s">
        <v>16</v>
      </c>
      <c r="F208" s="44"/>
      <c r="G208" s="3" t="s">
        <v>91</v>
      </c>
      <c r="I208" s="23"/>
      <c r="J208" s="19">
        <f>35/12</f>
        <v>2.9166666666666665</v>
      </c>
      <c r="K208" s="19">
        <f>J208+2.91666667</f>
        <v>5.8333333366666666</v>
      </c>
      <c r="L208" s="19">
        <f t="shared" ref="L208:U208" si="1228">K208+2.91666667</f>
        <v>8.7500000066666672</v>
      </c>
      <c r="M208" s="19">
        <f t="shared" si="1228"/>
        <v>11.666666676666667</v>
      </c>
      <c r="N208" s="19">
        <f t="shared" si="1228"/>
        <v>14.583333346666667</v>
      </c>
      <c r="O208" s="19">
        <f t="shared" si="1228"/>
        <v>17.500000016666668</v>
      </c>
      <c r="P208" s="19">
        <f t="shared" si="1228"/>
        <v>20.41666668666667</v>
      </c>
      <c r="Q208" s="19">
        <f t="shared" si="1228"/>
        <v>23.333333356666671</v>
      </c>
      <c r="R208" s="19">
        <f t="shared" si="1228"/>
        <v>26.250000026666672</v>
      </c>
      <c r="S208" s="19">
        <f t="shared" si="1228"/>
        <v>29.166666696666674</v>
      </c>
      <c r="T208" s="19">
        <f t="shared" si="1228"/>
        <v>32.083333366666672</v>
      </c>
      <c r="U208" s="19">
        <f t="shared" si="1228"/>
        <v>35.00000003666667</v>
      </c>
      <c r="V208" s="219">
        <v>2.5833300000000001</v>
      </c>
      <c r="W208" s="246">
        <f>V208+2.58333</f>
        <v>5.1666600000000003</v>
      </c>
      <c r="X208" s="376">
        <f t="shared" ref="X208:AG208" si="1229">W208+2.58333</f>
        <v>7.7499900000000004</v>
      </c>
      <c r="Y208" s="376">
        <f t="shared" si="1229"/>
        <v>10.333320000000001</v>
      </c>
      <c r="Z208" s="376">
        <f t="shared" si="1229"/>
        <v>12.916650000000001</v>
      </c>
      <c r="AA208" s="376">
        <f t="shared" si="1229"/>
        <v>15.499980000000001</v>
      </c>
      <c r="AB208" s="376">
        <f t="shared" si="1229"/>
        <v>18.083310000000001</v>
      </c>
      <c r="AC208" s="376">
        <f t="shared" si="1229"/>
        <v>20.666640000000001</v>
      </c>
      <c r="AD208" s="376">
        <f t="shared" si="1229"/>
        <v>23.249970000000001</v>
      </c>
      <c r="AE208" s="376">
        <f t="shared" si="1229"/>
        <v>25.833300000000001</v>
      </c>
      <c r="AF208" s="376">
        <f t="shared" si="1229"/>
        <v>28.416630000000001</v>
      </c>
      <c r="AG208" s="263">
        <f t="shared" si="1229"/>
        <v>30.999960000000002</v>
      </c>
      <c r="AH208" s="31">
        <f>57/12</f>
        <v>4.75</v>
      </c>
      <c r="AI208" s="19"/>
      <c r="AJ208" s="19"/>
      <c r="AK208" s="408"/>
      <c r="AL208" s="40">
        <f>J208</f>
        <v>2.9166666666666665</v>
      </c>
      <c r="AM208" s="40">
        <f t="shared" si="1161"/>
        <v>2.9166666700000001</v>
      </c>
      <c r="AN208" s="40">
        <f t="shared" si="1162"/>
        <v>2.9166666700000006</v>
      </c>
      <c r="AO208" s="40">
        <f>M208-L208</f>
        <v>2.9166666699999997</v>
      </c>
      <c r="AP208" s="40">
        <f t="shared" si="1163"/>
        <v>2.9166666699999997</v>
      </c>
      <c r="AQ208" s="40">
        <f t="shared" si="1164"/>
        <v>2.9166666700000015</v>
      </c>
      <c r="AR208" s="40">
        <f t="shared" si="1165"/>
        <v>2.9166666700000015</v>
      </c>
      <c r="AS208" s="40">
        <f t="shared" si="1166"/>
        <v>2.9166666700000015</v>
      </c>
      <c r="AT208" s="40">
        <f t="shared" si="1167"/>
        <v>2.9166666700000015</v>
      </c>
      <c r="AU208" s="40">
        <f t="shared" si="1168"/>
        <v>2.9166666700000015</v>
      </c>
      <c r="AV208" s="40">
        <f t="shared" si="1169"/>
        <v>2.9166666699999979</v>
      </c>
      <c r="AW208" s="40">
        <f t="shared" si="1170"/>
        <v>2.9166666699999979</v>
      </c>
      <c r="AX208" s="40">
        <f>V208</f>
        <v>2.5833300000000001</v>
      </c>
      <c r="AY208" s="40">
        <f t="shared" si="1171"/>
        <v>2.5833300000000001</v>
      </c>
      <c r="AZ208" s="40">
        <f t="shared" si="1172"/>
        <v>2.5833300000000001</v>
      </c>
      <c r="BA208" s="40">
        <f>Y208-X208</f>
        <v>2.5833300000000001</v>
      </c>
      <c r="BB208" s="40">
        <f t="shared" si="1173"/>
        <v>2.5833300000000001</v>
      </c>
      <c r="BC208" s="40">
        <f t="shared" si="1174"/>
        <v>2.5833300000000001</v>
      </c>
      <c r="BD208" s="40">
        <f t="shared" si="1175"/>
        <v>2.5833300000000001</v>
      </c>
      <c r="BE208" s="40">
        <f t="shared" si="1176"/>
        <v>2.5833300000000001</v>
      </c>
      <c r="BF208" s="40">
        <f t="shared" si="1177"/>
        <v>2.5833300000000001</v>
      </c>
      <c r="BG208" s="40">
        <f t="shared" si="1178"/>
        <v>2.5833300000000001</v>
      </c>
      <c r="BH208" s="40">
        <f t="shared" si="1179"/>
        <v>2.5833300000000001</v>
      </c>
      <c r="BI208" s="40">
        <f t="shared" si="1180"/>
        <v>2.5833300000000001</v>
      </c>
      <c r="BJ208" s="40">
        <f>AH208</f>
        <v>4.75</v>
      </c>
      <c r="BK208" s="40">
        <f t="shared" si="1222"/>
        <v>0</v>
      </c>
      <c r="BL208" s="40">
        <f t="shared" si="1222"/>
        <v>0</v>
      </c>
      <c r="BM208" s="408"/>
      <c r="BN208" s="48">
        <f t="shared" si="1190"/>
        <v>8.7500000066666672</v>
      </c>
      <c r="BO208" s="48">
        <f t="shared" si="1191"/>
        <v>8.7500000066666672</v>
      </c>
      <c r="BP208" s="48">
        <f t="shared" si="1192"/>
        <v>8.7500000066666672</v>
      </c>
      <c r="BQ208" s="48">
        <f t="shared" si="1193"/>
        <v>8.7500000100000008</v>
      </c>
      <c r="BR208" s="48">
        <f t="shared" si="1194"/>
        <v>8.7500000100000008</v>
      </c>
      <c r="BS208" s="48">
        <f t="shared" si="1195"/>
        <v>8.7500000100000008</v>
      </c>
      <c r="BT208" s="48">
        <f t="shared" si="1196"/>
        <v>8.7500000100000044</v>
      </c>
      <c r="BU208" s="48">
        <f t="shared" si="1197"/>
        <v>8.7500000100000044</v>
      </c>
      <c r="BV208" s="48">
        <f t="shared" si="1198"/>
        <v>8.7500000100000044</v>
      </c>
      <c r="BW208" s="48">
        <f t="shared" si="1199"/>
        <v>8.7500000099999973</v>
      </c>
      <c r="BX208" s="48">
        <f t="shared" si="1200"/>
        <v>8.7500000099999973</v>
      </c>
      <c r="BY208" s="48">
        <f t="shared" si="1201"/>
        <v>8.7500000099999973</v>
      </c>
      <c r="BZ208" s="48">
        <f t="shared" si="1202"/>
        <v>7.7499900000000004</v>
      </c>
      <c r="CA208" s="48">
        <f t="shared" si="1203"/>
        <v>7.7499900000000004</v>
      </c>
      <c r="CB208" s="48">
        <f t="shared" ref="CB208:CB213" si="1230">X208</f>
        <v>7.7499900000000004</v>
      </c>
      <c r="CC208" s="48">
        <f t="shared" si="1223"/>
        <v>7.7499900000000004</v>
      </c>
      <c r="CD208" s="48">
        <f t="shared" si="1204"/>
        <v>7.7499900000000004</v>
      </c>
      <c r="CE208" s="48">
        <f t="shared" si="1205"/>
        <v>7.7499900000000004</v>
      </c>
      <c r="CF208" s="48">
        <f t="shared" si="1206"/>
        <v>7.7499900000000004</v>
      </c>
      <c r="CG208" s="48">
        <f t="shared" si="1207"/>
        <v>7.7499900000000004</v>
      </c>
      <c r="CH208" s="48">
        <f t="shared" si="1208"/>
        <v>7.7499900000000004</v>
      </c>
      <c r="CI208" s="48">
        <f t="shared" si="1209"/>
        <v>7.7499900000000004</v>
      </c>
      <c r="CJ208" s="48">
        <f t="shared" si="1210"/>
        <v>7.7499900000000004</v>
      </c>
      <c r="CK208" s="48">
        <f t="shared" si="1211"/>
        <v>7.7499900000000004</v>
      </c>
      <c r="CL208" s="48">
        <f t="shared" si="1212"/>
        <v>14.25</v>
      </c>
      <c r="CM208" s="48">
        <f t="shared" si="1213"/>
        <v>14.25</v>
      </c>
      <c r="CN208" s="48">
        <f>57/4</f>
        <v>14.25</v>
      </c>
      <c r="CO208" s="406"/>
      <c r="CP208" s="48">
        <f t="shared" ref="CP208:DA208" si="1231">I208+AL208</f>
        <v>2.9166666666666665</v>
      </c>
      <c r="CQ208" s="48">
        <f t="shared" si="1231"/>
        <v>5.8333333366666666</v>
      </c>
      <c r="CR208" s="48">
        <f t="shared" si="1231"/>
        <v>8.7500000066666672</v>
      </c>
      <c r="CS208" s="48">
        <f t="shared" si="1231"/>
        <v>11.666666676666667</v>
      </c>
      <c r="CT208" s="48">
        <f t="shared" si="1231"/>
        <v>14.583333346666667</v>
      </c>
      <c r="CU208" s="48">
        <f t="shared" si="1231"/>
        <v>17.500000016666668</v>
      </c>
      <c r="CV208" s="48">
        <f t="shared" si="1231"/>
        <v>20.41666668666667</v>
      </c>
      <c r="CW208" s="48">
        <f t="shared" si="1231"/>
        <v>23.333333356666671</v>
      </c>
      <c r="CX208" s="48">
        <f t="shared" si="1231"/>
        <v>26.250000026666672</v>
      </c>
      <c r="CY208" s="48">
        <f t="shared" si="1231"/>
        <v>29.166666696666674</v>
      </c>
      <c r="CZ208" s="48">
        <f t="shared" si="1231"/>
        <v>32.083333366666672</v>
      </c>
      <c r="DA208" s="48">
        <f t="shared" si="1231"/>
        <v>35.00000003666667</v>
      </c>
      <c r="DB208" s="48">
        <f>AX208</f>
        <v>2.5833300000000001</v>
      </c>
      <c r="DC208" s="48">
        <f t="shared" ref="DC208:DM208" si="1232">V208+AY208</f>
        <v>5.1666600000000003</v>
      </c>
      <c r="DD208" s="48">
        <f t="shared" si="1232"/>
        <v>7.7499900000000004</v>
      </c>
      <c r="DE208" s="48">
        <f t="shared" si="1232"/>
        <v>10.333320000000001</v>
      </c>
      <c r="DF208" s="48">
        <f t="shared" si="1232"/>
        <v>12.916650000000001</v>
      </c>
      <c r="DG208" s="48">
        <f t="shared" si="1232"/>
        <v>15.499980000000001</v>
      </c>
      <c r="DH208" s="48">
        <f t="shared" si="1232"/>
        <v>18.083310000000001</v>
      </c>
      <c r="DI208" s="48">
        <f t="shared" si="1232"/>
        <v>20.666640000000001</v>
      </c>
      <c r="DJ208" s="48">
        <f t="shared" si="1232"/>
        <v>23.249970000000001</v>
      </c>
      <c r="DK208" s="48">
        <f t="shared" si="1232"/>
        <v>25.833300000000001</v>
      </c>
      <c r="DL208" s="48">
        <f t="shared" si="1232"/>
        <v>28.416630000000001</v>
      </c>
      <c r="DM208" s="48">
        <f t="shared" si="1232"/>
        <v>30.999960000000002</v>
      </c>
      <c r="DN208" s="48">
        <f>BJ208</f>
        <v>4.75</v>
      </c>
      <c r="DO208" s="48">
        <f>AH208+BK208</f>
        <v>4.75</v>
      </c>
      <c r="DP208" s="48">
        <f>AI208+BL208</f>
        <v>0</v>
      </c>
      <c r="DQ208" s="48"/>
      <c r="DR208" s="48"/>
      <c r="DS208" s="48"/>
      <c r="DT208" s="48"/>
      <c r="DU208" s="48"/>
      <c r="DV208" s="48"/>
      <c r="DW208" s="48"/>
      <c r="DX208" s="48"/>
      <c r="DY208" s="48"/>
      <c r="EA208" s="52">
        <f t="shared" si="1226"/>
        <v>35.00000003666667</v>
      </c>
      <c r="EB208" s="52">
        <f t="shared" si="1227"/>
        <v>30.999960000000002</v>
      </c>
      <c r="EC208" s="52">
        <v>57</v>
      </c>
      <c r="ED208" s="429"/>
      <c r="EE208" s="51">
        <f t="shared" si="1186"/>
        <v>0</v>
      </c>
      <c r="EF208" s="51">
        <f t="shared" si="1187"/>
        <v>14.25</v>
      </c>
      <c r="EG208" s="51">
        <v>57</v>
      </c>
      <c r="EH208" s="54"/>
      <c r="EI208" s="54"/>
      <c r="EJ208" s="126"/>
      <c r="EK208" s="675"/>
      <c r="EL208" s="53"/>
      <c r="EM208" s="53"/>
      <c r="EN208" s="53"/>
      <c r="EO208" s="49"/>
      <c r="EP208" s="49"/>
      <c r="EQ208" s="49"/>
    </row>
    <row r="209" spans="1:149">
      <c r="A209" s="6" t="s">
        <v>23</v>
      </c>
      <c r="B209" s="2" t="s">
        <v>6</v>
      </c>
      <c r="C209" s="3" t="s">
        <v>44</v>
      </c>
      <c r="E209" s="3" t="s">
        <v>16</v>
      </c>
      <c r="G209" s="3" t="s">
        <v>89</v>
      </c>
      <c r="I209" s="23"/>
      <c r="J209" s="19">
        <f>19.5/12</f>
        <v>1.625</v>
      </c>
      <c r="K209" s="19">
        <f t="shared" ref="K209:U209" si="1233">19.5/12</f>
        <v>1.625</v>
      </c>
      <c r="L209" s="19">
        <f t="shared" si="1233"/>
        <v>1.625</v>
      </c>
      <c r="M209" s="19">
        <f t="shared" si="1233"/>
        <v>1.625</v>
      </c>
      <c r="N209" s="19">
        <f t="shared" si="1233"/>
        <v>1.625</v>
      </c>
      <c r="O209" s="19">
        <f t="shared" si="1233"/>
        <v>1.625</v>
      </c>
      <c r="P209" s="19">
        <f t="shared" si="1233"/>
        <v>1.625</v>
      </c>
      <c r="Q209" s="19">
        <f t="shared" si="1233"/>
        <v>1.625</v>
      </c>
      <c r="R209" s="19">
        <f t="shared" si="1233"/>
        <v>1.625</v>
      </c>
      <c r="S209" s="19">
        <f t="shared" si="1233"/>
        <v>1.625</v>
      </c>
      <c r="T209" s="19">
        <f t="shared" si="1233"/>
        <v>1.625</v>
      </c>
      <c r="U209" s="19">
        <f t="shared" si="1233"/>
        <v>1.625</v>
      </c>
      <c r="V209" s="246">
        <v>0.97499999999999998</v>
      </c>
      <c r="W209" s="246">
        <f>V209+0.975</f>
        <v>1.95</v>
      </c>
      <c r="X209" s="376">
        <f t="shared" ref="X209:AG209" si="1234">W209+0.975</f>
        <v>2.9249999999999998</v>
      </c>
      <c r="Y209" s="376">
        <f t="shared" si="1234"/>
        <v>3.9</v>
      </c>
      <c r="Z209" s="376">
        <f t="shared" si="1234"/>
        <v>4.875</v>
      </c>
      <c r="AA209" s="376">
        <f t="shared" si="1234"/>
        <v>5.85</v>
      </c>
      <c r="AB209" s="376">
        <f t="shared" si="1234"/>
        <v>6.8249999999999993</v>
      </c>
      <c r="AC209" s="376">
        <f t="shared" si="1234"/>
        <v>7.7999999999999989</v>
      </c>
      <c r="AD209" s="376">
        <f t="shared" si="1234"/>
        <v>8.7749999999999986</v>
      </c>
      <c r="AE209" s="376">
        <f t="shared" si="1234"/>
        <v>9.7499999999999982</v>
      </c>
      <c r="AF209" s="376">
        <f t="shared" si="1234"/>
        <v>10.724999999999998</v>
      </c>
      <c r="AG209" s="263">
        <f t="shared" si="1234"/>
        <v>11.699999999999998</v>
      </c>
      <c r="AH209" s="31"/>
      <c r="AI209" s="19"/>
      <c r="AJ209" s="19"/>
      <c r="AK209" s="408"/>
      <c r="AL209" s="40">
        <f>J209</f>
        <v>1.625</v>
      </c>
      <c r="AM209" s="40">
        <f t="shared" ref="AM209:AW209" si="1235">K209</f>
        <v>1.625</v>
      </c>
      <c r="AN209" s="40">
        <f t="shared" si="1235"/>
        <v>1.625</v>
      </c>
      <c r="AO209" s="40">
        <f t="shared" si="1235"/>
        <v>1.625</v>
      </c>
      <c r="AP209" s="40">
        <f t="shared" si="1235"/>
        <v>1.625</v>
      </c>
      <c r="AQ209" s="40">
        <f t="shared" si="1235"/>
        <v>1.625</v>
      </c>
      <c r="AR209" s="40">
        <f t="shared" si="1235"/>
        <v>1.625</v>
      </c>
      <c r="AS209" s="40">
        <f t="shared" si="1235"/>
        <v>1.625</v>
      </c>
      <c r="AT209" s="40">
        <f t="shared" si="1235"/>
        <v>1.625</v>
      </c>
      <c r="AU209" s="40">
        <f t="shared" si="1235"/>
        <v>1.625</v>
      </c>
      <c r="AV209" s="40">
        <f t="shared" si="1235"/>
        <v>1.625</v>
      </c>
      <c r="AW209" s="40">
        <f t="shared" si="1235"/>
        <v>1.625</v>
      </c>
      <c r="AX209" s="40">
        <f>V209</f>
        <v>0.97499999999999998</v>
      </c>
      <c r="AY209" s="40">
        <f>W209-SUM($AX209:AX209)</f>
        <v>0.97499999999999998</v>
      </c>
      <c r="AZ209" s="40">
        <f>X209-SUM($AX209:AY209)</f>
        <v>0.97499999999999987</v>
      </c>
      <c r="BA209" s="40">
        <f>Y209-SUM($AX209:AZ209)</f>
        <v>0.97500000000000009</v>
      </c>
      <c r="BB209" s="40">
        <f>Z209-SUM($AX209:BA209)</f>
        <v>0.97500000000000009</v>
      </c>
      <c r="BC209" s="40">
        <f>AA209-SUM($AX209:BB209)</f>
        <v>0.97499999999999964</v>
      </c>
      <c r="BD209" s="40">
        <f>AB209-SUM($AX209:BC209)</f>
        <v>0.97499999999999964</v>
      </c>
      <c r="BE209" s="40">
        <f>AC209-SUM($AX209:BD209)</f>
        <v>0.97499999999999964</v>
      </c>
      <c r="BF209" s="40">
        <f>AD209-SUM($AX209:BE209)</f>
        <v>0.97499999999999964</v>
      </c>
      <c r="BG209" s="40">
        <f>AE209-SUM($AX209:BF209)</f>
        <v>0.97499999999999964</v>
      </c>
      <c r="BH209" s="40">
        <f>AF209-SUM($AX209:BG209)</f>
        <v>0.97499999999999964</v>
      </c>
      <c r="BI209" s="40">
        <f>AG209-SUM($AX209:BH209)</f>
        <v>0.97499999999999964</v>
      </c>
      <c r="BJ209" s="40">
        <v>0</v>
      </c>
      <c r="BK209" s="40">
        <v>0</v>
      </c>
      <c r="BL209" s="40">
        <v>0</v>
      </c>
      <c r="BM209" s="408"/>
      <c r="BN209" s="48">
        <f t="shared" si="1190"/>
        <v>4.875</v>
      </c>
      <c r="BO209" s="48">
        <f t="shared" si="1191"/>
        <v>4.875</v>
      </c>
      <c r="BP209" s="48">
        <f>SUM(AL209:AN209)</f>
        <v>4.875</v>
      </c>
      <c r="BQ209" s="48">
        <f t="shared" si="1193"/>
        <v>4.875</v>
      </c>
      <c r="BR209" s="48">
        <f t="shared" si="1194"/>
        <v>4.875</v>
      </c>
      <c r="BS209" s="48">
        <f>SUM(AO209:AQ209)</f>
        <v>4.875</v>
      </c>
      <c r="BT209" s="48">
        <f t="shared" si="1196"/>
        <v>4.875</v>
      </c>
      <c r="BU209" s="48">
        <f t="shared" si="1197"/>
        <v>4.875</v>
      </c>
      <c r="BV209" s="48">
        <f>SUM(AR209:AT209)</f>
        <v>4.875</v>
      </c>
      <c r="BW209" s="48">
        <f t="shared" si="1199"/>
        <v>4.875</v>
      </c>
      <c r="BX209" s="48">
        <f t="shared" si="1200"/>
        <v>4.875</v>
      </c>
      <c r="BY209" s="48">
        <f>SUM(AU209:AW209)</f>
        <v>4.875</v>
      </c>
      <c r="BZ209" s="48">
        <f t="shared" si="1202"/>
        <v>2.9249999999999998</v>
      </c>
      <c r="CA209" s="48">
        <f t="shared" si="1203"/>
        <v>2.9249999999999998</v>
      </c>
      <c r="CB209" s="48">
        <f t="shared" si="1230"/>
        <v>2.9249999999999998</v>
      </c>
      <c r="CC209" s="48">
        <f t="shared" si="1223"/>
        <v>2.9249999999999998</v>
      </c>
      <c r="CD209" s="48">
        <f t="shared" si="1204"/>
        <v>2.9249999999999998</v>
      </c>
      <c r="CE209" s="48">
        <f>SUM(BA209:BC209)</f>
        <v>2.9249999999999998</v>
      </c>
      <c r="CF209" s="48">
        <f t="shared" si="1206"/>
        <v>2.9249999999999989</v>
      </c>
      <c r="CG209" s="48">
        <f t="shared" si="1207"/>
        <v>2.9249999999999989</v>
      </c>
      <c r="CH209" s="48">
        <f>SUM(BD209:BF209)</f>
        <v>2.9249999999999989</v>
      </c>
      <c r="CI209" s="48">
        <f t="shared" si="1209"/>
        <v>2.9249999999999989</v>
      </c>
      <c r="CJ209" s="48">
        <f t="shared" si="1210"/>
        <v>2.9249999999999989</v>
      </c>
      <c r="CK209" s="48">
        <f>SUM(BG209:BI209)</f>
        <v>2.9249999999999989</v>
      </c>
      <c r="CL209" s="48">
        <f t="shared" si="1212"/>
        <v>0</v>
      </c>
      <c r="CM209" s="48">
        <f t="shared" si="1213"/>
        <v>0</v>
      </c>
      <c r="CN209" s="48">
        <f t="shared" si="1182"/>
        <v>0</v>
      </c>
      <c r="CO209" s="406"/>
      <c r="CP209" s="48">
        <f>AL209</f>
        <v>1.625</v>
      </c>
      <c r="CQ209" s="48">
        <f t="shared" ref="CQ209:DA209" si="1236">CP209+AM209</f>
        <v>3.25</v>
      </c>
      <c r="CR209" s="48">
        <f t="shared" si="1236"/>
        <v>4.875</v>
      </c>
      <c r="CS209" s="48">
        <f t="shared" si="1236"/>
        <v>6.5</v>
      </c>
      <c r="CT209" s="48">
        <f t="shared" si="1236"/>
        <v>8.125</v>
      </c>
      <c r="CU209" s="48">
        <f t="shared" si="1236"/>
        <v>9.75</v>
      </c>
      <c r="CV209" s="48">
        <f t="shared" si="1236"/>
        <v>11.375</v>
      </c>
      <c r="CW209" s="48">
        <f t="shared" si="1236"/>
        <v>13</v>
      </c>
      <c r="CX209" s="48">
        <f t="shared" si="1236"/>
        <v>14.625</v>
      </c>
      <c r="CY209" s="48">
        <f t="shared" si="1236"/>
        <v>16.25</v>
      </c>
      <c r="CZ209" s="48">
        <f t="shared" si="1236"/>
        <v>17.875</v>
      </c>
      <c r="DA209" s="48">
        <f t="shared" si="1236"/>
        <v>19.5</v>
      </c>
      <c r="DB209" s="48">
        <f>AX209</f>
        <v>0.97499999999999998</v>
      </c>
      <c r="DC209" s="48">
        <f t="shared" ref="DC209:DM209" si="1237">DB209+AY209</f>
        <v>1.95</v>
      </c>
      <c r="DD209" s="48">
        <f t="shared" si="1237"/>
        <v>2.9249999999999998</v>
      </c>
      <c r="DE209" s="48">
        <f t="shared" si="1237"/>
        <v>3.9</v>
      </c>
      <c r="DF209" s="48">
        <f t="shared" si="1237"/>
        <v>4.875</v>
      </c>
      <c r="DG209" s="48">
        <f t="shared" si="1237"/>
        <v>5.85</v>
      </c>
      <c r="DH209" s="48">
        <f t="shared" si="1237"/>
        <v>6.8249999999999993</v>
      </c>
      <c r="DI209" s="48">
        <f t="shared" si="1237"/>
        <v>7.7999999999999989</v>
      </c>
      <c r="DJ209" s="48">
        <f t="shared" si="1237"/>
        <v>8.7749999999999986</v>
      </c>
      <c r="DK209" s="48">
        <f t="shared" si="1237"/>
        <v>9.7499999999999982</v>
      </c>
      <c r="DL209" s="48">
        <f t="shared" si="1237"/>
        <v>10.724999999999998</v>
      </c>
      <c r="DM209" s="48">
        <f t="shared" si="1237"/>
        <v>11.699999999999998</v>
      </c>
      <c r="DN209" s="48">
        <f>BJ209</f>
        <v>0</v>
      </c>
      <c r="DO209" s="48">
        <f>DN209+BK209</f>
        <v>0</v>
      </c>
      <c r="DP209" s="48">
        <f>DO209+BL209</f>
        <v>0</v>
      </c>
      <c r="DQ209" s="48"/>
      <c r="DR209" s="48"/>
      <c r="DS209" s="48"/>
      <c r="DT209" s="48"/>
      <c r="DU209" s="48"/>
      <c r="DV209" s="48"/>
      <c r="DW209" s="48"/>
      <c r="DX209" s="48"/>
      <c r="DY209" s="48"/>
      <c r="EA209" s="52">
        <f t="shared" si="1226"/>
        <v>19.5</v>
      </c>
      <c r="EB209" s="52">
        <f t="shared" si="1227"/>
        <v>11.699999999999998</v>
      </c>
      <c r="EC209" s="52"/>
      <c r="ED209" s="429"/>
      <c r="EE209" s="51">
        <f t="shared" si="1186"/>
        <v>0</v>
      </c>
      <c r="EF209" s="51">
        <f t="shared" si="1187"/>
        <v>0</v>
      </c>
      <c r="EG209" s="51">
        <f t="shared" ref="EG209:EG217" si="1238">HLOOKUP($EJ$4,Budget,ROW()-1)</f>
        <v>11.699999999999998</v>
      </c>
      <c r="EH209" s="54"/>
      <c r="EI209" s="54"/>
      <c r="EJ209" s="54"/>
      <c r="EK209" s="675"/>
      <c r="EL209" s="53"/>
      <c r="EM209" s="53"/>
      <c r="EN209" s="53"/>
      <c r="EO209" s="49"/>
      <c r="EP209" s="49"/>
      <c r="EQ209" s="49"/>
    </row>
    <row r="210" spans="1:149">
      <c r="A210" s="15" t="s">
        <v>23</v>
      </c>
      <c r="B210" s="14" t="s">
        <v>7</v>
      </c>
      <c r="C210" s="16" t="s">
        <v>45</v>
      </c>
      <c r="D210" s="16"/>
      <c r="E210" s="16" t="s">
        <v>16</v>
      </c>
      <c r="F210" s="16"/>
      <c r="G210" s="16" t="s">
        <v>89</v>
      </c>
      <c r="H210" s="16"/>
      <c r="I210" s="24"/>
      <c r="J210" s="25">
        <v>0.95</v>
      </c>
      <c r="K210" s="25">
        <f t="shared" ref="K210:U210" si="1239">J210</f>
        <v>0.95</v>
      </c>
      <c r="L210" s="25">
        <f t="shared" si="1239"/>
        <v>0.95</v>
      </c>
      <c r="M210" s="25">
        <f t="shared" si="1239"/>
        <v>0.95</v>
      </c>
      <c r="N210" s="25">
        <f t="shared" si="1239"/>
        <v>0.95</v>
      </c>
      <c r="O210" s="25">
        <f t="shared" si="1239"/>
        <v>0.95</v>
      </c>
      <c r="P210" s="25">
        <f t="shared" si="1239"/>
        <v>0.95</v>
      </c>
      <c r="Q210" s="25">
        <f t="shared" si="1239"/>
        <v>0.95</v>
      </c>
      <c r="R210" s="25">
        <f t="shared" si="1239"/>
        <v>0.95</v>
      </c>
      <c r="S210" s="25">
        <f t="shared" si="1239"/>
        <v>0.95</v>
      </c>
      <c r="T210" s="25">
        <f t="shared" si="1239"/>
        <v>0.95</v>
      </c>
      <c r="U210" s="25">
        <f t="shared" si="1239"/>
        <v>0.95</v>
      </c>
      <c r="V210" s="220">
        <f>$AG210</f>
        <v>0.95</v>
      </c>
      <c r="W210" s="250">
        <f t="shared" ref="W210:AF210" si="1240">$AG210</f>
        <v>0.95</v>
      </c>
      <c r="X210" s="250">
        <f t="shared" si="1240"/>
        <v>0.95</v>
      </c>
      <c r="Y210" s="250">
        <f t="shared" si="1240"/>
        <v>0.95</v>
      </c>
      <c r="Z210" s="250">
        <f t="shared" si="1240"/>
        <v>0.95</v>
      </c>
      <c r="AA210" s="250">
        <f t="shared" si="1240"/>
        <v>0.95</v>
      </c>
      <c r="AB210" s="250">
        <f t="shared" si="1240"/>
        <v>0.95</v>
      </c>
      <c r="AC210" s="250">
        <f t="shared" si="1240"/>
        <v>0.95</v>
      </c>
      <c r="AD210" s="250">
        <f t="shared" si="1240"/>
        <v>0.95</v>
      </c>
      <c r="AE210" s="250">
        <f t="shared" si="1240"/>
        <v>0.95</v>
      </c>
      <c r="AF210" s="250">
        <f t="shared" si="1240"/>
        <v>0.95</v>
      </c>
      <c r="AG210" s="250">
        <v>0.95</v>
      </c>
      <c r="AH210" s="33">
        <v>0.95</v>
      </c>
      <c r="AI210" s="220">
        <v>0.95</v>
      </c>
      <c r="AJ210" s="220">
        <v>0.95</v>
      </c>
      <c r="AK210" s="412"/>
      <c r="AL210" s="55">
        <f>J210</f>
        <v>0.95</v>
      </c>
      <c r="AM210" s="55">
        <f t="shared" ref="AM210:AW210" si="1241">K210</f>
        <v>0.95</v>
      </c>
      <c r="AN210" s="55">
        <f t="shared" si="1241"/>
        <v>0.95</v>
      </c>
      <c r="AO210" s="55">
        <f t="shared" si="1241"/>
        <v>0.95</v>
      </c>
      <c r="AP210" s="55">
        <f t="shared" si="1241"/>
        <v>0.95</v>
      </c>
      <c r="AQ210" s="55">
        <f t="shared" si="1241"/>
        <v>0.95</v>
      </c>
      <c r="AR210" s="55">
        <f t="shared" si="1241"/>
        <v>0.95</v>
      </c>
      <c r="AS210" s="55">
        <f t="shared" si="1241"/>
        <v>0.95</v>
      </c>
      <c r="AT210" s="55">
        <f t="shared" si="1241"/>
        <v>0.95</v>
      </c>
      <c r="AU210" s="55">
        <f t="shared" si="1241"/>
        <v>0.95</v>
      </c>
      <c r="AV210" s="55">
        <f t="shared" si="1241"/>
        <v>0.95</v>
      </c>
      <c r="AW210" s="55">
        <f t="shared" si="1241"/>
        <v>0.95</v>
      </c>
      <c r="AX210" s="55">
        <f>V210</f>
        <v>0.95</v>
      </c>
      <c r="AY210" s="55">
        <f t="shared" ref="AY210:BI210" si="1242">W210</f>
        <v>0.95</v>
      </c>
      <c r="AZ210" s="55">
        <f t="shared" si="1242"/>
        <v>0.95</v>
      </c>
      <c r="BA210" s="55">
        <f t="shared" si="1242"/>
        <v>0.95</v>
      </c>
      <c r="BB210" s="55">
        <f t="shared" si="1242"/>
        <v>0.95</v>
      </c>
      <c r="BC210" s="55">
        <f t="shared" si="1242"/>
        <v>0.95</v>
      </c>
      <c r="BD210" s="55">
        <f t="shared" si="1242"/>
        <v>0.95</v>
      </c>
      <c r="BE210" s="55">
        <f t="shared" si="1242"/>
        <v>0.95</v>
      </c>
      <c r="BF210" s="55">
        <f t="shared" si="1242"/>
        <v>0.95</v>
      </c>
      <c r="BG210" s="55">
        <f t="shared" si="1242"/>
        <v>0.95</v>
      </c>
      <c r="BH210" s="55">
        <f t="shared" si="1242"/>
        <v>0.95</v>
      </c>
      <c r="BI210" s="55">
        <f t="shared" si="1242"/>
        <v>0.95</v>
      </c>
      <c r="BJ210" s="55">
        <f>AH210</f>
        <v>0.95</v>
      </c>
      <c r="BK210" s="55">
        <f t="shared" ref="BK210:BL210" si="1243">AI210</f>
        <v>0.95</v>
      </c>
      <c r="BL210" s="55">
        <f t="shared" si="1243"/>
        <v>0.95</v>
      </c>
      <c r="BM210" s="410"/>
      <c r="BN210" s="56">
        <f t="shared" si="1190"/>
        <v>0.95</v>
      </c>
      <c r="BO210" s="56">
        <f t="shared" si="1191"/>
        <v>0.95</v>
      </c>
      <c r="BP210" s="56">
        <f>(AL210*AL209+AM210*AM209+AN210*AN209)/BP209</f>
        <v>0.95</v>
      </c>
      <c r="BQ210" s="56">
        <f t="shared" si="1193"/>
        <v>0.95</v>
      </c>
      <c r="BR210" s="56">
        <f t="shared" si="1194"/>
        <v>0.95</v>
      </c>
      <c r="BS210" s="56">
        <f>(AO210*AO209+AP210*AP209+AQ210*AQ209)/BS209</f>
        <v>0.95</v>
      </c>
      <c r="BT210" s="56">
        <f t="shared" si="1196"/>
        <v>0.95</v>
      </c>
      <c r="BU210" s="56">
        <f t="shared" si="1197"/>
        <v>0.95</v>
      </c>
      <c r="BV210" s="56">
        <f>(AR210*AR209+AS210*AS209+AT210*AT209)/BV209</f>
        <v>0.95</v>
      </c>
      <c r="BW210" s="56">
        <f t="shared" si="1199"/>
        <v>0.95</v>
      </c>
      <c r="BX210" s="56">
        <f t="shared" si="1200"/>
        <v>0.95</v>
      </c>
      <c r="BY210" s="56">
        <f>(AU210*AU209+AV210*AV209+AW210*AW209)/BY209</f>
        <v>0.95</v>
      </c>
      <c r="BZ210" s="56">
        <f t="shared" si="1202"/>
        <v>0.95</v>
      </c>
      <c r="CA210" s="56">
        <f t="shared" si="1203"/>
        <v>0.95</v>
      </c>
      <c r="CB210" s="48">
        <f t="shared" si="1230"/>
        <v>0.95</v>
      </c>
      <c r="CC210" s="56">
        <f t="shared" si="1223"/>
        <v>2.8499999999999996</v>
      </c>
      <c r="CD210" s="56">
        <f t="shared" si="1204"/>
        <v>2.8499999999999996</v>
      </c>
      <c r="CE210" s="48">
        <f>SUM(BA210:BC210)</f>
        <v>2.8499999999999996</v>
      </c>
      <c r="CF210" s="56">
        <f t="shared" si="1206"/>
        <v>2.8499999999999996</v>
      </c>
      <c r="CG210" s="56">
        <f t="shared" si="1207"/>
        <v>2.8499999999999996</v>
      </c>
      <c r="CH210" s="48">
        <f>SUM(BD210:BF210)</f>
        <v>2.8499999999999996</v>
      </c>
      <c r="CI210" s="56">
        <f t="shared" si="1209"/>
        <v>2.8499999999999996</v>
      </c>
      <c r="CJ210" s="56">
        <f t="shared" si="1210"/>
        <v>2.8499999999999996</v>
      </c>
      <c r="CK210" s="48">
        <f>SUM(BG210:BI210)</f>
        <v>2.8499999999999996</v>
      </c>
      <c r="CL210" s="56">
        <v>0.95</v>
      </c>
      <c r="CM210" s="56">
        <v>0.95</v>
      </c>
      <c r="CN210" s="56">
        <v>0.95</v>
      </c>
      <c r="CO210" s="422"/>
      <c r="CP210" s="56">
        <f t="shared" ref="CP210:DA210" si="1244">CP223/CP209</f>
        <v>0.95</v>
      </c>
      <c r="CQ210" s="56">
        <f t="shared" si="1244"/>
        <v>0.95</v>
      </c>
      <c r="CR210" s="56">
        <f t="shared" si="1244"/>
        <v>0.95</v>
      </c>
      <c r="CS210" s="56">
        <f t="shared" si="1244"/>
        <v>0.95</v>
      </c>
      <c r="CT210" s="56">
        <f t="shared" si="1244"/>
        <v>0.95</v>
      </c>
      <c r="CU210" s="56">
        <f t="shared" si="1244"/>
        <v>0.95</v>
      </c>
      <c r="CV210" s="56">
        <f t="shared" si="1244"/>
        <v>0.94999999999999984</v>
      </c>
      <c r="CW210" s="56">
        <f t="shared" si="1244"/>
        <v>0.94999999999999984</v>
      </c>
      <c r="CX210" s="56">
        <f t="shared" si="1244"/>
        <v>0.94999999999999984</v>
      </c>
      <c r="CY210" s="56">
        <f t="shared" si="1244"/>
        <v>0.94999999999999973</v>
      </c>
      <c r="CZ210" s="56">
        <f t="shared" si="1244"/>
        <v>0.94999999999999973</v>
      </c>
      <c r="DA210" s="56">
        <f t="shared" si="1244"/>
        <v>0.94999999999999973</v>
      </c>
      <c r="DB210" s="56">
        <f t="shared" ref="DB210:DP210" si="1245">DA210</f>
        <v>0.94999999999999973</v>
      </c>
      <c r="DC210" s="56">
        <f t="shared" si="1245"/>
        <v>0.94999999999999973</v>
      </c>
      <c r="DD210" s="56">
        <f t="shared" si="1245"/>
        <v>0.94999999999999973</v>
      </c>
      <c r="DE210" s="56">
        <f t="shared" si="1245"/>
        <v>0.94999999999999973</v>
      </c>
      <c r="DF210" s="56">
        <f t="shared" si="1245"/>
        <v>0.94999999999999973</v>
      </c>
      <c r="DG210" s="56">
        <f t="shared" si="1245"/>
        <v>0.94999999999999973</v>
      </c>
      <c r="DH210" s="56">
        <f t="shared" si="1245"/>
        <v>0.94999999999999973</v>
      </c>
      <c r="DI210" s="56">
        <f t="shared" si="1245"/>
        <v>0.94999999999999973</v>
      </c>
      <c r="DJ210" s="56">
        <f t="shared" si="1245"/>
        <v>0.94999999999999973</v>
      </c>
      <c r="DK210" s="56">
        <f t="shared" si="1245"/>
        <v>0.94999999999999973</v>
      </c>
      <c r="DL210" s="56">
        <f t="shared" si="1245"/>
        <v>0.94999999999999973</v>
      </c>
      <c r="DM210" s="56">
        <f t="shared" si="1245"/>
        <v>0.94999999999999973</v>
      </c>
      <c r="DN210" s="56">
        <f t="shared" si="1245"/>
        <v>0.94999999999999973</v>
      </c>
      <c r="DO210" s="56">
        <f t="shared" si="1245"/>
        <v>0.94999999999999973</v>
      </c>
      <c r="DP210" s="56">
        <f t="shared" si="1245"/>
        <v>0.94999999999999973</v>
      </c>
      <c r="DQ210" s="56"/>
      <c r="DR210" s="56"/>
      <c r="DS210" s="56"/>
      <c r="DT210" s="56"/>
      <c r="DU210" s="56"/>
      <c r="DV210" s="56"/>
      <c r="DW210" s="56"/>
      <c r="DX210" s="56"/>
      <c r="DY210" s="56"/>
      <c r="DZ210" s="14"/>
      <c r="EA210" s="55">
        <f t="shared" si="1226"/>
        <v>0.94999999999999973</v>
      </c>
      <c r="EB210" s="55">
        <f t="shared" si="1227"/>
        <v>0.94999999999999973</v>
      </c>
      <c r="EC210" s="55"/>
      <c r="ED210" s="430"/>
      <c r="EE210" s="56">
        <f t="shared" si="1186"/>
        <v>0.95</v>
      </c>
      <c r="EF210" s="56">
        <f t="shared" si="1187"/>
        <v>0.95</v>
      </c>
      <c r="EG210" s="56">
        <f t="shared" si="1238"/>
        <v>0.94999999999999973</v>
      </c>
      <c r="EH210" s="57"/>
      <c r="EI210" s="57"/>
      <c r="EJ210" s="57"/>
      <c r="EK210" s="675"/>
      <c r="EL210" s="55"/>
      <c r="EM210" s="55"/>
      <c r="EN210" s="55"/>
      <c r="EO210" s="49"/>
      <c r="EP210" s="49"/>
      <c r="EQ210" s="49"/>
      <c r="ER210" s="14"/>
      <c r="ES210" s="14"/>
    </row>
    <row r="211" spans="1:149">
      <c r="A211" s="6" t="s">
        <v>23</v>
      </c>
      <c r="B211" s="2" t="s">
        <v>8</v>
      </c>
      <c r="C211" s="3" t="s">
        <v>86</v>
      </c>
      <c r="E211" s="3" t="s">
        <v>16</v>
      </c>
      <c r="G211" s="3" t="s">
        <v>91</v>
      </c>
      <c r="I211" s="23"/>
      <c r="J211" s="19">
        <f>25/12</f>
        <v>2.0833333333333335</v>
      </c>
      <c r="K211" s="19">
        <f>J211+2.0833333</f>
        <v>4.1666666333333335</v>
      </c>
      <c r="L211" s="19">
        <f t="shared" ref="L211:U211" si="1246">K211+2.0833333</f>
        <v>6.2499999333333331</v>
      </c>
      <c r="M211" s="19">
        <f t="shared" si="1246"/>
        <v>8.3333332333333328</v>
      </c>
      <c r="N211" s="19">
        <f t="shared" si="1246"/>
        <v>10.416666533333332</v>
      </c>
      <c r="O211" s="19">
        <f t="shared" si="1246"/>
        <v>12.499999833333332</v>
      </c>
      <c r="P211" s="19">
        <f t="shared" si="1246"/>
        <v>14.583333133333332</v>
      </c>
      <c r="Q211" s="19">
        <f t="shared" si="1246"/>
        <v>16.666666433333333</v>
      </c>
      <c r="R211" s="19">
        <f t="shared" si="1246"/>
        <v>18.749999733333333</v>
      </c>
      <c r="S211" s="19">
        <f t="shared" si="1246"/>
        <v>20.833333033333332</v>
      </c>
      <c r="T211" s="19">
        <f t="shared" si="1246"/>
        <v>22.916666333333332</v>
      </c>
      <c r="U211" s="19">
        <f t="shared" si="1246"/>
        <v>24.999999633333331</v>
      </c>
      <c r="V211" s="219">
        <v>1.1659999999999999</v>
      </c>
      <c r="W211" s="246">
        <f>V211+1.166</f>
        <v>2.3319999999999999</v>
      </c>
      <c r="X211" s="376">
        <f t="shared" ref="X211:AG211" si="1247">W211+1.166</f>
        <v>3.4979999999999998</v>
      </c>
      <c r="Y211" s="376">
        <f t="shared" si="1247"/>
        <v>4.6639999999999997</v>
      </c>
      <c r="Z211" s="376">
        <f t="shared" si="1247"/>
        <v>5.83</v>
      </c>
      <c r="AA211" s="376">
        <f t="shared" si="1247"/>
        <v>6.9960000000000004</v>
      </c>
      <c r="AB211" s="376">
        <f t="shared" si="1247"/>
        <v>8.1620000000000008</v>
      </c>
      <c r="AC211" s="376">
        <f t="shared" si="1247"/>
        <v>9.3280000000000012</v>
      </c>
      <c r="AD211" s="376">
        <f t="shared" si="1247"/>
        <v>10.494000000000002</v>
      </c>
      <c r="AE211" s="376">
        <f t="shared" si="1247"/>
        <v>11.660000000000002</v>
      </c>
      <c r="AF211" s="376">
        <f t="shared" si="1247"/>
        <v>12.826000000000002</v>
      </c>
      <c r="AG211" s="189">
        <f t="shared" si="1247"/>
        <v>13.992000000000003</v>
      </c>
      <c r="AH211" s="31"/>
      <c r="AI211" s="19"/>
      <c r="AJ211" s="19"/>
      <c r="AK211" s="408"/>
      <c r="AL211" s="40">
        <f>J211</f>
        <v>2.0833333333333335</v>
      </c>
      <c r="AM211" s="40">
        <f>K211-J211</f>
        <v>2.0833333000000001</v>
      </c>
      <c r="AN211" s="40">
        <f t="shared" ref="AN211:AN217" si="1248">L211-K211</f>
        <v>2.0833332999999996</v>
      </c>
      <c r="AO211" s="40">
        <f t="shared" ref="AO211:AO217" si="1249">M211-L211</f>
        <v>2.0833332999999996</v>
      </c>
      <c r="AP211" s="40">
        <f t="shared" ref="AP211:AP217" si="1250">N211-M211</f>
        <v>2.0833332999999996</v>
      </c>
      <c r="AQ211" s="40">
        <f t="shared" ref="AQ211:AQ217" si="1251">O211-N211</f>
        <v>2.0833332999999996</v>
      </c>
      <c r="AR211" s="40">
        <f t="shared" ref="AR211:AR217" si="1252">P211-O211</f>
        <v>2.0833332999999996</v>
      </c>
      <c r="AS211" s="40">
        <f t="shared" ref="AS211:AS217" si="1253">Q211-P211</f>
        <v>2.0833333000000014</v>
      </c>
      <c r="AT211" s="40">
        <f t="shared" ref="AT211:AT217" si="1254">R211-Q211</f>
        <v>2.0833332999999996</v>
      </c>
      <c r="AU211" s="40">
        <f t="shared" ref="AU211:AU217" si="1255">S211-R211</f>
        <v>2.0833332999999996</v>
      </c>
      <c r="AV211" s="40">
        <f t="shared" ref="AV211:AV217" si="1256">T211-S211</f>
        <v>2.0833332999999996</v>
      </c>
      <c r="AW211" s="40">
        <f t="shared" ref="AW211:AW217" si="1257">U211-T211</f>
        <v>2.0833332999999996</v>
      </c>
      <c r="AX211" s="40">
        <f>V211</f>
        <v>1.1659999999999999</v>
      </c>
      <c r="AY211" s="40">
        <f t="shared" ref="AY211:AY217" si="1258">W211-V211</f>
        <v>1.1659999999999999</v>
      </c>
      <c r="AZ211" s="40">
        <f t="shared" ref="AZ211:AZ217" si="1259">X211-W211</f>
        <v>1.1659999999999999</v>
      </c>
      <c r="BA211" s="40">
        <f t="shared" ref="BA211:BA217" si="1260">Y211-X211</f>
        <v>1.1659999999999999</v>
      </c>
      <c r="BB211" s="40">
        <f t="shared" ref="BB211:BB217" si="1261">Z211-Y211</f>
        <v>1.1660000000000004</v>
      </c>
      <c r="BC211" s="40">
        <f t="shared" ref="BC211:BC217" si="1262">AA211-Z211</f>
        <v>1.1660000000000004</v>
      </c>
      <c r="BD211" s="40">
        <f t="shared" ref="BD211:BD217" si="1263">AB211-AA211</f>
        <v>1.1660000000000004</v>
      </c>
      <c r="BE211" s="40">
        <f t="shared" ref="BE211:BE217" si="1264">AC211-AB211</f>
        <v>1.1660000000000004</v>
      </c>
      <c r="BF211" s="40">
        <f t="shared" ref="BF211:BF217" si="1265">AD211-AC211</f>
        <v>1.1660000000000004</v>
      </c>
      <c r="BG211" s="40">
        <f t="shared" ref="BG211:BG217" si="1266">AE211-AD211</f>
        <v>1.1660000000000004</v>
      </c>
      <c r="BH211" s="40">
        <f t="shared" ref="BH211:BH217" si="1267">AF211-AE211</f>
        <v>1.1660000000000004</v>
      </c>
      <c r="BI211" s="40">
        <f t="shared" ref="BI211:BI217" si="1268">AG211-AF211</f>
        <v>1.1660000000000004</v>
      </c>
      <c r="BJ211" s="40">
        <f t="shared" ref="BJ211:BJ216" si="1269">AH211</f>
        <v>0</v>
      </c>
      <c r="BK211" s="40">
        <f t="shared" ref="BK211:BK217" si="1270">AI211-AH211</f>
        <v>0</v>
      </c>
      <c r="BL211" s="40">
        <f t="shared" ref="BL211:BL217" si="1271">AJ211-AI211</f>
        <v>0</v>
      </c>
      <c r="BM211" s="408"/>
      <c r="BN211" s="48">
        <f t="shared" si="1190"/>
        <v>6.2499999333333331</v>
      </c>
      <c r="BO211" s="48">
        <f t="shared" si="1191"/>
        <v>6.2499999333333331</v>
      </c>
      <c r="BP211" s="48">
        <f t="shared" ref="BP211:BP216" si="1272">SUM(AL211:AN211)</f>
        <v>6.2499999333333331</v>
      </c>
      <c r="BQ211" s="48">
        <f t="shared" si="1193"/>
        <v>6.2499998999999988</v>
      </c>
      <c r="BR211" s="48">
        <f t="shared" si="1194"/>
        <v>6.2499998999999988</v>
      </c>
      <c r="BS211" s="48">
        <f t="shared" ref="BS211:BS216" si="1273">SUM(AO211:AQ211)</f>
        <v>6.2499998999999988</v>
      </c>
      <c r="BT211" s="48">
        <f t="shared" si="1196"/>
        <v>6.2499999000000006</v>
      </c>
      <c r="BU211" s="48">
        <f t="shared" si="1197"/>
        <v>6.2499999000000006</v>
      </c>
      <c r="BV211" s="48">
        <f t="shared" ref="BV211:BV216" si="1274">SUM(AR211:AT211)</f>
        <v>6.2499999000000006</v>
      </c>
      <c r="BW211" s="48">
        <f t="shared" si="1199"/>
        <v>6.2499998999999988</v>
      </c>
      <c r="BX211" s="48">
        <f t="shared" si="1200"/>
        <v>6.2499998999999988</v>
      </c>
      <c r="BY211" s="48">
        <f t="shared" ref="BY211:BY216" si="1275">SUM(AU211:AW211)</f>
        <v>6.2499998999999988</v>
      </c>
      <c r="BZ211" s="48">
        <f t="shared" si="1202"/>
        <v>3.4979999999999998</v>
      </c>
      <c r="CA211" s="48">
        <f t="shared" si="1203"/>
        <v>3.4979999999999998</v>
      </c>
      <c r="CB211" s="48">
        <f t="shared" si="1230"/>
        <v>3.4979999999999998</v>
      </c>
      <c r="CC211" s="48">
        <f t="shared" si="1223"/>
        <v>3.4980000000000007</v>
      </c>
      <c r="CD211" s="48">
        <f t="shared" si="1204"/>
        <v>3.4980000000000007</v>
      </c>
      <c r="CE211" s="48">
        <f>SUM(BA211:BC211)</f>
        <v>3.4980000000000007</v>
      </c>
      <c r="CF211" s="48">
        <f t="shared" si="1206"/>
        <v>3.4980000000000011</v>
      </c>
      <c r="CG211" s="48">
        <f t="shared" si="1207"/>
        <v>3.4980000000000011</v>
      </c>
      <c r="CH211" s="48">
        <f>SUM(BD211:BF211)</f>
        <v>3.4980000000000011</v>
      </c>
      <c r="CI211" s="48">
        <f t="shared" si="1209"/>
        <v>3.4980000000000011</v>
      </c>
      <c r="CJ211" s="48">
        <f t="shared" si="1210"/>
        <v>3.4980000000000011</v>
      </c>
      <c r="CK211" s="48">
        <f>SUM(BG211:BI211)</f>
        <v>3.4980000000000011</v>
      </c>
      <c r="CL211" s="48">
        <f t="shared" si="1212"/>
        <v>0</v>
      </c>
      <c r="CM211" s="48">
        <f t="shared" si="1213"/>
        <v>0</v>
      </c>
      <c r="CN211" s="48">
        <f t="shared" ref="CN211:CN217" si="1276">SUM(BJ211:BL211)</f>
        <v>0</v>
      </c>
      <c r="CO211" s="406"/>
      <c r="CP211" s="48">
        <f>AL211</f>
        <v>2.0833333333333335</v>
      </c>
      <c r="CQ211" s="48">
        <f t="shared" ref="CQ211:CQ217" si="1277">CP211+AM211</f>
        <v>4.1666666333333335</v>
      </c>
      <c r="CR211" s="48">
        <f t="shared" ref="CR211:CR217" si="1278">CQ211+AN211</f>
        <v>6.2499999333333331</v>
      </c>
      <c r="CS211" s="48">
        <f t="shared" ref="CS211:CS217" si="1279">CR211+AO211</f>
        <v>8.3333332333333328</v>
      </c>
      <c r="CT211" s="48">
        <f t="shared" ref="CT211:CT217" si="1280">CS211+AP211</f>
        <v>10.416666533333332</v>
      </c>
      <c r="CU211" s="48">
        <f t="shared" ref="CU211:CU217" si="1281">CT211+AQ211</f>
        <v>12.499999833333332</v>
      </c>
      <c r="CV211" s="48">
        <f t="shared" ref="CV211:CV217" si="1282">CU211+AR211</f>
        <v>14.583333133333332</v>
      </c>
      <c r="CW211" s="48">
        <f t="shared" ref="CW211:CW217" si="1283">CV211+AS211</f>
        <v>16.666666433333333</v>
      </c>
      <c r="CX211" s="48">
        <f t="shared" ref="CX211:CX217" si="1284">CW211+AT211</f>
        <v>18.749999733333333</v>
      </c>
      <c r="CY211" s="48">
        <f t="shared" ref="CY211:CY217" si="1285">CX211+AU211</f>
        <v>20.833333033333332</v>
      </c>
      <c r="CZ211" s="48">
        <f t="shared" ref="CZ211:CZ217" si="1286">CY211+AV211</f>
        <v>22.916666333333332</v>
      </c>
      <c r="DA211" s="48">
        <f t="shared" ref="DA211:DA217" si="1287">CZ211+AW211</f>
        <v>24.999999633333331</v>
      </c>
      <c r="DB211" s="48">
        <f>AX211</f>
        <v>1.1659999999999999</v>
      </c>
      <c r="DC211" s="48">
        <f t="shared" ref="DC211:DC217" si="1288">DB211+AY211</f>
        <v>2.3319999999999999</v>
      </c>
      <c r="DD211" s="48">
        <f t="shared" ref="DD211:DD217" si="1289">DC211+AZ211</f>
        <v>3.4979999999999998</v>
      </c>
      <c r="DE211" s="48">
        <f t="shared" ref="DE211:DE217" si="1290">DD211+BA211</f>
        <v>4.6639999999999997</v>
      </c>
      <c r="DF211" s="48">
        <f t="shared" ref="DF211:DF217" si="1291">DE211+BB211</f>
        <v>5.83</v>
      </c>
      <c r="DG211" s="48">
        <f t="shared" ref="DG211:DG217" si="1292">DF211+BC211</f>
        <v>6.9960000000000004</v>
      </c>
      <c r="DH211" s="48">
        <f t="shared" ref="DH211:DH217" si="1293">DG211+BD211</f>
        <v>8.1620000000000008</v>
      </c>
      <c r="DI211" s="48">
        <f t="shared" ref="DI211:DI217" si="1294">DH211+BE211</f>
        <v>9.3280000000000012</v>
      </c>
      <c r="DJ211" s="48">
        <f t="shared" ref="DJ211:DJ217" si="1295">DI211+BF211</f>
        <v>10.494000000000002</v>
      </c>
      <c r="DK211" s="48">
        <f t="shared" ref="DK211:DK217" si="1296">DJ211+BG211</f>
        <v>11.660000000000002</v>
      </c>
      <c r="DL211" s="48">
        <f t="shared" ref="DL211:DL217" si="1297">DK211+BH211</f>
        <v>12.826000000000002</v>
      </c>
      <c r="DM211" s="48">
        <f t="shared" ref="DM211:DM217" si="1298">DL211+BI211</f>
        <v>13.992000000000003</v>
      </c>
      <c r="DN211" s="48">
        <f t="shared" ref="DN211:DN216" si="1299">BJ211</f>
        <v>0</v>
      </c>
      <c r="DO211" s="48">
        <f>DN211+BK211</f>
        <v>0</v>
      </c>
      <c r="DP211" s="48">
        <f>DO211+BL211</f>
        <v>0</v>
      </c>
      <c r="DQ211" s="48"/>
      <c r="DR211" s="48"/>
      <c r="DS211" s="48"/>
      <c r="DT211" s="48"/>
      <c r="DU211" s="48"/>
      <c r="DV211" s="48"/>
      <c r="DW211" s="48"/>
      <c r="DX211" s="48"/>
      <c r="DY211" s="48"/>
      <c r="EA211" s="52">
        <f t="shared" si="1226"/>
        <v>24.999999633333331</v>
      </c>
      <c r="EB211" s="52">
        <f t="shared" si="1227"/>
        <v>13.992000000000003</v>
      </c>
      <c r="EC211" s="52"/>
      <c r="ED211" s="429"/>
      <c r="EE211" s="40">
        <f t="shared" si="1186"/>
        <v>0</v>
      </c>
      <c r="EF211" s="40">
        <f t="shared" si="1187"/>
        <v>0</v>
      </c>
      <c r="EG211" s="51">
        <f t="shared" si="1238"/>
        <v>13.992000000000003</v>
      </c>
      <c r="EH211" s="54"/>
      <c r="EI211" s="54"/>
      <c r="EJ211" s="54"/>
      <c r="EK211" s="675"/>
      <c r="EL211" s="53"/>
      <c r="EM211" s="53"/>
      <c r="EN211" s="53"/>
      <c r="EO211" s="49"/>
      <c r="EP211" s="49"/>
      <c r="EQ211" s="49"/>
    </row>
    <row r="212" spans="1:149">
      <c r="A212" s="6" t="s">
        <v>23</v>
      </c>
      <c r="B212" s="2" t="s">
        <v>9</v>
      </c>
      <c r="C212" s="3" t="s">
        <v>46</v>
      </c>
      <c r="E212" s="3" t="s">
        <v>16</v>
      </c>
      <c r="G212" s="3" t="s">
        <v>91</v>
      </c>
      <c r="I212" s="23"/>
      <c r="J212" s="19">
        <f>419/12</f>
        <v>34.916666666666664</v>
      </c>
      <c r="K212" s="19">
        <f>J212+34.9166667</f>
        <v>69.833333366666665</v>
      </c>
      <c r="L212" s="19">
        <f t="shared" ref="L212:U212" si="1300">K212+34.9166667</f>
        <v>104.75000006666667</v>
      </c>
      <c r="M212" s="19">
        <f t="shared" si="1300"/>
        <v>139.66666676666668</v>
      </c>
      <c r="N212" s="19">
        <f t="shared" si="1300"/>
        <v>174.58333346666669</v>
      </c>
      <c r="O212" s="19">
        <f t="shared" si="1300"/>
        <v>209.50000016666669</v>
      </c>
      <c r="P212" s="19">
        <f t="shared" si="1300"/>
        <v>244.4166668666667</v>
      </c>
      <c r="Q212" s="19">
        <f t="shared" si="1300"/>
        <v>279.33333356666668</v>
      </c>
      <c r="R212" s="19">
        <f t="shared" si="1300"/>
        <v>314.25000026666669</v>
      </c>
      <c r="S212" s="19">
        <f t="shared" si="1300"/>
        <v>349.1666669666667</v>
      </c>
      <c r="T212" s="19">
        <f t="shared" si="1300"/>
        <v>384.0833336666667</v>
      </c>
      <c r="U212" s="19">
        <f t="shared" si="1300"/>
        <v>419.00000036666671</v>
      </c>
      <c r="V212" s="219">
        <v>44.875</v>
      </c>
      <c r="W212" s="246">
        <f>V212+44.875</f>
        <v>89.75</v>
      </c>
      <c r="X212" s="376">
        <f t="shared" ref="X212:AG212" si="1301">W212+44.875</f>
        <v>134.625</v>
      </c>
      <c r="Y212" s="376">
        <f t="shared" si="1301"/>
        <v>179.5</v>
      </c>
      <c r="Z212" s="376">
        <f t="shared" si="1301"/>
        <v>224.375</v>
      </c>
      <c r="AA212" s="376">
        <f t="shared" si="1301"/>
        <v>269.25</v>
      </c>
      <c r="AB212" s="376">
        <f t="shared" si="1301"/>
        <v>314.125</v>
      </c>
      <c r="AC212" s="376">
        <f t="shared" si="1301"/>
        <v>359</v>
      </c>
      <c r="AD212" s="376">
        <f t="shared" si="1301"/>
        <v>403.875</v>
      </c>
      <c r="AE212" s="376">
        <f t="shared" si="1301"/>
        <v>448.75</v>
      </c>
      <c r="AF212" s="376">
        <f t="shared" si="1301"/>
        <v>493.625</v>
      </c>
      <c r="AG212" s="376">
        <f t="shared" si="1301"/>
        <v>538.5</v>
      </c>
      <c r="AH212" s="31">
        <f>540/12</f>
        <v>45</v>
      </c>
      <c r="AI212" s="19">
        <f>+AH212+AH212</f>
        <v>90</v>
      </c>
      <c r="AJ212" s="19">
        <f>+AI212+AH212</f>
        <v>135</v>
      </c>
      <c r="AK212" s="408"/>
      <c r="AL212" s="40">
        <f t="shared" ref="AL212:AL217" si="1302">J212</f>
        <v>34.916666666666664</v>
      </c>
      <c r="AM212" s="40">
        <f t="shared" ref="AM212:AM217" si="1303">K212-J212</f>
        <v>34.9166667</v>
      </c>
      <c r="AN212" s="40">
        <f t="shared" si="1248"/>
        <v>34.916666700000007</v>
      </c>
      <c r="AO212" s="40">
        <f t="shared" si="1249"/>
        <v>34.916666700000007</v>
      </c>
      <c r="AP212" s="40">
        <f t="shared" si="1250"/>
        <v>34.916666700000007</v>
      </c>
      <c r="AQ212" s="40">
        <f t="shared" si="1251"/>
        <v>34.916666700000007</v>
      </c>
      <c r="AR212" s="40">
        <f t="shared" si="1252"/>
        <v>34.916666700000007</v>
      </c>
      <c r="AS212" s="40">
        <f t="shared" si="1253"/>
        <v>34.916666699999979</v>
      </c>
      <c r="AT212" s="40">
        <f t="shared" si="1254"/>
        <v>34.916666700000007</v>
      </c>
      <c r="AU212" s="40">
        <f t="shared" si="1255"/>
        <v>34.916666700000007</v>
      </c>
      <c r="AV212" s="40">
        <f t="shared" si="1256"/>
        <v>34.916666700000007</v>
      </c>
      <c r="AW212" s="40">
        <f t="shared" si="1257"/>
        <v>34.916666700000007</v>
      </c>
      <c r="AX212" s="40">
        <f t="shared" ref="AX212:AX217" si="1304">V212</f>
        <v>44.875</v>
      </c>
      <c r="AY212" s="40">
        <f t="shared" si="1258"/>
        <v>44.875</v>
      </c>
      <c r="AZ212" s="40">
        <f t="shared" si="1259"/>
        <v>44.875</v>
      </c>
      <c r="BA212" s="40">
        <f t="shared" si="1260"/>
        <v>44.875</v>
      </c>
      <c r="BB212" s="40">
        <f t="shared" si="1261"/>
        <v>44.875</v>
      </c>
      <c r="BC212" s="40">
        <f t="shared" si="1262"/>
        <v>44.875</v>
      </c>
      <c r="BD212" s="40">
        <f t="shared" si="1263"/>
        <v>44.875</v>
      </c>
      <c r="BE212" s="40">
        <f t="shared" si="1264"/>
        <v>44.875</v>
      </c>
      <c r="BF212" s="40">
        <f t="shared" si="1265"/>
        <v>44.875</v>
      </c>
      <c r="BG212" s="40">
        <f t="shared" si="1266"/>
        <v>44.875</v>
      </c>
      <c r="BH212" s="40">
        <f t="shared" si="1267"/>
        <v>44.875</v>
      </c>
      <c r="BI212" s="40">
        <f t="shared" si="1268"/>
        <v>44.875</v>
      </c>
      <c r="BJ212" s="40">
        <f t="shared" si="1269"/>
        <v>45</v>
      </c>
      <c r="BK212" s="40">
        <f t="shared" ref="BK212" si="1305">AI212</f>
        <v>90</v>
      </c>
      <c r="BL212" s="40">
        <f t="shared" ref="BL212" si="1306">AJ212</f>
        <v>135</v>
      </c>
      <c r="BM212" s="408"/>
      <c r="BN212" s="48">
        <f t="shared" si="1190"/>
        <v>104.75000006666667</v>
      </c>
      <c r="BO212" s="48">
        <f t="shared" si="1191"/>
        <v>104.75000006666667</v>
      </c>
      <c r="BP212" s="48">
        <f t="shared" si="1272"/>
        <v>104.75000006666667</v>
      </c>
      <c r="BQ212" s="48">
        <f t="shared" si="1193"/>
        <v>104.75000010000002</v>
      </c>
      <c r="BR212" s="48">
        <f t="shared" si="1194"/>
        <v>104.75000010000002</v>
      </c>
      <c r="BS212" s="48">
        <f t="shared" si="1273"/>
        <v>104.75000010000002</v>
      </c>
      <c r="BT212" s="48">
        <f t="shared" si="1196"/>
        <v>104.75000009999999</v>
      </c>
      <c r="BU212" s="48">
        <f t="shared" si="1197"/>
        <v>104.75000009999999</v>
      </c>
      <c r="BV212" s="48">
        <f t="shared" si="1274"/>
        <v>104.75000009999999</v>
      </c>
      <c r="BW212" s="48">
        <f t="shared" si="1199"/>
        <v>104.75000010000002</v>
      </c>
      <c r="BX212" s="48">
        <f t="shared" si="1200"/>
        <v>104.75000010000002</v>
      </c>
      <c r="BY212" s="48">
        <f t="shared" si="1275"/>
        <v>104.75000010000002</v>
      </c>
      <c r="BZ212" s="48">
        <f t="shared" si="1202"/>
        <v>134.625</v>
      </c>
      <c r="CA212" s="48">
        <f t="shared" si="1203"/>
        <v>134.625</v>
      </c>
      <c r="CB212" s="48">
        <f t="shared" si="1230"/>
        <v>134.625</v>
      </c>
      <c r="CC212" s="48">
        <f t="shared" si="1223"/>
        <v>44.875</v>
      </c>
      <c r="CD212" s="48">
        <f t="shared" si="1204"/>
        <v>44.875</v>
      </c>
      <c r="CE212" s="56">
        <f>IF(CE211=0,0,(BA212*BA211+BB212*BB211+BC212*BC211)/CE211)</f>
        <v>44.875</v>
      </c>
      <c r="CF212" s="48">
        <f t="shared" si="1206"/>
        <v>44.875</v>
      </c>
      <c r="CG212" s="48">
        <f t="shared" si="1207"/>
        <v>44.875</v>
      </c>
      <c r="CH212" s="56">
        <f>IF(CH211=0,0,(BD212*BD211+BE212*BE211+BF212*BF211)/CH211)</f>
        <v>44.875</v>
      </c>
      <c r="CI212" s="48">
        <f t="shared" si="1209"/>
        <v>44.875</v>
      </c>
      <c r="CJ212" s="48">
        <f t="shared" si="1210"/>
        <v>44.875</v>
      </c>
      <c r="CK212" s="56">
        <f>IF(CK211=0,0,(BG212*BG211+BH212*BH211+BI212*BI211)/CK211)</f>
        <v>44.875</v>
      </c>
      <c r="CL212" s="48">
        <f t="shared" si="1212"/>
        <v>135</v>
      </c>
      <c r="CM212" s="48">
        <f t="shared" si="1213"/>
        <v>135</v>
      </c>
      <c r="CN212" s="48">
        <f>540/4</f>
        <v>135</v>
      </c>
      <c r="CO212" s="406"/>
      <c r="CP212" s="48">
        <f t="shared" ref="CP212:CP217" si="1307">AL212</f>
        <v>34.916666666666664</v>
      </c>
      <c r="CQ212" s="48">
        <f t="shared" si="1277"/>
        <v>69.833333366666665</v>
      </c>
      <c r="CR212" s="48">
        <f t="shared" si="1278"/>
        <v>104.75000006666667</v>
      </c>
      <c r="CS212" s="48">
        <f t="shared" si="1279"/>
        <v>139.66666676666668</v>
      </c>
      <c r="CT212" s="48">
        <f t="shared" si="1280"/>
        <v>174.58333346666669</v>
      </c>
      <c r="CU212" s="48">
        <f t="shared" si="1281"/>
        <v>209.50000016666669</v>
      </c>
      <c r="CV212" s="48">
        <f t="shared" si="1282"/>
        <v>244.4166668666667</v>
      </c>
      <c r="CW212" s="48">
        <f t="shared" si="1283"/>
        <v>279.33333356666668</v>
      </c>
      <c r="CX212" s="48">
        <f t="shared" si="1284"/>
        <v>314.25000026666669</v>
      </c>
      <c r="CY212" s="48">
        <f t="shared" si="1285"/>
        <v>349.1666669666667</v>
      </c>
      <c r="CZ212" s="48">
        <f t="shared" si="1286"/>
        <v>384.0833336666667</v>
      </c>
      <c r="DA212" s="48">
        <f t="shared" si="1287"/>
        <v>419.00000036666671</v>
      </c>
      <c r="DB212" s="48">
        <f t="shared" ref="DB212:DB217" si="1308">AX212</f>
        <v>44.875</v>
      </c>
      <c r="DC212" s="48">
        <f t="shared" si="1288"/>
        <v>89.75</v>
      </c>
      <c r="DD212" s="48">
        <f t="shared" si="1289"/>
        <v>134.625</v>
      </c>
      <c r="DE212" s="48">
        <f t="shared" si="1290"/>
        <v>179.5</v>
      </c>
      <c r="DF212" s="48">
        <f t="shared" si="1291"/>
        <v>224.375</v>
      </c>
      <c r="DG212" s="48">
        <f t="shared" si="1292"/>
        <v>269.25</v>
      </c>
      <c r="DH212" s="48">
        <f t="shared" si="1293"/>
        <v>314.125</v>
      </c>
      <c r="DI212" s="48">
        <f t="shared" si="1294"/>
        <v>359</v>
      </c>
      <c r="DJ212" s="48">
        <f t="shared" si="1295"/>
        <v>403.875</v>
      </c>
      <c r="DK212" s="48">
        <f t="shared" si="1296"/>
        <v>448.75</v>
      </c>
      <c r="DL212" s="48">
        <f t="shared" si="1297"/>
        <v>493.625</v>
      </c>
      <c r="DM212" s="48">
        <f t="shared" si="1298"/>
        <v>538.5</v>
      </c>
      <c r="DN212" s="48">
        <f t="shared" si="1299"/>
        <v>45</v>
      </c>
      <c r="DO212" s="48">
        <f t="shared" ref="DO212:DO217" si="1309">DN212+BK212</f>
        <v>135</v>
      </c>
      <c r="DP212" s="48">
        <f t="shared" ref="DP212:DP217" si="1310">DO212+BL212</f>
        <v>270</v>
      </c>
      <c r="DQ212" s="48"/>
      <c r="DR212" s="48"/>
      <c r="DS212" s="48"/>
      <c r="DT212" s="48"/>
      <c r="DU212" s="48"/>
      <c r="DV212" s="48"/>
      <c r="DW212" s="48"/>
      <c r="DX212" s="48"/>
      <c r="DY212" s="48"/>
      <c r="EA212" s="52">
        <f t="shared" si="1226"/>
        <v>419.00000036666671</v>
      </c>
      <c r="EB212" s="52">
        <f t="shared" si="1227"/>
        <v>538.5</v>
      </c>
      <c r="EC212" s="52"/>
      <c r="ED212" s="429"/>
      <c r="EE212" s="40">
        <f t="shared" si="1186"/>
        <v>90</v>
      </c>
      <c r="EF212" s="40">
        <f t="shared" si="1187"/>
        <v>135</v>
      </c>
      <c r="EG212" s="51">
        <f t="shared" si="1238"/>
        <v>538.5</v>
      </c>
      <c r="EH212" s="54"/>
      <c r="EI212" s="54"/>
      <c r="EJ212" s="54"/>
      <c r="EK212" s="675"/>
      <c r="EL212" s="53"/>
      <c r="EM212" s="53"/>
      <c r="EN212" s="53"/>
      <c r="EO212" s="49"/>
      <c r="EP212" s="49"/>
      <c r="EQ212" s="49"/>
    </row>
    <row r="213" spans="1:149">
      <c r="A213" s="6" t="s">
        <v>23</v>
      </c>
      <c r="B213" s="2" t="s">
        <v>10</v>
      </c>
      <c r="C213" s="3" t="s">
        <v>47</v>
      </c>
      <c r="E213" s="3" t="s">
        <v>16</v>
      </c>
      <c r="G213" s="3" t="s">
        <v>91</v>
      </c>
      <c r="I213" s="23"/>
      <c r="J213" s="19">
        <f>J212*0.11</f>
        <v>3.8408333333333329</v>
      </c>
      <c r="K213" s="19">
        <f t="shared" ref="K213:U213" si="1311">K212*0.11</f>
        <v>7.6816666703333327</v>
      </c>
      <c r="L213" s="19">
        <f t="shared" si="1311"/>
        <v>11.522500007333335</v>
      </c>
      <c r="M213" s="19">
        <f t="shared" si="1311"/>
        <v>15.363333344333334</v>
      </c>
      <c r="N213" s="19">
        <f t="shared" si="1311"/>
        <v>19.204166681333337</v>
      </c>
      <c r="O213" s="19">
        <f t="shared" si="1311"/>
        <v>23.045000018333337</v>
      </c>
      <c r="P213" s="19">
        <f t="shared" si="1311"/>
        <v>26.885833355333336</v>
      </c>
      <c r="Q213" s="19">
        <f t="shared" si="1311"/>
        <v>30.726666692333335</v>
      </c>
      <c r="R213" s="19">
        <f t="shared" si="1311"/>
        <v>34.567500029333338</v>
      </c>
      <c r="S213" s="19">
        <f t="shared" si="1311"/>
        <v>38.408333366333338</v>
      </c>
      <c r="T213" s="19">
        <f t="shared" si="1311"/>
        <v>42.249166703333337</v>
      </c>
      <c r="U213" s="19">
        <f t="shared" si="1311"/>
        <v>46.090000040333337</v>
      </c>
      <c r="V213" s="219">
        <v>6.75</v>
      </c>
      <c r="W213" s="246">
        <f>V213+6.75</f>
        <v>13.5</v>
      </c>
      <c r="X213" s="376">
        <f t="shared" ref="X213:AG213" si="1312">W213+6.75</f>
        <v>20.25</v>
      </c>
      <c r="Y213" s="376">
        <f t="shared" si="1312"/>
        <v>27</v>
      </c>
      <c r="Z213" s="376">
        <f t="shared" si="1312"/>
        <v>33.75</v>
      </c>
      <c r="AA213" s="376">
        <f t="shared" si="1312"/>
        <v>40.5</v>
      </c>
      <c r="AB213" s="376">
        <f t="shared" si="1312"/>
        <v>47.25</v>
      </c>
      <c r="AC213" s="376">
        <f t="shared" si="1312"/>
        <v>54</v>
      </c>
      <c r="AD213" s="376">
        <f t="shared" si="1312"/>
        <v>60.75</v>
      </c>
      <c r="AE213" s="376">
        <f t="shared" si="1312"/>
        <v>67.5</v>
      </c>
      <c r="AF213" s="376">
        <f t="shared" si="1312"/>
        <v>74.25</v>
      </c>
      <c r="AG213" s="376">
        <f t="shared" si="1312"/>
        <v>81</v>
      </c>
      <c r="AH213" s="31"/>
      <c r="AI213" s="19"/>
      <c r="AJ213" s="19"/>
      <c r="AK213" s="408"/>
      <c r="AL213" s="40">
        <f t="shared" si="1302"/>
        <v>3.8408333333333329</v>
      </c>
      <c r="AM213" s="40">
        <f t="shared" si="1303"/>
        <v>3.8408333369999998</v>
      </c>
      <c r="AN213" s="40">
        <f t="shared" si="1248"/>
        <v>3.8408333370000021</v>
      </c>
      <c r="AO213" s="40">
        <f t="shared" si="1249"/>
        <v>3.8408333369999994</v>
      </c>
      <c r="AP213" s="40">
        <f t="shared" si="1250"/>
        <v>3.840833337000003</v>
      </c>
      <c r="AQ213" s="40">
        <f t="shared" si="1251"/>
        <v>3.8408333369999994</v>
      </c>
      <c r="AR213" s="40">
        <f t="shared" si="1252"/>
        <v>3.8408333369999994</v>
      </c>
      <c r="AS213" s="40">
        <f t="shared" si="1253"/>
        <v>3.8408333369999994</v>
      </c>
      <c r="AT213" s="40">
        <f t="shared" si="1254"/>
        <v>3.840833337000003</v>
      </c>
      <c r="AU213" s="40">
        <f t="shared" si="1255"/>
        <v>3.8408333369999994</v>
      </c>
      <c r="AV213" s="40">
        <f t="shared" si="1256"/>
        <v>3.8408333369999994</v>
      </c>
      <c r="AW213" s="40">
        <f t="shared" si="1257"/>
        <v>3.8408333369999994</v>
      </c>
      <c r="AX213" s="40">
        <f t="shared" si="1304"/>
        <v>6.75</v>
      </c>
      <c r="AY213" s="40">
        <f t="shared" si="1258"/>
        <v>6.75</v>
      </c>
      <c r="AZ213" s="40">
        <f t="shared" si="1259"/>
        <v>6.75</v>
      </c>
      <c r="BA213" s="40">
        <f t="shared" si="1260"/>
        <v>6.75</v>
      </c>
      <c r="BB213" s="40">
        <f t="shared" si="1261"/>
        <v>6.75</v>
      </c>
      <c r="BC213" s="40">
        <f t="shared" si="1262"/>
        <v>6.75</v>
      </c>
      <c r="BD213" s="40">
        <f t="shared" si="1263"/>
        <v>6.75</v>
      </c>
      <c r="BE213" s="40">
        <f t="shared" si="1264"/>
        <v>6.75</v>
      </c>
      <c r="BF213" s="40">
        <f t="shared" si="1265"/>
        <v>6.75</v>
      </c>
      <c r="BG213" s="40">
        <f t="shared" si="1266"/>
        <v>6.75</v>
      </c>
      <c r="BH213" s="40">
        <f t="shared" si="1267"/>
        <v>6.75</v>
      </c>
      <c r="BI213" s="40">
        <f t="shared" si="1268"/>
        <v>6.75</v>
      </c>
      <c r="BJ213" s="40">
        <f t="shared" si="1269"/>
        <v>0</v>
      </c>
      <c r="BK213" s="40">
        <f t="shared" si="1270"/>
        <v>0</v>
      </c>
      <c r="BL213" s="40">
        <f t="shared" si="1271"/>
        <v>0</v>
      </c>
      <c r="BM213" s="408"/>
      <c r="BN213" s="48">
        <f t="shared" si="1190"/>
        <v>11.522500007333335</v>
      </c>
      <c r="BO213" s="48">
        <f t="shared" si="1191"/>
        <v>11.522500007333335</v>
      </c>
      <c r="BP213" s="48">
        <f t="shared" si="1272"/>
        <v>11.522500007333335</v>
      </c>
      <c r="BQ213" s="48">
        <f t="shared" si="1193"/>
        <v>11.522500011000002</v>
      </c>
      <c r="BR213" s="48">
        <f t="shared" si="1194"/>
        <v>11.522500011000002</v>
      </c>
      <c r="BS213" s="48">
        <f t="shared" si="1273"/>
        <v>11.522500011000002</v>
      </c>
      <c r="BT213" s="48">
        <f t="shared" si="1196"/>
        <v>11.522500011000002</v>
      </c>
      <c r="BU213" s="48">
        <f t="shared" si="1197"/>
        <v>11.522500011000002</v>
      </c>
      <c r="BV213" s="48">
        <f t="shared" si="1274"/>
        <v>11.522500011000002</v>
      </c>
      <c r="BW213" s="48">
        <f t="shared" si="1199"/>
        <v>11.522500010999998</v>
      </c>
      <c r="BX213" s="48">
        <f t="shared" si="1200"/>
        <v>11.522500010999998</v>
      </c>
      <c r="BY213" s="48">
        <f t="shared" si="1275"/>
        <v>11.522500010999998</v>
      </c>
      <c r="BZ213" s="48">
        <f t="shared" si="1202"/>
        <v>20.25</v>
      </c>
      <c r="CA213" s="48">
        <f t="shared" si="1203"/>
        <v>20.25</v>
      </c>
      <c r="CB213" s="48">
        <f t="shared" si="1230"/>
        <v>20.25</v>
      </c>
      <c r="CC213" s="48">
        <f t="shared" si="1223"/>
        <v>20.25</v>
      </c>
      <c r="CD213" s="48">
        <f t="shared" si="1204"/>
        <v>20.25</v>
      </c>
      <c r="CE213" s="48">
        <f>SUM(BA213:BC213)</f>
        <v>20.25</v>
      </c>
      <c r="CF213" s="48">
        <f t="shared" si="1206"/>
        <v>20.25</v>
      </c>
      <c r="CG213" s="48">
        <f t="shared" si="1207"/>
        <v>20.25</v>
      </c>
      <c r="CH213" s="48">
        <f>SUM(BD213:BF213)</f>
        <v>20.25</v>
      </c>
      <c r="CI213" s="48">
        <f t="shared" si="1209"/>
        <v>20.25</v>
      </c>
      <c r="CJ213" s="48">
        <f t="shared" si="1210"/>
        <v>20.25</v>
      </c>
      <c r="CK213" s="48">
        <f>SUM(BG213:BI213)</f>
        <v>20.25</v>
      </c>
      <c r="CL213" s="48">
        <f t="shared" si="1212"/>
        <v>0</v>
      </c>
      <c r="CM213" s="48">
        <f t="shared" si="1213"/>
        <v>0</v>
      </c>
      <c r="CN213" s="48">
        <f t="shared" si="1276"/>
        <v>0</v>
      </c>
      <c r="CO213" s="406"/>
      <c r="CP213" s="48">
        <f t="shared" si="1307"/>
        <v>3.8408333333333329</v>
      </c>
      <c r="CQ213" s="48">
        <f t="shared" si="1277"/>
        <v>7.6816666703333327</v>
      </c>
      <c r="CR213" s="48">
        <f t="shared" si="1278"/>
        <v>11.522500007333335</v>
      </c>
      <c r="CS213" s="48">
        <f t="shared" si="1279"/>
        <v>15.363333344333334</v>
      </c>
      <c r="CT213" s="48">
        <f t="shared" si="1280"/>
        <v>19.204166681333337</v>
      </c>
      <c r="CU213" s="48">
        <f t="shared" si="1281"/>
        <v>23.045000018333337</v>
      </c>
      <c r="CV213" s="48">
        <f t="shared" si="1282"/>
        <v>26.885833355333336</v>
      </c>
      <c r="CW213" s="48">
        <f t="shared" si="1283"/>
        <v>30.726666692333335</v>
      </c>
      <c r="CX213" s="48">
        <f t="shared" si="1284"/>
        <v>34.567500029333338</v>
      </c>
      <c r="CY213" s="48">
        <f t="shared" si="1285"/>
        <v>38.408333366333338</v>
      </c>
      <c r="CZ213" s="48">
        <f t="shared" si="1286"/>
        <v>42.249166703333337</v>
      </c>
      <c r="DA213" s="48">
        <f t="shared" si="1287"/>
        <v>46.090000040333337</v>
      </c>
      <c r="DB213" s="48">
        <f t="shared" si="1308"/>
        <v>6.75</v>
      </c>
      <c r="DC213" s="48">
        <f t="shared" si="1288"/>
        <v>13.5</v>
      </c>
      <c r="DD213" s="48">
        <f t="shared" si="1289"/>
        <v>20.25</v>
      </c>
      <c r="DE213" s="48">
        <f t="shared" si="1290"/>
        <v>27</v>
      </c>
      <c r="DF213" s="48">
        <f t="shared" si="1291"/>
        <v>33.75</v>
      </c>
      <c r="DG213" s="48">
        <f t="shared" si="1292"/>
        <v>40.5</v>
      </c>
      <c r="DH213" s="48">
        <f t="shared" si="1293"/>
        <v>47.25</v>
      </c>
      <c r="DI213" s="48">
        <f t="shared" si="1294"/>
        <v>54</v>
      </c>
      <c r="DJ213" s="48">
        <f t="shared" si="1295"/>
        <v>60.75</v>
      </c>
      <c r="DK213" s="48">
        <f t="shared" si="1296"/>
        <v>67.5</v>
      </c>
      <c r="DL213" s="48">
        <f t="shared" si="1297"/>
        <v>74.25</v>
      </c>
      <c r="DM213" s="48">
        <f t="shared" si="1298"/>
        <v>81</v>
      </c>
      <c r="DN213" s="48">
        <f t="shared" si="1299"/>
        <v>0</v>
      </c>
      <c r="DO213" s="48">
        <f t="shared" si="1309"/>
        <v>0</v>
      </c>
      <c r="DP213" s="48">
        <f t="shared" si="1310"/>
        <v>0</v>
      </c>
      <c r="DQ213" s="48"/>
      <c r="DR213" s="48"/>
      <c r="DS213" s="48"/>
      <c r="DT213" s="48"/>
      <c r="DU213" s="48"/>
      <c r="DV213" s="48"/>
      <c r="DW213" s="48"/>
      <c r="DX213" s="48"/>
      <c r="DY213" s="48"/>
      <c r="EA213" s="52">
        <f t="shared" si="1226"/>
        <v>46.090000040333337</v>
      </c>
      <c r="EB213" s="52">
        <f t="shared" si="1227"/>
        <v>81</v>
      </c>
      <c r="EC213" s="52"/>
      <c r="ED213" s="429"/>
      <c r="EE213" s="40">
        <f t="shared" si="1186"/>
        <v>0</v>
      </c>
      <c r="EF213" s="40">
        <f t="shared" si="1187"/>
        <v>0</v>
      </c>
      <c r="EG213" s="51">
        <f t="shared" si="1238"/>
        <v>81</v>
      </c>
      <c r="EH213" s="54"/>
      <c r="EI213" s="54"/>
      <c r="EJ213" s="54"/>
      <c r="EK213" s="675"/>
      <c r="EL213" s="53"/>
      <c r="EM213" s="53"/>
      <c r="EN213" s="53"/>
      <c r="EO213" s="49"/>
      <c r="EP213" s="49"/>
      <c r="EQ213" s="49"/>
    </row>
    <row r="214" spans="1:149">
      <c r="A214" s="6" t="s">
        <v>23</v>
      </c>
      <c r="B214" s="2" t="s">
        <v>11</v>
      </c>
      <c r="C214" s="3" t="s">
        <v>48</v>
      </c>
      <c r="E214" s="3" t="s">
        <v>16</v>
      </c>
      <c r="G214" s="3" t="s">
        <v>91</v>
      </c>
      <c r="I214" s="23"/>
      <c r="J214" s="19">
        <f>150/12</f>
        <v>12.5</v>
      </c>
      <c r="K214" s="19">
        <f>J214+12.5</f>
        <v>25</v>
      </c>
      <c r="L214" s="19">
        <f t="shared" ref="L214:U214" si="1313">K214+12.5</f>
        <v>37.5</v>
      </c>
      <c r="M214" s="19">
        <f t="shared" si="1313"/>
        <v>50</v>
      </c>
      <c r="N214" s="19">
        <f t="shared" si="1313"/>
        <v>62.5</v>
      </c>
      <c r="O214" s="19">
        <f t="shared" si="1313"/>
        <v>75</v>
      </c>
      <c r="P214" s="19">
        <f t="shared" si="1313"/>
        <v>87.5</v>
      </c>
      <c r="Q214" s="19">
        <f t="shared" si="1313"/>
        <v>100</v>
      </c>
      <c r="R214" s="19">
        <f t="shared" si="1313"/>
        <v>112.5</v>
      </c>
      <c r="S214" s="19">
        <f t="shared" si="1313"/>
        <v>125</v>
      </c>
      <c r="T214" s="19">
        <f t="shared" si="1313"/>
        <v>137.5</v>
      </c>
      <c r="U214" s="19">
        <f t="shared" si="1313"/>
        <v>150</v>
      </c>
      <c r="V214" s="219">
        <f>ROUND(W214/2,0)</f>
        <v>6</v>
      </c>
      <c r="W214" s="246">
        <f t="shared" ref="W214:AE215" si="1314">X214-(Y214-X214)</f>
        <v>12.000000000000028</v>
      </c>
      <c r="X214" s="246">
        <f t="shared" si="1314"/>
        <v>17.800000000000026</v>
      </c>
      <c r="Y214" s="246">
        <f t="shared" si="1314"/>
        <v>23.600000000000023</v>
      </c>
      <c r="Z214" s="246">
        <f t="shared" si="1314"/>
        <v>29.40000000000002</v>
      </c>
      <c r="AA214" s="246">
        <f t="shared" si="1314"/>
        <v>35.200000000000017</v>
      </c>
      <c r="AB214" s="246">
        <f t="shared" si="1314"/>
        <v>41.000000000000014</v>
      </c>
      <c r="AC214" s="246">
        <f t="shared" si="1314"/>
        <v>46.800000000000011</v>
      </c>
      <c r="AD214" s="246">
        <f t="shared" si="1314"/>
        <v>52.600000000000009</v>
      </c>
      <c r="AE214" s="246">
        <f t="shared" si="1314"/>
        <v>58.400000000000006</v>
      </c>
      <c r="AF214" s="246">
        <f>-ROUND(AG214/12,1)+AG214</f>
        <v>64.2</v>
      </c>
      <c r="AG214" s="246">
        <v>70</v>
      </c>
      <c r="AH214" s="31"/>
      <c r="AI214" s="19"/>
      <c r="AJ214" s="19"/>
      <c r="AK214" s="408"/>
      <c r="AL214" s="40">
        <f t="shared" si="1302"/>
        <v>12.5</v>
      </c>
      <c r="AM214" s="40">
        <f t="shared" si="1303"/>
        <v>12.5</v>
      </c>
      <c r="AN214" s="40">
        <f t="shared" si="1248"/>
        <v>12.5</v>
      </c>
      <c r="AO214" s="40">
        <f t="shared" si="1249"/>
        <v>12.5</v>
      </c>
      <c r="AP214" s="40">
        <f t="shared" si="1250"/>
        <v>12.5</v>
      </c>
      <c r="AQ214" s="40">
        <f t="shared" si="1251"/>
        <v>12.5</v>
      </c>
      <c r="AR214" s="40">
        <f t="shared" si="1252"/>
        <v>12.5</v>
      </c>
      <c r="AS214" s="40">
        <f t="shared" si="1253"/>
        <v>12.5</v>
      </c>
      <c r="AT214" s="40">
        <f t="shared" si="1254"/>
        <v>12.5</v>
      </c>
      <c r="AU214" s="40">
        <f t="shared" si="1255"/>
        <v>12.5</v>
      </c>
      <c r="AV214" s="40">
        <f t="shared" si="1256"/>
        <v>12.5</v>
      </c>
      <c r="AW214" s="40">
        <f t="shared" si="1257"/>
        <v>12.5</v>
      </c>
      <c r="AX214" s="40">
        <f t="shared" si="1304"/>
        <v>6</v>
      </c>
      <c r="AY214" s="40">
        <f t="shared" si="1258"/>
        <v>6.0000000000000284</v>
      </c>
      <c r="AZ214" s="40">
        <f t="shared" si="1259"/>
        <v>5.7999999999999972</v>
      </c>
      <c r="BA214" s="40">
        <f t="shared" si="1260"/>
        <v>5.7999999999999972</v>
      </c>
      <c r="BB214" s="40">
        <f t="shared" si="1261"/>
        <v>5.7999999999999972</v>
      </c>
      <c r="BC214" s="40">
        <f t="shared" si="1262"/>
        <v>5.7999999999999972</v>
      </c>
      <c r="BD214" s="40">
        <f t="shared" si="1263"/>
        <v>5.7999999999999972</v>
      </c>
      <c r="BE214" s="40">
        <f t="shared" si="1264"/>
        <v>5.7999999999999972</v>
      </c>
      <c r="BF214" s="40">
        <f t="shared" si="1265"/>
        <v>5.7999999999999972</v>
      </c>
      <c r="BG214" s="40">
        <f t="shared" si="1266"/>
        <v>5.7999999999999972</v>
      </c>
      <c r="BH214" s="40">
        <f t="shared" si="1267"/>
        <v>5.7999999999999972</v>
      </c>
      <c r="BI214" s="40">
        <f t="shared" si="1268"/>
        <v>5.7999999999999972</v>
      </c>
      <c r="BJ214" s="40">
        <f t="shared" si="1269"/>
        <v>0</v>
      </c>
      <c r="BK214" s="40">
        <f t="shared" si="1270"/>
        <v>0</v>
      </c>
      <c r="BL214" s="40">
        <f t="shared" si="1271"/>
        <v>0</v>
      </c>
      <c r="BM214" s="408"/>
      <c r="BN214" s="48">
        <f t="shared" si="1190"/>
        <v>37.5</v>
      </c>
      <c r="BO214" s="48">
        <f t="shared" si="1191"/>
        <v>37.5</v>
      </c>
      <c r="BP214" s="48">
        <f t="shared" si="1272"/>
        <v>37.5</v>
      </c>
      <c r="BQ214" s="48">
        <f t="shared" si="1193"/>
        <v>37.5</v>
      </c>
      <c r="BR214" s="48">
        <f t="shared" si="1194"/>
        <v>37.5</v>
      </c>
      <c r="BS214" s="48">
        <f t="shared" si="1273"/>
        <v>37.5</v>
      </c>
      <c r="BT214" s="48">
        <f t="shared" si="1196"/>
        <v>37.5</v>
      </c>
      <c r="BU214" s="48">
        <f t="shared" si="1197"/>
        <v>37.5</v>
      </c>
      <c r="BV214" s="48">
        <f t="shared" si="1274"/>
        <v>37.5</v>
      </c>
      <c r="BW214" s="48">
        <f t="shared" si="1199"/>
        <v>37.5</v>
      </c>
      <c r="BX214" s="48">
        <f t="shared" si="1200"/>
        <v>37.5</v>
      </c>
      <c r="BY214" s="48">
        <f t="shared" si="1275"/>
        <v>37.5</v>
      </c>
      <c r="BZ214" s="48">
        <f t="shared" si="1202"/>
        <v>17.800000000000026</v>
      </c>
      <c r="CA214" s="48">
        <f t="shared" si="1203"/>
        <v>17.800000000000026</v>
      </c>
      <c r="CB214" s="48">
        <f>SUM(AX214:AZ214)</f>
        <v>17.800000000000026</v>
      </c>
      <c r="CC214" s="48">
        <f t="shared" si="1223"/>
        <v>17.399999999999991</v>
      </c>
      <c r="CD214" s="48">
        <f t="shared" si="1204"/>
        <v>17.399999999999991</v>
      </c>
      <c r="CE214" s="48">
        <f>SUM(BA214:BC214)</f>
        <v>17.399999999999991</v>
      </c>
      <c r="CF214" s="48">
        <f>CH214</f>
        <v>17.399999999999991</v>
      </c>
      <c r="CG214" s="48">
        <f>CH214</f>
        <v>17.399999999999991</v>
      </c>
      <c r="CH214" s="48">
        <f>SUM(BD214:BF214)</f>
        <v>17.399999999999991</v>
      </c>
      <c r="CI214" s="48">
        <f>CK214</f>
        <v>17.399999999999991</v>
      </c>
      <c r="CJ214" s="48">
        <f>CK214</f>
        <v>17.399999999999991</v>
      </c>
      <c r="CK214" s="48">
        <f>SUM(BG214:BI214)</f>
        <v>17.399999999999991</v>
      </c>
      <c r="CL214" s="48">
        <f>CN214</f>
        <v>0</v>
      </c>
      <c r="CM214" s="48">
        <f>CN214</f>
        <v>0</v>
      </c>
      <c r="CN214" s="48">
        <f t="shared" si="1276"/>
        <v>0</v>
      </c>
      <c r="CO214" s="406"/>
      <c r="CP214" s="48">
        <f t="shared" si="1307"/>
        <v>12.5</v>
      </c>
      <c r="CQ214" s="48">
        <f t="shared" si="1277"/>
        <v>25</v>
      </c>
      <c r="CR214" s="48">
        <f t="shared" si="1278"/>
        <v>37.5</v>
      </c>
      <c r="CS214" s="48">
        <f t="shared" si="1279"/>
        <v>50</v>
      </c>
      <c r="CT214" s="48">
        <f t="shared" si="1280"/>
        <v>62.5</v>
      </c>
      <c r="CU214" s="48">
        <f t="shared" si="1281"/>
        <v>75</v>
      </c>
      <c r="CV214" s="48">
        <f t="shared" si="1282"/>
        <v>87.5</v>
      </c>
      <c r="CW214" s="48">
        <f t="shared" si="1283"/>
        <v>100</v>
      </c>
      <c r="CX214" s="48">
        <f t="shared" si="1284"/>
        <v>112.5</v>
      </c>
      <c r="CY214" s="48">
        <f t="shared" si="1285"/>
        <v>125</v>
      </c>
      <c r="CZ214" s="48">
        <f t="shared" si="1286"/>
        <v>137.5</v>
      </c>
      <c r="DA214" s="48">
        <f t="shared" si="1287"/>
        <v>150</v>
      </c>
      <c r="DB214" s="48">
        <f t="shared" si="1308"/>
        <v>6</v>
      </c>
      <c r="DC214" s="48">
        <f t="shared" si="1288"/>
        <v>12.000000000000028</v>
      </c>
      <c r="DD214" s="48">
        <f t="shared" si="1289"/>
        <v>17.800000000000026</v>
      </c>
      <c r="DE214" s="48">
        <f t="shared" si="1290"/>
        <v>23.600000000000023</v>
      </c>
      <c r="DF214" s="48">
        <f t="shared" si="1291"/>
        <v>29.40000000000002</v>
      </c>
      <c r="DG214" s="48">
        <f t="shared" si="1292"/>
        <v>35.200000000000017</v>
      </c>
      <c r="DH214" s="48">
        <f t="shared" si="1293"/>
        <v>41.000000000000014</v>
      </c>
      <c r="DI214" s="48">
        <f t="shared" si="1294"/>
        <v>46.800000000000011</v>
      </c>
      <c r="DJ214" s="48">
        <f t="shared" si="1295"/>
        <v>52.600000000000009</v>
      </c>
      <c r="DK214" s="48">
        <f t="shared" si="1296"/>
        <v>58.400000000000006</v>
      </c>
      <c r="DL214" s="48">
        <f t="shared" si="1297"/>
        <v>64.2</v>
      </c>
      <c r="DM214" s="48">
        <f t="shared" si="1298"/>
        <v>70</v>
      </c>
      <c r="DN214" s="48">
        <f t="shared" si="1299"/>
        <v>0</v>
      </c>
      <c r="DO214" s="48">
        <f t="shared" si="1309"/>
        <v>0</v>
      </c>
      <c r="DP214" s="48">
        <f t="shared" si="1310"/>
        <v>0</v>
      </c>
      <c r="DQ214" s="48"/>
      <c r="DR214" s="48"/>
      <c r="DS214" s="48"/>
      <c r="DT214" s="48"/>
      <c r="DU214" s="48"/>
      <c r="DV214" s="48"/>
      <c r="DW214" s="48"/>
      <c r="DX214" s="48"/>
      <c r="DY214" s="48"/>
      <c r="EA214" s="52">
        <f t="shared" si="1226"/>
        <v>150</v>
      </c>
      <c r="EB214" s="52">
        <f t="shared" si="1227"/>
        <v>70</v>
      </c>
      <c r="EC214" s="52"/>
      <c r="ED214" s="429"/>
      <c r="EE214" s="40">
        <f t="shared" si="1186"/>
        <v>0</v>
      </c>
      <c r="EF214" s="40">
        <f t="shared" si="1187"/>
        <v>0</v>
      </c>
      <c r="EG214" s="51">
        <f t="shared" si="1238"/>
        <v>70</v>
      </c>
      <c r="EH214" s="54"/>
      <c r="EI214" s="54"/>
      <c r="EJ214" s="54"/>
      <c r="EK214" s="675"/>
      <c r="EL214" s="53"/>
      <c r="EM214" s="53"/>
      <c r="EN214" s="53"/>
      <c r="EO214" s="49"/>
      <c r="EP214" s="49"/>
      <c r="EQ214" s="49"/>
    </row>
    <row r="215" spans="1:149">
      <c r="A215" s="6" t="s">
        <v>23</v>
      </c>
      <c r="B215" s="2" t="s">
        <v>12</v>
      </c>
      <c r="C215" s="3" t="s">
        <v>49</v>
      </c>
      <c r="E215" s="3" t="s">
        <v>16</v>
      </c>
      <c r="G215" s="3" t="s">
        <v>91</v>
      </c>
      <c r="I215" s="23"/>
      <c r="J215" s="19">
        <f>150/12</f>
        <v>12.5</v>
      </c>
      <c r="K215" s="19">
        <f>J215+12.5</f>
        <v>25</v>
      </c>
      <c r="L215" s="19">
        <f t="shared" ref="L215:U215" si="1315">K215+12.5</f>
        <v>37.5</v>
      </c>
      <c r="M215" s="19">
        <f t="shared" si="1315"/>
        <v>50</v>
      </c>
      <c r="N215" s="19">
        <f t="shared" si="1315"/>
        <v>62.5</v>
      </c>
      <c r="O215" s="19">
        <f t="shared" si="1315"/>
        <v>75</v>
      </c>
      <c r="P215" s="19">
        <f t="shared" si="1315"/>
        <v>87.5</v>
      </c>
      <c r="Q215" s="19">
        <f t="shared" si="1315"/>
        <v>100</v>
      </c>
      <c r="R215" s="19">
        <f t="shared" si="1315"/>
        <v>112.5</v>
      </c>
      <c r="S215" s="19">
        <f t="shared" si="1315"/>
        <v>125</v>
      </c>
      <c r="T215" s="19">
        <f t="shared" si="1315"/>
        <v>137.5</v>
      </c>
      <c r="U215" s="19">
        <f t="shared" si="1315"/>
        <v>150</v>
      </c>
      <c r="V215" s="219">
        <f>ROUND(W215/2,0)</f>
        <v>5</v>
      </c>
      <c r="W215" s="246">
        <f t="shared" si="1314"/>
        <v>9</v>
      </c>
      <c r="X215" s="246">
        <f t="shared" si="1314"/>
        <v>13.5</v>
      </c>
      <c r="Y215" s="246">
        <f t="shared" si="1314"/>
        <v>18</v>
      </c>
      <c r="Z215" s="246">
        <f t="shared" si="1314"/>
        <v>22.5</v>
      </c>
      <c r="AA215" s="246">
        <f t="shared" si="1314"/>
        <v>27</v>
      </c>
      <c r="AB215" s="246">
        <f t="shared" si="1314"/>
        <v>31.5</v>
      </c>
      <c r="AC215" s="246">
        <f t="shared" si="1314"/>
        <v>36</v>
      </c>
      <c r="AD215" s="246">
        <f t="shared" si="1314"/>
        <v>40.5</v>
      </c>
      <c r="AE215" s="246">
        <f t="shared" si="1314"/>
        <v>45</v>
      </c>
      <c r="AF215" s="246">
        <f>-ROUND(AG215/12,1)+AG215</f>
        <v>49.5</v>
      </c>
      <c r="AG215" s="246">
        <v>54</v>
      </c>
      <c r="AH215" s="31"/>
      <c r="AI215" s="19"/>
      <c r="AJ215" s="19"/>
      <c r="AK215" s="408"/>
      <c r="AL215" s="40">
        <f t="shared" si="1302"/>
        <v>12.5</v>
      </c>
      <c r="AM215" s="40">
        <f t="shared" si="1303"/>
        <v>12.5</v>
      </c>
      <c r="AN215" s="40">
        <f t="shared" si="1248"/>
        <v>12.5</v>
      </c>
      <c r="AO215" s="40">
        <f t="shared" si="1249"/>
        <v>12.5</v>
      </c>
      <c r="AP215" s="40">
        <f t="shared" si="1250"/>
        <v>12.5</v>
      </c>
      <c r="AQ215" s="40">
        <f t="shared" si="1251"/>
        <v>12.5</v>
      </c>
      <c r="AR215" s="40">
        <f t="shared" si="1252"/>
        <v>12.5</v>
      </c>
      <c r="AS215" s="40">
        <f t="shared" si="1253"/>
        <v>12.5</v>
      </c>
      <c r="AT215" s="40">
        <f t="shared" si="1254"/>
        <v>12.5</v>
      </c>
      <c r="AU215" s="40">
        <f t="shared" si="1255"/>
        <v>12.5</v>
      </c>
      <c r="AV215" s="40">
        <f t="shared" si="1256"/>
        <v>12.5</v>
      </c>
      <c r="AW215" s="40">
        <f t="shared" si="1257"/>
        <v>12.5</v>
      </c>
      <c r="AX215" s="40">
        <f t="shared" si="1304"/>
        <v>5</v>
      </c>
      <c r="AY215" s="40">
        <f t="shared" si="1258"/>
        <v>4</v>
      </c>
      <c r="AZ215" s="40">
        <f t="shared" si="1259"/>
        <v>4.5</v>
      </c>
      <c r="BA215" s="40">
        <f t="shared" si="1260"/>
        <v>4.5</v>
      </c>
      <c r="BB215" s="40">
        <f t="shared" si="1261"/>
        <v>4.5</v>
      </c>
      <c r="BC215" s="40">
        <f t="shared" si="1262"/>
        <v>4.5</v>
      </c>
      <c r="BD215" s="40">
        <f t="shared" si="1263"/>
        <v>4.5</v>
      </c>
      <c r="BE215" s="40">
        <f t="shared" si="1264"/>
        <v>4.5</v>
      </c>
      <c r="BF215" s="40">
        <f t="shared" si="1265"/>
        <v>4.5</v>
      </c>
      <c r="BG215" s="40">
        <f t="shared" si="1266"/>
        <v>4.5</v>
      </c>
      <c r="BH215" s="40">
        <f t="shared" si="1267"/>
        <v>4.5</v>
      </c>
      <c r="BI215" s="40">
        <f t="shared" si="1268"/>
        <v>4.5</v>
      </c>
      <c r="BJ215" s="40">
        <f t="shared" si="1269"/>
        <v>0</v>
      </c>
      <c r="BK215" s="40">
        <f t="shared" si="1270"/>
        <v>0</v>
      </c>
      <c r="BL215" s="40">
        <f t="shared" si="1271"/>
        <v>0</v>
      </c>
      <c r="BM215" s="408"/>
      <c r="BN215" s="48">
        <f t="shared" si="1190"/>
        <v>37.5</v>
      </c>
      <c r="BO215" s="48">
        <f t="shared" si="1191"/>
        <v>37.5</v>
      </c>
      <c r="BP215" s="48">
        <f t="shared" si="1272"/>
        <v>37.5</v>
      </c>
      <c r="BQ215" s="48">
        <f t="shared" si="1193"/>
        <v>37.5</v>
      </c>
      <c r="BR215" s="48">
        <f t="shared" si="1194"/>
        <v>37.5</v>
      </c>
      <c r="BS215" s="48">
        <f t="shared" si="1273"/>
        <v>37.5</v>
      </c>
      <c r="BT215" s="48">
        <f t="shared" si="1196"/>
        <v>37.5</v>
      </c>
      <c r="BU215" s="48">
        <f t="shared" si="1197"/>
        <v>37.5</v>
      </c>
      <c r="BV215" s="48">
        <f t="shared" si="1274"/>
        <v>37.5</v>
      </c>
      <c r="BW215" s="48">
        <f t="shared" si="1199"/>
        <v>37.5</v>
      </c>
      <c r="BX215" s="48">
        <f t="shared" si="1200"/>
        <v>37.5</v>
      </c>
      <c r="BY215" s="48">
        <f t="shared" si="1275"/>
        <v>37.5</v>
      </c>
      <c r="BZ215" s="48">
        <f t="shared" si="1202"/>
        <v>13.5</v>
      </c>
      <c r="CA215" s="48">
        <f t="shared" si="1203"/>
        <v>13.5</v>
      </c>
      <c r="CB215" s="48">
        <f>SUM(AX215:AZ215)</f>
        <v>13.5</v>
      </c>
      <c r="CC215" s="48">
        <f t="shared" si="1223"/>
        <v>13.5</v>
      </c>
      <c r="CD215" s="48">
        <f t="shared" si="1204"/>
        <v>13.5</v>
      </c>
      <c r="CE215" s="48">
        <f>SUM(BA215:BC215)</f>
        <v>13.5</v>
      </c>
      <c r="CF215" s="48">
        <f>CH215</f>
        <v>13.5</v>
      </c>
      <c r="CG215" s="48">
        <f>CH215</f>
        <v>13.5</v>
      </c>
      <c r="CH215" s="48">
        <f>SUM(BD215:BF215)</f>
        <v>13.5</v>
      </c>
      <c r="CI215" s="48">
        <f>CK215</f>
        <v>13.5</v>
      </c>
      <c r="CJ215" s="48">
        <f>CK215</f>
        <v>13.5</v>
      </c>
      <c r="CK215" s="48">
        <f>SUM(BG215:BI215)</f>
        <v>13.5</v>
      </c>
      <c r="CL215" s="48">
        <f>CN215</f>
        <v>0</v>
      </c>
      <c r="CM215" s="48">
        <f>CN215</f>
        <v>0</v>
      </c>
      <c r="CN215" s="48">
        <f t="shared" si="1276"/>
        <v>0</v>
      </c>
      <c r="CO215" s="406"/>
      <c r="CP215" s="48">
        <f t="shared" si="1307"/>
        <v>12.5</v>
      </c>
      <c r="CQ215" s="48">
        <f t="shared" si="1277"/>
        <v>25</v>
      </c>
      <c r="CR215" s="48">
        <f t="shared" si="1278"/>
        <v>37.5</v>
      </c>
      <c r="CS215" s="48">
        <f t="shared" si="1279"/>
        <v>50</v>
      </c>
      <c r="CT215" s="48">
        <f t="shared" si="1280"/>
        <v>62.5</v>
      </c>
      <c r="CU215" s="48">
        <f t="shared" si="1281"/>
        <v>75</v>
      </c>
      <c r="CV215" s="48">
        <f t="shared" si="1282"/>
        <v>87.5</v>
      </c>
      <c r="CW215" s="48">
        <f t="shared" si="1283"/>
        <v>100</v>
      </c>
      <c r="CX215" s="48">
        <f t="shared" si="1284"/>
        <v>112.5</v>
      </c>
      <c r="CY215" s="48">
        <f t="shared" si="1285"/>
        <v>125</v>
      </c>
      <c r="CZ215" s="48">
        <f t="shared" si="1286"/>
        <v>137.5</v>
      </c>
      <c r="DA215" s="48">
        <f t="shared" si="1287"/>
        <v>150</v>
      </c>
      <c r="DB215" s="48">
        <f t="shared" si="1308"/>
        <v>5</v>
      </c>
      <c r="DC215" s="48">
        <f t="shared" si="1288"/>
        <v>9</v>
      </c>
      <c r="DD215" s="48">
        <f t="shared" si="1289"/>
        <v>13.5</v>
      </c>
      <c r="DE215" s="48">
        <f t="shared" si="1290"/>
        <v>18</v>
      </c>
      <c r="DF215" s="48">
        <f t="shared" si="1291"/>
        <v>22.5</v>
      </c>
      <c r="DG215" s="48">
        <f t="shared" si="1292"/>
        <v>27</v>
      </c>
      <c r="DH215" s="48">
        <f t="shared" si="1293"/>
        <v>31.5</v>
      </c>
      <c r="DI215" s="48">
        <f t="shared" si="1294"/>
        <v>36</v>
      </c>
      <c r="DJ215" s="48">
        <f t="shared" si="1295"/>
        <v>40.5</v>
      </c>
      <c r="DK215" s="48">
        <f t="shared" si="1296"/>
        <v>45</v>
      </c>
      <c r="DL215" s="48">
        <f t="shared" si="1297"/>
        <v>49.5</v>
      </c>
      <c r="DM215" s="48">
        <f t="shared" si="1298"/>
        <v>54</v>
      </c>
      <c r="DN215" s="48">
        <f t="shared" si="1299"/>
        <v>0</v>
      </c>
      <c r="DO215" s="48">
        <f t="shared" si="1309"/>
        <v>0</v>
      </c>
      <c r="DP215" s="48">
        <f t="shared" si="1310"/>
        <v>0</v>
      </c>
      <c r="DQ215" s="48"/>
      <c r="DR215" s="48"/>
      <c r="DS215" s="48"/>
      <c r="DT215" s="48"/>
      <c r="DU215" s="48"/>
      <c r="DV215" s="48"/>
      <c r="DW215" s="48"/>
      <c r="DX215" s="48"/>
      <c r="DY215" s="48"/>
      <c r="EA215" s="52">
        <f t="shared" si="1226"/>
        <v>150</v>
      </c>
      <c r="EB215" s="52">
        <f t="shared" si="1227"/>
        <v>54</v>
      </c>
      <c r="EC215" s="52"/>
      <c r="ED215" s="429"/>
      <c r="EE215" s="40">
        <f t="shared" si="1186"/>
        <v>0</v>
      </c>
      <c r="EF215" s="40">
        <f t="shared" si="1187"/>
        <v>0</v>
      </c>
      <c r="EG215" s="51">
        <f t="shared" si="1238"/>
        <v>54</v>
      </c>
      <c r="EH215" s="54"/>
      <c r="EI215" s="54"/>
      <c r="EJ215" s="54"/>
      <c r="EK215" s="675"/>
      <c r="EL215" s="53"/>
      <c r="EM215" s="53"/>
      <c r="EN215" s="53"/>
      <c r="EO215" s="49"/>
      <c r="EP215" s="49"/>
      <c r="EQ215" s="49"/>
    </row>
    <row r="216" spans="1:149">
      <c r="A216" s="6" t="s">
        <v>23</v>
      </c>
      <c r="B216" s="2" t="s">
        <v>143</v>
      </c>
      <c r="C216" s="3" t="s">
        <v>50</v>
      </c>
      <c r="E216" s="3" t="s">
        <v>16</v>
      </c>
      <c r="G216" s="3" t="s">
        <v>91</v>
      </c>
      <c r="I216" s="23"/>
      <c r="J216" s="19">
        <v>0</v>
      </c>
      <c r="K216" s="19">
        <v>0</v>
      </c>
      <c r="L216" s="19">
        <v>2</v>
      </c>
      <c r="M216" s="19">
        <f>L216</f>
        <v>2</v>
      </c>
      <c r="N216" s="19">
        <f>M216</f>
        <v>2</v>
      </c>
      <c r="O216" s="19">
        <f>N216</f>
        <v>2</v>
      </c>
      <c r="P216" s="19">
        <v>4</v>
      </c>
      <c r="Q216" s="19">
        <f t="shared" ref="Q216:S217" si="1316">P216</f>
        <v>4</v>
      </c>
      <c r="R216" s="19">
        <f t="shared" si="1316"/>
        <v>4</v>
      </c>
      <c r="S216" s="19">
        <f t="shared" si="1316"/>
        <v>4</v>
      </c>
      <c r="T216" s="19">
        <v>6</v>
      </c>
      <c r="U216" s="19">
        <f>+T216</f>
        <v>6</v>
      </c>
      <c r="V216" s="219">
        <v>0</v>
      </c>
      <c r="W216" s="246">
        <v>2</v>
      </c>
      <c r="X216" s="246">
        <v>2</v>
      </c>
      <c r="Y216" s="246">
        <v>2</v>
      </c>
      <c r="Z216" s="246">
        <v>2</v>
      </c>
      <c r="AA216" s="246">
        <v>2</v>
      </c>
      <c r="AB216" s="246">
        <v>4</v>
      </c>
      <c r="AC216" s="246">
        <v>4</v>
      </c>
      <c r="AD216" s="246">
        <v>4</v>
      </c>
      <c r="AE216" s="246">
        <v>4</v>
      </c>
      <c r="AF216" s="246">
        <v>6</v>
      </c>
      <c r="AG216" s="246">
        <v>6</v>
      </c>
      <c r="AH216" s="31"/>
      <c r="AI216" s="19"/>
      <c r="AJ216" s="19"/>
      <c r="AK216" s="408"/>
      <c r="AL216" s="40">
        <f t="shared" si="1302"/>
        <v>0</v>
      </c>
      <c r="AM216" s="40">
        <f t="shared" si="1303"/>
        <v>0</v>
      </c>
      <c r="AN216" s="40">
        <f t="shared" si="1248"/>
        <v>2</v>
      </c>
      <c r="AO216" s="40">
        <f t="shared" si="1249"/>
        <v>0</v>
      </c>
      <c r="AP216" s="40">
        <f t="shared" si="1250"/>
        <v>0</v>
      </c>
      <c r="AQ216" s="40">
        <f t="shared" si="1251"/>
        <v>0</v>
      </c>
      <c r="AR216" s="40">
        <f t="shared" si="1252"/>
        <v>2</v>
      </c>
      <c r="AS216" s="40">
        <f t="shared" si="1253"/>
        <v>0</v>
      </c>
      <c r="AT216" s="40">
        <f t="shared" si="1254"/>
        <v>0</v>
      </c>
      <c r="AU216" s="40">
        <f t="shared" si="1255"/>
        <v>0</v>
      </c>
      <c r="AV216" s="40">
        <f t="shared" si="1256"/>
        <v>2</v>
      </c>
      <c r="AW216" s="40">
        <f t="shared" si="1257"/>
        <v>0</v>
      </c>
      <c r="AX216" s="40">
        <f t="shared" si="1304"/>
        <v>0</v>
      </c>
      <c r="AY216" s="40">
        <f t="shared" si="1258"/>
        <v>2</v>
      </c>
      <c r="AZ216" s="40">
        <f t="shared" si="1259"/>
        <v>0</v>
      </c>
      <c r="BA216" s="40">
        <f t="shared" si="1260"/>
        <v>0</v>
      </c>
      <c r="BB216" s="40">
        <f t="shared" si="1261"/>
        <v>0</v>
      </c>
      <c r="BC216" s="40">
        <f t="shared" si="1262"/>
        <v>0</v>
      </c>
      <c r="BD216" s="40">
        <f t="shared" si="1263"/>
        <v>2</v>
      </c>
      <c r="BE216" s="40">
        <f t="shared" si="1264"/>
        <v>0</v>
      </c>
      <c r="BF216" s="40">
        <f t="shared" si="1265"/>
        <v>0</v>
      </c>
      <c r="BG216" s="40">
        <f t="shared" si="1266"/>
        <v>0</v>
      </c>
      <c r="BH216" s="40">
        <f t="shared" si="1267"/>
        <v>2</v>
      </c>
      <c r="BI216" s="40">
        <f t="shared" si="1268"/>
        <v>0</v>
      </c>
      <c r="BJ216" s="40">
        <f t="shared" si="1269"/>
        <v>0</v>
      </c>
      <c r="BK216" s="40">
        <f t="shared" si="1270"/>
        <v>0</v>
      </c>
      <c r="BL216" s="40">
        <f t="shared" si="1271"/>
        <v>0</v>
      </c>
      <c r="BM216" s="408"/>
      <c r="BN216" s="48">
        <f t="shared" si="1190"/>
        <v>2</v>
      </c>
      <c r="BO216" s="48">
        <f t="shared" si="1191"/>
        <v>2</v>
      </c>
      <c r="BP216" s="48">
        <f t="shared" si="1272"/>
        <v>2</v>
      </c>
      <c r="BQ216" s="48">
        <f t="shared" si="1193"/>
        <v>0</v>
      </c>
      <c r="BR216" s="48">
        <f t="shared" si="1194"/>
        <v>0</v>
      </c>
      <c r="BS216" s="48">
        <f t="shared" si="1273"/>
        <v>0</v>
      </c>
      <c r="BT216" s="48">
        <f t="shared" si="1196"/>
        <v>2</v>
      </c>
      <c r="BU216" s="48">
        <f t="shared" si="1197"/>
        <v>2</v>
      </c>
      <c r="BV216" s="48">
        <f t="shared" si="1274"/>
        <v>2</v>
      </c>
      <c r="BW216" s="48">
        <f t="shared" si="1199"/>
        <v>2</v>
      </c>
      <c r="BX216" s="48">
        <f t="shared" si="1200"/>
        <v>2</v>
      </c>
      <c r="BY216" s="48">
        <f t="shared" si="1275"/>
        <v>2</v>
      </c>
      <c r="BZ216" s="48">
        <f t="shared" si="1202"/>
        <v>2</v>
      </c>
      <c r="CA216" s="48">
        <f t="shared" si="1203"/>
        <v>2</v>
      </c>
      <c r="CB216" s="48">
        <f>SUM(AX216:AZ216)</f>
        <v>2</v>
      </c>
      <c r="CC216" s="48">
        <f t="shared" si="1223"/>
        <v>0</v>
      </c>
      <c r="CD216" s="48">
        <f t="shared" si="1204"/>
        <v>0</v>
      </c>
      <c r="CE216" s="48">
        <f>SUM(BA216:BC216)</f>
        <v>0</v>
      </c>
      <c r="CF216" s="48">
        <f>CH216</f>
        <v>2</v>
      </c>
      <c r="CG216" s="48">
        <f>CH216</f>
        <v>2</v>
      </c>
      <c r="CH216" s="48">
        <f>SUM(BD216:BF216)</f>
        <v>2</v>
      </c>
      <c r="CI216" s="48">
        <f>CK216</f>
        <v>2</v>
      </c>
      <c r="CJ216" s="48">
        <f>CK216</f>
        <v>2</v>
      </c>
      <c r="CK216" s="48">
        <f>SUM(BG216:BI216)</f>
        <v>2</v>
      </c>
      <c r="CL216" s="48">
        <f>CN216</f>
        <v>0</v>
      </c>
      <c r="CM216" s="48">
        <f>CN216</f>
        <v>0</v>
      </c>
      <c r="CN216" s="48">
        <f t="shared" si="1276"/>
        <v>0</v>
      </c>
      <c r="CO216" s="406"/>
      <c r="CP216" s="48">
        <f t="shared" si="1307"/>
        <v>0</v>
      </c>
      <c r="CQ216" s="48">
        <f t="shared" si="1277"/>
        <v>0</v>
      </c>
      <c r="CR216" s="48">
        <f t="shared" si="1278"/>
        <v>2</v>
      </c>
      <c r="CS216" s="48">
        <f t="shared" si="1279"/>
        <v>2</v>
      </c>
      <c r="CT216" s="48">
        <f t="shared" si="1280"/>
        <v>2</v>
      </c>
      <c r="CU216" s="48">
        <f t="shared" si="1281"/>
        <v>2</v>
      </c>
      <c r="CV216" s="48">
        <f t="shared" si="1282"/>
        <v>4</v>
      </c>
      <c r="CW216" s="48">
        <f t="shared" si="1283"/>
        <v>4</v>
      </c>
      <c r="CX216" s="48">
        <f t="shared" si="1284"/>
        <v>4</v>
      </c>
      <c r="CY216" s="48">
        <f t="shared" si="1285"/>
        <v>4</v>
      </c>
      <c r="CZ216" s="48">
        <f t="shared" si="1286"/>
        <v>6</v>
      </c>
      <c r="DA216" s="48">
        <f t="shared" si="1287"/>
        <v>6</v>
      </c>
      <c r="DB216" s="48">
        <f t="shared" si="1308"/>
        <v>0</v>
      </c>
      <c r="DC216" s="48">
        <f t="shared" si="1288"/>
        <v>2</v>
      </c>
      <c r="DD216" s="48">
        <f t="shared" si="1289"/>
        <v>2</v>
      </c>
      <c r="DE216" s="48">
        <f t="shared" si="1290"/>
        <v>2</v>
      </c>
      <c r="DF216" s="48">
        <f t="shared" si="1291"/>
        <v>2</v>
      </c>
      <c r="DG216" s="48">
        <f t="shared" si="1292"/>
        <v>2</v>
      </c>
      <c r="DH216" s="48">
        <f t="shared" si="1293"/>
        <v>4</v>
      </c>
      <c r="DI216" s="48">
        <f t="shared" si="1294"/>
        <v>4</v>
      </c>
      <c r="DJ216" s="48">
        <f t="shared" si="1295"/>
        <v>4</v>
      </c>
      <c r="DK216" s="48">
        <f t="shared" si="1296"/>
        <v>4</v>
      </c>
      <c r="DL216" s="48">
        <f t="shared" si="1297"/>
        <v>6</v>
      </c>
      <c r="DM216" s="48">
        <f t="shared" si="1298"/>
        <v>6</v>
      </c>
      <c r="DN216" s="48">
        <f t="shared" si="1299"/>
        <v>0</v>
      </c>
      <c r="DO216" s="48">
        <f t="shared" si="1309"/>
        <v>0</v>
      </c>
      <c r="DP216" s="48">
        <f t="shared" si="1310"/>
        <v>0</v>
      </c>
      <c r="DQ216" s="48"/>
      <c r="DR216" s="48"/>
      <c r="DS216" s="48"/>
      <c r="DT216" s="48"/>
      <c r="DU216" s="48"/>
      <c r="DV216" s="48"/>
      <c r="DW216" s="48"/>
      <c r="DX216" s="48"/>
      <c r="DY216" s="48"/>
      <c r="EA216" s="52">
        <f t="shared" si="1226"/>
        <v>6</v>
      </c>
      <c r="EB216" s="52">
        <f t="shared" si="1227"/>
        <v>6</v>
      </c>
      <c r="EC216" s="52"/>
      <c r="ED216" s="429"/>
      <c r="EE216" s="40">
        <f t="shared" si="1186"/>
        <v>0</v>
      </c>
      <c r="EF216" s="40">
        <f t="shared" si="1187"/>
        <v>0</v>
      </c>
      <c r="EG216" s="51">
        <f t="shared" si="1238"/>
        <v>6</v>
      </c>
      <c r="EH216" s="54"/>
      <c r="EI216" s="54"/>
      <c r="EJ216" s="54"/>
      <c r="EK216" s="675"/>
      <c r="EL216" s="53"/>
      <c r="EM216" s="53"/>
      <c r="EN216" s="53"/>
      <c r="EO216" s="49"/>
      <c r="EP216" s="49"/>
      <c r="EQ216" s="49"/>
    </row>
    <row r="217" spans="1:149">
      <c r="A217" s="6" t="s">
        <v>23</v>
      </c>
      <c r="B217" s="324" t="s">
        <v>202</v>
      </c>
      <c r="C217" s="3" t="s">
        <v>51</v>
      </c>
      <c r="E217" s="3" t="s">
        <v>15</v>
      </c>
      <c r="G217" s="3" t="s">
        <v>91</v>
      </c>
      <c r="I217" s="23"/>
      <c r="J217" s="19">
        <v>0</v>
      </c>
      <c r="K217" s="19">
        <v>0</v>
      </c>
      <c r="L217" s="19">
        <v>0</v>
      </c>
      <c r="M217" s="19">
        <v>0</v>
      </c>
      <c r="N217" s="19">
        <v>0</v>
      </c>
      <c r="O217" s="19">
        <v>2</v>
      </c>
      <c r="P217" s="19">
        <f>O217</f>
        <v>2</v>
      </c>
      <c r="Q217" s="19">
        <f t="shared" si="1316"/>
        <v>2</v>
      </c>
      <c r="R217" s="19">
        <f t="shared" si="1316"/>
        <v>2</v>
      </c>
      <c r="S217" s="19">
        <f t="shared" si="1316"/>
        <v>2</v>
      </c>
      <c r="T217" s="19">
        <f>S217</f>
        <v>2</v>
      </c>
      <c r="U217" s="19">
        <v>4</v>
      </c>
      <c r="V217" s="219">
        <v>0</v>
      </c>
      <c r="W217" s="246">
        <v>0</v>
      </c>
      <c r="X217" s="246">
        <v>0</v>
      </c>
      <c r="Y217" s="246">
        <f>X217</f>
        <v>0</v>
      </c>
      <c r="Z217" s="246">
        <v>0</v>
      </c>
      <c r="AA217" s="246">
        <v>0</v>
      </c>
      <c r="AB217" s="246">
        <v>2</v>
      </c>
      <c r="AC217" s="246">
        <f>AB217</f>
        <v>2</v>
      </c>
      <c r="AD217" s="246">
        <f>AC217</f>
        <v>2</v>
      </c>
      <c r="AE217" s="246">
        <f>AD217</f>
        <v>2</v>
      </c>
      <c r="AF217" s="246">
        <f>AE217</f>
        <v>2</v>
      </c>
      <c r="AG217" s="246">
        <v>4</v>
      </c>
      <c r="AH217" s="31"/>
      <c r="AI217" s="19"/>
      <c r="AJ217" s="19"/>
      <c r="AK217" s="408"/>
      <c r="AL217" s="40">
        <f t="shared" si="1302"/>
        <v>0</v>
      </c>
      <c r="AM217" s="40">
        <f t="shared" si="1303"/>
        <v>0</v>
      </c>
      <c r="AN217" s="40">
        <f t="shared" si="1248"/>
        <v>0</v>
      </c>
      <c r="AO217" s="40">
        <f t="shared" si="1249"/>
        <v>0</v>
      </c>
      <c r="AP217" s="40">
        <f t="shared" si="1250"/>
        <v>0</v>
      </c>
      <c r="AQ217" s="40">
        <f t="shared" si="1251"/>
        <v>2</v>
      </c>
      <c r="AR217" s="40">
        <f t="shared" si="1252"/>
        <v>0</v>
      </c>
      <c r="AS217" s="40">
        <f t="shared" si="1253"/>
        <v>0</v>
      </c>
      <c r="AT217" s="40">
        <f t="shared" si="1254"/>
        <v>0</v>
      </c>
      <c r="AU217" s="40">
        <f t="shared" si="1255"/>
        <v>0</v>
      </c>
      <c r="AV217" s="40">
        <f t="shared" si="1256"/>
        <v>0</v>
      </c>
      <c r="AW217" s="40">
        <f t="shared" si="1257"/>
        <v>2</v>
      </c>
      <c r="AX217" s="40">
        <f t="shared" si="1304"/>
        <v>0</v>
      </c>
      <c r="AY217" s="40">
        <f t="shared" si="1258"/>
        <v>0</v>
      </c>
      <c r="AZ217" s="40">
        <f t="shared" si="1259"/>
        <v>0</v>
      </c>
      <c r="BA217" s="40">
        <f t="shared" si="1260"/>
        <v>0</v>
      </c>
      <c r="BB217" s="40">
        <f t="shared" si="1261"/>
        <v>0</v>
      </c>
      <c r="BC217" s="40">
        <f t="shared" si="1262"/>
        <v>0</v>
      </c>
      <c r="BD217" s="40">
        <f t="shared" si="1263"/>
        <v>2</v>
      </c>
      <c r="BE217" s="40">
        <f t="shared" si="1264"/>
        <v>0</v>
      </c>
      <c r="BF217" s="40">
        <f t="shared" si="1265"/>
        <v>0</v>
      </c>
      <c r="BG217" s="40">
        <f t="shared" si="1266"/>
        <v>0</v>
      </c>
      <c r="BH217" s="40">
        <f t="shared" si="1267"/>
        <v>0</v>
      </c>
      <c r="BI217" s="40">
        <f t="shared" si="1268"/>
        <v>2</v>
      </c>
      <c r="BJ217" s="40">
        <f>AH217-AG217</f>
        <v>-4</v>
      </c>
      <c r="BK217" s="40">
        <f t="shared" si="1270"/>
        <v>0</v>
      </c>
      <c r="BL217" s="40">
        <f t="shared" si="1271"/>
        <v>0</v>
      </c>
      <c r="BM217" s="408"/>
      <c r="BN217" s="48">
        <f t="shared" si="1190"/>
        <v>0</v>
      </c>
      <c r="BO217" s="48">
        <f t="shared" si="1191"/>
        <v>0</v>
      </c>
      <c r="BP217" s="48">
        <f>SUM(AL217:AN217)</f>
        <v>0</v>
      </c>
      <c r="BQ217" s="48">
        <f t="shared" si="1193"/>
        <v>2</v>
      </c>
      <c r="BR217" s="48">
        <f t="shared" si="1194"/>
        <v>2</v>
      </c>
      <c r="BS217" s="48">
        <f>SUM(AO217:AQ217)</f>
        <v>2</v>
      </c>
      <c r="BT217" s="48">
        <f t="shared" si="1196"/>
        <v>0</v>
      </c>
      <c r="BU217" s="48">
        <f t="shared" si="1197"/>
        <v>0</v>
      </c>
      <c r="BV217" s="48">
        <f>SUM(AR217:AT217)</f>
        <v>0</v>
      </c>
      <c r="BW217" s="48">
        <f t="shared" si="1199"/>
        <v>2</v>
      </c>
      <c r="BX217" s="48">
        <f t="shared" si="1200"/>
        <v>2</v>
      </c>
      <c r="BY217" s="48">
        <f>SUM(AU217:AW217)</f>
        <v>2</v>
      </c>
      <c r="BZ217" s="48">
        <f t="shared" si="1202"/>
        <v>0</v>
      </c>
      <c r="CA217" s="48">
        <f t="shared" si="1203"/>
        <v>0</v>
      </c>
      <c r="CB217" s="48">
        <f>SUM(AX217:AZ217)</f>
        <v>0</v>
      </c>
      <c r="CC217" s="48">
        <f t="shared" si="1223"/>
        <v>0</v>
      </c>
      <c r="CD217" s="48">
        <f t="shared" si="1204"/>
        <v>0</v>
      </c>
      <c r="CE217" s="48">
        <f>SUM(BA217:BC217)</f>
        <v>0</v>
      </c>
      <c r="CF217" s="48">
        <f>CH217</f>
        <v>2</v>
      </c>
      <c r="CG217" s="48">
        <f>CH217</f>
        <v>2</v>
      </c>
      <c r="CH217" s="48">
        <f>SUM(BD217:BF217)</f>
        <v>2</v>
      </c>
      <c r="CI217" s="48">
        <f>CK217</f>
        <v>2</v>
      </c>
      <c r="CJ217" s="48">
        <f>CK217</f>
        <v>2</v>
      </c>
      <c r="CK217" s="48">
        <f>SUM(BG217:BI217)</f>
        <v>2</v>
      </c>
      <c r="CL217" s="48">
        <f>CN217</f>
        <v>-4</v>
      </c>
      <c r="CM217" s="48">
        <f>CN217</f>
        <v>-4</v>
      </c>
      <c r="CN217" s="48">
        <f t="shared" si="1276"/>
        <v>-4</v>
      </c>
      <c r="CO217" s="406"/>
      <c r="CP217" s="48">
        <f t="shared" si="1307"/>
        <v>0</v>
      </c>
      <c r="CQ217" s="48">
        <f t="shared" si="1277"/>
        <v>0</v>
      </c>
      <c r="CR217" s="48">
        <f t="shared" si="1278"/>
        <v>0</v>
      </c>
      <c r="CS217" s="48">
        <f t="shared" si="1279"/>
        <v>0</v>
      </c>
      <c r="CT217" s="48">
        <f t="shared" si="1280"/>
        <v>0</v>
      </c>
      <c r="CU217" s="48">
        <f t="shared" si="1281"/>
        <v>2</v>
      </c>
      <c r="CV217" s="48">
        <f t="shared" si="1282"/>
        <v>2</v>
      </c>
      <c r="CW217" s="48">
        <f t="shared" si="1283"/>
        <v>2</v>
      </c>
      <c r="CX217" s="48">
        <f t="shared" si="1284"/>
        <v>2</v>
      </c>
      <c r="CY217" s="48">
        <f t="shared" si="1285"/>
        <v>2</v>
      </c>
      <c r="CZ217" s="48">
        <f t="shared" si="1286"/>
        <v>2</v>
      </c>
      <c r="DA217" s="48">
        <f t="shared" si="1287"/>
        <v>4</v>
      </c>
      <c r="DB217" s="48">
        <f t="shared" si="1308"/>
        <v>0</v>
      </c>
      <c r="DC217" s="48">
        <f t="shared" si="1288"/>
        <v>0</v>
      </c>
      <c r="DD217" s="48">
        <f t="shared" si="1289"/>
        <v>0</v>
      </c>
      <c r="DE217" s="48">
        <f t="shared" si="1290"/>
        <v>0</v>
      </c>
      <c r="DF217" s="48">
        <f t="shared" si="1291"/>
        <v>0</v>
      </c>
      <c r="DG217" s="48">
        <f t="shared" si="1292"/>
        <v>0</v>
      </c>
      <c r="DH217" s="48">
        <f t="shared" si="1293"/>
        <v>2</v>
      </c>
      <c r="DI217" s="48">
        <f t="shared" si="1294"/>
        <v>2</v>
      </c>
      <c r="DJ217" s="48">
        <f t="shared" si="1295"/>
        <v>2</v>
      </c>
      <c r="DK217" s="48">
        <f t="shared" si="1296"/>
        <v>2</v>
      </c>
      <c r="DL217" s="48">
        <f t="shared" si="1297"/>
        <v>2</v>
      </c>
      <c r="DM217" s="48">
        <f t="shared" si="1298"/>
        <v>4</v>
      </c>
      <c r="DN217" s="48">
        <f>DM217+BJ217</f>
        <v>0</v>
      </c>
      <c r="DO217" s="48">
        <f t="shared" si="1309"/>
        <v>0</v>
      </c>
      <c r="DP217" s="48">
        <f t="shared" si="1310"/>
        <v>0</v>
      </c>
      <c r="DQ217" s="48"/>
      <c r="DR217" s="48"/>
      <c r="DS217" s="48"/>
      <c r="DT217" s="48"/>
      <c r="DU217" s="48"/>
      <c r="DV217" s="48"/>
      <c r="DW217" s="48"/>
      <c r="DX217" s="48"/>
      <c r="DY217" s="48"/>
      <c r="EA217" s="52">
        <f t="shared" si="1226"/>
        <v>4</v>
      </c>
      <c r="EB217" s="52">
        <f t="shared" si="1227"/>
        <v>4</v>
      </c>
      <c r="EC217" s="52"/>
      <c r="ED217" s="429"/>
      <c r="EE217" s="40">
        <f t="shared" si="1186"/>
        <v>0</v>
      </c>
      <c r="EF217" s="40">
        <f t="shared" si="1187"/>
        <v>-4</v>
      </c>
      <c r="EG217" s="51">
        <f t="shared" si="1238"/>
        <v>4</v>
      </c>
      <c r="EH217" s="54"/>
      <c r="EI217" s="54"/>
      <c r="EJ217" s="54"/>
      <c r="EK217" s="675"/>
      <c r="EL217" s="53"/>
      <c r="EM217" s="53"/>
      <c r="EN217" s="53"/>
      <c r="EO217" s="49"/>
      <c r="EP217" s="49"/>
      <c r="EQ217" s="49"/>
    </row>
    <row r="218" spans="1:149">
      <c r="A218" s="6" t="s">
        <v>23</v>
      </c>
      <c r="B218" s="2" t="s">
        <v>13</v>
      </c>
      <c r="C218" s="3" t="s">
        <v>52</v>
      </c>
      <c r="E218" s="3" t="s">
        <v>15</v>
      </c>
      <c r="G218" s="3" t="s">
        <v>91</v>
      </c>
      <c r="I218" s="23"/>
      <c r="J218" s="19"/>
      <c r="K218" s="19"/>
      <c r="L218" s="19">
        <v>24999</v>
      </c>
      <c r="M218" s="19">
        <f>L218</f>
        <v>24999</v>
      </c>
      <c r="N218" s="19">
        <f>M218</f>
        <v>24999</v>
      </c>
      <c r="O218" s="19">
        <v>49998</v>
      </c>
      <c r="P218" s="19">
        <f>+O218</f>
        <v>49998</v>
      </c>
      <c r="Q218" s="19">
        <f>+P218</f>
        <v>49998</v>
      </c>
      <c r="R218" s="19">
        <v>74997</v>
      </c>
      <c r="S218" s="19">
        <f>+R218</f>
        <v>74997</v>
      </c>
      <c r="T218" s="19">
        <f>+S218</f>
        <v>74997</v>
      </c>
      <c r="U218" s="19">
        <v>100000</v>
      </c>
      <c r="V218" s="219">
        <v>0</v>
      </c>
      <c r="W218" s="246">
        <v>0</v>
      </c>
      <c r="X218" s="246">
        <v>0</v>
      </c>
      <c r="Y218" s="246">
        <f>X218</f>
        <v>0</v>
      </c>
      <c r="Z218" s="246">
        <v>0</v>
      </c>
      <c r="AA218" s="246">
        <f>ROUND(AG218/2,)</f>
        <v>54582</v>
      </c>
      <c r="AB218" s="246">
        <f t="shared" ref="AB218:AF219" si="1317">+AA218</f>
        <v>54582</v>
      </c>
      <c r="AC218" s="246">
        <f t="shared" si="1317"/>
        <v>54582</v>
      </c>
      <c r="AD218" s="246">
        <f t="shared" si="1317"/>
        <v>54582</v>
      </c>
      <c r="AE218" s="246">
        <f t="shared" si="1317"/>
        <v>54582</v>
      </c>
      <c r="AF218" s="246">
        <f t="shared" si="1317"/>
        <v>54582</v>
      </c>
      <c r="AG218" s="246">
        <v>109164</v>
      </c>
      <c r="AH218" s="31"/>
      <c r="AI218" s="19"/>
      <c r="AJ218" s="19"/>
      <c r="AK218" s="408"/>
      <c r="AL218" s="40" t="s">
        <v>97</v>
      </c>
      <c r="AM218" s="40" t="s">
        <v>97</v>
      </c>
      <c r="AN218" s="40" t="s">
        <v>97</v>
      </c>
      <c r="AO218" s="40" t="s">
        <v>97</v>
      </c>
      <c r="AP218" s="40" t="s">
        <v>97</v>
      </c>
      <c r="AQ218" s="40" t="s">
        <v>97</v>
      </c>
      <c r="AR218" s="40" t="s">
        <v>97</v>
      </c>
      <c r="AS218" s="40" t="s">
        <v>97</v>
      </c>
      <c r="AT218" s="40" t="s">
        <v>97</v>
      </c>
      <c r="AU218" s="40" t="s">
        <v>97</v>
      </c>
      <c r="AV218" s="40" t="s">
        <v>97</v>
      </c>
      <c r="AW218" s="40" t="s">
        <v>97</v>
      </c>
      <c r="AX218" s="40" t="s">
        <v>97</v>
      </c>
      <c r="AY218" s="40" t="s">
        <v>97</v>
      </c>
      <c r="AZ218" s="40" t="s">
        <v>97</v>
      </c>
      <c r="BA218" s="40" t="s">
        <v>97</v>
      </c>
      <c r="BB218" s="40" t="s">
        <v>97</v>
      </c>
      <c r="BC218" s="40" t="s">
        <v>97</v>
      </c>
      <c r="BD218" s="40" t="s">
        <v>97</v>
      </c>
      <c r="BE218" s="40" t="s">
        <v>97</v>
      </c>
      <c r="BF218" s="40" t="s">
        <v>97</v>
      </c>
      <c r="BG218" s="40" t="s">
        <v>97</v>
      </c>
      <c r="BH218" s="40" t="s">
        <v>97</v>
      </c>
      <c r="BI218" s="40" t="s">
        <v>97</v>
      </c>
      <c r="BJ218" s="40" t="s">
        <v>97</v>
      </c>
      <c r="BK218" s="40" t="s">
        <v>97</v>
      </c>
      <c r="BL218" s="40" t="s">
        <v>97</v>
      </c>
      <c r="BM218" s="408"/>
      <c r="BN218" s="40" t="s">
        <v>97</v>
      </c>
      <c r="BO218" s="40" t="s">
        <v>97</v>
      </c>
      <c r="BP218" s="40" t="s">
        <v>97</v>
      </c>
      <c r="BQ218" s="40" t="s">
        <v>97</v>
      </c>
      <c r="BR218" s="40" t="s">
        <v>97</v>
      </c>
      <c r="BS218" s="40" t="s">
        <v>97</v>
      </c>
      <c r="BT218" s="40" t="s">
        <v>97</v>
      </c>
      <c r="BU218" s="40" t="s">
        <v>97</v>
      </c>
      <c r="BV218" s="40" t="s">
        <v>97</v>
      </c>
      <c r="BW218" s="40" t="s">
        <v>97</v>
      </c>
      <c r="BX218" s="40" t="s">
        <v>97</v>
      </c>
      <c r="BY218" s="40" t="s">
        <v>97</v>
      </c>
      <c r="BZ218" s="40" t="s">
        <v>97</v>
      </c>
      <c r="CA218" s="40" t="s">
        <v>97</v>
      </c>
      <c r="CB218" s="40" t="s">
        <v>97</v>
      </c>
      <c r="CC218" s="40" t="s">
        <v>97</v>
      </c>
      <c r="CD218" s="40" t="s">
        <v>97</v>
      </c>
      <c r="CE218" s="40" t="s">
        <v>97</v>
      </c>
      <c r="CF218" s="40" t="s">
        <v>97</v>
      </c>
      <c r="CG218" s="40" t="s">
        <v>97</v>
      </c>
      <c r="CH218" s="40" t="s">
        <v>97</v>
      </c>
      <c r="CI218" s="40" t="s">
        <v>97</v>
      </c>
      <c r="CJ218" s="40" t="s">
        <v>97</v>
      </c>
      <c r="CK218" s="40" t="s">
        <v>97</v>
      </c>
      <c r="CL218" s="40" t="s">
        <v>97</v>
      </c>
      <c r="CM218" s="40" t="s">
        <v>97</v>
      </c>
      <c r="CN218" s="40" t="s">
        <v>97</v>
      </c>
      <c r="CO218" s="406"/>
      <c r="CP218" s="48">
        <f t="shared" ref="CP218:CY219" si="1318">J218</f>
        <v>0</v>
      </c>
      <c r="CQ218" s="48">
        <f t="shared" si="1318"/>
        <v>0</v>
      </c>
      <c r="CR218" s="48">
        <f t="shared" si="1318"/>
        <v>24999</v>
      </c>
      <c r="CS218" s="48">
        <f t="shared" si="1318"/>
        <v>24999</v>
      </c>
      <c r="CT218" s="48">
        <f t="shared" si="1318"/>
        <v>24999</v>
      </c>
      <c r="CU218" s="48">
        <f t="shared" si="1318"/>
        <v>49998</v>
      </c>
      <c r="CV218" s="48">
        <f t="shared" si="1318"/>
        <v>49998</v>
      </c>
      <c r="CW218" s="48">
        <f t="shared" si="1318"/>
        <v>49998</v>
      </c>
      <c r="CX218" s="48">
        <f t="shared" si="1318"/>
        <v>74997</v>
      </c>
      <c r="CY218" s="48">
        <f t="shared" si="1318"/>
        <v>74997</v>
      </c>
      <c r="CZ218" s="48">
        <f t="shared" ref="CZ218:DI219" si="1319">T218</f>
        <v>74997</v>
      </c>
      <c r="DA218" s="48">
        <f t="shared" si="1319"/>
        <v>100000</v>
      </c>
      <c r="DB218" s="48">
        <f t="shared" si="1319"/>
        <v>0</v>
      </c>
      <c r="DC218" s="48">
        <f t="shared" si="1319"/>
        <v>0</v>
      </c>
      <c r="DD218" s="48">
        <f t="shared" si="1319"/>
        <v>0</v>
      </c>
      <c r="DE218" s="48">
        <f t="shared" si="1319"/>
        <v>0</v>
      </c>
      <c r="DF218" s="48">
        <f t="shared" si="1319"/>
        <v>0</v>
      </c>
      <c r="DG218" s="48">
        <f t="shared" si="1319"/>
        <v>54582</v>
      </c>
      <c r="DH218" s="48">
        <f t="shared" si="1319"/>
        <v>54582</v>
      </c>
      <c r="DI218" s="48">
        <f t="shared" si="1319"/>
        <v>54582</v>
      </c>
      <c r="DJ218" s="48">
        <f t="shared" ref="DJ218:DP219" si="1320">AD218</f>
        <v>54582</v>
      </c>
      <c r="DK218" s="48">
        <f t="shared" si="1320"/>
        <v>54582</v>
      </c>
      <c r="DL218" s="48">
        <f t="shared" si="1320"/>
        <v>54582</v>
      </c>
      <c r="DM218" s="48">
        <f t="shared" si="1320"/>
        <v>109164</v>
      </c>
      <c r="DN218" s="48">
        <f t="shared" si="1320"/>
        <v>0</v>
      </c>
      <c r="DO218" s="48">
        <f t="shared" si="1320"/>
        <v>0</v>
      </c>
      <c r="DP218" s="48">
        <f t="shared" si="1320"/>
        <v>0</v>
      </c>
      <c r="DQ218" s="48"/>
      <c r="DR218" s="48"/>
      <c r="DS218" s="48"/>
      <c r="DT218" s="48"/>
      <c r="DU218" s="48"/>
      <c r="DV218" s="48"/>
      <c r="DW218" s="48"/>
      <c r="DX218" s="48"/>
      <c r="DY218" s="48"/>
      <c r="EA218" s="52">
        <f t="shared" si="1226"/>
        <v>100000</v>
      </c>
      <c r="EB218" s="52">
        <f t="shared" si="1227"/>
        <v>109164</v>
      </c>
      <c r="EC218" s="52"/>
      <c r="ED218" s="429"/>
      <c r="EE218" s="40" t="str">
        <f>HLOOKUP($I$1,Month,19)</f>
        <v>N/A</v>
      </c>
      <c r="EF218" s="40" t="str">
        <f>HLOOKUP($I$1,Qtr,19)</f>
        <v>N/A</v>
      </c>
      <c r="EG218" s="51">
        <f>HLOOKUP($EJ$4,Budget,19)</f>
        <v>41153</v>
      </c>
      <c r="EH218" s="54"/>
      <c r="EI218" s="54"/>
      <c r="EJ218" s="54"/>
      <c r="EK218" s="675"/>
      <c r="EL218" s="53"/>
      <c r="EM218" s="53"/>
      <c r="EN218" s="53"/>
      <c r="EO218" s="49"/>
      <c r="EP218" s="49"/>
      <c r="EQ218" s="49"/>
    </row>
    <row r="219" spans="1:149" ht="13.5" thickBot="1">
      <c r="A219" s="6" t="s">
        <v>23</v>
      </c>
      <c r="B219" s="2" t="s">
        <v>14</v>
      </c>
      <c r="C219" s="3" t="s">
        <v>53</v>
      </c>
      <c r="E219" s="3" t="s">
        <v>15</v>
      </c>
      <c r="G219" s="3" t="s">
        <v>91</v>
      </c>
      <c r="I219" s="23"/>
      <c r="J219" s="19"/>
      <c r="K219" s="19"/>
      <c r="L219" s="19">
        <v>0</v>
      </c>
      <c r="M219" s="19">
        <f>L219</f>
        <v>0</v>
      </c>
      <c r="N219" s="19">
        <f>M219</f>
        <v>0</v>
      </c>
      <c r="O219" s="19">
        <v>0</v>
      </c>
      <c r="P219" s="19">
        <f>+O219</f>
        <v>0</v>
      </c>
      <c r="Q219" s="19">
        <f>+P219</f>
        <v>0</v>
      </c>
      <c r="R219" s="19">
        <v>0</v>
      </c>
      <c r="S219" s="19">
        <f>+R219</f>
        <v>0</v>
      </c>
      <c r="T219" s="19">
        <f>+S219</f>
        <v>0</v>
      </c>
      <c r="U219" s="19">
        <v>0</v>
      </c>
      <c r="V219" s="221">
        <v>0</v>
      </c>
      <c r="W219" s="246">
        <v>0</v>
      </c>
      <c r="X219" s="246">
        <v>0</v>
      </c>
      <c r="Y219" s="246">
        <f>X219</f>
        <v>0</v>
      </c>
      <c r="Z219" s="246">
        <v>0</v>
      </c>
      <c r="AA219" s="246">
        <f>ROUND(AG219/2,0)</f>
        <v>15000</v>
      </c>
      <c r="AB219" s="246">
        <f t="shared" si="1317"/>
        <v>15000</v>
      </c>
      <c r="AC219" s="246">
        <f t="shared" si="1317"/>
        <v>15000</v>
      </c>
      <c r="AD219" s="246">
        <f t="shared" si="1317"/>
        <v>15000</v>
      </c>
      <c r="AE219" s="246">
        <f t="shared" si="1317"/>
        <v>15000</v>
      </c>
      <c r="AF219" s="246">
        <f t="shared" si="1317"/>
        <v>15000</v>
      </c>
      <c r="AG219" s="246">
        <v>30000</v>
      </c>
      <c r="AH219" s="34"/>
      <c r="AI219" s="19"/>
      <c r="AJ219" s="19"/>
      <c r="AK219" s="408"/>
      <c r="AL219" s="40" t="s">
        <v>97</v>
      </c>
      <c r="AM219" s="40" t="s">
        <v>97</v>
      </c>
      <c r="AN219" s="40" t="s">
        <v>97</v>
      </c>
      <c r="AO219" s="40" t="s">
        <v>97</v>
      </c>
      <c r="AP219" s="40" t="s">
        <v>97</v>
      </c>
      <c r="AQ219" s="40" t="s">
        <v>97</v>
      </c>
      <c r="AR219" s="40" t="s">
        <v>97</v>
      </c>
      <c r="AS219" s="40" t="s">
        <v>97</v>
      </c>
      <c r="AT219" s="40" t="s">
        <v>97</v>
      </c>
      <c r="AU219" s="40" t="s">
        <v>97</v>
      </c>
      <c r="AV219" s="40" t="s">
        <v>97</v>
      </c>
      <c r="AW219" s="40" t="s">
        <v>97</v>
      </c>
      <c r="AX219" s="40" t="s">
        <v>97</v>
      </c>
      <c r="AY219" s="40" t="s">
        <v>97</v>
      </c>
      <c r="AZ219" s="40" t="s">
        <v>97</v>
      </c>
      <c r="BA219" s="40" t="s">
        <v>97</v>
      </c>
      <c r="BB219" s="40" t="s">
        <v>97</v>
      </c>
      <c r="BC219" s="40" t="s">
        <v>97</v>
      </c>
      <c r="BD219" s="40" t="s">
        <v>97</v>
      </c>
      <c r="BE219" s="40" t="s">
        <v>97</v>
      </c>
      <c r="BF219" s="40" t="s">
        <v>97</v>
      </c>
      <c r="BG219" s="40" t="s">
        <v>97</v>
      </c>
      <c r="BH219" s="40" t="s">
        <v>97</v>
      </c>
      <c r="BI219" s="40" t="s">
        <v>97</v>
      </c>
      <c r="BJ219" s="40" t="s">
        <v>97</v>
      </c>
      <c r="BK219" s="40" t="s">
        <v>97</v>
      </c>
      <c r="BL219" s="40" t="s">
        <v>97</v>
      </c>
      <c r="BM219" s="408"/>
      <c r="BN219" s="40" t="s">
        <v>97</v>
      </c>
      <c r="BO219" s="40" t="s">
        <v>97</v>
      </c>
      <c r="BP219" s="40" t="s">
        <v>97</v>
      </c>
      <c r="BQ219" s="40" t="s">
        <v>97</v>
      </c>
      <c r="BR219" s="40" t="s">
        <v>97</v>
      </c>
      <c r="BS219" s="40" t="s">
        <v>97</v>
      </c>
      <c r="BT219" s="40" t="s">
        <v>97</v>
      </c>
      <c r="BU219" s="40" t="s">
        <v>97</v>
      </c>
      <c r="BV219" s="40" t="s">
        <v>97</v>
      </c>
      <c r="BW219" s="40" t="s">
        <v>97</v>
      </c>
      <c r="BX219" s="40" t="s">
        <v>97</v>
      </c>
      <c r="BY219" s="40" t="s">
        <v>97</v>
      </c>
      <c r="BZ219" s="40" t="s">
        <v>97</v>
      </c>
      <c r="CA219" s="40" t="s">
        <v>97</v>
      </c>
      <c r="CB219" s="40" t="s">
        <v>97</v>
      </c>
      <c r="CC219" s="40" t="s">
        <v>97</v>
      </c>
      <c r="CD219" s="40" t="s">
        <v>97</v>
      </c>
      <c r="CE219" s="40" t="s">
        <v>97</v>
      </c>
      <c r="CF219" s="40" t="s">
        <v>97</v>
      </c>
      <c r="CG219" s="40" t="s">
        <v>97</v>
      </c>
      <c r="CH219" s="40" t="s">
        <v>97</v>
      </c>
      <c r="CI219" s="40" t="s">
        <v>97</v>
      </c>
      <c r="CJ219" s="40" t="s">
        <v>97</v>
      </c>
      <c r="CK219" s="40" t="s">
        <v>97</v>
      </c>
      <c r="CL219" s="40" t="s">
        <v>97</v>
      </c>
      <c r="CM219" s="40" t="s">
        <v>97</v>
      </c>
      <c r="CN219" s="40" t="s">
        <v>97</v>
      </c>
      <c r="CO219" s="406"/>
      <c r="CP219" s="48">
        <f t="shared" si="1318"/>
        <v>0</v>
      </c>
      <c r="CQ219" s="48">
        <f t="shared" si="1318"/>
        <v>0</v>
      </c>
      <c r="CR219" s="48">
        <f t="shared" si="1318"/>
        <v>0</v>
      </c>
      <c r="CS219" s="48">
        <f t="shared" si="1318"/>
        <v>0</v>
      </c>
      <c r="CT219" s="48">
        <f t="shared" si="1318"/>
        <v>0</v>
      </c>
      <c r="CU219" s="48">
        <f t="shared" si="1318"/>
        <v>0</v>
      </c>
      <c r="CV219" s="48">
        <f t="shared" si="1318"/>
        <v>0</v>
      </c>
      <c r="CW219" s="48">
        <f t="shared" si="1318"/>
        <v>0</v>
      </c>
      <c r="CX219" s="48">
        <f t="shared" si="1318"/>
        <v>0</v>
      </c>
      <c r="CY219" s="48">
        <f t="shared" si="1318"/>
        <v>0</v>
      </c>
      <c r="CZ219" s="48">
        <f t="shared" si="1319"/>
        <v>0</v>
      </c>
      <c r="DA219" s="48">
        <f t="shared" si="1319"/>
        <v>0</v>
      </c>
      <c r="DB219" s="48">
        <f t="shared" si="1319"/>
        <v>0</v>
      </c>
      <c r="DC219" s="48">
        <f t="shared" si="1319"/>
        <v>0</v>
      </c>
      <c r="DD219" s="48">
        <f t="shared" si="1319"/>
        <v>0</v>
      </c>
      <c r="DE219" s="48">
        <f t="shared" si="1319"/>
        <v>0</v>
      </c>
      <c r="DF219" s="48">
        <f t="shared" si="1319"/>
        <v>0</v>
      </c>
      <c r="DG219" s="48">
        <f t="shared" si="1319"/>
        <v>15000</v>
      </c>
      <c r="DH219" s="48">
        <f t="shared" si="1319"/>
        <v>15000</v>
      </c>
      <c r="DI219" s="48">
        <f t="shared" si="1319"/>
        <v>15000</v>
      </c>
      <c r="DJ219" s="48">
        <f t="shared" si="1320"/>
        <v>15000</v>
      </c>
      <c r="DK219" s="48">
        <f t="shared" si="1320"/>
        <v>15000</v>
      </c>
      <c r="DL219" s="48">
        <f t="shared" si="1320"/>
        <v>15000</v>
      </c>
      <c r="DM219" s="48">
        <f t="shared" si="1320"/>
        <v>30000</v>
      </c>
      <c r="DN219" s="48">
        <f t="shared" si="1320"/>
        <v>0</v>
      </c>
      <c r="DO219" s="48">
        <f t="shared" si="1320"/>
        <v>0</v>
      </c>
      <c r="DP219" s="48">
        <f t="shared" si="1320"/>
        <v>0</v>
      </c>
      <c r="DQ219" s="48"/>
      <c r="DR219" s="48"/>
      <c r="DS219" s="48"/>
      <c r="DT219" s="48"/>
      <c r="DU219" s="48"/>
      <c r="DV219" s="48"/>
      <c r="DW219" s="48"/>
      <c r="DX219" s="48"/>
      <c r="DY219" s="48"/>
      <c r="EA219" s="52">
        <f t="shared" si="1226"/>
        <v>0</v>
      </c>
      <c r="EB219" s="52">
        <f t="shared" si="1227"/>
        <v>30000</v>
      </c>
      <c r="EC219" s="52"/>
      <c r="ED219" s="429"/>
      <c r="EE219" s="40" t="str">
        <f>HLOOKUP($I$1,Month,20)</f>
        <v>N/A</v>
      </c>
      <c r="EF219" s="40" t="str">
        <f>HLOOKUP($I$1,Qtr,20)</f>
        <v>N/A</v>
      </c>
      <c r="EG219" s="51">
        <f>HLOOKUP($EJ$4,Budget,20)</f>
        <v>81520</v>
      </c>
      <c r="EH219" s="54"/>
      <c r="EI219" s="54"/>
      <c r="EJ219" s="54"/>
      <c r="EK219" s="675"/>
      <c r="EL219" s="53"/>
      <c r="EM219" s="53"/>
      <c r="EN219" s="53"/>
      <c r="EO219" s="49"/>
      <c r="EP219" s="49"/>
      <c r="EQ219" s="49"/>
    </row>
    <row r="220" spans="1:149">
      <c r="A220" s="6" t="s">
        <v>23</v>
      </c>
      <c r="B220" s="2" t="s">
        <v>0</v>
      </c>
      <c r="C220" s="3" t="s">
        <v>40</v>
      </c>
      <c r="G220" s="43" t="s">
        <v>113</v>
      </c>
      <c r="H220" s="28"/>
      <c r="I220" s="29"/>
      <c r="J220" s="30">
        <f>93/12</f>
        <v>7.75</v>
      </c>
      <c r="K220" s="226">
        <f t="shared" ref="K220:U220" si="1321">93/12</f>
        <v>7.75</v>
      </c>
      <c r="L220" s="226">
        <f t="shared" si="1321"/>
        <v>7.75</v>
      </c>
      <c r="M220" s="226">
        <f t="shared" si="1321"/>
        <v>7.75</v>
      </c>
      <c r="N220" s="226">
        <f t="shared" si="1321"/>
        <v>7.75</v>
      </c>
      <c r="O220" s="226">
        <f t="shared" si="1321"/>
        <v>7.75</v>
      </c>
      <c r="P220" s="226">
        <f t="shared" si="1321"/>
        <v>7.75</v>
      </c>
      <c r="Q220" s="226">
        <f t="shared" si="1321"/>
        <v>7.75</v>
      </c>
      <c r="R220" s="226">
        <f t="shared" si="1321"/>
        <v>7.75</v>
      </c>
      <c r="S220" s="226">
        <f t="shared" si="1321"/>
        <v>7.75</v>
      </c>
      <c r="T220" s="226">
        <f t="shared" si="1321"/>
        <v>7.75</v>
      </c>
      <c r="U220" s="226">
        <f t="shared" si="1321"/>
        <v>7.75</v>
      </c>
      <c r="V220" s="394">
        <v>7.5</v>
      </c>
      <c r="W220" s="394">
        <f>V220+7.5</f>
        <v>15</v>
      </c>
      <c r="X220" s="394">
        <f t="shared" ref="X220:AG220" si="1322">W220+7.5</f>
        <v>22.5</v>
      </c>
      <c r="Y220" s="394">
        <f t="shared" si="1322"/>
        <v>30</v>
      </c>
      <c r="Z220" s="394">
        <f t="shared" si="1322"/>
        <v>37.5</v>
      </c>
      <c r="AA220" s="394">
        <f t="shared" si="1322"/>
        <v>45</v>
      </c>
      <c r="AB220" s="394">
        <f t="shared" si="1322"/>
        <v>52.5</v>
      </c>
      <c r="AC220" s="394">
        <f t="shared" si="1322"/>
        <v>60</v>
      </c>
      <c r="AD220" s="394">
        <f t="shared" si="1322"/>
        <v>67.5</v>
      </c>
      <c r="AE220" s="394">
        <f t="shared" si="1322"/>
        <v>75</v>
      </c>
      <c r="AF220" s="394">
        <f t="shared" si="1322"/>
        <v>82.5</v>
      </c>
      <c r="AG220" s="394">
        <f t="shared" si="1322"/>
        <v>90</v>
      </c>
      <c r="AH220" s="30">
        <f>120/12</f>
        <v>10</v>
      </c>
      <c r="AI220" s="226">
        <f t="shared" ref="AI220:AJ220" si="1323">120/12</f>
        <v>10</v>
      </c>
      <c r="AJ220" s="226">
        <f t="shared" si="1323"/>
        <v>10</v>
      </c>
      <c r="AK220" s="408"/>
      <c r="AL220" s="48">
        <f t="shared" ref="AL220:AU222" si="1324">J220</f>
        <v>7.75</v>
      </c>
      <c r="AM220" s="48">
        <f t="shared" si="1324"/>
        <v>7.75</v>
      </c>
      <c r="AN220" s="48">
        <f t="shared" si="1324"/>
        <v>7.75</v>
      </c>
      <c r="AO220" s="48">
        <f t="shared" si="1324"/>
        <v>7.75</v>
      </c>
      <c r="AP220" s="48">
        <f t="shared" si="1324"/>
        <v>7.75</v>
      </c>
      <c r="AQ220" s="48">
        <f t="shared" si="1324"/>
        <v>7.75</v>
      </c>
      <c r="AR220" s="48">
        <f t="shared" si="1324"/>
        <v>7.75</v>
      </c>
      <c r="AS220" s="48">
        <f t="shared" si="1324"/>
        <v>7.75</v>
      </c>
      <c r="AT220" s="48">
        <f t="shared" si="1324"/>
        <v>7.75</v>
      </c>
      <c r="AU220" s="48">
        <f t="shared" si="1324"/>
        <v>7.75</v>
      </c>
      <c r="AV220" s="48">
        <f>T220</f>
        <v>7.75</v>
      </c>
      <c r="AW220" s="276">
        <v>7.5</v>
      </c>
      <c r="AX220" s="276">
        <f>V220</f>
        <v>7.5</v>
      </c>
      <c r="AY220" s="276">
        <v>7.5</v>
      </c>
      <c r="AZ220" s="276">
        <v>7.5</v>
      </c>
      <c r="BA220" s="276">
        <v>7.5</v>
      </c>
      <c r="BB220" s="276">
        <v>7.5</v>
      </c>
      <c r="BC220" s="276">
        <v>7.5</v>
      </c>
      <c r="BD220" s="276">
        <v>7.5</v>
      </c>
      <c r="BE220" s="276">
        <v>7.5</v>
      </c>
      <c r="BF220" s="276">
        <v>7.5</v>
      </c>
      <c r="BG220" s="276">
        <v>7.5</v>
      </c>
      <c r="BH220" s="276">
        <v>7.5</v>
      </c>
      <c r="BI220" s="276">
        <v>7.5</v>
      </c>
      <c r="BJ220" s="48">
        <f t="shared" ref="BF220:BL222" si="1325">AH220</f>
        <v>10</v>
      </c>
      <c r="BK220" s="48">
        <f t="shared" si="1325"/>
        <v>10</v>
      </c>
      <c r="BL220" s="48">
        <f t="shared" si="1325"/>
        <v>10</v>
      </c>
      <c r="BM220" s="408"/>
      <c r="BN220" s="48">
        <f>+AL220</f>
        <v>7.75</v>
      </c>
      <c r="BO220" s="48">
        <f>+BN220+AM220</f>
        <v>15.5</v>
      </c>
      <c r="BP220" s="48">
        <f>+BO220+AN220</f>
        <v>23.25</v>
      </c>
      <c r="BQ220" s="48">
        <f>AO220</f>
        <v>7.75</v>
      </c>
      <c r="BR220" s="48">
        <f>+BQ220+AP220</f>
        <v>15.5</v>
      </c>
      <c r="BS220" s="48">
        <f>+BR220+AQ220</f>
        <v>23.25</v>
      </c>
      <c r="BT220" s="48">
        <f>AR220</f>
        <v>7.75</v>
      </c>
      <c r="BU220" s="48">
        <f>+BT220+AS220</f>
        <v>15.5</v>
      </c>
      <c r="BV220" s="48">
        <f>+BU220+AT220</f>
        <v>23.25</v>
      </c>
      <c r="BW220" s="48">
        <f>AU220</f>
        <v>7.75</v>
      </c>
      <c r="BX220" s="48">
        <f>+BW220+AV220</f>
        <v>15.5</v>
      </c>
      <c r="BY220" s="48">
        <f>+BX220+AW220</f>
        <v>23</v>
      </c>
      <c r="BZ220" s="395">
        <v>22.5</v>
      </c>
      <c r="CA220" s="395">
        <v>22.5</v>
      </c>
      <c r="CB220" s="395">
        <f>V220*3</f>
        <v>22.5</v>
      </c>
      <c r="CC220" s="395">
        <v>45</v>
      </c>
      <c r="CD220" s="395">
        <v>45</v>
      </c>
      <c r="CE220" s="395">
        <f>CB220*2</f>
        <v>45</v>
      </c>
      <c r="CF220" s="395">
        <v>67.5</v>
      </c>
      <c r="CG220" s="395">
        <v>67.5</v>
      </c>
      <c r="CH220" s="395">
        <f>CB220*3</f>
        <v>67.5</v>
      </c>
      <c r="CI220" s="395">
        <v>90</v>
      </c>
      <c r="CJ220" s="395">
        <v>90</v>
      </c>
      <c r="CK220" s="395">
        <f>CB220*4</f>
        <v>90</v>
      </c>
      <c r="CL220" s="48">
        <f>CN220</f>
        <v>30</v>
      </c>
      <c r="CM220" s="48">
        <f>CN220</f>
        <v>30</v>
      </c>
      <c r="CN220" s="48">
        <f>120/4</f>
        <v>30</v>
      </c>
      <c r="CO220" s="406"/>
      <c r="CP220" s="40">
        <f>AL220</f>
        <v>7.75</v>
      </c>
      <c r="CQ220" s="40">
        <f t="shared" ref="CQ220:DA221" si="1326">CP220+AM220</f>
        <v>15.5</v>
      </c>
      <c r="CR220" s="40">
        <f t="shared" si="1326"/>
        <v>23.25</v>
      </c>
      <c r="CS220" s="40">
        <f t="shared" si="1326"/>
        <v>31</v>
      </c>
      <c r="CT220" s="40">
        <f t="shared" si="1326"/>
        <v>38.75</v>
      </c>
      <c r="CU220" s="40">
        <f t="shared" si="1326"/>
        <v>46.5</v>
      </c>
      <c r="CV220" s="40">
        <f t="shared" si="1326"/>
        <v>54.25</v>
      </c>
      <c r="CW220" s="40">
        <f t="shared" si="1326"/>
        <v>62</v>
      </c>
      <c r="CX220" s="40">
        <f t="shared" si="1326"/>
        <v>69.75</v>
      </c>
      <c r="CY220" s="40">
        <f t="shared" si="1326"/>
        <v>77.5</v>
      </c>
      <c r="CZ220" s="40">
        <f t="shared" si="1326"/>
        <v>85.25</v>
      </c>
      <c r="DA220" s="40">
        <f t="shared" si="1326"/>
        <v>92.75</v>
      </c>
      <c r="DB220" s="40">
        <f>AX220</f>
        <v>7.5</v>
      </c>
      <c r="DC220" s="40">
        <f>DB220+7.5</f>
        <v>15</v>
      </c>
      <c r="DD220" s="40">
        <f>DC220+7.5</f>
        <v>22.5</v>
      </c>
      <c r="DE220" s="40">
        <f t="shared" ref="DE220:DM220" si="1327">DD220+7.5</f>
        <v>30</v>
      </c>
      <c r="DF220" s="40">
        <f t="shared" si="1327"/>
        <v>37.5</v>
      </c>
      <c r="DG220" s="40">
        <f t="shared" si="1327"/>
        <v>45</v>
      </c>
      <c r="DH220" s="40">
        <f t="shared" si="1327"/>
        <v>52.5</v>
      </c>
      <c r="DI220" s="40">
        <f t="shared" si="1327"/>
        <v>60</v>
      </c>
      <c r="DJ220" s="40">
        <f t="shared" si="1327"/>
        <v>67.5</v>
      </c>
      <c r="DK220" s="40">
        <f t="shared" si="1327"/>
        <v>75</v>
      </c>
      <c r="DL220" s="40">
        <f t="shared" si="1327"/>
        <v>82.5</v>
      </c>
      <c r="DM220" s="40">
        <f t="shared" si="1327"/>
        <v>90</v>
      </c>
      <c r="DN220" s="40">
        <f>BJ220</f>
        <v>10</v>
      </c>
      <c r="DO220" s="40">
        <f>DN220+BK220</f>
        <v>20</v>
      </c>
      <c r="DP220" s="40">
        <f>DO220+BL220</f>
        <v>30</v>
      </c>
      <c r="DQ220" s="40"/>
      <c r="DR220" s="40"/>
      <c r="DS220" s="40"/>
      <c r="DT220" s="40"/>
      <c r="DU220" s="40"/>
      <c r="DV220" s="40"/>
      <c r="DW220" s="40"/>
      <c r="DX220" s="40"/>
      <c r="DY220" s="40"/>
      <c r="EA220" s="58">
        <f t="shared" si="1226"/>
        <v>92.75</v>
      </c>
      <c r="EB220" s="58">
        <v>120</v>
      </c>
      <c r="EC220" s="58"/>
      <c r="ED220" s="429"/>
      <c r="EE220" s="40">
        <f>HLOOKUP($I$1,Month,ROW()-1)</f>
        <v>10</v>
      </c>
      <c r="EF220" s="40">
        <f>HLOOKUP($I$1,Qtr,ROW()-1)</f>
        <v>30</v>
      </c>
      <c r="EG220" s="40">
        <f>HLOOKUP($EJ$4,Budget,ROW()-1)</f>
        <v>120</v>
      </c>
      <c r="EH220" s="54"/>
      <c r="EI220" s="54"/>
      <c r="EJ220" s="54"/>
      <c r="EK220" s="675"/>
      <c r="EL220" s="53"/>
      <c r="EM220" s="53"/>
      <c r="EN220" s="53"/>
      <c r="EO220" s="49"/>
      <c r="EP220" s="49"/>
      <c r="EQ220" s="49"/>
    </row>
    <row r="221" spans="1:149">
      <c r="A221" s="6" t="s">
        <v>23</v>
      </c>
      <c r="B221" s="2" t="s">
        <v>1</v>
      </c>
      <c r="C221" s="3" t="s">
        <v>41</v>
      </c>
      <c r="G221" s="43" t="s">
        <v>113</v>
      </c>
      <c r="H221" s="28"/>
      <c r="I221" s="29"/>
      <c r="J221" s="30">
        <f>+J203-I203</f>
        <v>3</v>
      </c>
      <c r="K221" s="30">
        <f>+K203-J203</f>
        <v>3</v>
      </c>
      <c r="L221" s="30">
        <f>+L203-K203</f>
        <v>3</v>
      </c>
      <c r="M221" s="30">
        <f>+M203</f>
        <v>2.5</v>
      </c>
      <c r="N221" s="30">
        <f t="shared" ref="N221:U221" si="1328">+N203-M203</f>
        <v>2.5</v>
      </c>
      <c r="O221" s="30">
        <f t="shared" si="1328"/>
        <v>2.5</v>
      </c>
      <c r="P221" s="30">
        <f t="shared" si="1328"/>
        <v>2.5</v>
      </c>
      <c r="Q221" s="30">
        <f t="shared" si="1328"/>
        <v>2.5</v>
      </c>
      <c r="R221" s="30">
        <f t="shared" si="1328"/>
        <v>2.5</v>
      </c>
      <c r="S221" s="30">
        <f t="shared" si="1328"/>
        <v>2.5</v>
      </c>
      <c r="T221" s="30">
        <f t="shared" si="1328"/>
        <v>2.5</v>
      </c>
      <c r="U221" s="30">
        <f t="shared" si="1328"/>
        <v>2.5</v>
      </c>
      <c r="V221" s="394">
        <f>35.25/12</f>
        <v>2.9375</v>
      </c>
      <c r="W221" s="394">
        <f>V221+2.94</f>
        <v>5.8774999999999995</v>
      </c>
      <c r="X221" s="394">
        <f t="shared" ref="X221:AG221" si="1329">W221+2.94</f>
        <v>8.817499999999999</v>
      </c>
      <c r="Y221" s="394">
        <f t="shared" si="1329"/>
        <v>11.757499999999999</v>
      </c>
      <c r="Z221" s="394">
        <f t="shared" si="1329"/>
        <v>14.697499999999998</v>
      </c>
      <c r="AA221" s="394">
        <f t="shared" si="1329"/>
        <v>17.637499999999999</v>
      </c>
      <c r="AB221" s="394">
        <f t="shared" si="1329"/>
        <v>20.577500000000001</v>
      </c>
      <c r="AC221" s="394">
        <f t="shared" si="1329"/>
        <v>23.517500000000002</v>
      </c>
      <c r="AD221" s="394">
        <f t="shared" si="1329"/>
        <v>26.457500000000003</v>
      </c>
      <c r="AE221" s="394">
        <f t="shared" si="1329"/>
        <v>29.397500000000004</v>
      </c>
      <c r="AF221" s="394">
        <f t="shared" si="1329"/>
        <v>32.337500000000006</v>
      </c>
      <c r="AG221" s="394">
        <f t="shared" si="1329"/>
        <v>35.277500000000003</v>
      </c>
      <c r="AH221" s="30">
        <f t="shared" ref="AH221:AJ221" si="1330">+AH203-AG203</f>
        <v>3.0833000000000013</v>
      </c>
      <c r="AI221" s="30">
        <f t="shared" si="1330"/>
        <v>3.0833000000000013</v>
      </c>
      <c r="AJ221" s="30">
        <f t="shared" si="1330"/>
        <v>3.0833000000000013</v>
      </c>
      <c r="AK221" s="408"/>
      <c r="AL221" s="48">
        <f t="shared" si="1324"/>
        <v>3</v>
      </c>
      <c r="AM221" s="48">
        <f t="shared" si="1324"/>
        <v>3</v>
      </c>
      <c r="AN221" s="48">
        <f t="shared" si="1324"/>
        <v>3</v>
      </c>
      <c r="AO221" s="48">
        <f t="shared" si="1324"/>
        <v>2.5</v>
      </c>
      <c r="AP221" s="48">
        <f t="shared" si="1324"/>
        <v>2.5</v>
      </c>
      <c r="AQ221" s="48">
        <f t="shared" si="1324"/>
        <v>2.5</v>
      </c>
      <c r="AR221" s="48">
        <f t="shared" si="1324"/>
        <v>2.5</v>
      </c>
      <c r="AS221" s="48">
        <f t="shared" si="1324"/>
        <v>2.5</v>
      </c>
      <c r="AT221" s="48">
        <f t="shared" si="1324"/>
        <v>2.5</v>
      </c>
      <c r="AU221" s="48">
        <f t="shared" si="1324"/>
        <v>2.5</v>
      </c>
      <c r="AV221" s="48">
        <f>T221</f>
        <v>2.5</v>
      </c>
      <c r="AW221" s="48">
        <f>U221</f>
        <v>2.5</v>
      </c>
      <c r="AX221" s="119">
        <f>V221</f>
        <v>2.9375</v>
      </c>
      <c r="AY221" s="276">
        <f>AX221</f>
        <v>2.9375</v>
      </c>
      <c r="AZ221" s="276">
        <f>AX221</f>
        <v>2.9375</v>
      </c>
      <c r="BA221" s="276">
        <f>AZ221</f>
        <v>2.9375</v>
      </c>
      <c r="BB221" s="276">
        <f>AZ221</f>
        <v>2.9375</v>
      </c>
      <c r="BC221" s="276">
        <f>BB221</f>
        <v>2.9375</v>
      </c>
      <c r="BD221" s="276">
        <f>BB221</f>
        <v>2.9375</v>
      </c>
      <c r="BE221" s="276">
        <f>BD221</f>
        <v>2.9375</v>
      </c>
      <c r="BF221" s="276">
        <f>BD221</f>
        <v>2.9375</v>
      </c>
      <c r="BG221" s="276">
        <f>BF221</f>
        <v>2.9375</v>
      </c>
      <c r="BH221" s="276">
        <f>BF221</f>
        <v>2.9375</v>
      </c>
      <c r="BI221" s="276">
        <f>BH221</f>
        <v>2.9375</v>
      </c>
      <c r="BJ221" s="48">
        <f t="shared" si="1325"/>
        <v>3.0833000000000013</v>
      </c>
      <c r="BK221" s="48">
        <f t="shared" si="1325"/>
        <v>3.0833000000000013</v>
      </c>
      <c r="BL221" s="48">
        <f t="shared" si="1325"/>
        <v>3.0833000000000013</v>
      </c>
      <c r="BM221" s="408"/>
      <c r="BN221" s="48">
        <f>+AL221</f>
        <v>3</v>
      </c>
      <c r="BO221" s="48">
        <f>+BN221+AM221</f>
        <v>6</v>
      </c>
      <c r="BP221" s="48">
        <f>+BO221+AN221</f>
        <v>9</v>
      </c>
      <c r="BQ221" s="48">
        <f>AO221</f>
        <v>2.5</v>
      </c>
      <c r="BR221" s="48">
        <f>+BQ221+AP221</f>
        <v>5</v>
      </c>
      <c r="BS221" s="48">
        <f>+BR221+AQ221</f>
        <v>7.5</v>
      </c>
      <c r="BT221" s="48">
        <f>AR221</f>
        <v>2.5</v>
      </c>
      <c r="BU221" s="48">
        <f>+BT221+AS221</f>
        <v>5</v>
      </c>
      <c r="BV221" s="48">
        <f>+BU221+AT221</f>
        <v>7.5</v>
      </c>
      <c r="BW221" s="48">
        <f>AU221</f>
        <v>2.5</v>
      </c>
      <c r="BX221" s="48">
        <f>+BW221+AV221</f>
        <v>5</v>
      </c>
      <c r="BY221" s="48">
        <f>+BX221+AW221</f>
        <v>7.5</v>
      </c>
      <c r="BZ221" s="276">
        <f>CB221</f>
        <v>8.81</v>
      </c>
      <c r="CA221" s="276">
        <f>CB221</f>
        <v>8.81</v>
      </c>
      <c r="CB221" s="276">
        <v>8.81</v>
      </c>
      <c r="CC221" s="276">
        <f>CE221</f>
        <v>17.625</v>
      </c>
      <c r="CD221" s="276">
        <f>CE221</f>
        <v>17.625</v>
      </c>
      <c r="CE221" s="276">
        <v>17.625</v>
      </c>
      <c r="CF221" s="276">
        <f>CH221</f>
        <v>26.43</v>
      </c>
      <c r="CG221" s="276">
        <f>CH221</f>
        <v>26.43</v>
      </c>
      <c r="CH221" s="276">
        <f>CB221*3</f>
        <v>26.43</v>
      </c>
      <c r="CI221" s="276">
        <f>CK221</f>
        <v>35.24</v>
      </c>
      <c r="CJ221" s="276">
        <f>CK221</f>
        <v>35.24</v>
      </c>
      <c r="CK221" s="276">
        <f>CB221*4</f>
        <v>35.24</v>
      </c>
      <c r="CL221" s="48">
        <f>BJ221</f>
        <v>3.0833000000000013</v>
      </c>
      <c r="CM221" s="48">
        <f>+CL221+BK221</f>
        <v>6.1666000000000025</v>
      </c>
      <c r="CN221" s="48">
        <f>+CM221+BL221</f>
        <v>9.2499000000000038</v>
      </c>
      <c r="CO221" s="406"/>
      <c r="CP221" s="40">
        <f>AL221</f>
        <v>3</v>
      </c>
      <c r="CQ221" s="40">
        <f t="shared" si="1326"/>
        <v>6</v>
      </c>
      <c r="CR221" s="40">
        <f t="shared" si="1326"/>
        <v>9</v>
      </c>
      <c r="CS221" s="40">
        <f t="shared" si="1326"/>
        <v>11.5</v>
      </c>
      <c r="CT221" s="40">
        <f t="shared" si="1326"/>
        <v>14</v>
      </c>
      <c r="CU221" s="40">
        <f t="shared" si="1326"/>
        <v>16.5</v>
      </c>
      <c r="CV221" s="40">
        <f t="shared" si="1326"/>
        <v>19</v>
      </c>
      <c r="CW221" s="40">
        <f t="shared" si="1326"/>
        <v>21.5</v>
      </c>
      <c r="CX221" s="40">
        <f t="shared" si="1326"/>
        <v>24</v>
      </c>
      <c r="CY221" s="40">
        <f t="shared" si="1326"/>
        <v>26.5</v>
      </c>
      <c r="CZ221" s="40">
        <f t="shared" si="1326"/>
        <v>29</v>
      </c>
      <c r="DA221" s="40">
        <f t="shared" si="1326"/>
        <v>31.5</v>
      </c>
      <c r="DB221" s="40">
        <f>AX221</f>
        <v>2.9375</v>
      </c>
      <c r="DC221" s="40">
        <f t="shared" ref="DC221:DM221" si="1331">DB221+AY221</f>
        <v>5.875</v>
      </c>
      <c r="DD221" s="40">
        <f t="shared" si="1331"/>
        <v>8.8125</v>
      </c>
      <c r="DE221" s="40">
        <f t="shared" si="1331"/>
        <v>11.75</v>
      </c>
      <c r="DF221" s="40">
        <f t="shared" si="1331"/>
        <v>14.6875</v>
      </c>
      <c r="DG221" s="40">
        <f t="shared" si="1331"/>
        <v>17.625</v>
      </c>
      <c r="DH221" s="40">
        <f t="shared" si="1331"/>
        <v>20.5625</v>
      </c>
      <c r="DI221" s="40">
        <f t="shared" si="1331"/>
        <v>23.5</v>
      </c>
      <c r="DJ221" s="40">
        <f t="shared" si="1331"/>
        <v>26.4375</v>
      </c>
      <c r="DK221" s="40">
        <f t="shared" si="1331"/>
        <v>29.375</v>
      </c>
      <c r="DL221" s="40">
        <f t="shared" si="1331"/>
        <v>32.3125</v>
      </c>
      <c r="DM221" s="40">
        <f t="shared" si="1331"/>
        <v>35.25</v>
      </c>
      <c r="DN221" s="40">
        <f>BJ221</f>
        <v>3.0833000000000013</v>
      </c>
      <c r="DO221" s="40">
        <f>DN221+BK221</f>
        <v>6.1666000000000025</v>
      </c>
      <c r="DP221" s="40">
        <f>DO221+BL221</f>
        <v>9.2499000000000038</v>
      </c>
      <c r="DQ221" s="40"/>
      <c r="DR221" s="40"/>
      <c r="DS221" s="40"/>
      <c r="DT221" s="40"/>
      <c r="DU221" s="40"/>
      <c r="DV221" s="40"/>
      <c r="DW221" s="40"/>
      <c r="DX221" s="40"/>
      <c r="DY221" s="40"/>
      <c r="EA221" s="59">
        <f t="shared" si="1226"/>
        <v>31.5</v>
      </c>
      <c r="EB221" s="59">
        <f>IF(I199&gt;6/30/10,DM221,"")</f>
        <v>35.25</v>
      </c>
      <c r="EC221" s="59"/>
      <c r="ED221" s="429"/>
      <c r="EE221" s="40">
        <f>HLOOKUP($I$1,Month,ROW()-1)</f>
        <v>3.0833000000000013</v>
      </c>
      <c r="EF221" s="40">
        <f>HLOOKUP($I$1,Qtr,ROW()-1)</f>
        <v>6.1666000000000025</v>
      </c>
      <c r="EG221" s="40">
        <f>HLOOKUP($EJ$4,Budget,ROW()-1)</f>
        <v>35.25</v>
      </c>
      <c r="EH221" s="54"/>
      <c r="EI221" s="54"/>
      <c r="EJ221" s="54"/>
      <c r="EK221" s="675"/>
      <c r="EL221" s="53"/>
      <c r="EM221" s="53"/>
      <c r="EN221" s="53"/>
      <c r="EO221" s="49"/>
      <c r="EP221" s="49"/>
      <c r="EQ221" s="49"/>
    </row>
    <row r="222" spans="1:149">
      <c r="A222" s="6" t="s">
        <v>23</v>
      </c>
      <c r="B222" s="101" t="s">
        <v>144</v>
      </c>
      <c r="G222" s="43"/>
      <c r="H222" s="28"/>
      <c r="I222" s="29"/>
      <c r="J222" s="102">
        <f>J216/$DA$18</f>
        <v>0</v>
      </c>
      <c r="K222" s="102">
        <f t="shared" ref="K222:U222" si="1332">K216/$DA$18</f>
        <v>0</v>
      </c>
      <c r="L222" s="102">
        <f t="shared" si="1332"/>
        <v>0.16666666666666666</v>
      </c>
      <c r="M222" s="102">
        <f t="shared" si="1332"/>
        <v>0.16666666666666666</v>
      </c>
      <c r="N222" s="102">
        <f t="shared" si="1332"/>
        <v>0.16666666666666666</v>
      </c>
      <c r="O222" s="102">
        <f t="shared" si="1332"/>
        <v>0.16666666666666666</v>
      </c>
      <c r="P222" s="102">
        <f t="shared" si="1332"/>
        <v>0.33333333333333331</v>
      </c>
      <c r="Q222" s="102">
        <f t="shared" si="1332"/>
        <v>0.33333333333333331</v>
      </c>
      <c r="R222" s="102">
        <f t="shared" si="1332"/>
        <v>0.33333333333333331</v>
      </c>
      <c r="S222" s="102">
        <f t="shared" si="1332"/>
        <v>0.33333333333333331</v>
      </c>
      <c r="T222" s="102">
        <f t="shared" si="1332"/>
        <v>0.5</v>
      </c>
      <c r="U222" s="102">
        <f t="shared" si="1332"/>
        <v>0.5</v>
      </c>
      <c r="V222" s="102">
        <f>V216/$DK$18</f>
        <v>0</v>
      </c>
      <c r="W222" s="102">
        <f>W216/$DK$18</f>
        <v>0.25</v>
      </c>
      <c r="X222" s="102">
        <f>X216/$AG$18</f>
        <v>0.16666666666666666</v>
      </c>
      <c r="Y222" s="102">
        <f t="shared" ref="Y222:AH222" si="1333">Y216/$AG$18</f>
        <v>0.16666666666666666</v>
      </c>
      <c r="Z222" s="102">
        <f t="shared" si="1333"/>
        <v>0.16666666666666666</v>
      </c>
      <c r="AA222" s="102">
        <f t="shared" si="1333"/>
        <v>0.16666666666666666</v>
      </c>
      <c r="AB222" s="102">
        <f t="shared" si="1333"/>
        <v>0.33333333333333331</v>
      </c>
      <c r="AC222" s="102">
        <f t="shared" si="1333"/>
        <v>0.33333333333333331</v>
      </c>
      <c r="AD222" s="102">
        <f t="shared" si="1333"/>
        <v>0.33333333333333331</v>
      </c>
      <c r="AE222" s="102">
        <f t="shared" si="1333"/>
        <v>0.33333333333333331</v>
      </c>
      <c r="AF222" s="102">
        <f t="shared" si="1333"/>
        <v>0.5</v>
      </c>
      <c r="AG222" s="102">
        <f t="shared" si="1333"/>
        <v>0.5</v>
      </c>
      <c r="AH222" s="102">
        <f t="shared" si="1333"/>
        <v>0</v>
      </c>
      <c r="AI222" s="102">
        <f>AI216/$DK$18</f>
        <v>0</v>
      </c>
      <c r="AJ222" s="102">
        <f>AJ216/$DK$18</f>
        <v>0</v>
      </c>
      <c r="AK222" s="411"/>
      <c r="AL222" s="99">
        <f t="shared" si="1324"/>
        <v>0</v>
      </c>
      <c r="AM222" s="99">
        <f t="shared" si="1324"/>
        <v>0</v>
      </c>
      <c r="AN222" s="99">
        <f t="shared" si="1324"/>
        <v>0.16666666666666666</v>
      </c>
      <c r="AO222" s="99">
        <f t="shared" si="1324"/>
        <v>0.16666666666666666</v>
      </c>
      <c r="AP222" s="99">
        <f t="shared" si="1324"/>
        <v>0.16666666666666666</v>
      </c>
      <c r="AQ222" s="99">
        <f t="shared" si="1324"/>
        <v>0.16666666666666666</v>
      </c>
      <c r="AR222" s="99">
        <f t="shared" si="1324"/>
        <v>0.33333333333333331</v>
      </c>
      <c r="AS222" s="99">
        <f t="shared" si="1324"/>
        <v>0.33333333333333331</v>
      </c>
      <c r="AT222" s="99">
        <f t="shared" si="1324"/>
        <v>0.33333333333333331</v>
      </c>
      <c r="AU222" s="99">
        <f t="shared" si="1324"/>
        <v>0.33333333333333331</v>
      </c>
      <c r="AV222" s="99">
        <f>T222</f>
        <v>0.5</v>
      </c>
      <c r="AW222" s="99">
        <f>U222</f>
        <v>0.5</v>
      </c>
      <c r="AX222" s="99">
        <f>V222</f>
        <v>0</v>
      </c>
      <c r="AY222" s="99">
        <f t="shared" ref="AY222:BE222" si="1334">W222</f>
        <v>0.25</v>
      </c>
      <c r="AZ222" s="99">
        <f t="shared" si="1334"/>
        <v>0.16666666666666666</v>
      </c>
      <c r="BA222" s="99">
        <f t="shared" si="1334"/>
        <v>0.16666666666666666</v>
      </c>
      <c r="BB222" s="99">
        <f t="shared" si="1334"/>
        <v>0.16666666666666666</v>
      </c>
      <c r="BC222" s="99">
        <f t="shared" si="1334"/>
        <v>0.16666666666666666</v>
      </c>
      <c r="BD222" s="99">
        <f t="shared" si="1334"/>
        <v>0.33333333333333331</v>
      </c>
      <c r="BE222" s="99">
        <f t="shared" si="1334"/>
        <v>0.33333333333333331</v>
      </c>
      <c r="BF222" s="99">
        <f t="shared" si="1325"/>
        <v>0.33333333333333331</v>
      </c>
      <c r="BG222" s="99">
        <f t="shared" si="1325"/>
        <v>0.33333333333333331</v>
      </c>
      <c r="BH222" s="99">
        <f t="shared" si="1325"/>
        <v>0.5</v>
      </c>
      <c r="BI222" s="99">
        <f t="shared" si="1325"/>
        <v>0.5</v>
      </c>
      <c r="BJ222" s="99">
        <f t="shared" si="1325"/>
        <v>0</v>
      </c>
      <c r="BK222" s="99">
        <f t="shared" si="1325"/>
        <v>0</v>
      </c>
      <c r="BL222" s="99">
        <f t="shared" si="1325"/>
        <v>0</v>
      </c>
      <c r="BM222" s="411"/>
      <c r="BN222" s="99">
        <f>AL222</f>
        <v>0</v>
      </c>
      <c r="BO222" s="99">
        <f>AM222</f>
        <v>0</v>
      </c>
      <c r="BP222" s="99">
        <f>AN222</f>
        <v>0.16666666666666666</v>
      </c>
      <c r="BQ222" s="99">
        <f>AO222</f>
        <v>0.16666666666666666</v>
      </c>
      <c r="BR222" s="99">
        <f>AP222</f>
        <v>0.16666666666666666</v>
      </c>
      <c r="BS222" s="99">
        <f>AQ222</f>
        <v>0.16666666666666666</v>
      </c>
      <c r="BT222" s="99">
        <f>AR222</f>
        <v>0.33333333333333331</v>
      </c>
      <c r="BU222" s="99">
        <f>AS222</f>
        <v>0.33333333333333331</v>
      </c>
      <c r="BV222" s="99">
        <f>AT222</f>
        <v>0.33333333333333331</v>
      </c>
      <c r="BW222" s="99">
        <f>AU222</f>
        <v>0.33333333333333331</v>
      </c>
      <c r="BX222" s="99">
        <f t="shared" ref="BX222:CK222" si="1335">AV222</f>
        <v>0.5</v>
      </c>
      <c r="BY222" s="99">
        <f t="shared" si="1335"/>
        <v>0.5</v>
      </c>
      <c r="BZ222" s="99">
        <f t="shared" si="1335"/>
        <v>0</v>
      </c>
      <c r="CA222" s="99">
        <f t="shared" si="1335"/>
        <v>0.25</v>
      </c>
      <c r="CB222" s="99">
        <f t="shared" si="1335"/>
        <v>0.16666666666666666</v>
      </c>
      <c r="CC222" s="99">
        <f t="shared" si="1335"/>
        <v>0.16666666666666666</v>
      </c>
      <c r="CD222" s="99">
        <f t="shared" si="1335"/>
        <v>0.16666666666666666</v>
      </c>
      <c r="CE222" s="99">
        <f t="shared" si="1335"/>
        <v>0.16666666666666666</v>
      </c>
      <c r="CF222" s="99">
        <f t="shared" si="1335"/>
        <v>0.33333333333333331</v>
      </c>
      <c r="CG222" s="99">
        <f t="shared" si="1335"/>
        <v>0.33333333333333331</v>
      </c>
      <c r="CH222" s="99">
        <f t="shared" si="1335"/>
        <v>0.33333333333333331</v>
      </c>
      <c r="CI222" s="99">
        <f t="shared" si="1335"/>
        <v>0.33333333333333331</v>
      </c>
      <c r="CJ222" s="99">
        <f t="shared" si="1335"/>
        <v>0.5</v>
      </c>
      <c r="CK222" s="99">
        <f t="shared" si="1335"/>
        <v>0.5</v>
      </c>
      <c r="CL222" s="99">
        <f>BJ222</f>
        <v>0</v>
      </c>
      <c r="CM222" s="99">
        <f>BK222</f>
        <v>0</v>
      </c>
      <c r="CN222" s="99">
        <f>BL222</f>
        <v>0</v>
      </c>
      <c r="CO222" s="423"/>
      <c r="CP222" s="99">
        <f t="shared" ref="CP222:DP222" si="1336">BN222</f>
        <v>0</v>
      </c>
      <c r="CQ222" s="99">
        <f t="shared" si="1336"/>
        <v>0</v>
      </c>
      <c r="CR222" s="99">
        <f t="shared" si="1336"/>
        <v>0.16666666666666666</v>
      </c>
      <c r="CS222" s="99">
        <f t="shared" si="1336"/>
        <v>0.16666666666666666</v>
      </c>
      <c r="CT222" s="99">
        <f t="shared" si="1336"/>
        <v>0.16666666666666666</v>
      </c>
      <c r="CU222" s="99">
        <f t="shared" si="1336"/>
        <v>0.16666666666666666</v>
      </c>
      <c r="CV222" s="99">
        <f t="shared" si="1336"/>
        <v>0.33333333333333331</v>
      </c>
      <c r="CW222" s="99">
        <f t="shared" si="1336"/>
        <v>0.33333333333333331</v>
      </c>
      <c r="CX222" s="99">
        <f t="shared" si="1336"/>
        <v>0.33333333333333331</v>
      </c>
      <c r="CY222" s="99">
        <f t="shared" si="1336"/>
        <v>0.33333333333333331</v>
      </c>
      <c r="CZ222" s="99">
        <f t="shared" si="1336"/>
        <v>0.5</v>
      </c>
      <c r="DA222" s="99">
        <f t="shared" si="1336"/>
        <v>0.5</v>
      </c>
      <c r="DB222" s="99">
        <f t="shared" si="1336"/>
        <v>0</v>
      </c>
      <c r="DC222" s="99">
        <f t="shared" si="1336"/>
        <v>0.25</v>
      </c>
      <c r="DD222" s="99">
        <f t="shared" si="1336"/>
        <v>0.16666666666666666</v>
      </c>
      <c r="DE222" s="99">
        <f t="shared" si="1336"/>
        <v>0.16666666666666666</v>
      </c>
      <c r="DF222" s="99">
        <f t="shared" si="1336"/>
        <v>0.16666666666666666</v>
      </c>
      <c r="DG222" s="99">
        <f t="shared" si="1336"/>
        <v>0.16666666666666666</v>
      </c>
      <c r="DH222" s="99">
        <f t="shared" si="1336"/>
        <v>0.33333333333333331</v>
      </c>
      <c r="DI222" s="99">
        <f t="shared" si="1336"/>
        <v>0.33333333333333331</v>
      </c>
      <c r="DJ222" s="99">
        <f t="shared" si="1336"/>
        <v>0.33333333333333331</v>
      </c>
      <c r="DK222" s="99">
        <f t="shared" si="1336"/>
        <v>0.33333333333333331</v>
      </c>
      <c r="DL222" s="99">
        <f t="shared" si="1336"/>
        <v>0.5</v>
      </c>
      <c r="DM222" s="99">
        <f t="shared" si="1336"/>
        <v>0.5</v>
      </c>
      <c r="DN222" s="99">
        <f t="shared" si="1336"/>
        <v>0</v>
      </c>
      <c r="DO222" s="99">
        <f t="shared" si="1336"/>
        <v>0</v>
      </c>
      <c r="DP222" s="99">
        <f t="shared" si="1336"/>
        <v>0</v>
      </c>
      <c r="DQ222" s="99"/>
      <c r="DR222" s="99"/>
      <c r="DS222" s="99"/>
      <c r="DT222" s="99"/>
      <c r="DU222" s="99"/>
      <c r="DV222" s="99"/>
      <c r="DW222" s="99"/>
      <c r="DX222" s="99"/>
      <c r="DY222" s="99"/>
      <c r="EA222" s="40" t="str">
        <f>HLOOKUP($I$1,Month,19)</f>
        <v>N/A</v>
      </c>
      <c r="EB222" s="40" t="str">
        <f>HLOOKUP($I$1,Qtr,19)</f>
        <v>N/A</v>
      </c>
      <c r="EC222" s="40"/>
      <c r="ED222" s="429"/>
      <c r="EE222" s="99">
        <f>HLOOKUP($I$1,Month,ROW()-1)</f>
        <v>0</v>
      </c>
      <c r="EF222" s="99">
        <f>HLOOKUP($I$1,Qtr,ROW()-1)</f>
        <v>0</v>
      </c>
      <c r="EG222" s="127">
        <v>1</v>
      </c>
      <c r="EH222" s="54"/>
      <c r="EI222" s="54"/>
      <c r="EJ222" s="54"/>
      <c r="EK222" s="675"/>
      <c r="EL222" s="136"/>
      <c r="EM222" s="136"/>
      <c r="EN222" s="136"/>
      <c r="EO222" s="49"/>
      <c r="EP222" s="49"/>
      <c r="EQ222" s="49"/>
    </row>
    <row r="223" spans="1:149">
      <c r="A223" s="6" t="s">
        <v>23</v>
      </c>
      <c r="B223" s="2" t="s">
        <v>98</v>
      </c>
      <c r="G223" s="41" t="s">
        <v>92</v>
      </c>
      <c r="H223" s="28"/>
      <c r="I223" s="29"/>
      <c r="J223" s="32">
        <f>J209*J210</f>
        <v>1.54375</v>
      </c>
      <c r="K223" s="32">
        <f t="shared" ref="K223:AJ223" si="1337">K209*K210</f>
        <v>1.54375</v>
      </c>
      <c r="L223" s="32">
        <f t="shared" si="1337"/>
        <v>1.54375</v>
      </c>
      <c r="M223" s="32">
        <f t="shared" si="1337"/>
        <v>1.54375</v>
      </c>
      <c r="N223" s="32">
        <f t="shared" si="1337"/>
        <v>1.54375</v>
      </c>
      <c r="O223" s="32">
        <f t="shared" si="1337"/>
        <v>1.54375</v>
      </c>
      <c r="P223" s="32">
        <f t="shared" si="1337"/>
        <v>1.54375</v>
      </c>
      <c r="Q223" s="32">
        <f t="shared" si="1337"/>
        <v>1.54375</v>
      </c>
      <c r="R223" s="32">
        <f t="shared" si="1337"/>
        <v>1.54375</v>
      </c>
      <c r="S223" s="32">
        <f t="shared" si="1337"/>
        <v>1.54375</v>
      </c>
      <c r="T223" s="32">
        <f t="shared" si="1337"/>
        <v>1.54375</v>
      </c>
      <c r="U223" s="32">
        <f t="shared" si="1337"/>
        <v>1.54375</v>
      </c>
      <c r="V223" s="32">
        <f t="shared" si="1337"/>
        <v>0.92624999999999991</v>
      </c>
      <c r="W223" s="32">
        <f t="shared" si="1337"/>
        <v>1.8524999999999998</v>
      </c>
      <c r="X223" s="32">
        <f t="shared" si="1337"/>
        <v>2.7787499999999996</v>
      </c>
      <c r="Y223" s="32">
        <f t="shared" si="1337"/>
        <v>3.7049999999999996</v>
      </c>
      <c r="Z223" s="32">
        <f t="shared" si="1337"/>
        <v>4.6312499999999996</v>
      </c>
      <c r="AA223" s="32">
        <f t="shared" si="1337"/>
        <v>5.5574999999999992</v>
      </c>
      <c r="AB223" s="32">
        <f t="shared" si="1337"/>
        <v>6.4837499999999988</v>
      </c>
      <c r="AC223" s="32">
        <f t="shared" si="1337"/>
        <v>7.4099999999999984</v>
      </c>
      <c r="AD223" s="32">
        <f t="shared" si="1337"/>
        <v>8.3362499999999979</v>
      </c>
      <c r="AE223" s="32">
        <f t="shared" si="1337"/>
        <v>9.2624999999999975</v>
      </c>
      <c r="AF223" s="32">
        <f t="shared" si="1337"/>
        <v>10.188749999999997</v>
      </c>
      <c r="AG223" s="32">
        <f t="shared" si="1337"/>
        <v>11.114999999999997</v>
      </c>
      <c r="AH223" s="32">
        <f t="shared" si="1337"/>
        <v>0</v>
      </c>
      <c r="AI223" s="32">
        <f t="shared" si="1337"/>
        <v>0</v>
      </c>
      <c r="AJ223" s="32">
        <f t="shared" si="1337"/>
        <v>0</v>
      </c>
      <c r="AK223" s="408"/>
      <c r="AL223" s="56">
        <f>AL209*AL210</f>
        <v>1.54375</v>
      </c>
      <c r="AM223" s="56">
        <f>AM209*AM210</f>
        <v>1.54375</v>
      </c>
      <c r="AN223" s="56">
        <f>AN209*AN210</f>
        <v>1.54375</v>
      </c>
      <c r="AO223" s="56">
        <f>AO209*AO210</f>
        <v>1.54375</v>
      </c>
      <c r="AP223" s="56">
        <f t="shared" ref="AP223:BL223" si="1338">AP209*AP210</f>
        <v>1.54375</v>
      </c>
      <c r="AQ223" s="56">
        <f t="shared" si="1338"/>
        <v>1.54375</v>
      </c>
      <c r="AR223" s="56">
        <f t="shared" si="1338"/>
        <v>1.54375</v>
      </c>
      <c r="AS223" s="56">
        <f t="shared" si="1338"/>
        <v>1.54375</v>
      </c>
      <c r="AT223" s="56">
        <f t="shared" si="1338"/>
        <v>1.54375</v>
      </c>
      <c r="AU223" s="56">
        <f t="shared" si="1338"/>
        <v>1.54375</v>
      </c>
      <c r="AV223" s="56">
        <f t="shared" si="1338"/>
        <v>1.54375</v>
      </c>
      <c r="AW223" s="56">
        <f t="shared" si="1338"/>
        <v>1.54375</v>
      </c>
      <c r="AX223" s="56">
        <f t="shared" si="1338"/>
        <v>0.92624999999999991</v>
      </c>
      <c r="AY223" s="56">
        <f t="shared" si="1338"/>
        <v>0.92624999999999991</v>
      </c>
      <c r="AZ223" s="56">
        <f t="shared" si="1338"/>
        <v>0.9262499999999998</v>
      </c>
      <c r="BA223" s="56">
        <f t="shared" si="1338"/>
        <v>0.92625000000000002</v>
      </c>
      <c r="BB223" s="56">
        <f t="shared" si="1338"/>
        <v>0.92625000000000002</v>
      </c>
      <c r="BC223" s="56">
        <f t="shared" si="1338"/>
        <v>0.92624999999999957</v>
      </c>
      <c r="BD223" s="56">
        <f t="shared" si="1338"/>
        <v>0.92624999999999957</v>
      </c>
      <c r="BE223" s="56">
        <f t="shared" si="1338"/>
        <v>0.92624999999999957</v>
      </c>
      <c r="BF223" s="56">
        <f t="shared" si="1338"/>
        <v>0.92624999999999957</v>
      </c>
      <c r="BG223" s="56">
        <f t="shared" si="1338"/>
        <v>0.92624999999999957</v>
      </c>
      <c r="BH223" s="56">
        <f t="shared" si="1338"/>
        <v>0.92624999999999957</v>
      </c>
      <c r="BI223" s="56">
        <f t="shared" si="1338"/>
        <v>0.92624999999999957</v>
      </c>
      <c r="BJ223" s="56">
        <f t="shared" si="1338"/>
        <v>0</v>
      </c>
      <c r="BK223" s="56">
        <f t="shared" si="1338"/>
        <v>0</v>
      </c>
      <c r="BL223" s="56">
        <f t="shared" si="1338"/>
        <v>0</v>
      </c>
      <c r="BM223" s="408"/>
      <c r="BN223" s="56">
        <f>+AL223</f>
        <v>1.54375</v>
      </c>
      <c r="BO223" s="56">
        <f>+BN223+AM223</f>
        <v>3.0874999999999999</v>
      </c>
      <c r="BP223" s="56">
        <f>+BO223+AN223</f>
        <v>4.6312499999999996</v>
      </c>
      <c r="BQ223" s="56">
        <f>M223</f>
        <v>1.54375</v>
      </c>
      <c r="BR223" s="56">
        <f>+BQ223+AP223</f>
        <v>3.0874999999999999</v>
      </c>
      <c r="BS223" s="56">
        <f>+BR223+AQ223</f>
        <v>4.6312499999999996</v>
      </c>
      <c r="BT223" s="56">
        <f>P223</f>
        <v>1.54375</v>
      </c>
      <c r="BU223" s="56">
        <f>+BT223+AS223</f>
        <v>3.0874999999999999</v>
      </c>
      <c r="BV223" s="56">
        <f>+BU223+AT223</f>
        <v>4.6312499999999996</v>
      </c>
      <c r="BW223" s="56">
        <f>S223</f>
        <v>1.54375</v>
      </c>
      <c r="BX223" s="56">
        <f>+BW223+AV223</f>
        <v>3.0874999999999999</v>
      </c>
      <c r="BY223" s="56">
        <f>+BX223+AW223</f>
        <v>4.6312499999999996</v>
      </c>
      <c r="BZ223" s="56">
        <f>V223</f>
        <v>0.92624999999999991</v>
      </c>
      <c r="CA223" s="56">
        <f>+BZ223+AY223</f>
        <v>1.8524999999999998</v>
      </c>
      <c r="CB223" s="56">
        <f>+CA223+AZ223</f>
        <v>2.7787499999999996</v>
      </c>
      <c r="CC223" s="56">
        <f>Y223</f>
        <v>3.7049999999999996</v>
      </c>
      <c r="CD223" s="56">
        <f>+CC223+BB223</f>
        <v>4.6312499999999996</v>
      </c>
      <c r="CE223" s="56">
        <f>+CD223+BC223</f>
        <v>5.5574999999999992</v>
      </c>
      <c r="CF223" s="56">
        <f>AB223</f>
        <v>6.4837499999999988</v>
      </c>
      <c r="CG223" s="56">
        <f>+CF223+BE223</f>
        <v>7.4099999999999984</v>
      </c>
      <c r="CH223" s="56">
        <f>+CG223+BF223</f>
        <v>8.3362499999999979</v>
      </c>
      <c r="CI223" s="56">
        <f>AE223</f>
        <v>9.2624999999999975</v>
      </c>
      <c r="CJ223" s="56">
        <f>+CI223+BH223</f>
        <v>10.188749999999997</v>
      </c>
      <c r="CK223" s="56">
        <f>+CJ223+BI223</f>
        <v>11.114999999999997</v>
      </c>
      <c r="CL223" s="56">
        <f>AH223</f>
        <v>0</v>
      </c>
      <c r="CM223" s="56">
        <f>+CL223+BK223</f>
        <v>0</v>
      </c>
      <c r="CN223" s="56">
        <f>+CM223+BL223</f>
        <v>0</v>
      </c>
      <c r="CO223" s="406"/>
      <c r="CP223" s="60">
        <f>J223</f>
        <v>1.54375</v>
      </c>
      <c r="CQ223" s="60">
        <f t="shared" ref="CQ223:DA223" si="1339">CP223+K223</f>
        <v>3.0874999999999999</v>
      </c>
      <c r="CR223" s="60">
        <f t="shared" si="1339"/>
        <v>4.6312499999999996</v>
      </c>
      <c r="CS223" s="60">
        <f t="shared" si="1339"/>
        <v>6.1749999999999998</v>
      </c>
      <c r="CT223" s="60">
        <f t="shared" si="1339"/>
        <v>7.71875</v>
      </c>
      <c r="CU223" s="60">
        <f t="shared" si="1339"/>
        <v>9.2624999999999993</v>
      </c>
      <c r="CV223" s="60">
        <f t="shared" si="1339"/>
        <v>10.806249999999999</v>
      </c>
      <c r="CW223" s="60">
        <f t="shared" si="1339"/>
        <v>12.349999999999998</v>
      </c>
      <c r="CX223" s="60">
        <f t="shared" si="1339"/>
        <v>13.893749999999997</v>
      </c>
      <c r="CY223" s="60">
        <f t="shared" si="1339"/>
        <v>15.437499999999996</v>
      </c>
      <c r="CZ223" s="60">
        <f t="shared" si="1339"/>
        <v>16.981249999999996</v>
      </c>
      <c r="DA223" s="60">
        <f t="shared" si="1339"/>
        <v>18.524999999999995</v>
      </c>
      <c r="DB223" s="60">
        <f>V223</f>
        <v>0.92624999999999991</v>
      </c>
      <c r="DC223" s="60">
        <f t="shared" ref="DC223:DM223" si="1340">DB223+W223</f>
        <v>2.7787499999999996</v>
      </c>
      <c r="DD223" s="60">
        <f t="shared" si="1340"/>
        <v>5.5574999999999992</v>
      </c>
      <c r="DE223" s="60">
        <f t="shared" si="1340"/>
        <v>9.2624999999999993</v>
      </c>
      <c r="DF223" s="60">
        <f t="shared" si="1340"/>
        <v>13.893749999999999</v>
      </c>
      <c r="DG223" s="60">
        <f t="shared" si="1340"/>
        <v>19.451249999999998</v>
      </c>
      <c r="DH223" s="60">
        <f t="shared" si="1340"/>
        <v>25.934999999999995</v>
      </c>
      <c r="DI223" s="60">
        <f t="shared" si="1340"/>
        <v>33.344999999999992</v>
      </c>
      <c r="DJ223" s="60">
        <f t="shared" si="1340"/>
        <v>41.681249999999991</v>
      </c>
      <c r="DK223" s="60">
        <f t="shared" si="1340"/>
        <v>50.943749999999987</v>
      </c>
      <c r="DL223" s="60">
        <f t="shared" si="1340"/>
        <v>61.132499999999986</v>
      </c>
      <c r="DM223" s="60">
        <f t="shared" si="1340"/>
        <v>72.247499999999988</v>
      </c>
      <c r="DN223" s="60">
        <f>AH223</f>
        <v>0</v>
      </c>
      <c r="DO223" s="60">
        <f>DN223+AI223</f>
        <v>0</v>
      </c>
      <c r="DP223" s="60">
        <f>DO223+AJ223</f>
        <v>0</v>
      </c>
      <c r="DQ223" s="60"/>
      <c r="DR223" s="60"/>
      <c r="DS223" s="60"/>
      <c r="DT223" s="60"/>
      <c r="DU223" s="60"/>
      <c r="DV223" s="60"/>
      <c r="DW223" s="60"/>
      <c r="DX223" s="60"/>
      <c r="DY223" s="60"/>
      <c r="EA223" s="98">
        <v>0.95</v>
      </c>
      <c r="EB223" s="98">
        <v>0.95</v>
      </c>
      <c r="EC223" s="98"/>
      <c r="ED223" s="429"/>
      <c r="EE223" s="61">
        <f>HLOOKUP($I$1,Month,ROW()-1)</f>
        <v>0</v>
      </c>
      <c r="EF223" s="61">
        <f>HLOOKUP($I$1,Qtr,ROW()-1)</f>
        <v>0</v>
      </c>
      <c r="EG223" s="99">
        <f>HLOOKUP($EJ$4,Budget,ROW()-1)</f>
        <v>0.95</v>
      </c>
      <c r="EH223" s="54"/>
      <c r="EK223" s="675"/>
      <c r="EL223" s="136"/>
      <c r="EM223" s="136"/>
      <c r="EN223" s="136"/>
      <c r="EO223" s="49"/>
      <c r="EP223" s="49"/>
      <c r="EQ223" s="49"/>
    </row>
    <row r="224" spans="1:149">
      <c r="A224" s="6" t="s">
        <v>21</v>
      </c>
      <c r="I224" s="1"/>
      <c r="J224" s="1"/>
      <c r="K224" s="42" t="s">
        <v>114</v>
      </c>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406"/>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406"/>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406"/>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245"/>
      <c r="DR224" s="245"/>
      <c r="DS224" s="245"/>
      <c r="DT224" s="245"/>
      <c r="DU224" s="245"/>
      <c r="DV224" s="245"/>
      <c r="DW224" s="245"/>
      <c r="DX224" s="245"/>
      <c r="DY224" s="245"/>
      <c r="ED224" s="429"/>
      <c r="EE224" s="23"/>
      <c r="EF224" s="23"/>
      <c r="EG224" s="23"/>
      <c r="EH224" s="23"/>
      <c r="EK224" s="23"/>
    </row>
    <row r="225" spans="1:149" ht="12.75" customHeight="1">
      <c r="A225" s="6" t="s">
        <v>22</v>
      </c>
      <c r="B225" s="2" t="s">
        <v>0</v>
      </c>
      <c r="C225" s="3" t="s">
        <v>54</v>
      </c>
      <c r="E225" s="3" t="s">
        <v>16</v>
      </c>
      <c r="G225" s="1" t="s">
        <v>91</v>
      </c>
      <c r="I225" s="18">
        <v>84</v>
      </c>
      <c r="J225" s="21">
        <v>88</v>
      </c>
      <c r="K225" s="19">
        <v>94</v>
      </c>
      <c r="L225" s="19">
        <v>97</v>
      </c>
      <c r="M225" s="20">
        <v>12</v>
      </c>
      <c r="N225" s="19">
        <v>15</v>
      </c>
      <c r="O225" s="19">
        <v>23</v>
      </c>
      <c r="P225" s="19">
        <v>31</v>
      </c>
      <c r="Q225" s="19">
        <v>39</v>
      </c>
      <c r="R225" s="19">
        <v>43</v>
      </c>
      <c r="S225" s="19">
        <v>51</v>
      </c>
      <c r="T225" s="19">
        <v>69</v>
      </c>
      <c r="U225" s="19">
        <v>95</v>
      </c>
      <c r="V225" s="26">
        <v>110</v>
      </c>
      <c r="W225" s="19">
        <v>121</v>
      </c>
      <c r="X225" s="19">
        <v>140</v>
      </c>
      <c r="Y225" s="343">
        <v>14</v>
      </c>
      <c r="Z225" s="19">
        <v>25</v>
      </c>
      <c r="AA225" s="19">
        <v>33</v>
      </c>
      <c r="AB225" s="19">
        <v>44</v>
      </c>
      <c r="AC225" s="19">
        <v>59</v>
      </c>
      <c r="AD225" s="19">
        <v>73</v>
      </c>
      <c r="AE225" s="19">
        <v>83</v>
      </c>
      <c r="AF225" s="19">
        <v>89</v>
      </c>
      <c r="AG225" s="19">
        <v>96</v>
      </c>
      <c r="AH225" s="19">
        <v>102</v>
      </c>
      <c r="AI225" s="19">
        <v>108</v>
      </c>
      <c r="AJ225" s="19"/>
      <c r="AK225" s="408"/>
      <c r="AL225" s="21">
        <f t="shared" ref="AL225:AM229" si="1341">J225-I225</f>
        <v>4</v>
      </c>
      <c r="AM225" s="21">
        <f t="shared" si="1341"/>
        <v>6</v>
      </c>
      <c r="AN225" s="21">
        <f t="shared" ref="AN225:AN233" si="1342">L225-K225</f>
        <v>3</v>
      </c>
      <c r="AO225" s="21">
        <f>M225</f>
        <v>12</v>
      </c>
      <c r="AP225" s="129">
        <f t="shared" ref="AP225:AP233" si="1343">IF(N225&lt;&gt;"",N225-M225,0)</f>
        <v>3</v>
      </c>
      <c r="AQ225" s="131">
        <f t="shared" ref="AQ225:AQ233" si="1344">IF(O225&lt;&gt;"",O225-N225,0)</f>
        <v>8</v>
      </c>
      <c r="AR225" s="131">
        <f t="shared" ref="AR225:AR244" si="1345">IF(P225&lt;&gt;"",P225-O225,0)</f>
        <v>8</v>
      </c>
      <c r="AS225" s="131">
        <f t="shared" ref="AS225:AS244" si="1346">IF(Q225&lt;&gt;"",Q225-P225,0)</f>
        <v>8</v>
      </c>
      <c r="AT225" s="131">
        <f t="shared" ref="AT225:AT244" si="1347">IF(R225&lt;&gt;"",R225-Q225,0)</f>
        <v>4</v>
      </c>
      <c r="AU225" s="131">
        <f t="shared" ref="AU225:AU244" si="1348">IF(S225&lt;&gt;"",S225-R225,0)</f>
        <v>8</v>
      </c>
      <c r="AV225" s="131">
        <f t="shared" ref="AV225:AV244" si="1349">IF(T225&lt;&gt;"",T225-S225,0)</f>
        <v>18</v>
      </c>
      <c r="AW225" s="131">
        <f t="shared" ref="AW225:AW244" si="1350">IF(U225&lt;&gt;"",U225-T225,0)</f>
        <v>26</v>
      </c>
      <c r="AX225" s="131">
        <f>IF(V225&lt;&gt;"",V225-U225,0)</f>
        <v>15</v>
      </c>
      <c r="AY225" s="131">
        <f t="shared" ref="AY225:AY244" si="1351">IF(W225&lt;&gt;"",W225-V225,0)</f>
        <v>11</v>
      </c>
      <c r="AZ225" s="131">
        <f t="shared" ref="AZ225:AZ244" si="1352">IF(X225&lt;&gt;"",X225-W225,0)</f>
        <v>19</v>
      </c>
      <c r="BA225" s="21">
        <f>Y225</f>
        <v>14</v>
      </c>
      <c r="BB225" s="131">
        <f t="shared" ref="BB225:BB241" si="1353">IF(Z225&lt;&gt;"",Z225-Y225,0)</f>
        <v>11</v>
      </c>
      <c r="BC225" s="131">
        <f t="shared" ref="BC225:BC241" si="1354">IF(AA225&lt;&gt;"",AA225-Z225,0)</f>
        <v>8</v>
      </c>
      <c r="BD225" s="131">
        <f t="shared" ref="BD225:BD241" si="1355">IF(AB225&lt;&gt;"",AB225-AA225,0)</f>
        <v>11</v>
      </c>
      <c r="BE225" s="131">
        <f t="shared" ref="BE225:BE241" si="1356">IF(AC225&lt;&gt;"",AC225-AB225,0)</f>
        <v>15</v>
      </c>
      <c r="BF225" s="131">
        <f t="shared" ref="BF225:BF241" si="1357">IF(AD225&lt;&gt;"",AD225-AC225,0)</f>
        <v>14</v>
      </c>
      <c r="BG225" s="131">
        <f t="shared" ref="BG225:BG241" si="1358">IF(AE225&lt;&gt;"",AE225-AD225,0)</f>
        <v>10</v>
      </c>
      <c r="BH225" s="131">
        <f t="shared" ref="BH225:BH241" si="1359">IF(AF225&lt;&gt;"",AF225-AE225,0)</f>
        <v>6</v>
      </c>
      <c r="BI225" s="131">
        <f t="shared" ref="BI225:BI241" si="1360">IF(AG225&lt;&gt;"",AG225-AF225,0)</f>
        <v>7</v>
      </c>
      <c r="BJ225" s="131">
        <f>IF(AH225&lt;&gt;"",AH225-AG225,0)</f>
        <v>6</v>
      </c>
      <c r="BK225" s="131">
        <f t="shared" ref="BK225:BK241" si="1361">IF(AI225&lt;&gt;"",AI225-AH225,0)</f>
        <v>6</v>
      </c>
      <c r="BL225" s="131">
        <f t="shared" ref="BL225:BL241" si="1362">IF(AJ225&lt;&gt;"",AJ225-AI225,0)</f>
        <v>0</v>
      </c>
      <c r="BM225" s="408"/>
      <c r="BN225" s="48">
        <f>BP225</f>
        <v>13</v>
      </c>
      <c r="BO225" s="48">
        <f>BP225</f>
        <v>13</v>
      </c>
      <c r="BP225" s="48">
        <f>SUM(AL225:AN225)</f>
        <v>13</v>
      </c>
      <c r="BQ225" s="48">
        <f>BS225</f>
        <v>23</v>
      </c>
      <c r="BR225" s="48">
        <f>BS225</f>
        <v>23</v>
      </c>
      <c r="BS225" s="48">
        <f>SUM(AO225:AQ225)</f>
        <v>23</v>
      </c>
      <c r="BT225" s="48">
        <f>BV225</f>
        <v>20</v>
      </c>
      <c r="BU225" s="48">
        <f>BV225</f>
        <v>20</v>
      </c>
      <c r="BV225" s="48">
        <f>SUM(AR225:AT225)</f>
        <v>20</v>
      </c>
      <c r="BW225" s="48">
        <f>BY225</f>
        <v>52</v>
      </c>
      <c r="BX225" s="48">
        <f>BY225</f>
        <v>52</v>
      </c>
      <c r="BY225" s="48">
        <f>SUM(AU225:AW225)</f>
        <v>52</v>
      </c>
      <c r="BZ225" s="48">
        <f>CB225</f>
        <v>45</v>
      </c>
      <c r="CA225" s="48">
        <f>CB225</f>
        <v>45</v>
      </c>
      <c r="CB225" s="48">
        <f>SUM(AX225:AZ225)</f>
        <v>45</v>
      </c>
      <c r="CC225" s="48">
        <f>CE225</f>
        <v>33</v>
      </c>
      <c r="CD225" s="48">
        <f>CE225</f>
        <v>33</v>
      </c>
      <c r="CE225" s="48">
        <f>SUM(BA225:BC225)</f>
        <v>33</v>
      </c>
      <c r="CF225" s="48">
        <f>CH225</f>
        <v>40</v>
      </c>
      <c r="CG225" s="48">
        <f>CH225</f>
        <v>40</v>
      </c>
      <c r="CH225" s="48">
        <f>SUM(BD225:BF225)</f>
        <v>40</v>
      </c>
      <c r="CI225" s="48">
        <f>CK225</f>
        <v>23</v>
      </c>
      <c r="CJ225" s="48">
        <f>CK225</f>
        <v>23</v>
      </c>
      <c r="CK225" s="48">
        <f>SUM(BG225:BI225)</f>
        <v>23</v>
      </c>
      <c r="CL225" s="48">
        <f>CN225</f>
        <v>12</v>
      </c>
      <c r="CM225" s="48">
        <f>CN225</f>
        <v>12</v>
      </c>
      <c r="CN225" s="48">
        <f>SUM(BJ225:BL225)</f>
        <v>12</v>
      </c>
      <c r="CO225" s="406"/>
      <c r="CP225" s="21">
        <f t="shared" ref="CP225:CR229" si="1363">I225+AL225</f>
        <v>88</v>
      </c>
      <c r="CQ225" s="21">
        <f t="shared" si="1363"/>
        <v>94</v>
      </c>
      <c r="CR225" s="21">
        <f t="shared" si="1363"/>
        <v>97</v>
      </c>
      <c r="CS225" s="21">
        <f>AO225</f>
        <v>12</v>
      </c>
      <c r="CT225" s="21">
        <f t="shared" ref="CT225:DD229" si="1364">M225+AP225</f>
        <v>15</v>
      </c>
      <c r="CU225" s="21">
        <f t="shared" si="1364"/>
        <v>23</v>
      </c>
      <c r="CV225" s="21">
        <f t="shared" si="1364"/>
        <v>31</v>
      </c>
      <c r="CW225" s="21">
        <f t="shared" si="1364"/>
        <v>39</v>
      </c>
      <c r="CX225" s="21">
        <f t="shared" si="1364"/>
        <v>43</v>
      </c>
      <c r="CY225" s="21">
        <f t="shared" si="1364"/>
        <v>51</v>
      </c>
      <c r="CZ225" s="21">
        <f t="shared" si="1364"/>
        <v>69</v>
      </c>
      <c r="DA225" s="21">
        <f t="shared" si="1364"/>
        <v>95</v>
      </c>
      <c r="DB225" s="21">
        <f t="shared" si="1364"/>
        <v>110</v>
      </c>
      <c r="DC225" s="21">
        <f t="shared" si="1364"/>
        <v>121</v>
      </c>
      <c r="DD225" s="21">
        <f t="shared" si="1364"/>
        <v>140</v>
      </c>
      <c r="DE225" s="21">
        <f>+BA225</f>
        <v>14</v>
      </c>
      <c r="DF225" s="21">
        <f t="shared" ref="DF225:DP229" si="1365">Y225+BB225</f>
        <v>25</v>
      </c>
      <c r="DG225" s="21">
        <f t="shared" si="1365"/>
        <v>33</v>
      </c>
      <c r="DH225" s="21">
        <f t="shared" si="1365"/>
        <v>44</v>
      </c>
      <c r="DI225" s="21">
        <f t="shared" si="1365"/>
        <v>59</v>
      </c>
      <c r="DJ225" s="21">
        <f t="shared" si="1365"/>
        <v>73</v>
      </c>
      <c r="DK225" s="21">
        <f t="shared" si="1365"/>
        <v>83</v>
      </c>
      <c r="DL225" s="21">
        <f t="shared" si="1365"/>
        <v>89</v>
      </c>
      <c r="DM225" s="21">
        <f t="shared" si="1365"/>
        <v>96</v>
      </c>
      <c r="DN225" s="21">
        <f t="shared" si="1365"/>
        <v>102</v>
      </c>
      <c r="DO225" s="21">
        <f t="shared" si="1365"/>
        <v>108</v>
      </c>
      <c r="DP225" s="21">
        <f t="shared" si="1365"/>
        <v>108</v>
      </c>
      <c r="DQ225" s="248"/>
      <c r="DR225" s="248"/>
      <c r="DS225" s="248"/>
      <c r="DT225" s="248"/>
      <c r="DU225" s="248"/>
      <c r="DV225" s="248"/>
      <c r="DW225" s="248"/>
      <c r="DX225" s="248"/>
      <c r="DY225" s="248"/>
      <c r="ED225" s="429"/>
      <c r="EE225" s="23"/>
      <c r="EF225" s="23"/>
      <c r="EG225" s="23"/>
      <c r="EH225" s="18">
        <f t="shared" ref="EH225:EH242" si="1366">HLOOKUP($I$1,Month,ROW()-1)</f>
        <v>6</v>
      </c>
      <c r="EI225" s="18">
        <f t="shared" ref="EI225:EI242" si="1367">HLOOKUP($I$1,Qtr,ROW()-1)</f>
        <v>12</v>
      </c>
      <c r="EJ225" s="18">
        <f t="shared" ref="EJ225:EJ247" si="1368">HLOOKUP($I$1,YTD,ROW()-1)</f>
        <v>108</v>
      </c>
      <c r="EK225" s="24">
        <f>$EK$1/12</f>
        <v>0.91666666666666663</v>
      </c>
      <c r="EL225" s="14">
        <f t="shared" ref="EL225:EM231" si="1369">EH225/EE202</f>
        <v>0.8</v>
      </c>
      <c r="EM225" s="14">
        <f t="shared" si="1369"/>
        <v>0.53333333333333333</v>
      </c>
      <c r="EN225" s="14">
        <f>EJ225/EG202</f>
        <v>1.2</v>
      </c>
      <c r="EO225" s="46" t="str">
        <f t="shared" ref="EO225:EP231" si="1370">IF(EH225&lt;0,,IF(EH225&lt;EE202,"È",IF(EH225=EE202,"Æ","Ç")))</f>
        <v>È</v>
      </c>
      <c r="EP225" s="46" t="str">
        <f t="shared" si="1370"/>
        <v>È</v>
      </c>
      <c r="EQ225" s="2">
        <f>IF(EL225&gt;=0.9,1,IF(EL225&lt;0.75,3,2))</f>
        <v>2</v>
      </c>
      <c r="ER225" s="2">
        <f t="shared" ref="ER225:ER240" si="1371">IF(EM225&gt;=0.9,1,IF(EM225&lt;0.75,3,2))</f>
        <v>3</v>
      </c>
      <c r="ES225" s="2">
        <f t="shared" ref="ES225:ES240" si="1372">IF(EN225&gt;=0.9,1,IF(EN225&lt;0.75,3,2))</f>
        <v>1</v>
      </c>
    </row>
    <row r="226" spans="1:149" ht="12.75" customHeight="1">
      <c r="A226" s="6" t="s">
        <v>22</v>
      </c>
      <c r="B226" s="2" t="s">
        <v>1</v>
      </c>
      <c r="C226" s="3" t="s">
        <v>55</v>
      </c>
      <c r="E226" s="3" t="s">
        <v>16</v>
      </c>
      <c r="G226" s="1" t="s">
        <v>91</v>
      </c>
      <c r="I226" s="18">
        <v>10</v>
      </c>
      <c r="J226" s="19">
        <v>10</v>
      </c>
      <c r="K226" s="19">
        <v>12</v>
      </c>
      <c r="L226" s="19">
        <v>12</v>
      </c>
      <c r="M226" s="20">
        <v>3</v>
      </c>
      <c r="N226" s="19">
        <v>5</v>
      </c>
      <c r="O226" s="19">
        <v>8</v>
      </c>
      <c r="P226" s="19">
        <v>10</v>
      </c>
      <c r="Q226" s="19">
        <v>10</v>
      </c>
      <c r="R226" s="19">
        <v>12</v>
      </c>
      <c r="S226" s="19">
        <v>14</v>
      </c>
      <c r="T226" s="19">
        <v>15</v>
      </c>
      <c r="U226" s="19">
        <v>31</v>
      </c>
      <c r="V226" s="26">
        <v>31</v>
      </c>
      <c r="W226" s="19">
        <v>35</v>
      </c>
      <c r="X226" s="19">
        <v>35</v>
      </c>
      <c r="Y226" s="343">
        <v>6</v>
      </c>
      <c r="Z226" s="19">
        <v>9</v>
      </c>
      <c r="AA226" s="19">
        <v>9</v>
      </c>
      <c r="AB226" s="19">
        <v>10</v>
      </c>
      <c r="AC226" s="19">
        <v>20</v>
      </c>
      <c r="AD226" s="19">
        <v>23</v>
      </c>
      <c r="AE226" s="19">
        <v>26</v>
      </c>
      <c r="AF226" s="19">
        <v>28</v>
      </c>
      <c r="AG226" s="19">
        <v>29</v>
      </c>
      <c r="AH226" s="19">
        <v>30</v>
      </c>
      <c r="AI226" s="19">
        <v>33</v>
      </c>
      <c r="AJ226" s="19"/>
      <c r="AK226" s="408"/>
      <c r="AL226" s="21">
        <f t="shared" si="1341"/>
        <v>0</v>
      </c>
      <c r="AM226" s="21">
        <f t="shared" si="1341"/>
        <v>2</v>
      </c>
      <c r="AN226" s="21">
        <f t="shared" si="1342"/>
        <v>0</v>
      </c>
      <c r="AO226" s="21">
        <f>M226</f>
        <v>3</v>
      </c>
      <c r="AP226" s="129">
        <f t="shared" si="1343"/>
        <v>2</v>
      </c>
      <c r="AQ226" s="129">
        <f t="shared" si="1344"/>
        <v>3</v>
      </c>
      <c r="AR226" s="129">
        <f t="shared" si="1345"/>
        <v>2</v>
      </c>
      <c r="AS226" s="129">
        <f t="shared" si="1346"/>
        <v>0</v>
      </c>
      <c r="AT226" s="129">
        <f t="shared" si="1347"/>
        <v>2</v>
      </c>
      <c r="AU226" s="129">
        <f t="shared" si="1348"/>
        <v>2</v>
      </c>
      <c r="AV226" s="129">
        <f t="shared" si="1349"/>
        <v>1</v>
      </c>
      <c r="AW226" s="129">
        <f t="shared" si="1350"/>
        <v>16</v>
      </c>
      <c r="AX226" s="129">
        <f>IF(V226&lt;&gt;"",V226-U226,0)</f>
        <v>0</v>
      </c>
      <c r="AY226" s="129">
        <f t="shared" si="1351"/>
        <v>4</v>
      </c>
      <c r="AZ226" s="129">
        <f t="shared" si="1352"/>
        <v>0</v>
      </c>
      <c r="BA226" s="21">
        <f>Y226</f>
        <v>6</v>
      </c>
      <c r="BB226" s="129">
        <f t="shared" si="1353"/>
        <v>3</v>
      </c>
      <c r="BC226" s="129">
        <f t="shared" si="1354"/>
        <v>0</v>
      </c>
      <c r="BD226" s="129">
        <f t="shared" si="1355"/>
        <v>1</v>
      </c>
      <c r="BE226" s="129">
        <f t="shared" si="1356"/>
        <v>10</v>
      </c>
      <c r="BF226" s="129">
        <f t="shared" si="1357"/>
        <v>3</v>
      </c>
      <c r="BG226" s="129">
        <f t="shared" si="1358"/>
        <v>3</v>
      </c>
      <c r="BH226" s="129">
        <f t="shared" si="1359"/>
        <v>2</v>
      </c>
      <c r="BI226" s="129">
        <f t="shared" si="1360"/>
        <v>1</v>
      </c>
      <c r="BJ226" s="129">
        <f>IF(AH226&lt;&gt;"",AH226-AG226,0)</f>
        <v>1</v>
      </c>
      <c r="BK226" s="129">
        <f t="shared" si="1361"/>
        <v>3</v>
      </c>
      <c r="BL226" s="129">
        <f t="shared" si="1362"/>
        <v>0</v>
      </c>
      <c r="BM226" s="408"/>
      <c r="BN226" s="48">
        <f t="shared" ref="BN226:BN242" si="1373">BP226</f>
        <v>2</v>
      </c>
      <c r="BO226" s="48">
        <f t="shared" ref="BO226:BO242" si="1374">BP226</f>
        <v>2</v>
      </c>
      <c r="BP226" s="48">
        <f t="shared" ref="BP226:BP231" si="1375">SUM(AL226:AN226)</f>
        <v>2</v>
      </c>
      <c r="BQ226" s="48">
        <f t="shared" ref="BQ226:BQ242" si="1376">BS226</f>
        <v>8</v>
      </c>
      <c r="BR226" s="48">
        <f t="shared" ref="BR226:BR242" si="1377">BS226</f>
        <v>8</v>
      </c>
      <c r="BS226" s="48">
        <f t="shared" ref="BS226:BS231" si="1378">SUM(AO226:AQ226)</f>
        <v>8</v>
      </c>
      <c r="BT226" s="48">
        <f t="shared" ref="BT226:BT242" si="1379">BV226</f>
        <v>4</v>
      </c>
      <c r="BU226" s="48">
        <f t="shared" ref="BU226:BU242" si="1380">BV226</f>
        <v>4</v>
      </c>
      <c r="BV226" s="48">
        <f t="shared" ref="BV226:BV231" si="1381">SUM(AR226:AT226)</f>
        <v>4</v>
      </c>
      <c r="BW226" s="48">
        <f t="shared" ref="BW226:BW242" si="1382">BY226</f>
        <v>19</v>
      </c>
      <c r="BX226" s="48">
        <f t="shared" ref="BX226:BX242" si="1383">BY226</f>
        <v>19</v>
      </c>
      <c r="BY226" s="48">
        <f t="shared" ref="BY226:BY231" si="1384">SUM(AU226:AW226)</f>
        <v>19</v>
      </c>
      <c r="BZ226" s="48">
        <f t="shared" ref="BZ226:BZ242" si="1385">CB226</f>
        <v>4</v>
      </c>
      <c r="CA226" s="48">
        <f t="shared" ref="CA226:CA242" si="1386">CB226</f>
        <v>4</v>
      </c>
      <c r="CB226" s="48">
        <f t="shared" ref="CB226:CB231" si="1387">SUM(AX226:AZ226)</f>
        <v>4</v>
      </c>
      <c r="CC226" s="48">
        <f t="shared" ref="CC226:CC242" si="1388">CE226</f>
        <v>9</v>
      </c>
      <c r="CD226" s="48">
        <f t="shared" ref="CD226:CD242" si="1389">CE226</f>
        <v>9</v>
      </c>
      <c r="CE226" s="48">
        <f t="shared" ref="CE226:CE231" si="1390">SUM(BA226:BC226)</f>
        <v>9</v>
      </c>
      <c r="CF226" s="48">
        <f t="shared" ref="CF226:CF242" si="1391">CH226</f>
        <v>14</v>
      </c>
      <c r="CG226" s="48">
        <f t="shared" ref="CG226:CG242" si="1392">CH226</f>
        <v>14</v>
      </c>
      <c r="CH226" s="48">
        <f t="shared" ref="CH226:CH231" si="1393">SUM(BD226:BF226)</f>
        <v>14</v>
      </c>
      <c r="CI226" s="48">
        <f t="shared" ref="CI226:CI242" si="1394">CK226</f>
        <v>6</v>
      </c>
      <c r="CJ226" s="48">
        <f t="shared" ref="CJ226:CJ242" si="1395">CK226</f>
        <v>6</v>
      </c>
      <c r="CK226" s="48">
        <f t="shared" ref="CK226:CK231" si="1396">SUM(BG226:BI226)</f>
        <v>6</v>
      </c>
      <c r="CL226" s="48">
        <f t="shared" ref="CL226:CL242" si="1397">CN226</f>
        <v>4</v>
      </c>
      <c r="CM226" s="48">
        <f t="shared" ref="CM226:CM242" si="1398">CN226</f>
        <v>4</v>
      </c>
      <c r="CN226" s="48">
        <f t="shared" ref="CN226:CN231" si="1399">SUM(BJ226:BL226)</f>
        <v>4</v>
      </c>
      <c r="CO226" s="406"/>
      <c r="CP226" s="21">
        <f t="shared" si="1363"/>
        <v>10</v>
      </c>
      <c r="CQ226" s="21">
        <f t="shared" si="1363"/>
        <v>12</v>
      </c>
      <c r="CR226" s="21">
        <f t="shared" si="1363"/>
        <v>12</v>
      </c>
      <c r="CS226" s="21">
        <f>AO226</f>
        <v>3</v>
      </c>
      <c r="CT226" s="21">
        <f t="shared" si="1364"/>
        <v>5</v>
      </c>
      <c r="CU226" s="21">
        <f t="shared" si="1364"/>
        <v>8</v>
      </c>
      <c r="CV226" s="21">
        <f t="shared" si="1364"/>
        <v>10</v>
      </c>
      <c r="CW226" s="21">
        <f t="shared" si="1364"/>
        <v>10</v>
      </c>
      <c r="CX226" s="21">
        <f t="shared" si="1364"/>
        <v>12</v>
      </c>
      <c r="CY226" s="21">
        <f t="shared" si="1364"/>
        <v>14</v>
      </c>
      <c r="CZ226" s="21">
        <f t="shared" si="1364"/>
        <v>15</v>
      </c>
      <c r="DA226" s="21">
        <f t="shared" si="1364"/>
        <v>31</v>
      </c>
      <c r="DB226" s="21">
        <f t="shared" si="1364"/>
        <v>31</v>
      </c>
      <c r="DC226" s="21">
        <f t="shared" si="1364"/>
        <v>35</v>
      </c>
      <c r="DD226" s="21">
        <f t="shared" si="1364"/>
        <v>35</v>
      </c>
      <c r="DE226" s="21">
        <f>+BA226</f>
        <v>6</v>
      </c>
      <c r="DF226" s="21">
        <f t="shared" si="1365"/>
        <v>9</v>
      </c>
      <c r="DG226" s="21">
        <f t="shared" si="1365"/>
        <v>9</v>
      </c>
      <c r="DH226" s="21">
        <f t="shared" si="1365"/>
        <v>10</v>
      </c>
      <c r="DI226" s="21">
        <f t="shared" si="1365"/>
        <v>20</v>
      </c>
      <c r="DJ226" s="21">
        <f t="shared" si="1365"/>
        <v>23</v>
      </c>
      <c r="DK226" s="21">
        <f t="shared" si="1365"/>
        <v>26</v>
      </c>
      <c r="DL226" s="21">
        <f t="shared" si="1365"/>
        <v>28</v>
      </c>
      <c r="DM226" s="21">
        <f t="shared" si="1365"/>
        <v>29</v>
      </c>
      <c r="DN226" s="21">
        <f t="shared" si="1365"/>
        <v>30</v>
      </c>
      <c r="DO226" s="21">
        <f t="shared" si="1365"/>
        <v>33</v>
      </c>
      <c r="DP226" s="21">
        <f t="shared" si="1365"/>
        <v>33</v>
      </c>
      <c r="DQ226" s="248"/>
      <c r="DR226" s="248"/>
      <c r="DS226" s="248"/>
      <c r="DT226" s="248"/>
      <c r="DU226" s="248"/>
      <c r="DV226" s="248"/>
      <c r="DW226" s="248"/>
      <c r="DX226" s="248"/>
      <c r="DY226" s="248"/>
      <c r="ED226" s="429"/>
      <c r="EE226" s="23"/>
      <c r="EF226" s="23"/>
      <c r="EG226" s="23"/>
      <c r="EH226" s="18">
        <f t="shared" si="1366"/>
        <v>3</v>
      </c>
      <c r="EI226" s="288">
        <f t="shared" si="1367"/>
        <v>4</v>
      </c>
      <c r="EJ226" s="18">
        <f t="shared" si="1368"/>
        <v>33</v>
      </c>
      <c r="EK226" s="24">
        <f>$EK$1/12</f>
        <v>0.91666666666666663</v>
      </c>
      <c r="EL226" s="14">
        <f t="shared" si="1369"/>
        <v>0.97298349171342358</v>
      </c>
      <c r="EM226" s="14">
        <f t="shared" si="1369"/>
        <v>0.43243710742818825</v>
      </c>
      <c r="EN226" s="14">
        <f>EJ226/EG203</f>
        <v>0.89190153407063844</v>
      </c>
      <c r="EO226" s="46" t="str">
        <f>IF(EH226&lt;0,,IF(EH226&lt;EE203,"È",IF(EH226=EE203,"Æ","Ç")))</f>
        <v>È</v>
      </c>
      <c r="EP226" s="46" t="str">
        <f>IF(EI226&lt;0,,IF(EI226&lt;=EF203,"È",IF(EI226=EF203,"Æ","Ç")))</f>
        <v>È</v>
      </c>
      <c r="EQ226" s="2">
        <f>IF(EL226&gt;=0.9,1,IF(EL226&lt;0.75,2,3))</f>
        <v>1</v>
      </c>
      <c r="ER226" s="2">
        <f t="shared" si="1371"/>
        <v>3</v>
      </c>
      <c r="ES226" s="2">
        <f t="shared" si="1372"/>
        <v>2</v>
      </c>
    </row>
    <row r="227" spans="1:149" ht="12.75" customHeight="1">
      <c r="A227" s="6" t="s">
        <v>22</v>
      </c>
      <c r="B227" s="2" t="s">
        <v>2</v>
      </c>
      <c r="C227" s="3" t="s">
        <v>56</v>
      </c>
      <c r="E227" s="3" t="s">
        <v>16</v>
      </c>
      <c r="G227" s="1" t="s">
        <v>91</v>
      </c>
      <c r="I227" s="18">
        <v>10</v>
      </c>
      <c r="J227" s="19">
        <v>12</v>
      </c>
      <c r="K227" s="19">
        <v>12</v>
      </c>
      <c r="L227" s="19">
        <v>13</v>
      </c>
      <c r="M227" s="20">
        <v>2</v>
      </c>
      <c r="N227" s="19">
        <v>4</v>
      </c>
      <c r="O227" s="19">
        <v>5</v>
      </c>
      <c r="P227" s="19">
        <v>6</v>
      </c>
      <c r="Q227" s="19">
        <v>7</v>
      </c>
      <c r="R227" s="19">
        <v>9</v>
      </c>
      <c r="S227" s="19">
        <v>11</v>
      </c>
      <c r="T227" s="19">
        <v>13</v>
      </c>
      <c r="U227" s="19">
        <v>32</v>
      </c>
      <c r="V227" s="26">
        <v>38</v>
      </c>
      <c r="W227" s="19">
        <v>40</v>
      </c>
      <c r="X227" s="19">
        <v>42</v>
      </c>
      <c r="Y227" s="343">
        <v>3</v>
      </c>
      <c r="Z227" s="19">
        <v>6</v>
      </c>
      <c r="AA227" s="19">
        <v>8</v>
      </c>
      <c r="AB227" s="19">
        <v>9</v>
      </c>
      <c r="AC227" s="19">
        <v>17</v>
      </c>
      <c r="AD227" s="19">
        <v>20</v>
      </c>
      <c r="AE227" s="19">
        <v>24</v>
      </c>
      <c r="AF227" s="19">
        <v>24</v>
      </c>
      <c r="AG227" s="19">
        <v>28</v>
      </c>
      <c r="AH227" s="19">
        <v>32</v>
      </c>
      <c r="AI227" s="19">
        <v>35</v>
      </c>
      <c r="AJ227" s="19"/>
      <c r="AK227" s="408"/>
      <c r="AL227" s="21">
        <f t="shared" si="1341"/>
        <v>2</v>
      </c>
      <c r="AM227" s="21">
        <f t="shared" si="1341"/>
        <v>0</v>
      </c>
      <c r="AN227" s="21">
        <f t="shared" si="1342"/>
        <v>1</v>
      </c>
      <c r="AO227" s="21">
        <f>M227</f>
        <v>2</v>
      </c>
      <c r="AP227" s="129">
        <f t="shared" si="1343"/>
        <v>2</v>
      </c>
      <c r="AQ227" s="129">
        <f t="shared" si="1344"/>
        <v>1</v>
      </c>
      <c r="AR227" s="129">
        <f t="shared" si="1345"/>
        <v>1</v>
      </c>
      <c r="AS227" s="129">
        <f t="shared" si="1346"/>
        <v>1</v>
      </c>
      <c r="AT227" s="129">
        <f t="shared" si="1347"/>
        <v>2</v>
      </c>
      <c r="AU227" s="129">
        <f t="shared" si="1348"/>
        <v>2</v>
      </c>
      <c r="AV227" s="129">
        <f t="shared" si="1349"/>
        <v>2</v>
      </c>
      <c r="AW227" s="129">
        <f t="shared" si="1350"/>
        <v>19</v>
      </c>
      <c r="AX227" s="129">
        <f>IF(V227&lt;&gt;"",V227-U227,0)</f>
        <v>6</v>
      </c>
      <c r="AY227" s="129">
        <f t="shared" si="1351"/>
        <v>2</v>
      </c>
      <c r="AZ227" s="129">
        <f t="shared" si="1352"/>
        <v>2</v>
      </c>
      <c r="BA227" s="21">
        <f>Y227</f>
        <v>3</v>
      </c>
      <c r="BB227" s="129">
        <f t="shared" si="1353"/>
        <v>3</v>
      </c>
      <c r="BC227" s="129">
        <f t="shared" si="1354"/>
        <v>2</v>
      </c>
      <c r="BD227" s="129">
        <f t="shared" si="1355"/>
        <v>1</v>
      </c>
      <c r="BE227" s="129">
        <f t="shared" si="1356"/>
        <v>8</v>
      </c>
      <c r="BF227" s="129">
        <f t="shared" si="1357"/>
        <v>3</v>
      </c>
      <c r="BG227" s="129">
        <f t="shared" si="1358"/>
        <v>4</v>
      </c>
      <c r="BH227" s="129">
        <f t="shared" si="1359"/>
        <v>0</v>
      </c>
      <c r="BI227" s="129">
        <f t="shared" si="1360"/>
        <v>4</v>
      </c>
      <c r="BJ227" s="129">
        <f>IF(AH227&lt;&gt;"",AH227-AG227,0)</f>
        <v>4</v>
      </c>
      <c r="BK227" s="129">
        <f t="shared" si="1361"/>
        <v>3</v>
      </c>
      <c r="BL227" s="129">
        <f t="shared" si="1362"/>
        <v>0</v>
      </c>
      <c r="BM227" s="408"/>
      <c r="BN227" s="48">
        <f t="shared" si="1373"/>
        <v>3</v>
      </c>
      <c r="BO227" s="48">
        <f t="shared" si="1374"/>
        <v>3</v>
      </c>
      <c r="BP227" s="48">
        <f t="shared" si="1375"/>
        <v>3</v>
      </c>
      <c r="BQ227" s="48">
        <f t="shared" si="1376"/>
        <v>5</v>
      </c>
      <c r="BR227" s="48">
        <f t="shared" si="1377"/>
        <v>5</v>
      </c>
      <c r="BS227" s="48">
        <f t="shared" si="1378"/>
        <v>5</v>
      </c>
      <c r="BT227" s="48">
        <f t="shared" si="1379"/>
        <v>4</v>
      </c>
      <c r="BU227" s="48">
        <f t="shared" si="1380"/>
        <v>4</v>
      </c>
      <c r="BV227" s="48">
        <f t="shared" si="1381"/>
        <v>4</v>
      </c>
      <c r="BW227" s="48">
        <f t="shared" si="1382"/>
        <v>23</v>
      </c>
      <c r="BX227" s="48">
        <f t="shared" si="1383"/>
        <v>23</v>
      </c>
      <c r="BY227" s="48">
        <f t="shared" si="1384"/>
        <v>23</v>
      </c>
      <c r="BZ227" s="48">
        <f t="shared" si="1385"/>
        <v>10</v>
      </c>
      <c r="CA227" s="48">
        <f t="shared" si="1386"/>
        <v>10</v>
      </c>
      <c r="CB227" s="48">
        <f t="shared" si="1387"/>
        <v>10</v>
      </c>
      <c r="CC227" s="48">
        <f t="shared" si="1388"/>
        <v>8</v>
      </c>
      <c r="CD227" s="48">
        <f t="shared" si="1389"/>
        <v>8</v>
      </c>
      <c r="CE227" s="48">
        <f t="shared" si="1390"/>
        <v>8</v>
      </c>
      <c r="CF227" s="48">
        <f t="shared" si="1391"/>
        <v>12</v>
      </c>
      <c r="CG227" s="48">
        <f t="shared" si="1392"/>
        <v>12</v>
      </c>
      <c r="CH227" s="48">
        <f t="shared" si="1393"/>
        <v>12</v>
      </c>
      <c r="CI227" s="48">
        <f t="shared" si="1394"/>
        <v>8</v>
      </c>
      <c r="CJ227" s="48">
        <f t="shared" si="1395"/>
        <v>8</v>
      </c>
      <c r="CK227" s="48">
        <f t="shared" si="1396"/>
        <v>8</v>
      </c>
      <c r="CL227" s="48">
        <f t="shared" si="1397"/>
        <v>7</v>
      </c>
      <c r="CM227" s="48">
        <f t="shared" si="1398"/>
        <v>7</v>
      </c>
      <c r="CN227" s="48">
        <f t="shared" si="1399"/>
        <v>7</v>
      </c>
      <c r="CO227" s="406"/>
      <c r="CP227" s="21">
        <f t="shared" si="1363"/>
        <v>12</v>
      </c>
      <c r="CQ227" s="21">
        <f t="shared" si="1363"/>
        <v>12</v>
      </c>
      <c r="CR227" s="21">
        <f t="shared" si="1363"/>
        <v>13</v>
      </c>
      <c r="CS227" s="21">
        <f>AO227</f>
        <v>2</v>
      </c>
      <c r="CT227" s="21">
        <f t="shared" si="1364"/>
        <v>4</v>
      </c>
      <c r="CU227" s="21">
        <f t="shared" si="1364"/>
        <v>5</v>
      </c>
      <c r="CV227" s="21">
        <f t="shared" si="1364"/>
        <v>6</v>
      </c>
      <c r="CW227" s="21">
        <f t="shared" si="1364"/>
        <v>7</v>
      </c>
      <c r="CX227" s="21">
        <f t="shared" si="1364"/>
        <v>9</v>
      </c>
      <c r="CY227" s="21">
        <f t="shared" si="1364"/>
        <v>11</v>
      </c>
      <c r="CZ227" s="21">
        <f t="shared" si="1364"/>
        <v>13</v>
      </c>
      <c r="DA227" s="21">
        <f t="shared" si="1364"/>
        <v>32</v>
      </c>
      <c r="DB227" s="21">
        <f t="shared" si="1364"/>
        <v>38</v>
      </c>
      <c r="DC227" s="21">
        <f t="shared" si="1364"/>
        <v>40</v>
      </c>
      <c r="DD227" s="21">
        <f t="shared" si="1364"/>
        <v>42</v>
      </c>
      <c r="DE227" s="21">
        <f>+BA227</f>
        <v>3</v>
      </c>
      <c r="DF227" s="21">
        <f t="shared" si="1365"/>
        <v>6</v>
      </c>
      <c r="DG227" s="21">
        <f t="shared" si="1365"/>
        <v>8</v>
      </c>
      <c r="DH227" s="21">
        <f t="shared" si="1365"/>
        <v>9</v>
      </c>
      <c r="DI227" s="21">
        <f t="shared" si="1365"/>
        <v>17</v>
      </c>
      <c r="DJ227" s="21">
        <f t="shared" si="1365"/>
        <v>20</v>
      </c>
      <c r="DK227" s="21">
        <f t="shared" si="1365"/>
        <v>24</v>
      </c>
      <c r="DL227" s="21">
        <f t="shared" si="1365"/>
        <v>24</v>
      </c>
      <c r="DM227" s="21">
        <f t="shared" si="1365"/>
        <v>28</v>
      </c>
      <c r="DN227" s="21">
        <f t="shared" si="1365"/>
        <v>32</v>
      </c>
      <c r="DO227" s="21">
        <f t="shared" si="1365"/>
        <v>35</v>
      </c>
      <c r="DP227" s="21">
        <f t="shared" si="1365"/>
        <v>35</v>
      </c>
      <c r="DQ227" s="248"/>
      <c r="DR227" s="248"/>
      <c r="DS227" s="248"/>
      <c r="DT227" s="248"/>
      <c r="DU227" s="248"/>
      <c r="DV227" s="248"/>
      <c r="DW227" s="248"/>
      <c r="DX227" s="248"/>
      <c r="DY227" s="248"/>
      <c r="ED227" s="429"/>
      <c r="EE227" s="23"/>
      <c r="EF227" s="23"/>
      <c r="EG227" s="23"/>
      <c r="EH227" s="18">
        <f t="shared" si="1366"/>
        <v>3</v>
      </c>
      <c r="EI227" s="18">
        <f t="shared" si="1367"/>
        <v>7</v>
      </c>
      <c r="EJ227" s="18">
        <f t="shared" si="1368"/>
        <v>35</v>
      </c>
      <c r="EK227" s="24">
        <f>$EK$1/12</f>
        <v>0.91666666666666663</v>
      </c>
      <c r="EL227" s="14">
        <f t="shared" si="1369"/>
        <v>0.75</v>
      </c>
      <c r="EM227" s="14">
        <f t="shared" si="1369"/>
        <v>0.58333333333333337</v>
      </c>
      <c r="EN227" s="14">
        <f>EJ227/EG204</f>
        <v>0.83333333333333337</v>
      </c>
      <c r="EO227" s="46" t="str">
        <f t="shared" si="1370"/>
        <v>È</v>
      </c>
      <c r="EP227" s="46" t="str">
        <f>IF(EI227&lt;0,,IF(EI227&gt;EF204,"È",IF(EI227=EF204,"Æ","Ç")))</f>
        <v>Ç</v>
      </c>
      <c r="EQ227" s="2">
        <f t="shared" ref="EQ227:EQ240" si="1400">IF(EL227&gt;=0.9,1,IF(EL227&lt;0.75,3,2))</f>
        <v>2</v>
      </c>
      <c r="ER227" s="2">
        <f t="shared" si="1371"/>
        <v>3</v>
      </c>
      <c r="ES227" s="2">
        <f t="shared" si="1372"/>
        <v>2</v>
      </c>
    </row>
    <row r="228" spans="1:149" ht="12.75" customHeight="1">
      <c r="A228" s="6" t="s">
        <v>22</v>
      </c>
      <c r="B228" s="2" t="s">
        <v>3</v>
      </c>
      <c r="C228" s="3" t="s">
        <v>57</v>
      </c>
      <c r="E228" s="3" t="s">
        <v>16</v>
      </c>
      <c r="G228" s="1" t="s">
        <v>91</v>
      </c>
      <c r="I228" s="18">
        <v>3</v>
      </c>
      <c r="J228" s="21">
        <v>4</v>
      </c>
      <c r="K228" s="21">
        <v>4</v>
      </c>
      <c r="L228" s="21">
        <v>4</v>
      </c>
      <c r="M228" s="22">
        <v>0</v>
      </c>
      <c r="N228" s="21">
        <v>0</v>
      </c>
      <c r="O228" s="21">
        <v>0</v>
      </c>
      <c r="P228" s="21">
        <v>0</v>
      </c>
      <c r="Q228" s="21">
        <v>0</v>
      </c>
      <c r="R228" s="21">
        <v>0</v>
      </c>
      <c r="S228" s="21">
        <v>0</v>
      </c>
      <c r="T228" s="21">
        <v>0</v>
      </c>
      <c r="U228" s="21">
        <v>0</v>
      </c>
      <c r="V228" s="27">
        <v>1</v>
      </c>
      <c r="W228" s="21">
        <v>6</v>
      </c>
      <c r="X228" s="21">
        <v>10</v>
      </c>
      <c r="Y228" s="344">
        <v>1</v>
      </c>
      <c r="Z228" s="21">
        <v>3</v>
      </c>
      <c r="AA228" s="21">
        <v>3</v>
      </c>
      <c r="AB228" s="21">
        <v>4</v>
      </c>
      <c r="AC228" s="21">
        <v>6</v>
      </c>
      <c r="AD228" s="21">
        <v>6</v>
      </c>
      <c r="AE228" s="21">
        <v>9</v>
      </c>
      <c r="AF228" s="21">
        <v>9</v>
      </c>
      <c r="AG228" s="21">
        <v>9</v>
      </c>
      <c r="AH228" s="21">
        <v>11</v>
      </c>
      <c r="AI228" s="21">
        <v>14</v>
      </c>
      <c r="AJ228" s="21"/>
      <c r="AK228" s="408"/>
      <c r="AL228" s="21">
        <f t="shared" si="1341"/>
        <v>1</v>
      </c>
      <c r="AM228" s="21">
        <f t="shared" si="1341"/>
        <v>0</v>
      </c>
      <c r="AN228" s="21">
        <f t="shared" si="1342"/>
        <v>0</v>
      </c>
      <c r="AO228" s="21">
        <f>M228</f>
        <v>0</v>
      </c>
      <c r="AP228" s="129">
        <f t="shared" si="1343"/>
        <v>0</v>
      </c>
      <c r="AQ228" s="129">
        <f t="shared" si="1344"/>
        <v>0</v>
      </c>
      <c r="AR228" s="129">
        <f t="shared" si="1345"/>
        <v>0</v>
      </c>
      <c r="AS228" s="129">
        <f t="shared" si="1346"/>
        <v>0</v>
      </c>
      <c r="AT228" s="129">
        <f t="shared" si="1347"/>
        <v>0</v>
      </c>
      <c r="AU228" s="129">
        <f t="shared" si="1348"/>
        <v>0</v>
      </c>
      <c r="AV228" s="129">
        <f t="shared" si="1349"/>
        <v>0</v>
      </c>
      <c r="AW228" s="129">
        <f t="shared" si="1350"/>
        <v>0</v>
      </c>
      <c r="AX228" s="129">
        <f>IF(V228&lt;&gt;"",V228-U228,0)</f>
        <v>1</v>
      </c>
      <c r="AY228" s="129">
        <f t="shared" si="1351"/>
        <v>5</v>
      </c>
      <c r="AZ228" s="129">
        <f t="shared" si="1352"/>
        <v>4</v>
      </c>
      <c r="BA228" s="21">
        <f>Y228</f>
        <v>1</v>
      </c>
      <c r="BB228" s="129">
        <f t="shared" si="1353"/>
        <v>2</v>
      </c>
      <c r="BC228" s="129">
        <f t="shared" si="1354"/>
        <v>0</v>
      </c>
      <c r="BD228" s="129">
        <f t="shared" si="1355"/>
        <v>1</v>
      </c>
      <c r="BE228" s="129">
        <f t="shared" si="1356"/>
        <v>2</v>
      </c>
      <c r="BF228" s="129">
        <f t="shared" si="1357"/>
        <v>0</v>
      </c>
      <c r="BG228" s="129">
        <f t="shared" si="1358"/>
        <v>3</v>
      </c>
      <c r="BH228" s="129">
        <f t="shared" si="1359"/>
        <v>0</v>
      </c>
      <c r="BI228" s="129">
        <f t="shared" si="1360"/>
        <v>0</v>
      </c>
      <c r="BJ228" s="129">
        <f>IF(AH228&lt;&gt;"",AH228-AG228,0)</f>
        <v>2</v>
      </c>
      <c r="BK228" s="129">
        <f t="shared" si="1361"/>
        <v>3</v>
      </c>
      <c r="BL228" s="129">
        <f t="shared" si="1362"/>
        <v>0</v>
      </c>
      <c r="BM228" s="408"/>
      <c r="BN228" s="48">
        <f t="shared" si="1373"/>
        <v>1</v>
      </c>
      <c r="BO228" s="48">
        <f t="shared" si="1374"/>
        <v>1</v>
      </c>
      <c r="BP228" s="48">
        <f t="shared" si="1375"/>
        <v>1</v>
      </c>
      <c r="BQ228" s="48">
        <f t="shared" si="1376"/>
        <v>0</v>
      </c>
      <c r="BR228" s="48">
        <f t="shared" si="1377"/>
        <v>0</v>
      </c>
      <c r="BS228" s="48">
        <f t="shared" si="1378"/>
        <v>0</v>
      </c>
      <c r="BT228" s="48">
        <f t="shared" si="1379"/>
        <v>0</v>
      </c>
      <c r="BU228" s="48">
        <f t="shared" si="1380"/>
        <v>0</v>
      </c>
      <c r="BV228" s="48">
        <f t="shared" si="1381"/>
        <v>0</v>
      </c>
      <c r="BW228" s="48">
        <f t="shared" si="1382"/>
        <v>0</v>
      </c>
      <c r="BX228" s="48">
        <f t="shared" si="1383"/>
        <v>0</v>
      </c>
      <c r="BY228" s="48">
        <f t="shared" si="1384"/>
        <v>0</v>
      </c>
      <c r="BZ228" s="48">
        <f t="shared" si="1385"/>
        <v>10</v>
      </c>
      <c r="CA228" s="48">
        <f t="shared" si="1386"/>
        <v>10</v>
      </c>
      <c r="CB228" s="48">
        <f t="shared" si="1387"/>
        <v>10</v>
      </c>
      <c r="CC228" s="48">
        <f t="shared" si="1388"/>
        <v>3</v>
      </c>
      <c r="CD228" s="48">
        <f t="shared" si="1389"/>
        <v>3</v>
      </c>
      <c r="CE228" s="48">
        <f t="shared" si="1390"/>
        <v>3</v>
      </c>
      <c r="CF228" s="48">
        <f t="shared" si="1391"/>
        <v>3</v>
      </c>
      <c r="CG228" s="48">
        <f t="shared" si="1392"/>
        <v>3</v>
      </c>
      <c r="CH228" s="48">
        <f t="shared" si="1393"/>
        <v>3</v>
      </c>
      <c r="CI228" s="48">
        <f t="shared" si="1394"/>
        <v>3</v>
      </c>
      <c r="CJ228" s="48">
        <f t="shared" si="1395"/>
        <v>3</v>
      </c>
      <c r="CK228" s="48">
        <f t="shared" si="1396"/>
        <v>3</v>
      </c>
      <c r="CL228" s="48">
        <f t="shared" si="1397"/>
        <v>5</v>
      </c>
      <c r="CM228" s="48">
        <f t="shared" si="1398"/>
        <v>5</v>
      </c>
      <c r="CN228" s="48">
        <f t="shared" si="1399"/>
        <v>5</v>
      </c>
      <c r="CO228" s="406"/>
      <c r="CP228" s="21">
        <f t="shared" si="1363"/>
        <v>4</v>
      </c>
      <c r="CQ228" s="21">
        <f t="shared" si="1363"/>
        <v>4</v>
      </c>
      <c r="CR228" s="21">
        <f t="shared" si="1363"/>
        <v>4</v>
      </c>
      <c r="CS228" s="21">
        <f>AO228</f>
        <v>0</v>
      </c>
      <c r="CT228" s="21">
        <f t="shared" si="1364"/>
        <v>0</v>
      </c>
      <c r="CU228" s="21">
        <f t="shared" si="1364"/>
        <v>0</v>
      </c>
      <c r="CV228" s="21">
        <f t="shared" si="1364"/>
        <v>0</v>
      </c>
      <c r="CW228" s="21">
        <f t="shared" si="1364"/>
        <v>0</v>
      </c>
      <c r="CX228" s="21">
        <f t="shared" si="1364"/>
        <v>0</v>
      </c>
      <c r="CY228" s="21">
        <f t="shared" si="1364"/>
        <v>0</v>
      </c>
      <c r="CZ228" s="21">
        <f t="shared" si="1364"/>
        <v>0</v>
      </c>
      <c r="DA228" s="21">
        <f t="shared" si="1364"/>
        <v>0</v>
      </c>
      <c r="DB228" s="21">
        <f t="shared" si="1364"/>
        <v>1</v>
      </c>
      <c r="DC228" s="21">
        <f t="shared" si="1364"/>
        <v>6</v>
      </c>
      <c r="DD228" s="21">
        <f t="shared" si="1364"/>
        <v>10</v>
      </c>
      <c r="DE228" s="21">
        <f>+BA228</f>
        <v>1</v>
      </c>
      <c r="DF228" s="21">
        <f t="shared" si="1365"/>
        <v>3</v>
      </c>
      <c r="DG228" s="21">
        <f t="shared" si="1365"/>
        <v>3</v>
      </c>
      <c r="DH228" s="21">
        <f t="shared" si="1365"/>
        <v>4</v>
      </c>
      <c r="DI228" s="21">
        <f t="shared" si="1365"/>
        <v>6</v>
      </c>
      <c r="DJ228" s="21">
        <f t="shared" si="1365"/>
        <v>6</v>
      </c>
      <c r="DK228" s="21">
        <f t="shared" si="1365"/>
        <v>9</v>
      </c>
      <c r="DL228" s="21">
        <f t="shared" si="1365"/>
        <v>9</v>
      </c>
      <c r="DM228" s="21">
        <f t="shared" si="1365"/>
        <v>9</v>
      </c>
      <c r="DN228" s="21">
        <f t="shared" si="1365"/>
        <v>11</v>
      </c>
      <c r="DO228" s="21">
        <f t="shared" si="1365"/>
        <v>14</v>
      </c>
      <c r="DP228" s="21">
        <f t="shared" si="1365"/>
        <v>14</v>
      </c>
      <c r="DQ228" s="248"/>
      <c r="DR228" s="248"/>
      <c r="DS228" s="248"/>
      <c r="DT228" s="248"/>
      <c r="DU228" s="248"/>
      <c r="DV228" s="248"/>
      <c r="DW228" s="248"/>
      <c r="DX228" s="248"/>
      <c r="DY228" s="248"/>
      <c r="ED228" s="429"/>
      <c r="EE228" s="23"/>
      <c r="EF228" s="23"/>
      <c r="EG228" s="23"/>
      <c r="EH228" s="237">
        <f t="shared" si="1366"/>
        <v>3</v>
      </c>
      <c r="EI228" s="18">
        <f t="shared" si="1367"/>
        <v>5</v>
      </c>
      <c r="EJ228" s="18">
        <f t="shared" si="1368"/>
        <v>14</v>
      </c>
      <c r="EK228" s="24">
        <f>$EK$1/12</f>
        <v>0.91666666666666663</v>
      </c>
      <c r="EL228" s="14">
        <f t="shared" si="1369"/>
        <v>4.5454545454545441</v>
      </c>
      <c r="EM228" s="14">
        <f t="shared" si="1369"/>
        <v>2.5252525252525246</v>
      </c>
      <c r="EN228" s="14">
        <f>EJ228/EG205</f>
        <v>1.7676767676767675</v>
      </c>
      <c r="EO228" s="46" t="str">
        <f t="shared" si="1370"/>
        <v>Ç</v>
      </c>
      <c r="EP228" s="46" t="str">
        <f>IF(EI228&lt;0,,IF(EI228&lt;EF205,"È",IF(EI228=EF205,"Æ","Ç")))</f>
        <v>Ç</v>
      </c>
      <c r="EQ228" s="2">
        <f t="shared" si="1400"/>
        <v>1</v>
      </c>
      <c r="ER228" s="2">
        <f t="shared" si="1371"/>
        <v>1</v>
      </c>
      <c r="ES228" s="2">
        <f t="shared" si="1372"/>
        <v>1</v>
      </c>
    </row>
    <row r="229" spans="1:149" ht="12.75" customHeight="1" thickBot="1">
      <c r="A229" s="6" t="s">
        <v>22</v>
      </c>
      <c r="B229" s="2" t="s">
        <v>94</v>
      </c>
      <c r="C229" s="3" t="s">
        <v>58</v>
      </c>
      <c r="E229" s="3" t="s">
        <v>16</v>
      </c>
      <c r="G229" s="1" t="s">
        <v>91</v>
      </c>
      <c r="I229" s="116">
        <v>1.4</v>
      </c>
      <c r="J229" s="116">
        <v>1.5740000000000001</v>
      </c>
      <c r="K229" s="116">
        <v>1.5740000000000001</v>
      </c>
      <c r="L229" s="116">
        <v>1.5740000000000001</v>
      </c>
      <c r="M229" s="117">
        <v>0</v>
      </c>
      <c r="N229" s="116">
        <v>0</v>
      </c>
      <c r="O229" s="116">
        <v>0</v>
      </c>
      <c r="P229" s="116">
        <v>0</v>
      </c>
      <c r="Q229" s="116">
        <v>0</v>
      </c>
      <c r="R229" s="116">
        <v>2</v>
      </c>
      <c r="S229" s="116">
        <v>2.04</v>
      </c>
      <c r="T229" s="116">
        <v>2.04</v>
      </c>
      <c r="U229" s="116">
        <v>2.04</v>
      </c>
      <c r="V229" s="123">
        <v>2.0649999999999999</v>
      </c>
      <c r="W229" s="116">
        <v>2.165</v>
      </c>
      <c r="X229" s="116">
        <v>2.165</v>
      </c>
      <c r="Y229" s="345">
        <v>0</v>
      </c>
      <c r="Z229" s="116">
        <v>0</v>
      </c>
      <c r="AA229" s="116">
        <v>0.09</v>
      </c>
      <c r="AB229" s="116">
        <v>0.16</v>
      </c>
      <c r="AC229" s="116">
        <v>0.16</v>
      </c>
      <c r="AD229" s="116">
        <v>0.16</v>
      </c>
      <c r="AE229" s="116">
        <v>0.16</v>
      </c>
      <c r="AF229" s="116">
        <v>0.17199999999999999</v>
      </c>
      <c r="AG229" s="116">
        <v>0.17249999999999999</v>
      </c>
      <c r="AH229" s="116">
        <v>0.95199999999999996</v>
      </c>
      <c r="AI229" s="116">
        <v>0.95150000000000001</v>
      </c>
      <c r="AJ229" s="116"/>
      <c r="AK229" s="416"/>
      <c r="AL229" s="116">
        <f t="shared" si="1341"/>
        <v>0.17400000000000015</v>
      </c>
      <c r="AM229" s="116">
        <f t="shared" si="1341"/>
        <v>0</v>
      </c>
      <c r="AN229" s="116">
        <f t="shared" si="1342"/>
        <v>0</v>
      </c>
      <c r="AO229" s="116">
        <f>M229</f>
        <v>0</v>
      </c>
      <c r="AP229" s="129">
        <f t="shared" si="1343"/>
        <v>0</v>
      </c>
      <c r="AQ229" s="129">
        <f t="shared" si="1344"/>
        <v>0</v>
      </c>
      <c r="AR229" s="129">
        <f t="shared" si="1345"/>
        <v>0</v>
      </c>
      <c r="AS229" s="129">
        <f t="shared" si="1346"/>
        <v>0</v>
      </c>
      <c r="AT229" s="129">
        <f t="shared" si="1347"/>
        <v>2</v>
      </c>
      <c r="AU229" s="129">
        <f t="shared" si="1348"/>
        <v>4.0000000000000036E-2</v>
      </c>
      <c r="AV229" s="129">
        <f t="shared" si="1349"/>
        <v>0</v>
      </c>
      <c r="AW229" s="129">
        <f t="shared" si="1350"/>
        <v>0</v>
      </c>
      <c r="AX229" s="129">
        <f>IF(V229&lt;&gt;"",V229-U229,0)</f>
        <v>2.4999999999999911E-2</v>
      </c>
      <c r="AY229" s="129">
        <f t="shared" si="1351"/>
        <v>0.10000000000000009</v>
      </c>
      <c r="AZ229" s="129">
        <f t="shared" si="1352"/>
        <v>0</v>
      </c>
      <c r="BA229" s="116">
        <f>Y229</f>
        <v>0</v>
      </c>
      <c r="BB229" s="129">
        <f t="shared" si="1353"/>
        <v>0</v>
      </c>
      <c r="BC229" s="129">
        <f t="shared" si="1354"/>
        <v>0.09</v>
      </c>
      <c r="BD229" s="129">
        <f t="shared" si="1355"/>
        <v>7.0000000000000007E-2</v>
      </c>
      <c r="BE229" s="129">
        <f t="shared" si="1356"/>
        <v>0</v>
      </c>
      <c r="BF229" s="129">
        <f t="shared" si="1357"/>
        <v>0</v>
      </c>
      <c r="BG229" s="129">
        <f t="shared" si="1358"/>
        <v>0</v>
      </c>
      <c r="BH229" s="129">
        <f t="shared" si="1359"/>
        <v>1.1999999999999983E-2</v>
      </c>
      <c r="BI229" s="129">
        <f t="shared" si="1360"/>
        <v>5.0000000000000044E-4</v>
      </c>
      <c r="BJ229" s="129">
        <f>IF(AH229&lt;&gt;"",AH229-AG229,0)</f>
        <v>0.77949999999999997</v>
      </c>
      <c r="BK229" s="129">
        <f t="shared" si="1361"/>
        <v>-4.9999999999994493E-4</v>
      </c>
      <c r="BL229" s="129">
        <f t="shared" si="1362"/>
        <v>0</v>
      </c>
      <c r="BM229" s="409"/>
      <c r="BN229" s="119">
        <f t="shared" si="1373"/>
        <v>0.17400000000000015</v>
      </c>
      <c r="BO229" s="119">
        <f t="shared" si="1374"/>
        <v>0.17400000000000015</v>
      </c>
      <c r="BP229" s="119">
        <f t="shared" si="1375"/>
        <v>0.17400000000000015</v>
      </c>
      <c r="BQ229" s="119">
        <f t="shared" si="1376"/>
        <v>0</v>
      </c>
      <c r="BR229" s="119">
        <f t="shared" si="1377"/>
        <v>0</v>
      </c>
      <c r="BS229" s="119">
        <f t="shared" si="1378"/>
        <v>0</v>
      </c>
      <c r="BT229" s="119">
        <f t="shared" si="1379"/>
        <v>2</v>
      </c>
      <c r="BU229" s="119">
        <f t="shared" si="1380"/>
        <v>2</v>
      </c>
      <c r="BV229" s="119">
        <f t="shared" si="1381"/>
        <v>2</v>
      </c>
      <c r="BW229" s="119">
        <f t="shared" si="1382"/>
        <v>4.0000000000000036E-2</v>
      </c>
      <c r="BX229" s="119">
        <f t="shared" si="1383"/>
        <v>4.0000000000000036E-2</v>
      </c>
      <c r="BY229" s="119">
        <f t="shared" si="1384"/>
        <v>4.0000000000000036E-2</v>
      </c>
      <c r="BZ229" s="119">
        <f t="shared" si="1385"/>
        <v>0.125</v>
      </c>
      <c r="CA229" s="119">
        <f t="shared" si="1386"/>
        <v>0.125</v>
      </c>
      <c r="CB229" s="119">
        <f t="shared" si="1387"/>
        <v>0.125</v>
      </c>
      <c r="CC229" s="119">
        <f t="shared" si="1388"/>
        <v>0.09</v>
      </c>
      <c r="CD229" s="119">
        <f t="shared" si="1389"/>
        <v>0.09</v>
      </c>
      <c r="CE229" s="119">
        <f t="shared" si="1390"/>
        <v>0.09</v>
      </c>
      <c r="CF229" s="119">
        <f t="shared" si="1391"/>
        <v>7.0000000000000007E-2</v>
      </c>
      <c r="CG229" s="119">
        <f t="shared" si="1392"/>
        <v>7.0000000000000007E-2</v>
      </c>
      <c r="CH229" s="119">
        <f t="shared" si="1393"/>
        <v>7.0000000000000007E-2</v>
      </c>
      <c r="CI229" s="119">
        <f t="shared" si="1394"/>
        <v>1.2499999999999983E-2</v>
      </c>
      <c r="CJ229" s="119">
        <f t="shared" si="1395"/>
        <v>1.2499999999999983E-2</v>
      </c>
      <c r="CK229" s="119">
        <f t="shared" si="1396"/>
        <v>1.2499999999999983E-2</v>
      </c>
      <c r="CL229" s="119">
        <f t="shared" si="1397"/>
        <v>0.77900000000000003</v>
      </c>
      <c r="CM229" s="119">
        <f t="shared" si="1398"/>
        <v>0.77900000000000003</v>
      </c>
      <c r="CN229" s="119">
        <f t="shared" si="1399"/>
        <v>0.77900000000000003</v>
      </c>
      <c r="CO229" s="421"/>
      <c r="CP229" s="116">
        <f t="shared" si="1363"/>
        <v>1.5740000000000001</v>
      </c>
      <c r="CQ229" s="116">
        <f t="shared" si="1363"/>
        <v>1.5740000000000001</v>
      </c>
      <c r="CR229" s="116">
        <f t="shared" si="1363"/>
        <v>1.5740000000000001</v>
      </c>
      <c r="CS229" s="116">
        <f>AO229</f>
        <v>0</v>
      </c>
      <c r="CT229" s="116">
        <f t="shared" si="1364"/>
        <v>0</v>
      </c>
      <c r="CU229" s="116">
        <f t="shared" si="1364"/>
        <v>0</v>
      </c>
      <c r="CV229" s="116">
        <f t="shared" si="1364"/>
        <v>0</v>
      </c>
      <c r="CW229" s="116">
        <f t="shared" si="1364"/>
        <v>0</v>
      </c>
      <c r="CX229" s="116">
        <f t="shared" si="1364"/>
        <v>2</v>
      </c>
      <c r="CY229" s="116">
        <f t="shared" si="1364"/>
        <v>2.04</v>
      </c>
      <c r="CZ229" s="116">
        <f t="shared" si="1364"/>
        <v>2.04</v>
      </c>
      <c r="DA229" s="116">
        <f t="shared" si="1364"/>
        <v>2.04</v>
      </c>
      <c r="DB229" s="116">
        <f t="shared" si="1364"/>
        <v>2.0649999999999999</v>
      </c>
      <c r="DC229" s="116">
        <f t="shared" si="1364"/>
        <v>2.165</v>
      </c>
      <c r="DD229" s="116">
        <f t="shared" si="1364"/>
        <v>2.165</v>
      </c>
      <c r="DE229" s="116">
        <f>+BA229</f>
        <v>0</v>
      </c>
      <c r="DF229" s="116">
        <f t="shared" si="1365"/>
        <v>0</v>
      </c>
      <c r="DG229" s="116">
        <f t="shared" si="1365"/>
        <v>0.09</v>
      </c>
      <c r="DH229" s="116">
        <f t="shared" si="1365"/>
        <v>0.16</v>
      </c>
      <c r="DI229" s="116">
        <f t="shared" si="1365"/>
        <v>0.16</v>
      </c>
      <c r="DJ229" s="116">
        <f t="shared" si="1365"/>
        <v>0.16</v>
      </c>
      <c r="DK229" s="116">
        <f t="shared" si="1365"/>
        <v>0.16</v>
      </c>
      <c r="DL229" s="116">
        <f t="shared" si="1365"/>
        <v>0.17199999999999999</v>
      </c>
      <c r="DM229" s="116">
        <f t="shared" si="1365"/>
        <v>0.17249999999999999</v>
      </c>
      <c r="DN229" s="116">
        <f t="shared" si="1365"/>
        <v>0.95199999999999996</v>
      </c>
      <c r="DO229" s="116">
        <f t="shared" si="1365"/>
        <v>0.95150000000000001</v>
      </c>
      <c r="DP229" s="116">
        <f t="shared" si="1365"/>
        <v>0.95150000000000001</v>
      </c>
      <c r="DQ229" s="243"/>
      <c r="DR229" s="243"/>
      <c r="DS229" s="243"/>
      <c r="DT229" s="243"/>
      <c r="DU229" s="243"/>
      <c r="DV229" s="243"/>
      <c r="DW229" s="243"/>
      <c r="DX229" s="243"/>
      <c r="DY229" s="243"/>
      <c r="DZ229" s="124"/>
      <c r="EA229" s="124"/>
      <c r="EB229" s="124"/>
      <c r="EC229" s="124"/>
      <c r="ED229" s="431"/>
      <c r="EE229" s="125"/>
      <c r="EF229" s="125"/>
      <c r="EG229" s="125"/>
      <c r="EH229" s="237">
        <f t="shared" si="1366"/>
        <v>-4.9999999999994493E-4</v>
      </c>
      <c r="EI229" s="116">
        <f t="shared" si="1367"/>
        <v>0.77900000000000003</v>
      </c>
      <c r="EJ229" s="116">
        <f t="shared" si="1368"/>
        <v>0.95150000000000001</v>
      </c>
      <c r="EK229" s="24">
        <f>$EK$1/12</f>
        <v>0.91666666666666663</v>
      </c>
      <c r="EL229" s="14">
        <f t="shared" si="1369"/>
        <v>-3.012048192770754E-3</v>
      </c>
      <c r="EM229" s="14">
        <f t="shared" si="1369"/>
        <v>1.5642570281124506</v>
      </c>
      <c r="EN229" s="14">
        <f>EJ229/EG206</f>
        <v>0.47751681220515918</v>
      </c>
      <c r="EO229" s="46">
        <f t="shared" si="1370"/>
        <v>0</v>
      </c>
      <c r="EP229" s="46" t="str">
        <f t="shared" si="1370"/>
        <v>Ç</v>
      </c>
      <c r="EQ229" s="2">
        <f t="shared" si="1400"/>
        <v>3</v>
      </c>
      <c r="ER229" s="2">
        <f t="shared" si="1371"/>
        <v>1</v>
      </c>
      <c r="ES229" s="2">
        <f t="shared" si="1372"/>
        <v>3</v>
      </c>
    </row>
    <row r="230" spans="1:149" ht="12.75" customHeight="1">
      <c r="A230" s="6" t="s">
        <v>23</v>
      </c>
      <c r="B230" s="2" t="s">
        <v>5</v>
      </c>
      <c r="C230" s="3" t="s">
        <v>61</v>
      </c>
      <c r="E230" s="3" t="s">
        <v>16</v>
      </c>
      <c r="G230" s="3" t="s">
        <v>91</v>
      </c>
      <c r="I230" s="23"/>
      <c r="J230" s="19">
        <v>4</v>
      </c>
      <c r="K230" s="19">
        <v>10</v>
      </c>
      <c r="L230" s="19">
        <v>13</v>
      </c>
      <c r="M230" s="19">
        <v>19</v>
      </c>
      <c r="N230" s="19">
        <v>21</v>
      </c>
      <c r="O230" s="19">
        <v>24</v>
      </c>
      <c r="P230" s="19">
        <v>32</v>
      </c>
      <c r="Q230" s="19">
        <v>39</v>
      </c>
      <c r="R230" s="19">
        <v>43</v>
      </c>
      <c r="S230" s="19">
        <v>49</v>
      </c>
      <c r="T230" s="19">
        <v>65</v>
      </c>
      <c r="U230" s="19">
        <v>91</v>
      </c>
      <c r="V230" s="31">
        <v>15</v>
      </c>
      <c r="W230" s="19">
        <v>25</v>
      </c>
      <c r="X230" s="19">
        <v>44</v>
      </c>
      <c r="Y230" s="341">
        <v>52</v>
      </c>
      <c r="Z230" s="19">
        <v>60</v>
      </c>
      <c r="AA230" s="19">
        <v>66</v>
      </c>
      <c r="AB230" s="19">
        <v>74</v>
      </c>
      <c r="AC230" s="19">
        <v>82</v>
      </c>
      <c r="AD230" s="19">
        <v>94</v>
      </c>
      <c r="AE230" s="19">
        <v>104</v>
      </c>
      <c r="AF230" s="19">
        <v>108</v>
      </c>
      <c r="AG230" s="19">
        <v>115</v>
      </c>
      <c r="AH230" s="31">
        <v>6</v>
      </c>
      <c r="AI230" s="19">
        <v>12</v>
      </c>
      <c r="AJ230" s="19"/>
      <c r="AK230" s="408"/>
      <c r="AL230" s="19">
        <f t="shared" ref="AL230:AL246" si="1401">J230</f>
        <v>4</v>
      </c>
      <c r="AM230" s="19">
        <f>K230-J230</f>
        <v>6</v>
      </c>
      <c r="AN230" s="19">
        <f t="shared" si="1342"/>
        <v>3</v>
      </c>
      <c r="AO230" s="19">
        <f>M230-L230</f>
        <v>6</v>
      </c>
      <c r="AP230" s="129">
        <f t="shared" si="1343"/>
        <v>2</v>
      </c>
      <c r="AQ230" s="129">
        <f t="shared" si="1344"/>
        <v>3</v>
      </c>
      <c r="AR230" s="129">
        <f t="shared" si="1345"/>
        <v>8</v>
      </c>
      <c r="AS230" s="129">
        <f t="shared" si="1346"/>
        <v>7</v>
      </c>
      <c r="AT230" s="129">
        <f t="shared" si="1347"/>
        <v>4</v>
      </c>
      <c r="AU230" s="129">
        <f t="shared" si="1348"/>
        <v>6</v>
      </c>
      <c r="AV230" s="129">
        <f t="shared" si="1349"/>
        <v>16</v>
      </c>
      <c r="AW230" s="129">
        <f t="shared" si="1350"/>
        <v>26</v>
      </c>
      <c r="AX230" s="19">
        <f t="shared" ref="AX230:AX244" si="1402">V230</f>
        <v>15</v>
      </c>
      <c r="AY230" s="129">
        <f t="shared" si="1351"/>
        <v>10</v>
      </c>
      <c r="AZ230" s="129">
        <f t="shared" si="1352"/>
        <v>19</v>
      </c>
      <c r="BA230" s="129">
        <f t="shared" ref="BA230:BA244" si="1403">IF(Y230&lt;&gt;"",Y230-X230,0)</f>
        <v>8</v>
      </c>
      <c r="BB230" s="129">
        <f t="shared" si="1353"/>
        <v>8</v>
      </c>
      <c r="BC230" s="129">
        <f t="shared" si="1354"/>
        <v>6</v>
      </c>
      <c r="BD230" s="129">
        <f t="shared" si="1355"/>
        <v>8</v>
      </c>
      <c r="BE230" s="129">
        <f t="shared" si="1356"/>
        <v>8</v>
      </c>
      <c r="BF230" s="129">
        <f t="shared" si="1357"/>
        <v>12</v>
      </c>
      <c r="BG230" s="129">
        <f t="shared" si="1358"/>
        <v>10</v>
      </c>
      <c r="BH230" s="129">
        <f t="shared" si="1359"/>
        <v>4</v>
      </c>
      <c r="BI230" s="129">
        <f t="shared" si="1360"/>
        <v>7</v>
      </c>
      <c r="BJ230" s="19">
        <f t="shared" ref="BJ230:BK241" si="1404">AH230</f>
        <v>6</v>
      </c>
      <c r="BK230" s="129">
        <f t="shared" si="1361"/>
        <v>6</v>
      </c>
      <c r="BL230" s="129">
        <f t="shared" si="1362"/>
        <v>0</v>
      </c>
      <c r="BM230" s="408"/>
      <c r="BN230" s="48">
        <f t="shared" si="1373"/>
        <v>13</v>
      </c>
      <c r="BO230" s="48">
        <f t="shared" si="1374"/>
        <v>13</v>
      </c>
      <c r="BP230" s="48">
        <f t="shared" si="1375"/>
        <v>13</v>
      </c>
      <c r="BQ230" s="48">
        <f t="shared" si="1376"/>
        <v>11</v>
      </c>
      <c r="BR230" s="48">
        <f t="shared" si="1377"/>
        <v>11</v>
      </c>
      <c r="BS230" s="48">
        <f t="shared" si="1378"/>
        <v>11</v>
      </c>
      <c r="BT230" s="48">
        <f t="shared" si="1379"/>
        <v>19</v>
      </c>
      <c r="BU230" s="48">
        <f t="shared" si="1380"/>
        <v>19</v>
      </c>
      <c r="BV230" s="48">
        <f t="shared" si="1381"/>
        <v>19</v>
      </c>
      <c r="BW230" s="48">
        <f t="shared" si="1382"/>
        <v>48</v>
      </c>
      <c r="BX230" s="48">
        <f t="shared" si="1383"/>
        <v>48</v>
      </c>
      <c r="BY230" s="48">
        <f t="shared" si="1384"/>
        <v>48</v>
      </c>
      <c r="BZ230" s="48">
        <f t="shared" si="1385"/>
        <v>44</v>
      </c>
      <c r="CA230" s="48">
        <f t="shared" si="1386"/>
        <v>44</v>
      </c>
      <c r="CB230" s="48">
        <f t="shared" si="1387"/>
        <v>44</v>
      </c>
      <c r="CC230" s="48">
        <f t="shared" si="1388"/>
        <v>22</v>
      </c>
      <c r="CD230" s="48">
        <f t="shared" si="1389"/>
        <v>22</v>
      </c>
      <c r="CE230" s="48">
        <f t="shared" si="1390"/>
        <v>22</v>
      </c>
      <c r="CF230" s="48">
        <f t="shared" si="1391"/>
        <v>28</v>
      </c>
      <c r="CG230" s="48">
        <f t="shared" si="1392"/>
        <v>28</v>
      </c>
      <c r="CH230" s="48">
        <f t="shared" si="1393"/>
        <v>28</v>
      </c>
      <c r="CI230" s="48">
        <f t="shared" si="1394"/>
        <v>21</v>
      </c>
      <c r="CJ230" s="48">
        <f t="shared" si="1395"/>
        <v>21</v>
      </c>
      <c r="CK230" s="48">
        <f t="shared" si="1396"/>
        <v>21</v>
      </c>
      <c r="CL230" s="48">
        <f t="shared" si="1397"/>
        <v>12</v>
      </c>
      <c r="CM230" s="48">
        <f t="shared" si="1398"/>
        <v>12</v>
      </c>
      <c r="CN230" s="48">
        <f t="shared" si="1399"/>
        <v>12</v>
      </c>
      <c r="CO230" s="406"/>
      <c r="CP230" s="21">
        <f>+AL230</f>
        <v>4</v>
      </c>
      <c r="CQ230" s="21">
        <f t="shared" ref="CQ230:DA230" si="1405">+CP230+AM230</f>
        <v>10</v>
      </c>
      <c r="CR230" s="21">
        <f t="shared" si="1405"/>
        <v>13</v>
      </c>
      <c r="CS230" s="21">
        <f t="shared" si="1405"/>
        <v>19</v>
      </c>
      <c r="CT230" s="21">
        <f t="shared" si="1405"/>
        <v>21</v>
      </c>
      <c r="CU230" s="21">
        <f t="shared" si="1405"/>
        <v>24</v>
      </c>
      <c r="CV230" s="21">
        <f t="shared" si="1405"/>
        <v>32</v>
      </c>
      <c r="CW230" s="21">
        <f t="shared" si="1405"/>
        <v>39</v>
      </c>
      <c r="CX230" s="21">
        <f t="shared" si="1405"/>
        <v>43</v>
      </c>
      <c r="CY230" s="21">
        <f t="shared" si="1405"/>
        <v>49</v>
      </c>
      <c r="CZ230" s="21">
        <f t="shared" si="1405"/>
        <v>65</v>
      </c>
      <c r="DA230" s="21">
        <f t="shared" si="1405"/>
        <v>91</v>
      </c>
      <c r="DB230" s="21">
        <f>AX230</f>
        <v>15</v>
      </c>
      <c r="DC230" s="21">
        <f t="shared" ref="DC230:DM230" si="1406">+DB230+AY230</f>
        <v>25</v>
      </c>
      <c r="DD230" s="21">
        <f t="shared" si="1406"/>
        <v>44</v>
      </c>
      <c r="DE230" s="21">
        <f t="shared" si="1406"/>
        <v>52</v>
      </c>
      <c r="DF230" s="21">
        <f t="shared" si="1406"/>
        <v>60</v>
      </c>
      <c r="DG230" s="21">
        <f t="shared" si="1406"/>
        <v>66</v>
      </c>
      <c r="DH230" s="21">
        <f t="shared" si="1406"/>
        <v>74</v>
      </c>
      <c r="DI230" s="21">
        <f t="shared" si="1406"/>
        <v>82</v>
      </c>
      <c r="DJ230" s="21">
        <f t="shared" si="1406"/>
        <v>94</v>
      </c>
      <c r="DK230" s="21">
        <f t="shared" si="1406"/>
        <v>104</v>
      </c>
      <c r="DL230" s="21">
        <f t="shared" si="1406"/>
        <v>108</v>
      </c>
      <c r="DM230" s="21">
        <f t="shared" si="1406"/>
        <v>115</v>
      </c>
      <c r="DN230" s="21">
        <f>+BJ230</f>
        <v>6</v>
      </c>
      <c r="DO230" s="21">
        <f>+DN230+BK230</f>
        <v>12</v>
      </c>
      <c r="DP230" s="21">
        <f>+DO230+BL230</f>
        <v>12</v>
      </c>
      <c r="DQ230" s="248"/>
      <c r="DR230" s="248"/>
      <c r="DS230" s="248"/>
      <c r="DT230" s="248"/>
      <c r="DU230" s="248"/>
      <c r="DV230" s="248"/>
      <c r="DW230" s="248"/>
      <c r="DX230" s="248"/>
      <c r="DY230" s="248"/>
      <c r="ED230" s="429"/>
      <c r="EE230" s="23"/>
      <c r="EF230" s="23"/>
      <c r="EG230" s="23"/>
      <c r="EH230" s="18">
        <f t="shared" si="1366"/>
        <v>6</v>
      </c>
      <c r="EI230" s="18">
        <f t="shared" si="1367"/>
        <v>12</v>
      </c>
      <c r="EJ230" s="18">
        <f t="shared" si="1368"/>
        <v>12</v>
      </c>
      <c r="EK230" s="24">
        <f>$EK$2/12</f>
        <v>0.16666666666666666</v>
      </c>
      <c r="EL230" s="14" t="e">
        <f t="shared" si="1369"/>
        <v>#DIV/0!</v>
      </c>
      <c r="EM230" s="14">
        <f t="shared" si="1369"/>
        <v>0.4247787610619469</v>
      </c>
      <c r="EN230" s="14">
        <f>EJ230/EK230/EG207</f>
        <v>0.63716814159292035</v>
      </c>
      <c r="EO230" s="46" t="str">
        <f t="shared" si="1370"/>
        <v>Ç</v>
      </c>
      <c r="EP230" s="46" t="str">
        <f t="shared" si="1370"/>
        <v>È</v>
      </c>
      <c r="EQ230" s="2" t="e">
        <f t="shared" si="1400"/>
        <v>#DIV/0!</v>
      </c>
      <c r="ER230" s="2">
        <f t="shared" si="1371"/>
        <v>3</v>
      </c>
      <c r="ES230" s="2">
        <f t="shared" si="1372"/>
        <v>3</v>
      </c>
    </row>
    <row r="231" spans="1:149" ht="12.75" customHeight="1">
      <c r="A231" s="6" t="s">
        <v>23</v>
      </c>
      <c r="B231" s="2" t="s">
        <v>4</v>
      </c>
      <c r="C231" s="3" t="s">
        <v>62</v>
      </c>
      <c r="E231" s="3" t="s">
        <v>16</v>
      </c>
      <c r="G231" s="3" t="s">
        <v>91</v>
      </c>
      <c r="I231" s="23"/>
      <c r="J231" s="19">
        <v>0</v>
      </c>
      <c r="K231" s="19">
        <v>2</v>
      </c>
      <c r="L231" s="19">
        <v>4</v>
      </c>
      <c r="M231" s="19">
        <v>6</v>
      </c>
      <c r="N231" s="19">
        <v>8</v>
      </c>
      <c r="O231" s="19">
        <v>9</v>
      </c>
      <c r="P231" s="19">
        <v>12</v>
      </c>
      <c r="Q231" s="19">
        <v>14</v>
      </c>
      <c r="R231" s="19">
        <v>16</v>
      </c>
      <c r="S231" s="19">
        <v>18</v>
      </c>
      <c r="T231" s="19">
        <v>25</v>
      </c>
      <c r="U231" s="19">
        <v>31</v>
      </c>
      <c r="V231" s="31">
        <v>8</v>
      </c>
      <c r="W231" s="19">
        <v>12</v>
      </c>
      <c r="X231" s="19">
        <v>20</v>
      </c>
      <c r="Y231" s="341">
        <v>26</v>
      </c>
      <c r="Z231" s="19">
        <v>32</v>
      </c>
      <c r="AA231" s="19">
        <v>34</v>
      </c>
      <c r="AB231" s="19">
        <v>38</v>
      </c>
      <c r="AC231" s="19">
        <v>45</v>
      </c>
      <c r="AD231" s="19">
        <v>52</v>
      </c>
      <c r="AE231" s="19">
        <v>60</v>
      </c>
      <c r="AF231" s="19">
        <v>61</v>
      </c>
      <c r="AG231" s="19">
        <v>64</v>
      </c>
      <c r="AH231" s="31">
        <v>4</v>
      </c>
      <c r="AI231" s="19">
        <v>8</v>
      </c>
      <c r="AJ231" s="19"/>
      <c r="AK231" s="408"/>
      <c r="AL231" s="19">
        <f t="shared" si="1401"/>
        <v>0</v>
      </c>
      <c r="AM231" s="19">
        <f>K231-J231</f>
        <v>2</v>
      </c>
      <c r="AN231" s="19">
        <f t="shared" si="1342"/>
        <v>2</v>
      </c>
      <c r="AO231" s="19">
        <f>M231-L231</f>
        <v>2</v>
      </c>
      <c r="AP231" s="129">
        <f t="shared" si="1343"/>
        <v>2</v>
      </c>
      <c r="AQ231" s="129">
        <f t="shared" si="1344"/>
        <v>1</v>
      </c>
      <c r="AR231" s="129">
        <f t="shared" si="1345"/>
        <v>3</v>
      </c>
      <c r="AS231" s="129">
        <f t="shared" si="1346"/>
        <v>2</v>
      </c>
      <c r="AT231" s="129">
        <f t="shared" si="1347"/>
        <v>2</v>
      </c>
      <c r="AU231" s="129">
        <f t="shared" si="1348"/>
        <v>2</v>
      </c>
      <c r="AV231" s="129">
        <f t="shared" si="1349"/>
        <v>7</v>
      </c>
      <c r="AW231" s="129">
        <f t="shared" si="1350"/>
        <v>6</v>
      </c>
      <c r="AX231" s="19">
        <f t="shared" si="1402"/>
        <v>8</v>
      </c>
      <c r="AY231" s="129">
        <f t="shared" si="1351"/>
        <v>4</v>
      </c>
      <c r="AZ231" s="129">
        <f t="shared" si="1352"/>
        <v>8</v>
      </c>
      <c r="BA231" s="129">
        <f t="shared" si="1403"/>
        <v>6</v>
      </c>
      <c r="BB231" s="129">
        <f t="shared" si="1353"/>
        <v>6</v>
      </c>
      <c r="BC231" s="129">
        <f t="shared" si="1354"/>
        <v>2</v>
      </c>
      <c r="BD231" s="129">
        <f t="shared" si="1355"/>
        <v>4</v>
      </c>
      <c r="BE231" s="129">
        <f t="shared" si="1356"/>
        <v>7</v>
      </c>
      <c r="BF231" s="129">
        <f t="shared" si="1357"/>
        <v>7</v>
      </c>
      <c r="BG231" s="129">
        <f t="shared" si="1358"/>
        <v>8</v>
      </c>
      <c r="BH231" s="129">
        <f t="shared" si="1359"/>
        <v>1</v>
      </c>
      <c r="BI231" s="129">
        <f t="shared" si="1360"/>
        <v>3</v>
      </c>
      <c r="BJ231" s="19">
        <f t="shared" si="1404"/>
        <v>4</v>
      </c>
      <c r="BK231" s="129">
        <f t="shared" si="1361"/>
        <v>4</v>
      </c>
      <c r="BL231" s="129">
        <f t="shared" si="1362"/>
        <v>0</v>
      </c>
      <c r="BM231" s="408"/>
      <c r="BN231" s="48">
        <f t="shared" si="1373"/>
        <v>4</v>
      </c>
      <c r="BO231" s="48">
        <f t="shared" si="1374"/>
        <v>4</v>
      </c>
      <c r="BP231" s="48">
        <f t="shared" si="1375"/>
        <v>4</v>
      </c>
      <c r="BQ231" s="48">
        <f t="shared" si="1376"/>
        <v>5</v>
      </c>
      <c r="BR231" s="48">
        <f t="shared" si="1377"/>
        <v>5</v>
      </c>
      <c r="BS231" s="48">
        <f t="shared" si="1378"/>
        <v>5</v>
      </c>
      <c r="BT231" s="48">
        <f t="shared" si="1379"/>
        <v>7</v>
      </c>
      <c r="BU231" s="48">
        <f t="shared" si="1380"/>
        <v>7</v>
      </c>
      <c r="BV231" s="48">
        <f t="shared" si="1381"/>
        <v>7</v>
      </c>
      <c r="BW231" s="48">
        <f t="shared" si="1382"/>
        <v>15</v>
      </c>
      <c r="BX231" s="48">
        <f t="shared" si="1383"/>
        <v>15</v>
      </c>
      <c r="BY231" s="48">
        <f t="shared" si="1384"/>
        <v>15</v>
      </c>
      <c r="BZ231" s="48">
        <f t="shared" si="1385"/>
        <v>20</v>
      </c>
      <c r="CA231" s="48">
        <f t="shared" si="1386"/>
        <v>20</v>
      </c>
      <c r="CB231" s="48">
        <f t="shared" si="1387"/>
        <v>20</v>
      </c>
      <c r="CC231" s="48">
        <f t="shared" si="1388"/>
        <v>14</v>
      </c>
      <c r="CD231" s="48">
        <f t="shared" si="1389"/>
        <v>14</v>
      </c>
      <c r="CE231" s="48">
        <f t="shared" si="1390"/>
        <v>14</v>
      </c>
      <c r="CF231" s="48">
        <f t="shared" si="1391"/>
        <v>18</v>
      </c>
      <c r="CG231" s="48">
        <f t="shared" si="1392"/>
        <v>18</v>
      </c>
      <c r="CH231" s="48">
        <f t="shared" si="1393"/>
        <v>18</v>
      </c>
      <c r="CI231" s="48">
        <f t="shared" si="1394"/>
        <v>12</v>
      </c>
      <c r="CJ231" s="48">
        <f t="shared" si="1395"/>
        <v>12</v>
      </c>
      <c r="CK231" s="48">
        <f t="shared" si="1396"/>
        <v>12</v>
      </c>
      <c r="CL231" s="48">
        <f t="shared" si="1397"/>
        <v>8</v>
      </c>
      <c r="CM231" s="48">
        <f t="shared" si="1398"/>
        <v>8</v>
      </c>
      <c r="CN231" s="48">
        <f t="shared" si="1399"/>
        <v>8</v>
      </c>
      <c r="CO231" s="406"/>
      <c r="CP231" s="21">
        <f>+AL231</f>
        <v>0</v>
      </c>
      <c r="CQ231" s="21">
        <f t="shared" ref="CQ231:CR233" si="1407">+CP231+AM231</f>
        <v>2</v>
      </c>
      <c r="CR231" s="21">
        <f t="shared" si="1407"/>
        <v>4</v>
      </c>
      <c r="CS231" s="21">
        <f t="shared" ref="CS231:DA233" si="1408">L231+AO231</f>
        <v>6</v>
      </c>
      <c r="CT231" s="21">
        <f t="shared" si="1408"/>
        <v>8</v>
      </c>
      <c r="CU231" s="21">
        <f t="shared" si="1408"/>
        <v>9</v>
      </c>
      <c r="CV231" s="21">
        <f t="shared" si="1408"/>
        <v>12</v>
      </c>
      <c r="CW231" s="21">
        <f t="shared" si="1408"/>
        <v>14</v>
      </c>
      <c r="CX231" s="21">
        <f t="shared" si="1408"/>
        <v>16</v>
      </c>
      <c r="CY231" s="21">
        <f t="shared" si="1408"/>
        <v>18</v>
      </c>
      <c r="CZ231" s="21">
        <f t="shared" si="1408"/>
        <v>25</v>
      </c>
      <c r="DA231" s="21">
        <f t="shared" si="1408"/>
        <v>31</v>
      </c>
      <c r="DB231" s="21">
        <f>AX231</f>
        <v>8</v>
      </c>
      <c r="DC231" s="21">
        <f t="shared" ref="DC231:DM233" si="1409">V231+AY231</f>
        <v>12</v>
      </c>
      <c r="DD231" s="21">
        <f t="shared" si="1409"/>
        <v>20</v>
      </c>
      <c r="DE231" s="21">
        <f t="shared" si="1409"/>
        <v>26</v>
      </c>
      <c r="DF231" s="21">
        <f t="shared" si="1409"/>
        <v>32</v>
      </c>
      <c r="DG231" s="21">
        <f t="shared" si="1409"/>
        <v>34</v>
      </c>
      <c r="DH231" s="21">
        <f t="shared" si="1409"/>
        <v>38</v>
      </c>
      <c r="DI231" s="21">
        <f t="shared" si="1409"/>
        <v>45</v>
      </c>
      <c r="DJ231" s="21">
        <f t="shared" si="1409"/>
        <v>52</v>
      </c>
      <c r="DK231" s="21">
        <f t="shared" si="1409"/>
        <v>60</v>
      </c>
      <c r="DL231" s="21">
        <f t="shared" si="1409"/>
        <v>61</v>
      </c>
      <c r="DM231" s="21">
        <f t="shared" si="1409"/>
        <v>64</v>
      </c>
      <c r="DN231" s="21">
        <f>BJ231</f>
        <v>4</v>
      </c>
      <c r="DO231" s="21">
        <f t="shared" ref="DO231:DP233" si="1410">AH231+BK231</f>
        <v>8</v>
      </c>
      <c r="DP231" s="21">
        <f t="shared" si="1410"/>
        <v>8</v>
      </c>
      <c r="DQ231" s="248"/>
      <c r="DR231" s="248"/>
      <c r="DS231" s="248"/>
      <c r="DT231" s="248"/>
      <c r="DU231" s="248"/>
      <c r="DV231" s="248"/>
      <c r="DW231" s="248"/>
      <c r="DX231" s="248"/>
      <c r="DY231" s="248"/>
      <c r="ED231" s="429"/>
      <c r="EE231" s="23"/>
      <c r="EF231" s="23"/>
      <c r="EG231" s="23"/>
      <c r="EH231" s="18">
        <f t="shared" si="1366"/>
        <v>4</v>
      </c>
      <c r="EI231" s="18">
        <f t="shared" si="1367"/>
        <v>8</v>
      </c>
      <c r="EJ231" s="18">
        <f t="shared" si="1368"/>
        <v>8</v>
      </c>
      <c r="EK231" s="24">
        <f t="shared" ref="EK231:EK247" si="1411">$EK$2/12</f>
        <v>0.16666666666666666</v>
      </c>
      <c r="EL231" s="14" t="e">
        <f t="shared" si="1369"/>
        <v>#DIV/0!</v>
      </c>
      <c r="EM231" s="14">
        <f t="shared" si="1369"/>
        <v>0.56140350877192979</v>
      </c>
      <c r="EN231" s="14">
        <f>EJ231/EK231/EG208</f>
        <v>0.84210526315789469</v>
      </c>
      <c r="EO231" s="46" t="str">
        <f t="shared" si="1370"/>
        <v>Ç</v>
      </c>
      <c r="EP231" s="46" t="str">
        <f t="shared" si="1370"/>
        <v>È</v>
      </c>
      <c r="EQ231" s="2" t="e">
        <f t="shared" si="1400"/>
        <v>#DIV/0!</v>
      </c>
      <c r="ER231" s="2">
        <f t="shared" si="1371"/>
        <v>3</v>
      </c>
      <c r="ES231" s="2">
        <f t="shared" si="1372"/>
        <v>2</v>
      </c>
    </row>
    <row r="232" spans="1:149" ht="12.75" customHeight="1">
      <c r="A232" s="6" t="s">
        <v>23</v>
      </c>
      <c r="B232" s="2" t="s">
        <v>162</v>
      </c>
      <c r="C232" s="3" t="s">
        <v>62</v>
      </c>
      <c r="E232" s="3" t="s">
        <v>16</v>
      </c>
      <c r="G232" s="3" t="s">
        <v>91</v>
      </c>
      <c r="I232" s="23"/>
      <c r="J232" s="19">
        <v>9</v>
      </c>
      <c r="K232" s="19">
        <v>17</v>
      </c>
      <c r="L232" s="19">
        <v>21</v>
      </c>
      <c r="M232" s="19">
        <v>29</v>
      </c>
      <c r="N232" s="19">
        <v>32</v>
      </c>
      <c r="O232" s="19">
        <v>36</v>
      </c>
      <c r="P232" s="19">
        <v>44</v>
      </c>
      <c r="Q232" s="19">
        <v>51</v>
      </c>
      <c r="R232" s="19">
        <v>55</v>
      </c>
      <c r="S232" s="19">
        <v>63</v>
      </c>
      <c r="T232" s="19">
        <v>80</v>
      </c>
      <c r="U232" s="19">
        <v>106</v>
      </c>
      <c r="V232" s="31">
        <v>20</v>
      </c>
      <c r="W232" s="19">
        <v>31</v>
      </c>
      <c r="X232" s="19">
        <v>54</v>
      </c>
      <c r="Y232" s="341">
        <v>63</v>
      </c>
      <c r="Z232" s="19">
        <v>73</v>
      </c>
      <c r="AA232" s="19">
        <v>80</v>
      </c>
      <c r="AB232" s="19">
        <v>90</v>
      </c>
      <c r="AC232" s="19">
        <v>101</v>
      </c>
      <c r="AD232" s="19">
        <v>114</v>
      </c>
      <c r="AE232" s="19">
        <v>124</v>
      </c>
      <c r="AF232" s="19">
        <v>129</v>
      </c>
      <c r="AG232" s="19">
        <v>136</v>
      </c>
      <c r="AH232" s="31">
        <v>13</v>
      </c>
      <c r="AI232" s="19">
        <v>24</v>
      </c>
      <c r="AJ232" s="19"/>
      <c r="AK232" s="408"/>
      <c r="AL232" s="19">
        <f t="shared" si="1401"/>
        <v>9</v>
      </c>
      <c r="AM232" s="19">
        <f>K232-J232</f>
        <v>8</v>
      </c>
      <c r="AN232" s="19">
        <f t="shared" si="1342"/>
        <v>4</v>
      </c>
      <c r="AO232" s="19">
        <f>M232-L232</f>
        <v>8</v>
      </c>
      <c r="AP232" s="129">
        <f t="shared" si="1343"/>
        <v>3</v>
      </c>
      <c r="AQ232" s="129">
        <f t="shared" si="1344"/>
        <v>4</v>
      </c>
      <c r="AR232" s="129">
        <f t="shared" si="1345"/>
        <v>8</v>
      </c>
      <c r="AS232" s="129">
        <f t="shared" si="1346"/>
        <v>7</v>
      </c>
      <c r="AT232" s="129">
        <f t="shared" si="1347"/>
        <v>4</v>
      </c>
      <c r="AU232" s="129">
        <f t="shared" si="1348"/>
        <v>8</v>
      </c>
      <c r="AV232" s="129">
        <f t="shared" si="1349"/>
        <v>17</v>
      </c>
      <c r="AW232" s="129">
        <f t="shared" si="1350"/>
        <v>26</v>
      </c>
      <c r="AX232" s="19">
        <f t="shared" si="1402"/>
        <v>20</v>
      </c>
      <c r="AY232" s="129">
        <f t="shared" si="1351"/>
        <v>11</v>
      </c>
      <c r="AZ232" s="129">
        <f t="shared" si="1352"/>
        <v>23</v>
      </c>
      <c r="BA232" s="129">
        <f t="shared" si="1403"/>
        <v>9</v>
      </c>
      <c r="BB232" s="129">
        <f t="shared" si="1353"/>
        <v>10</v>
      </c>
      <c r="BC232" s="129">
        <f t="shared" si="1354"/>
        <v>7</v>
      </c>
      <c r="BD232" s="129">
        <f t="shared" si="1355"/>
        <v>10</v>
      </c>
      <c r="BE232" s="129">
        <f t="shared" si="1356"/>
        <v>11</v>
      </c>
      <c r="BF232" s="129">
        <f t="shared" si="1357"/>
        <v>13</v>
      </c>
      <c r="BG232" s="129">
        <f t="shared" si="1358"/>
        <v>10</v>
      </c>
      <c r="BH232" s="129">
        <f t="shared" si="1359"/>
        <v>5</v>
      </c>
      <c r="BI232" s="129">
        <f t="shared" si="1360"/>
        <v>7</v>
      </c>
      <c r="BJ232" s="19">
        <f t="shared" si="1404"/>
        <v>13</v>
      </c>
      <c r="BK232" s="129">
        <f t="shared" si="1361"/>
        <v>11</v>
      </c>
      <c r="BL232" s="129">
        <f t="shared" si="1362"/>
        <v>0</v>
      </c>
      <c r="BM232" s="408"/>
      <c r="BN232" s="48">
        <f t="shared" si="1373"/>
        <v>21</v>
      </c>
      <c r="BO232" s="48">
        <f t="shared" si="1374"/>
        <v>21</v>
      </c>
      <c r="BP232" s="48">
        <f>SUM(AL232:AN232)</f>
        <v>21</v>
      </c>
      <c r="BQ232" s="48">
        <f t="shared" si="1376"/>
        <v>15</v>
      </c>
      <c r="BR232" s="48">
        <f t="shared" si="1377"/>
        <v>15</v>
      </c>
      <c r="BS232" s="48">
        <f>SUM(AO232:AQ232)</f>
        <v>15</v>
      </c>
      <c r="BT232" s="48">
        <f t="shared" si="1379"/>
        <v>19</v>
      </c>
      <c r="BU232" s="48">
        <f t="shared" si="1380"/>
        <v>19</v>
      </c>
      <c r="BV232" s="48">
        <f>SUM(AR232:AT232)</f>
        <v>19</v>
      </c>
      <c r="BW232" s="48">
        <f t="shared" si="1382"/>
        <v>51</v>
      </c>
      <c r="BX232" s="48">
        <f t="shared" si="1383"/>
        <v>51</v>
      </c>
      <c r="BY232" s="48">
        <f>SUM(AU232:AW232)</f>
        <v>51</v>
      </c>
      <c r="BZ232" s="48">
        <f t="shared" si="1385"/>
        <v>54</v>
      </c>
      <c r="CA232" s="48">
        <f t="shared" si="1386"/>
        <v>54</v>
      </c>
      <c r="CB232" s="48">
        <f>SUM(AX232:AZ232)</f>
        <v>54</v>
      </c>
      <c r="CC232" s="48">
        <f t="shared" si="1388"/>
        <v>26</v>
      </c>
      <c r="CD232" s="48">
        <f t="shared" si="1389"/>
        <v>26</v>
      </c>
      <c r="CE232" s="48">
        <f>SUM(BA232:BC232)</f>
        <v>26</v>
      </c>
      <c r="CF232" s="48">
        <f t="shared" si="1391"/>
        <v>34</v>
      </c>
      <c r="CG232" s="48">
        <f t="shared" si="1392"/>
        <v>34</v>
      </c>
      <c r="CH232" s="48">
        <f>SUM(BD232:BF232)</f>
        <v>34</v>
      </c>
      <c r="CI232" s="48">
        <f t="shared" si="1394"/>
        <v>22</v>
      </c>
      <c r="CJ232" s="48">
        <f t="shared" si="1395"/>
        <v>22</v>
      </c>
      <c r="CK232" s="48">
        <f>SUM(BG232:BI232)</f>
        <v>22</v>
      </c>
      <c r="CL232" s="48">
        <f t="shared" si="1397"/>
        <v>24</v>
      </c>
      <c r="CM232" s="48">
        <f t="shared" si="1398"/>
        <v>24</v>
      </c>
      <c r="CN232" s="48">
        <f>SUM(BJ232:BL232)</f>
        <v>24</v>
      </c>
      <c r="CO232" s="406"/>
      <c r="CP232" s="21">
        <f>+AL232</f>
        <v>9</v>
      </c>
      <c r="CQ232" s="21">
        <f t="shared" si="1407"/>
        <v>17</v>
      </c>
      <c r="CR232" s="21">
        <f t="shared" si="1407"/>
        <v>21</v>
      </c>
      <c r="CS232" s="21">
        <f t="shared" si="1408"/>
        <v>29</v>
      </c>
      <c r="CT232" s="21">
        <f t="shared" si="1408"/>
        <v>32</v>
      </c>
      <c r="CU232" s="21">
        <f t="shared" si="1408"/>
        <v>36</v>
      </c>
      <c r="CV232" s="21">
        <f t="shared" si="1408"/>
        <v>44</v>
      </c>
      <c r="CW232" s="21">
        <f t="shared" si="1408"/>
        <v>51</v>
      </c>
      <c r="CX232" s="21">
        <f t="shared" si="1408"/>
        <v>55</v>
      </c>
      <c r="CY232" s="21">
        <f t="shared" si="1408"/>
        <v>63</v>
      </c>
      <c r="CZ232" s="21">
        <f t="shared" si="1408"/>
        <v>80</v>
      </c>
      <c r="DA232" s="21">
        <f t="shared" si="1408"/>
        <v>106</v>
      </c>
      <c r="DB232" s="21">
        <f>AX232</f>
        <v>20</v>
      </c>
      <c r="DC232" s="21">
        <f t="shared" si="1409"/>
        <v>31</v>
      </c>
      <c r="DD232" s="21">
        <f t="shared" si="1409"/>
        <v>54</v>
      </c>
      <c r="DE232" s="21">
        <f t="shared" si="1409"/>
        <v>63</v>
      </c>
      <c r="DF232" s="21">
        <f t="shared" si="1409"/>
        <v>73</v>
      </c>
      <c r="DG232" s="21">
        <f t="shared" si="1409"/>
        <v>80</v>
      </c>
      <c r="DH232" s="21">
        <f t="shared" si="1409"/>
        <v>90</v>
      </c>
      <c r="DI232" s="21">
        <f t="shared" si="1409"/>
        <v>101</v>
      </c>
      <c r="DJ232" s="21">
        <f t="shared" si="1409"/>
        <v>114</v>
      </c>
      <c r="DK232" s="21">
        <f t="shared" si="1409"/>
        <v>124</v>
      </c>
      <c r="DL232" s="21">
        <f t="shared" si="1409"/>
        <v>129</v>
      </c>
      <c r="DM232" s="21">
        <f t="shared" si="1409"/>
        <v>136</v>
      </c>
      <c r="DN232" s="21">
        <f>BJ232</f>
        <v>13</v>
      </c>
      <c r="DO232" s="21">
        <f t="shared" si="1410"/>
        <v>24</v>
      </c>
      <c r="DP232" s="21">
        <f t="shared" si="1410"/>
        <v>24</v>
      </c>
      <c r="DQ232" s="248"/>
      <c r="DR232" s="248"/>
      <c r="DS232" s="248"/>
      <c r="DT232" s="248"/>
      <c r="DU232" s="248"/>
      <c r="DV232" s="248"/>
      <c r="DW232" s="248"/>
      <c r="DX232" s="248"/>
      <c r="DY232" s="248"/>
      <c r="ED232" s="429"/>
      <c r="EE232" s="23"/>
      <c r="EF232" s="23"/>
      <c r="EG232" s="23"/>
      <c r="EH232" s="18">
        <f t="shared" si="1366"/>
        <v>11</v>
      </c>
      <c r="EI232" s="18">
        <f t="shared" si="1367"/>
        <v>24</v>
      </c>
      <c r="EJ232" s="18">
        <f t="shared" si="1368"/>
        <v>24</v>
      </c>
      <c r="EK232" s="24">
        <f t="shared" si="1411"/>
        <v>0.16666666666666666</v>
      </c>
      <c r="EL232" s="14"/>
      <c r="EM232" s="14"/>
      <c r="EN232" s="14"/>
      <c r="EO232" s="46" t="str">
        <f>IF(EH232&lt;0,,IF(EH232&lt;EE210,"È",IF(EH232=EE210,"Æ","Ç")))</f>
        <v>Ç</v>
      </c>
      <c r="EP232" s="46" t="str">
        <f>IF(EI232&lt;0,,IF(EI232&lt;EF210,"È",IF(EI232=EF210,"Æ","Ç")))</f>
        <v>Ç</v>
      </c>
      <c r="EQ232" s="2">
        <f t="shared" si="1400"/>
        <v>3</v>
      </c>
      <c r="ER232" s="2">
        <f t="shared" si="1371"/>
        <v>3</v>
      </c>
      <c r="ES232" s="2">
        <f t="shared" si="1372"/>
        <v>3</v>
      </c>
    </row>
    <row r="233" spans="1:149" ht="12" customHeight="1">
      <c r="A233" s="6" t="s">
        <v>23</v>
      </c>
      <c r="B233" s="2" t="s">
        <v>163</v>
      </c>
      <c r="C233" s="3" t="s">
        <v>62</v>
      </c>
      <c r="E233" s="3" t="s">
        <v>16</v>
      </c>
      <c r="G233" s="3" t="s">
        <v>91</v>
      </c>
      <c r="I233" s="23"/>
      <c r="J233" s="19">
        <v>2</v>
      </c>
      <c r="K233" s="19">
        <v>5</v>
      </c>
      <c r="L233" s="19">
        <v>5</v>
      </c>
      <c r="M233" s="19">
        <v>7</v>
      </c>
      <c r="N233" s="19">
        <v>9</v>
      </c>
      <c r="O233" s="19">
        <v>11</v>
      </c>
      <c r="P233" s="19">
        <v>13</v>
      </c>
      <c r="Q233" s="19">
        <v>13</v>
      </c>
      <c r="R233" s="19">
        <v>15</v>
      </c>
      <c r="S233" s="19">
        <v>17</v>
      </c>
      <c r="T233" s="19">
        <v>18</v>
      </c>
      <c r="U233" s="19">
        <v>34</v>
      </c>
      <c r="V233" s="31">
        <v>1</v>
      </c>
      <c r="W233" s="19">
        <v>5</v>
      </c>
      <c r="X233" s="19">
        <v>9</v>
      </c>
      <c r="Y233" s="341">
        <v>11</v>
      </c>
      <c r="Z233" s="19">
        <v>13</v>
      </c>
      <c r="AA233" s="19">
        <v>13</v>
      </c>
      <c r="AB233" s="19">
        <v>14</v>
      </c>
      <c r="AC233" s="19">
        <v>22</v>
      </c>
      <c r="AD233" s="19">
        <v>25</v>
      </c>
      <c r="AE233" s="19">
        <v>28</v>
      </c>
      <c r="AF233" s="19">
        <v>29</v>
      </c>
      <c r="AG233" s="19">
        <v>30</v>
      </c>
      <c r="AH233" s="31">
        <v>5</v>
      </c>
      <c r="AI233" s="19">
        <v>10</v>
      </c>
      <c r="AJ233" s="19"/>
      <c r="AK233" s="408"/>
      <c r="AL233" s="19">
        <f t="shared" si="1401"/>
        <v>2</v>
      </c>
      <c r="AM233" s="19">
        <f>K233-J233</f>
        <v>3</v>
      </c>
      <c r="AN233" s="19">
        <f t="shared" si="1342"/>
        <v>0</v>
      </c>
      <c r="AO233" s="19">
        <f>M233-L233</f>
        <v>2</v>
      </c>
      <c r="AP233" s="129">
        <f t="shared" si="1343"/>
        <v>2</v>
      </c>
      <c r="AQ233" s="129">
        <f t="shared" si="1344"/>
        <v>2</v>
      </c>
      <c r="AR233" s="129">
        <f t="shared" si="1345"/>
        <v>2</v>
      </c>
      <c r="AS233" s="129">
        <f t="shared" si="1346"/>
        <v>0</v>
      </c>
      <c r="AT233" s="129">
        <f t="shared" si="1347"/>
        <v>2</v>
      </c>
      <c r="AU233" s="129">
        <f t="shared" si="1348"/>
        <v>2</v>
      </c>
      <c r="AV233" s="129">
        <f t="shared" si="1349"/>
        <v>1</v>
      </c>
      <c r="AW233" s="129">
        <f t="shared" si="1350"/>
        <v>16</v>
      </c>
      <c r="AX233" s="19">
        <f t="shared" si="1402"/>
        <v>1</v>
      </c>
      <c r="AY233" s="129">
        <f t="shared" si="1351"/>
        <v>4</v>
      </c>
      <c r="AZ233" s="129">
        <f t="shared" si="1352"/>
        <v>4</v>
      </c>
      <c r="BA233" s="129">
        <f t="shared" si="1403"/>
        <v>2</v>
      </c>
      <c r="BB233" s="129">
        <f t="shared" si="1353"/>
        <v>2</v>
      </c>
      <c r="BC233" s="129">
        <f t="shared" si="1354"/>
        <v>0</v>
      </c>
      <c r="BD233" s="129">
        <f t="shared" si="1355"/>
        <v>1</v>
      </c>
      <c r="BE233" s="129">
        <f t="shared" si="1356"/>
        <v>8</v>
      </c>
      <c r="BF233" s="129">
        <f t="shared" si="1357"/>
        <v>3</v>
      </c>
      <c r="BG233" s="129">
        <f t="shared" si="1358"/>
        <v>3</v>
      </c>
      <c r="BH233" s="129">
        <f t="shared" si="1359"/>
        <v>1</v>
      </c>
      <c r="BI233" s="129">
        <f t="shared" si="1360"/>
        <v>1</v>
      </c>
      <c r="BJ233" s="19">
        <f t="shared" si="1404"/>
        <v>5</v>
      </c>
      <c r="BK233" s="129">
        <f t="shared" si="1361"/>
        <v>5</v>
      </c>
      <c r="BL233" s="129">
        <f t="shared" si="1362"/>
        <v>0</v>
      </c>
      <c r="BM233" s="408"/>
      <c r="BN233" s="48">
        <f t="shared" si="1373"/>
        <v>5</v>
      </c>
      <c r="BO233" s="48">
        <f t="shared" si="1374"/>
        <v>5</v>
      </c>
      <c r="BP233" s="48">
        <f>SUM(AL233:AN233)</f>
        <v>5</v>
      </c>
      <c r="BQ233" s="48">
        <f t="shared" si="1376"/>
        <v>6</v>
      </c>
      <c r="BR233" s="48">
        <f t="shared" si="1377"/>
        <v>6</v>
      </c>
      <c r="BS233" s="48">
        <f>SUM(AO233:AQ233)</f>
        <v>6</v>
      </c>
      <c r="BT233" s="48">
        <f t="shared" si="1379"/>
        <v>4</v>
      </c>
      <c r="BU233" s="48">
        <f t="shared" si="1380"/>
        <v>4</v>
      </c>
      <c r="BV233" s="48">
        <f>SUM(AR233:AT233)</f>
        <v>4</v>
      </c>
      <c r="BW233" s="48">
        <f t="shared" si="1382"/>
        <v>19</v>
      </c>
      <c r="BX233" s="48">
        <f t="shared" si="1383"/>
        <v>19</v>
      </c>
      <c r="BY233" s="48">
        <f>SUM(AU233:AW233)</f>
        <v>19</v>
      </c>
      <c r="BZ233" s="48">
        <f t="shared" si="1385"/>
        <v>9</v>
      </c>
      <c r="CA233" s="48">
        <f t="shared" si="1386"/>
        <v>9</v>
      </c>
      <c r="CB233" s="48">
        <f>SUM(AX233:AZ233)</f>
        <v>9</v>
      </c>
      <c r="CC233" s="48">
        <f t="shared" si="1388"/>
        <v>4</v>
      </c>
      <c r="CD233" s="48">
        <f t="shared" si="1389"/>
        <v>4</v>
      </c>
      <c r="CE233" s="48">
        <f>SUM(BA233:BC233)</f>
        <v>4</v>
      </c>
      <c r="CF233" s="48">
        <f t="shared" si="1391"/>
        <v>12</v>
      </c>
      <c r="CG233" s="48">
        <f t="shared" si="1392"/>
        <v>12</v>
      </c>
      <c r="CH233" s="48">
        <f>SUM(BD233:BF233)</f>
        <v>12</v>
      </c>
      <c r="CI233" s="48">
        <f t="shared" si="1394"/>
        <v>5</v>
      </c>
      <c r="CJ233" s="48">
        <f t="shared" si="1395"/>
        <v>5</v>
      </c>
      <c r="CK233" s="48">
        <f>SUM(BG233:BI233)</f>
        <v>5</v>
      </c>
      <c r="CL233" s="48">
        <f t="shared" si="1397"/>
        <v>10</v>
      </c>
      <c r="CM233" s="48">
        <f t="shared" si="1398"/>
        <v>10</v>
      </c>
      <c r="CN233" s="48">
        <f>SUM(BJ233:BL233)</f>
        <v>10</v>
      </c>
      <c r="CO233" s="406"/>
      <c r="CP233" s="21">
        <f>+AL233</f>
        <v>2</v>
      </c>
      <c r="CQ233" s="21">
        <f t="shared" si="1407"/>
        <v>5</v>
      </c>
      <c r="CR233" s="21">
        <f t="shared" si="1407"/>
        <v>5</v>
      </c>
      <c r="CS233" s="21">
        <f t="shared" si="1408"/>
        <v>7</v>
      </c>
      <c r="CT233" s="21">
        <f t="shared" si="1408"/>
        <v>9</v>
      </c>
      <c r="CU233" s="21">
        <f t="shared" si="1408"/>
        <v>11</v>
      </c>
      <c r="CV233" s="21">
        <f t="shared" si="1408"/>
        <v>13</v>
      </c>
      <c r="CW233" s="21">
        <f t="shared" si="1408"/>
        <v>13</v>
      </c>
      <c r="CX233" s="21">
        <f t="shared" si="1408"/>
        <v>15</v>
      </c>
      <c r="CY233" s="21">
        <f t="shared" si="1408"/>
        <v>17</v>
      </c>
      <c r="CZ233" s="21">
        <f t="shared" si="1408"/>
        <v>18</v>
      </c>
      <c r="DA233" s="21">
        <f t="shared" si="1408"/>
        <v>34</v>
      </c>
      <c r="DB233" s="21">
        <f>AX233</f>
        <v>1</v>
      </c>
      <c r="DC233" s="21">
        <f t="shared" si="1409"/>
        <v>5</v>
      </c>
      <c r="DD233" s="21">
        <f t="shared" si="1409"/>
        <v>9</v>
      </c>
      <c r="DE233" s="21">
        <f t="shared" si="1409"/>
        <v>11</v>
      </c>
      <c r="DF233" s="21">
        <f t="shared" si="1409"/>
        <v>13</v>
      </c>
      <c r="DG233" s="21">
        <f t="shared" si="1409"/>
        <v>13</v>
      </c>
      <c r="DH233" s="21">
        <f t="shared" si="1409"/>
        <v>14</v>
      </c>
      <c r="DI233" s="21">
        <f t="shared" si="1409"/>
        <v>22</v>
      </c>
      <c r="DJ233" s="21">
        <f t="shared" si="1409"/>
        <v>25</v>
      </c>
      <c r="DK233" s="21">
        <f t="shared" si="1409"/>
        <v>28</v>
      </c>
      <c r="DL233" s="21">
        <f t="shared" si="1409"/>
        <v>29</v>
      </c>
      <c r="DM233" s="21">
        <f t="shared" si="1409"/>
        <v>30</v>
      </c>
      <c r="DN233" s="21">
        <f>BJ233</f>
        <v>5</v>
      </c>
      <c r="DO233" s="21">
        <f t="shared" si="1410"/>
        <v>10</v>
      </c>
      <c r="DP233" s="21">
        <f t="shared" si="1410"/>
        <v>10</v>
      </c>
      <c r="DQ233" s="248"/>
      <c r="DR233" s="248"/>
      <c r="DS233" s="248"/>
      <c r="DT233" s="248"/>
      <c r="DU233" s="248"/>
      <c r="DV233" s="248"/>
      <c r="DW233" s="248"/>
      <c r="DX233" s="248"/>
      <c r="DY233" s="248"/>
      <c r="ED233" s="429"/>
      <c r="EE233" s="23"/>
      <c r="EF233" s="23"/>
      <c r="EG233" s="23"/>
      <c r="EH233" s="18">
        <f t="shared" si="1366"/>
        <v>5</v>
      </c>
      <c r="EI233" s="18">
        <f t="shared" si="1367"/>
        <v>10</v>
      </c>
      <c r="EJ233" s="18">
        <f t="shared" si="1368"/>
        <v>10</v>
      </c>
      <c r="EK233" s="24">
        <f t="shared" si="1411"/>
        <v>0.16666666666666666</v>
      </c>
      <c r="EL233" s="14"/>
      <c r="EM233" s="14"/>
      <c r="EN233" s="14"/>
      <c r="EO233" s="46" t="str">
        <f>IF(EH233&lt;0,,IF(EH233&lt;EE209,"È",IF(EH233=EE209,"Æ","Ç")))</f>
        <v>Ç</v>
      </c>
      <c r="EP233" s="46" t="str">
        <f>IF(EI233&lt;0,,IF(EI233&lt;EF209,"È",IF(EI233=EF209,"Æ","Ç")))</f>
        <v>Ç</v>
      </c>
      <c r="EQ233" s="2">
        <f t="shared" si="1400"/>
        <v>3</v>
      </c>
      <c r="ER233" s="2">
        <f t="shared" si="1371"/>
        <v>3</v>
      </c>
      <c r="ES233" s="2">
        <f t="shared" si="1372"/>
        <v>3</v>
      </c>
    </row>
    <row r="234" spans="1:149" ht="12.75" customHeight="1">
      <c r="A234" s="6" t="s">
        <v>23</v>
      </c>
      <c r="B234" s="2" t="s">
        <v>6</v>
      </c>
      <c r="C234" s="3" t="s">
        <v>63</v>
      </c>
      <c r="E234" s="3" t="s">
        <v>16</v>
      </c>
      <c r="G234" s="3" t="s">
        <v>89</v>
      </c>
      <c r="I234" s="23"/>
      <c r="J234" s="19">
        <v>0</v>
      </c>
      <c r="K234" s="19">
        <v>0</v>
      </c>
      <c r="L234" s="19">
        <v>1</v>
      </c>
      <c r="M234" s="19">
        <v>1</v>
      </c>
      <c r="N234" s="19">
        <v>1</v>
      </c>
      <c r="O234" s="19">
        <v>1</v>
      </c>
      <c r="P234" s="19">
        <v>0</v>
      </c>
      <c r="Q234" s="19">
        <v>4</v>
      </c>
      <c r="R234" s="19">
        <v>3</v>
      </c>
      <c r="S234" s="19">
        <v>1E-3</v>
      </c>
      <c r="T234" s="19">
        <v>2</v>
      </c>
      <c r="U234" s="19">
        <v>3</v>
      </c>
      <c r="V234" s="31">
        <v>3</v>
      </c>
      <c r="W234" s="19">
        <v>3</v>
      </c>
      <c r="X234" s="19">
        <v>3</v>
      </c>
      <c r="Y234" s="341">
        <v>3</v>
      </c>
      <c r="Z234" s="19">
        <v>0</v>
      </c>
      <c r="AA234" s="19">
        <v>2</v>
      </c>
      <c r="AB234" s="263">
        <v>1E-4</v>
      </c>
      <c r="AC234" s="19">
        <v>2</v>
      </c>
      <c r="AD234" s="19">
        <v>1</v>
      </c>
      <c r="AE234" s="19">
        <v>4</v>
      </c>
      <c r="AF234" s="19">
        <v>3</v>
      </c>
      <c r="AG234" s="19">
        <v>1</v>
      </c>
      <c r="AH234" s="31">
        <v>1</v>
      </c>
      <c r="AI234" s="19">
        <v>1</v>
      </c>
      <c r="AJ234" s="19"/>
      <c r="AK234" s="408"/>
      <c r="AL234" s="19">
        <f t="shared" si="1401"/>
        <v>0</v>
      </c>
      <c r="AM234" s="19">
        <f t="shared" ref="AM234:AO235" si="1412">K234</f>
        <v>0</v>
      </c>
      <c r="AN234" s="19">
        <f t="shared" si="1412"/>
        <v>1</v>
      </c>
      <c r="AO234" s="19">
        <f t="shared" si="1412"/>
        <v>1</v>
      </c>
      <c r="AP234" s="246">
        <f t="shared" ref="AP234:AW235" si="1413">N234</f>
        <v>1</v>
      </c>
      <c r="AQ234" s="246">
        <f t="shared" si="1413"/>
        <v>1</v>
      </c>
      <c r="AR234" s="246">
        <f t="shared" si="1413"/>
        <v>0</v>
      </c>
      <c r="AS234" s="246">
        <f t="shared" si="1413"/>
        <v>4</v>
      </c>
      <c r="AT234" s="246">
        <f t="shared" si="1413"/>
        <v>3</v>
      </c>
      <c r="AU234" s="246">
        <f t="shared" si="1413"/>
        <v>1E-3</v>
      </c>
      <c r="AV234" s="246">
        <f t="shared" si="1413"/>
        <v>2</v>
      </c>
      <c r="AW234" s="376">
        <f>U234</f>
        <v>3</v>
      </c>
      <c r="AX234" s="376">
        <f t="shared" si="1402"/>
        <v>3</v>
      </c>
      <c r="AY234" s="376">
        <f t="shared" ref="AY234:BI234" si="1414">W234</f>
        <v>3</v>
      </c>
      <c r="AZ234" s="376">
        <f t="shared" si="1414"/>
        <v>3</v>
      </c>
      <c r="BA234" s="376">
        <f t="shared" si="1414"/>
        <v>3</v>
      </c>
      <c r="BB234" s="376">
        <f t="shared" si="1414"/>
        <v>0</v>
      </c>
      <c r="BC234" s="376">
        <f t="shared" si="1414"/>
        <v>2</v>
      </c>
      <c r="BD234" s="376">
        <f t="shared" si="1414"/>
        <v>1E-4</v>
      </c>
      <c r="BE234" s="376">
        <f t="shared" si="1414"/>
        <v>2</v>
      </c>
      <c r="BF234" s="376">
        <f t="shared" si="1414"/>
        <v>1</v>
      </c>
      <c r="BG234" s="376">
        <f t="shared" si="1414"/>
        <v>4</v>
      </c>
      <c r="BH234" s="376">
        <f t="shared" si="1414"/>
        <v>3</v>
      </c>
      <c r="BI234" s="376">
        <f t="shared" si="1414"/>
        <v>1</v>
      </c>
      <c r="BJ234" s="376">
        <f t="shared" si="1404"/>
        <v>1</v>
      </c>
      <c r="BK234" s="376">
        <f>AI234</f>
        <v>1</v>
      </c>
      <c r="BL234" s="376">
        <f>AJ234</f>
        <v>0</v>
      </c>
      <c r="BM234" s="408"/>
      <c r="BN234" s="48">
        <f t="shared" si="1373"/>
        <v>1</v>
      </c>
      <c r="BO234" s="48">
        <f t="shared" si="1374"/>
        <v>1</v>
      </c>
      <c r="BP234" s="48">
        <f>SUM(AL234:AN234)</f>
        <v>1</v>
      </c>
      <c r="BQ234" s="48">
        <f t="shared" si="1376"/>
        <v>3</v>
      </c>
      <c r="BR234" s="48">
        <f t="shared" si="1377"/>
        <v>3</v>
      </c>
      <c r="BS234" s="48">
        <f>SUM(AO234:AQ234)</f>
        <v>3</v>
      </c>
      <c r="BT234" s="48">
        <f t="shared" si="1379"/>
        <v>7</v>
      </c>
      <c r="BU234" s="48">
        <f t="shared" si="1380"/>
        <v>7</v>
      </c>
      <c r="BV234" s="48">
        <f>SUM(AR234:AT234)</f>
        <v>7</v>
      </c>
      <c r="BW234" s="48">
        <f t="shared" si="1382"/>
        <v>5.0009999999999994</v>
      </c>
      <c r="BX234" s="48">
        <f t="shared" si="1383"/>
        <v>5.0009999999999994</v>
      </c>
      <c r="BY234" s="48">
        <f>SUM(AU234:AW234)</f>
        <v>5.0009999999999994</v>
      </c>
      <c r="BZ234" s="48">
        <f t="shared" si="1385"/>
        <v>9</v>
      </c>
      <c r="CA234" s="48">
        <f t="shared" si="1386"/>
        <v>9</v>
      </c>
      <c r="CB234" s="48">
        <f>SUM(AX234:AZ234)</f>
        <v>9</v>
      </c>
      <c r="CC234" s="48">
        <f t="shared" si="1388"/>
        <v>5</v>
      </c>
      <c r="CD234" s="48">
        <f t="shared" si="1389"/>
        <v>5</v>
      </c>
      <c r="CE234" s="48">
        <f>SUM(BA234:BC234)</f>
        <v>5</v>
      </c>
      <c r="CF234" s="48">
        <f t="shared" si="1391"/>
        <v>3.0001000000000002</v>
      </c>
      <c r="CG234" s="48">
        <f t="shared" si="1392"/>
        <v>3.0001000000000002</v>
      </c>
      <c r="CH234" s="48">
        <f>SUM(BD234:BF234)</f>
        <v>3.0001000000000002</v>
      </c>
      <c r="CI234" s="48">
        <f t="shared" si="1394"/>
        <v>8</v>
      </c>
      <c r="CJ234" s="48">
        <f t="shared" si="1395"/>
        <v>8</v>
      </c>
      <c r="CK234" s="48">
        <f>SUM(BG234:BI234)</f>
        <v>8</v>
      </c>
      <c r="CL234" s="48">
        <f t="shared" si="1397"/>
        <v>2</v>
      </c>
      <c r="CM234" s="48">
        <f t="shared" si="1398"/>
        <v>2</v>
      </c>
      <c r="CN234" s="48">
        <f>SUM(BJ234:BL234)</f>
        <v>2</v>
      </c>
      <c r="CO234" s="406"/>
      <c r="CP234" s="21">
        <f>+J234</f>
        <v>0</v>
      </c>
      <c r="CQ234" s="21">
        <f t="shared" ref="CQ234:DA234" si="1415">+CP234+K234</f>
        <v>0</v>
      </c>
      <c r="CR234" s="21">
        <f t="shared" si="1415"/>
        <v>1</v>
      </c>
      <c r="CS234" s="21">
        <f t="shared" si="1415"/>
        <v>2</v>
      </c>
      <c r="CT234" s="21">
        <f t="shared" si="1415"/>
        <v>3</v>
      </c>
      <c r="CU234" s="21">
        <f t="shared" si="1415"/>
        <v>4</v>
      </c>
      <c r="CV234" s="21">
        <f t="shared" si="1415"/>
        <v>4</v>
      </c>
      <c r="CW234" s="21">
        <f t="shared" si="1415"/>
        <v>8</v>
      </c>
      <c r="CX234" s="21">
        <f t="shared" si="1415"/>
        <v>11</v>
      </c>
      <c r="CY234" s="21">
        <f t="shared" si="1415"/>
        <v>11.000999999999999</v>
      </c>
      <c r="CZ234" s="21">
        <f t="shared" si="1415"/>
        <v>13.000999999999999</v>
      </c>
      <c r="DA234" s="21">
        <f t="shared" si="1415"/>
        <v>16.000999999999998</v>
      </c>
      <c r="DB234" s="21">
        <f>+V234</f>
        <v>3</v>
      </c>
      <c r="DC234" s="21">
        <f t="shared" ref="DC234:DM234" si="1416">+DB234+W234</f>
        <v>6</v>
      </c>
      <c r="DD234" s="21">
        <f t="shared" si="1416"/>
        <v>9</v>
      </c>
      <c r="DE234" s="21">
        <f t="shared" si="1416"/>
        <v>12</v>
      </c>
      <c r="DF234" s="21">
        <f t="shared" si="1416"/>
        <v>12</v>
      </c>
      <c r="DG234" s="21">
        <f t="shared" si="1416"/>
        <v>14</v>
      </c>
      <c r="DH234" s="21">
        <f t="shared" si="1416"/>
        <v>14.0001</v>
      </c>
      <c r="DI234" s="21">
        <f t="shared" si="1416"/>
        <v>16.0001</v>
      </c>
      <c r="DJ234" s="21">
        <f t="shared" si="1416"/>
        <v>17.0001</v>
      </c>
      <c r="DK234" s="21">
        <f t="shared" si="1416"/>
        <v>21.0001</v>
      </c>
      <c r="DL234" s="21">
        <f t="shared" si="1416"/>
        <v>24.0001</v>
      </c>
      <c r="DM234" s="21">
        <f t="shared" si="1416"/>
        <v>25.0001</v>
      </c>
      <c r="DN234" s="21">
        <f>BJ234</f>
        <v>1</v>
      </c>
      <c r="DO234" s="21">
        <f>DN234+BK234</f>
        <v>2</v>
      </c>
      <c r="DP234" s="21">
        <f>DO234+BL234</f>
        <v>2</v>
      </c>
      <c r="DQ234" s="248"/>
      <c r="DR234" s="248"/>
      <c r="DS234" s="248"/>
      <c r="DT234" s="248"/>
      <c r="DU234" s="248"/>
      <c r="DV234" s="248"/>
      <c r="DW234" s="248"/>
      <c r="DX234" s="248"/>
      <c r="DY234" s="248"/>
      <c r="ED234" s="429"/>
      <c r="EE234" s="23"/>
      <c r="EF234" s="23"/>
      <c r="EG234" s="23"/>
      <c r="EH234" s="18">
        <f t="shared" si="1366"/>
        <v>1</v>
      </c>
      <c r="EI234" s="18">
        <f t="shared" si="1367"/>
        <v>2</v>
      </c>
      <c r="EJ234" s="18">
        <f t="shared" si="1368"/>
        <v>2</v>
      </c>
      <c r="EK234" s="24">
        <f t="shared" si="1411"/>
        <v>0.16666666666666666</v>
      </c>
      <c r="EL234" s="14" t="e">
        <f t="shared" ref="EL234:EN241" si="1417">EH234/EE209</f>
        <v>#DIV/0!</v>
      </c>
      <c r="EM234" s="14" t="e">
        <f t="shared" si="1417"/>
        <v>#DIV/0!</v>
      </c>
      <c r="EN234" s="14">
        <f>EJ234/EK234/EG209</f>
        <v>1.0256410256410258</v>
      </c>
      <c r="EO234" s="46" t="str">
        <f t="shared" ref="EO234:EO246" si="1418">IF(EH234&lt;0,,IF(EH234&lt;EE209,"È",IF(EH234=EE209,"Æ","Ç")))</f>
        <v>Ç</v>
      </c>
      <c r="EP234" s="46" t="str">
        <f t="shared" ref="EP234:EP246" si="1419">IF(EI234&lt;0,,IF(EI234&lt;EF209,"È",IF(EI234=EF209,"Æ","Ç")))</f>
        <v>Ç</v>
      </c>
      <c r="EQ234" s="2" t="e">
        <f t="shared" si="1400"/>
        <v>#DIV/0!</v>
      </c>
      <c r="ER234" s="2" t="e">
        <f t="shared" si="1371"/>
        <v>#DIV/0!</v>
      </c>
      <c r="ES234" s="2">
        <f t="shared" si="1372"/>
        <v>1</v>
      </c>
    </row>
    <row r="235" spans="1:149" ht="12.75" customHeight="1">
      <c r="A235" s="15" t="s">
        <v>23</v>
      </c>
      <c r="B235" s="14" t="s">
        <v>7</v>
      </c>
      <c r="C235" s="16" t="s">
        <v>64</v>
      </c>
      <c r="D235" s="16"/>
      <c r="E235" s="16" t="s">
        <v>16</v>
      </c>
      <c r="F235" s="16"/>
      <c r="G235" s="16" t="s">
        <v>89</v>
      </c>
      <c r="H235" s="16"/>
      <c r="I235" s="24"/>
      <c r="J235" s="25">
        <v>0</v>
      </c>
      <c r="K235" s="25">
        <v>0</v>
      </c>
      <c r="L235" s="25">
        <v>1</v>
      </c>
      <c r="M235" s="25">
        <v>1</v>
      </c>
      <c r="N235" s="25">
        <v>1</v>
      </c>
      <c r="O235" s="25">
        <v>1</v>
      </c>
      <c r="P235" s="25">
        <v>0</v>
      </c>
      <c r="Q235" s="25">
        <v>0.85</v>
      </c>
      <c r="R235" s="25">
        <v>1</v>
      </c>
      <c r="S235" s="25">
        <v>0</v>
      </c>
      <c r="T235" s="25">
        <v>0.7</v>
      </c>
      <c r="U235" s="25">
        <v>1</v>
      </c>
      <c r="V235" s="33">
        <v>1</v>
      </c>
      <c r="W235" s="25">
        <v>1</v>
      </c>
      <c r="X235" s="25">
        <v>0.73</v>
      </c>
      <c r="Y235" s="342">
        <v>0.93</v>
      </c>
      <c r="Z235" s="25">
        <v>0</v>
      </c>
      <c r="AA235" s="25">
        <v>0.9</v>
      </c>
      <c r="AB235" s="25">
        <v>0</v>
      </c>
      <c r="AC235" s="25">
        <v>1</v>
      </c>
      <c r="AD235" s="25">
        <v>1</v>
      </c>
      <c r="AE235" s="25">
        <v>1</v>
      </c>
      <c r="AF235" s="25">
        <v>0.93</v>
      </c>
      <c r="AG235" s="25">
        <v>1</v>
      </c>
      <c r="AH235" s="33">
        <v>1</v>
      </c>
      <c r="AI235" s="25">
        <v>1</v>
      </c>
      <c r="AJ235" s="25"/>
      <c r="AK235" s="412"/>
      <c r="AL235" s="14">
        <f t="shared" si="1401"/>
        <v>0</v>
      </c>
      <c r="AM235" s="14">
        <f t="shared" si="1412"/>
        <v>0</v>
      </c>
      <c r="AN235" s="14">
        <f t="shared" si="1412"/>
        <v>1</v>
      </c>
      <c r="AO235" s="14">
        <f t="shared" si="1412"/>
        <v>1</v>
      </c>
      <c r="AP235" s="14">
        <f t="shared" si="1413"/>
        <v>1</v>
      </c>
      <c r="AQ235" s="14">
        <f t="shared" si="1413"/>
        <v>1</v>
      </c>
      <c r="AR235" s="14">
        <f t="shared" si="1413"/>
        <v>0</v>
      </c>
      <c r="AS235" s="14">
        <f t="shared" si="1413"/>
        <v>0.85</v>
      </c>
      <c r="AT235" s="14">
        <f t="shared" si="1413"/>
        <v>1</v>
      </c>
      <c r="AU235" s="14">
        <f t="shared" si="1413"/>
        <v>0</v>
      </c>
      <c r="AV235" s="14">
        <f t="shared" si="1413"/>
        <v>0.7</v>
      </c>
      <c r="AW235" s="14">
        <f t="shared" si="1413"/>
        <v>1</v>
      </c>
      <c r="AX235" s="14">
        <f t="shared" si="1402"/>
        <v>1</v>
      </c>
      <c r="AY235" s="129">
        <f>IF(W235&lt;&gt;"",W235,0)</f>
        <v>1</v>
      </c>
      <c r="AZ235" s="129">
        <f t="shared" ref="AZ235:BI235" si="1420">IF(X235&lt;&gt;"",X235,0)</f>
        <v>0.73</v>
      </c>
      <c r="BA235" s="129">
        <f t="shared" si="1420"/>
        <v>0.93</v>
      </c>
      <c r="BB235" s="129">
        <f t="shared" si="1420"/>
        <v>0</v>
      </c>
      <c r="BC235" s="129">
        <f t="shared" si="1420"/>
        <v>0.9</v>
      </c>
      <c r="BD235" s="129">
        <f t="shared" si="1420"/>
        <v>0</v>
      </c>
      <c r="BE235" s="129">
        <f t="shared" si="1420"/>
        <v>1</v>
      </c>
      <c r="BF235" s="129">
        <f t="shared" si="1420"/>
        <v>1</v>
      </c>
      <c r="BG235" s="129">
        <f t="shared" si="1420"/>
        <v>1</v>
      </c>
      <c r="BH235" s="129">
        <f t="shared" si="1420"/>
        <v>0.93</v>
      </c>
      <c r="BI235" s="129">
        <f t="shared" si="1420"/>
        <v>1</v>
      </c>
      <c r="BJ235" s="14">
        <f t="shared" si="1404"/>
        <v>1</v>
      </c>
      <c r="BK235" s="14">
        <f t="shared" si="1404"/>
        <v>1</v>
      </c>
      <c r="BL235" s="129">
        <f t="shared" si="1362"/>
        <v>0</v>
      </c>
      <c r="BM235" s="410"/>
      <c r="BN235" s="56">
        <f t="shared" si="1373"/>
        <v>1</v>
      </c>
      <c r="BO235" s="56">
        <f t="shared" si="1374"/>
        <v>1</v>
      </c>
      <c r="BP235" s="56">
        <f>(AL235*AL234+AM235*AM234+AN235*AN234)/BP234</f>
        <v>1</v>
      </c>
      <c r="BQ235" s="56">
        <f t="shared" si="1376"/>
        <v>1</v>
      </c>
      <c r="BR235" s="56">
        <f t="shared" si="1377"/>
        <v>1</v>
      </c>
      <c r="BS235" s="56">
        <f>(AO235*AO234+AP235*AP234+AQ235*AQ234)/BS234</f>
        <v>1</v>
      </c>
      <c r="BT235" s="56">
        <f t="shared" si="1379"/>
        <v>0.91428571428571437</v>
      </c>
      <c r="BU235" s="56">
        <f t="shared" si="1380"/>
        <v>0.91428571428571437</v>
      </c>
      <c r="BV235" s="56">
        <f>(AR235*AR234+AS235*AS234+AT235*AT234)/BV234</f>
        <v>0.91428571428571437</v>
      </c>
      <c r="BW235" s="56">
        <f t="shared" si="1382"/>
        <v>0.8798240351929616</v>
      </c>
      <c r="BX235" s="56">
        <f t="shared" si="1383"/>
        <v>0.8798240351929616</v>
      </c>
      <c r="BY235" s="56">
        <f>(AU235*AU234+AV235*AV234+AW235*AW234)/BY234</f>
        <v>0.8798240351929616</v>
      </c>
      <c r="BZ235" s="56">
        <f t="shared" si="1385"/>
        <v>0.90999999999999992</v>
      </c>
      <c r="CA235" s="56">
        <f t="shared" si="1386"/>
        <v>0.90999999999999992</v>
      </c>
      <c r="CB235" s="56">
        <f>(AX235*AX234+AY235*AY234+AZ235*AZ234)/CB234</f>
        <v>0.90999999999999992</v>
      </c>
      <c r="CC235" s="56">
        <f t="shared" si="1388"/>
        <v>0.91799999999999993</v>
      </c>
      <c r="CD235" s="56">
        <f t="shared" si="1389"/>
        <v>0.91799999999999993</v>
      </c>
      <c r="CE235" s="56">
        <f>(BA235*BA234+BB235*BB234+BC235*BC234)/CE234</f>
        <v>0.91799999999999993</v>
      </c>
      <c r="CF235" s="56">
        <f t="shared" si="1391"/>
        <v>0.99996666777774068</v>
      </c>
      <c r="CG235" s="56">
        <f t="shared" si="1392"/>
        <v>0.99996666777774068</v>
      </c>
      <c r="CH235" s="56">
        <f>(BD235*BD234+BE235*BE234+BF235*BF234)/CH234</f>
        <v>0.99996666777774068</v>
      </c>
      <c r="CI235" s="56">
        <f t="shared" si="1394"/>
        <v>0.97375</v>
      </c>
      <c r="CJ235" s="56">
        <f t="shared" si="1395"/>
        <v>0.97375</v>
      </c>
      <c r="CK235" s="56">
        <f>(BG235*BG234+BH235*BH234+BI235*BI234)/CK234</f>
        <v>0.97375</v>
      </c>
      <c r="CL235" s="56">
        <f t="shared" si="1397"/>
        <v>1</v>
      </c>
      <c r="CM235" s="56">
        <f t="shared" si="1398"/>
        <v>1</v>
      </c>
      <c r="CN235" s="56">
        <f>(BJ235*BJ234+BK235*BK234+BL235*BL234)/CN234</f>
        <v>1</v>
      </c>
      <c r="CO235" s="422"/>
      <c r="CP235" s="25">
        <f>J235</f>
        <v>0</v>
      </c>
      <c r="CQ235" s="25">
        <v>0</v>
      </c>
      <c r="CR235" s="25">
        <f t="shared" ref="CR235:DP235" si="1421">CR247/CR234</f>
        <v>1</v>
      </c>
      <c r="CS235" s="25">
        <f t="shared" si="1421"/>
        <v>1</v>
      </c>
      <c r="CT235" s="25">
        <f t="shared" si="1421"/>
        <v>1</v>
      </c>
      <c r="CU235" s="25">
        <f t="shared" si="1421"/>
        <v>1</v>
      </c>
      <c r="CV235" s="25">
        <f t="shared" si="1421"/>
        <v>1</v>
      </c>
      <c r="CW235" s="25">
        <f t="shared" si="1421"/>
        <v>0.92500000000000004</v>
      </c>
      <c r="CX235" s="25">
        <f t="shared" si="1421"/>
        <v>0.94545454545454544</v>
      </c>
      <c r="CY235" s="25">
        <f t="shared" si="1421"/>
        <v>0.94536860285428603</v>
      </c>
      <c r="CZ235" s="25">
        <f t="shared" si="1421"/>
        <v>0.90762249057764799</v>
      </c>
      <c r="DA235" s="25">
        <f t="shared" si="1421"/>
        <v>0.92494219111305565</v>
      </c>
      <c r="DB235" s="25">
        <f t="shared" si="1421"/>
        <v>1</v>
      </c>
      <c r="DC235" s="25">
        <f t="shared" si="1421"/>
        <v>1</v>
      </c>
      <c r="DD235" s="25">
        <f t="shared" si="1421"/>
        <v>0.90999999999999992</v>
      </c>
      <c r="DE235" s="25">
        <f t="shared" si="1421"/>
        <v>0.91500000000000004</v>
      </c>
      <c r="DF235" s="25">
        <f t="shared" si="1421"/>
        <v>0.91500000000000004</v>
      </c>
      <c r="DG235" s="25">
        <f t="shared" si="1421"/>
        <v>0.91285714285714292</v>
      </c>
      <c r="DH235" s="25">
        <f t="shared" si="1421"/>
        <v>0.91285062249555371</v>
      </c>
      <c r="DI235" s="25">
        <f t="shared" si="1421"/>
        <v>0.9237442265985838</v>
      </c>
      <c r="DJ235" s="25">
        <f t="shared" si="1421"/>
        <v>0.92822983394215342</v>
      </c>
      <c r="DK235" s="25">
        <f t="shared" si="1421"/>
        <v>0.94190027666534926</v>
      </c>
      <c r="DL235" s="25">
        <f t="shared" si="1421"/>
        <v>0.94041274828021548</v>
      </c>
      <c r="DM235" s="25">
        <f t="shared" si="1421"/>
        <v>0.94279622881508474</v>
      </c>
      <c r="DN235" s="25">
        <f t="shared" si="1421"/>
        <v>1</v>
      </c>
      <c r="DO235" s="25">
        <f t="shared" si="1421"/>
        <v>1</v>
      </c>
      <c r="DP235" s="25">
        <f t="shared" si="1421"/>
        <v>1</v>
      </c>
      <c r="DQ235" s="377"/>
      <c r="DR235" s="377"/>
      <c r="DS235" s="377"/>
      <c r="DT235" s="377"/>
      <c r="DU235" s="377"/>
      <c r="DV235" s="377"/>
      <c r="DW235" s="377"/>
      <c r="DX235" s="377"/>
      <c r="DY235" s="377"/>
      <c r="DZ235" s="14"/>
      <c r="EA235" s="14"/>
      <c r="EB235" s="14"/>
      <c r="EC235" s="14"/>
      <c r="ED235" s="430"/>
      <c r="EE235" s="24"/>
      <c r="EF235" s="24"/>
      <c r="EG235" s="24"/>
      <c r="EH235" s="25">
        <f t="shared" si="1366"/>
        <v>1</v>
      </c>
      <c r="EI235" s="250">
        <f>HLOOKUP($I$1,Month,ROW()-1)</f>
        <v>1</v>
      </c>
      <c r="EJ235" s="302">
        <f t="shared" si="1368"/>
        <v>1</v>
      </c>
      <c r="EK235" s="24">
        <f t="shared" si="1411"/>
        <v>0.16666666666666666</v>
      </c>
      <c r="EL235" s="14">
        <f>EH235</f>
        <v>1</v>
      </c>
      <c r="EM235" s="14">
        <f>EI235</f>
        <v>1</v>
      </c>
      <c r="EN235" s="14">
        <f>EJ235</f>
        <v>1</v>
      </c>
      <c r="EO235" s="46" t="str">
        <f t="shared" si="1418"/>
        <v>Ç</v>
      </c>
      <c r="EP235" s="46" t="str">
        <f>IF(EI235&lt;0,,IF(EI235&lt;EF210,"È",IF(EI235=EF210,"Æ","Ç")))</f>
        <v>Ç</v>
      </c>
      <c r="EQ235" s="2">
        <f t="shared" si="1400"/>
        <v>1</v>
      </c>
      <c r="ER235" s="2">
        <f t="shared" si="1371"/>
        <v>1</v>
      </c>
      <c r="ES235" s="2">
        <f t="shared" si="1372"/>
        <v>1</v>
      </c>
    </row>
    <row r="236" spans="1:149" ht="12.75" customHeight="1">
      <c r="A236" s="6" t="s">
        <v>23</v>
      </c>
      <c r="B236" s="2" t="s">
        <v>8</v>
      </c>
      <c r="C236" s="3" t="s">
        <v>87</v>
      </c>
      <c r="E236" s="3" t="s">
        <v>16</v>
      </c>
      <c r="G236" s="3" t="s">
        <v>91</v>
      </c>
      <c r="I236" s="23"/>
      <c r="J236" s="19">
        <v>0</v>
      </c>
      <c r="K236" s="19">
        <v>0</v>
      </c>
      <c r="L236" s="19">
        <v>0</v>
      </c>
      <c r="M236" s="19">
        <v>0</v>
      </c>
      <c r="N236" s="19">
        <v>0</v>
      </c>
      <c r="O236" s="19">
        <v>0</v>
      </c>
      <c r="P236" s="19">
        <v>0</v>
      </c>
      <c r="Q236" s="19">
        <v>0</v>
      </c>
      <c r="R236" s="19">
        <v>0</v>
      </c>
      <c r="S236" s="19">
        <v>0</v>
      </c>
      <c r="T236" s="19">
        <v>0</v>
      </c>
      <c r="U236" s="19">
        <v>0</v>
      </c>
      <c r="V236" s="31">
        <v>0</v>
      </c>
      <c r="W236" s="19">
        <v>0</v>
      </c>
      <c r="X236" s="19">
        <v>1</v>
      </c>
      <c r="Y236" s="341">
        <v>1</v>
      </c>
      <c r="Z236" s="19">
        <v>1</v>
      </c>
      <c r="AA236" s="19">
        <v>2</v>
      </c>
      <c r="AB236" s="19">
        <v>1</v>
      </c>
      <c r="AC236" s="19">
        <v>1</v>
      </c>
      <c r="AD236" s="19">
        <v>1</v>
      </c>
      <c r="AE236" s="19">
        <v>1</v>
      </c>
      <c r="AF236" s="19">
        <v>1</v>
      </c>
      <c r="AG236" s="19">
        <v>1</v>
      </c>
      <c r="AH236" s="31">
        <v>0</v>
      </c>
      <c r="AI236" s="19">
        <v>0</v>
      </c>
      <c r="AJ236" s="19"/>
      <c r="AK236" s="408"/>
      <c r="AL236" s="19">
        <f t="shared" si="1401"/>
        <v>0</v>
      </c>
      <c r="AM236" s="19">
        <f>K236-J236</f>
        <v>0</v>
      </c>
      <c r="AN236" s="19">
        <f t="shared" ref="AN236:AN242" si="1422">L236-K236</f>
        <v>0</v>
      </c>
      <c r="AO236" s="19">
        <f t="shared" ref="AO236:AO242" si="1423">M236-L236</f>
        <v>0</v>
      </c>
      <c r="AP236" s="129">
        <f t="shared" ref="AP236:AP241" si="1424">IF(N236&lt;&gt;"",N236-M236,0)</f>
        <v>0</v>
      </c>
      <c r="AQ236" s="129">
        <f t="shared" ref="AQ236:AQ244" si="1425">IF(O236&lt;&gt;"",O236-N236,0)</f>
        <v>0</v>
      </c>
      <c r="AR236" s="129">
        <f t="shared" si="1345"/>
        <v>0</v>
      </c>
      <c r="AS236" s="129">
        <f t="shared" si="1346"/>
        <v>0</v>
      </c>
      <c r="AT236" s="129">
        <f t="shared" si="1347"/>
        <v>0</v>
      </c>
      <c r="AU236" s="129">
        <f t="shared" si="1348"/>
        <v>0</v>
      </c>
      <c r="AV236" s="129">
        <f t="shared" si="1349"/>
        <v>0</v>
      </c>
      <c r="AW236" s="129">
        <f t="shared" si="1350"/>
        <v>0</v>
      </c>
      <c r="AX236" s="19">
        <f t="shared" si="1402"/>
        <v>0</v>
      </c>
      <c r="AY236" s="129">
        <f t="shared" si="1351"/>
        <v>0</v>
      </c>
      <c r="AZ236" s="129">
        <f t="shared" si="1352"/>
        <v>1</v>
      </c>
      <c r="BA236" s="129">
        <f t="shared" si="1403"/>
        <v>0</v>
      </c>
      <c r="BB236" s="129">
        <f t="shared" si="1353"/>
        <v>0</v>
      </c>
      <c r="BC236" s="129">
        <f t="shared" si="1354"/>
        <v>1</v>
      </c>
      <c r="BD236" s="129">
        <f t="shared" si="1355"/>
        <v>-1</v>
      </c>
      <c r="BE236" s="129">
        <f t="shared" si="1356"/>
        <v>0</v>
      </c>
      <c r="BF236" s="129">
        <f t="shared" si="1357"/>
        <v>0</v>
      </c>
      <c r="BG236" s="129">
        <f t="shared" si="1358"/>
        <v>0</v>
      </c>
      <c r="BH236" s="129">
        <f t="shared" si="1359"/>
        <v>0</v>
      </c>
      <c r="BI236" s="129">
        <f t="shared" si="1360"/>
        <v>0</v>
      </c>
      <c r="BJ236" s="19">
        <f t="shared" si="1404"/>
        <v>0</v>
      </c>
      <c r="BK236" s="129">
        <f t="shared" si="1361"/>
        <v>0</v>
      </c>
      <c r="BL236" s="129">
        <f t="shared" si="1362"/>
        <v>0</v>
      </c>
      <c r="BM236" s="408"/>
      <c r="BN236" s="48">
        <f t="shared" si="1373"/>
        <v>0</v>
      </c>
      <c r="BO236" s="48">
        <f t="shared" si="1374"/>
        <v>0</v>
      </c>
      <c r="BP236" s="48">
        <f t="shared" ref="BP236:BP241" si="1426">SUM(AL236:AN236)</f>
        <v>0</v>
      </c>
      <c r="BQ236" s="48">
        <f t="shared" si="1376"/>
        <v>0</v>
      </c>
      <c r="BR236" s="48">
        <f t="shared" si="1377"/>
        <v>0</v>
      </c>
      <c r="BS236" s="48">
        <f t="shared" ref="BS236:BS241" si="1427">SUM(AO236:AQ236)</f>
        <v>0</v>
      </c>
      <c r="BT236" s="48">
        <f t="shared" si="1379"/>
        <v>0</v>
      </c>
      <c r="BU236" s="48">
        <f t="shared" si="1380"/>
        <v>0</v>
      </c>
      <c r="BV236" s="48">
        <f t="shared" ref="BV236:BV241" si="1428">SUM(AR236:AT236)</f>
        <v>0</v>
      </c>
      <c r="BW236" s="48">
        <f t="shared" si="1382"/>
        <v>0</v>
      </c>
      <c r="BX236" s="48">
        <f t="shared" si="1383"/>
        <v>0</v>
      </c>
      <c r="BY236" s="48">
        <f t="shared" ref="BY236:BY241" si="1429">SUM(AU236:AW236)</f>
        <v>0</v>
      </c>
      <c r="BZ236" s="48">
        <f t="shared" si="1385"/>
        <v>1</v>
      </c>
      <c r="CA236" s="48">
        <f t="shared" si="1386"/>
        <v>1</v>
      </c>
      <c r="CB236" s="48">
        <f t="shared" ref="CB236:CB241" si="1430">SUM(AX236:AZ236)</f>
        <v>1</v>
      </c>
      <c r="CC236" s="48">
        <f t="shared" si="1388"/>
        <v>1</v>
      </c>
      <c r="CD236" s="48">
        <f t="shared" si="1389"/>
        <v>1</v>
      </c>
      <c r="CE236" s="48">
        <f t="shared" ref="CE236:CE241" si="1431">SUM(BA236:BC236)</f>
        <v>1</v>
      </c>
      <c r="CF236" s="48">
        <f t="shared" si="1391"/>
        <v>-1</v>
      </c>
      <c r="CG236" s="48">
        <f t="shared" si="1392"/>
        <v>-1</v>
      </c>
      <c r="CH236" s="48">
        <f t="shared" ref="CH236:CH241" si="1432">SUM(BD236:BF236)</f>
        <v>-1</v>
      </c>
      <c r="CI236" s="48">
        <f t="shared" si="1394"/>
        <v>0</v>
      </c>
      <c r="CJ236" s="48">
        <f t="shared" si="1395"/>
        <v>0</v>
      </c>
      <c r="CK236" s="48">
        <f t="shared" ref="CK236:CK241" si="1433">SUM(BG236:BI236)</f>
        <v>0</v>
      </c>
      <c r="CL236" s="48">
        <f t="shared" si="1397"/>
        <v>0</v>
      </c>
      <c r="CM236" s="48">
        <f t="shared" si="1398"/>
        <v>0</v>
      </c>
      <c r="CN236" s="48">
        <f t="shared" ref="CN236:CN241" si="1434">SUM(BJ236:BL236)</f>
        <v>0</v>
      </c>
      <c r="CO236" s="406"/>
      <c r="CP236" s="21">
        <f>AL236</f>
        <v>0</v>
      </c>
      <c r="CQ236" s="21">
        <f>CP236+AM236</f>
        <v>0</v>
      </c>
      <c r="CR236" s="21">
        <f t="shared" ref="CR236:CR242" si="1435">CQ236+AN236</f>
        <v>0</v>
      </c>
      <c r="CS236" s="21">
        <f t="shared" ref="CS236:CS242" si="1436">CR236+AO236</f>
        <v>0</v>
      </c>
      <c r="CT236" s="21">
        <f t="shared" ref="CT236:CT242" si="1437">CS236+AP236</f>
        <v>0</v>
      </c>
      <c r="CU236" s="21">
        <f t="shared" ref="CU236:CU242" si="1438">CT236+AQ236</f>
        <v>0</v>
      </c>
      <c r="CV236" s="21">
        <f t="shared" ref="CV236:CV242" si="1439">CU236+AR236</f>
        <v>0</v>
      </c>
      <c r="CW236" s="21">
        <f t="shared" ref="CW236:CW242" si="1440">CV236+AS236</f>
        <v>0</v>
      </c>
      <c r="CX236" s="21">
        <f t="shared" ref="CX236:CX242" si="1441">CW236+AT236</f>
        <v>0</v>
      </c>
      <c r="CY236" s="21">
        <f t="shared" ref="CY236:CY242" si="1442">CX236+AU236</f>
        <v>0</v>
      </c>
      <c r="CZ236" s="21">
        <f t="shared" ref="CZ236:CZ242" si="1443">CY236+AV236</f>
        <v>0</v>
      </c>
      <c r="DA236" s="21">
        <f t="shared" ref="DA236:DA242" si="1444">CZ236+AW236</f>
        <v>0</v>
      </c>
      <c r="DB236" s="21">
        <f>AX236</f>
        <v>0</v>
      </c>
      <c r="DC236" s="21">
        <f t="shared" ref="DC236:DC242" si="1445">DB236+AY236</f>
        <v>0</v>
      </c>
      <c r="DD236" s="21">
        <f t="shared" ref="DD236:DD242" si="1446">DC236+AZ236</f>
        <v>1</v>
      </c>
      <c r="DE236" s="21">
        <f t="shared" ref="DE236:DE242" si="1447">DD236+BA236</f>
        <v>1</v>
      </c>
      <c r="DF236" s="21">
        <f t="shared" ref="DF236:DF242" si="1448">DE236+BB236</f>
        <v>1</v>
      </c>
      <c r="DG236" s="21">
        <f t="shared" ref="DG236:DG242" si="1449">DF236+BC236</f>
        <v>2</v>
      </c>
      <c r="DH236" s="21">
        <f t="shared" ref="DH236:DH242" si="1450">DG236+BD236</f>
        <v>1</v>
      </c>
      <c r="DI236" s="21">
        <f t="shared" ref="DI236:DI242" si="1451">DH236+BE236</f>
        <v>1</v>
      </c>
      <c r="DJ236" s="21">
        <f t="shared" ref="DJ236:DJ242" si="1452">DI236+BF236</f>
        <v>1</v>
      </c>
      <c r="DK236" s="21">
        <f t="shared" ref="DK236:DK242" si="1453">DJ236+BG236</f>
        <v>1</v>
      </c>
      <c r="DL236" s="21">
        <f t="shared" ref="DL236:DL242" si="1454">DK236+BH236</f>
        <v>1</v>
      </c>
      <c r="DM236" s="21">
        <f t="shared" ref="DM236:DM242" si="1455">DL236+BI236</f>
        <v>1</v>
      </c>
      <c r="DN236" s="21">
        <f t="shared" ref="DN236:DN241" si="1456">BJ236</f>
        <v>0</v>
      </c>
      <c r="DO236" s="21">
        <f t="shared" ref="DO236:DO242" si="1457">DN236+BK236</f>
        <v>0</v>
      </c>
      <c r="DP236" s="21">
        <f t="shared" ref="DP236:DP242" si="1458">DO236+BL236</f>
        <v>0</v>
      </c>
      <c r="DQ236" s="248"/>
      <c r="DR236" s="248"/>
      <c r="DS236" s="248"/>
      <c r="DT236" s="248"/>
      <c r="DU236" s="248"/>
      <c r="DV236" s="248"/>
      <c r="DW236" s="248"/>
      <c r="DX236" s="248"/>
      <c r="DY236" s="248"/>
      <c r="ED236" s="429"/>
      <c r="EE236" s="23"/>
      <c r="EF236" s="23"/>
      <c r="EG236" s="23"/>
      <c r="EH236" s="18">
        <f t="shared" si="1366"/>
        <v>0</v>
      </c>
      <c r="EI236" s="18">
        <f t="shared" si="1367"/>
        <v>0</v>
      </c>
      <c r="EJ236" s="18">
        <f t="shared" si="1368"/>
        <v>0</v>
      </c>
      <c r="EK236" s="24">
        <f t="shared" si="1411"/>
        <v>0.16666666666666666</v>
      </c>
      <c r="EL236" s="14" t="e">
        <f t="shared" si="1417"/>
        <v>#DIV/0!</v>
      </c>
      <c r="EM236" s="14" t="e">
        <f t="shared" si="1417"/>
        <v>#DIV/0!</v>
      </c>
      <c r="EN236" s="14">
        <f>EJ236/EK236/EG211</f>
        <v>0</v>
      </c>
      <c r="EO236" s="46" t="str">
        <f t="shared" si="1418"/>
        <v>Æ</v>
      </c>
      <c r="EP236" s="46" t="str">
        <f t="shared" si="1419"/>
        <v>Æ</v>
      </c>
      <c r="EQ236" s="2" t="e">
        <f t="shared" si="1400"/>
        <v>#DIV/0!</v>
      </c>
      <c r="ER236" s="2" t="e">
        <f t="shared" si="1371"/>
        <v>#DIV/0!</v>
      </c>
      <c r="ES236" s="2">
        <f t="shared" si="1372"/>
        <v>3</v>
      </c>
    </row>
    <row r="237" spans="1:149" ht="12.75" customHeight="1">
      <c r="A237" s="6" t="s">
        <v>23</v>
      </c>
      <c r="B237" s="2" t="s">
        <v>9</v>
      </c>
      <c r="C237" s="3" t="s">
        <v>65</v>
      </c>
      <c r="E237" s="3" t="s">
        <v>16</v>
      </c>
      <c r="G237" s="3" t="s">
        <v>91</v>
      </c>
      <c r="I237" s="23"/>
      <c r="J237" s="19">
        <v>16</v>
      </c>
      <c r="K237" s="19">
        <v>35</v>
      </c>
      <c r="L237" s="19">
        <v>47</v>
      </c>
      <c r="M237" s="19">
        <v>72</v>
      </c>
      <c r="N237" s="19">
        <v>84</v>
      </c>
      <c r="O237" s="19">
        <v>105</v>
      </c>
      <c r="P237" s="19">
        <v>121.5</v>
      </c>
      <c r="Q237" s="19">
        <v>144</v>
      </c>
      <c r="R237" s="19">
        <v>170.5</v>
      </c>
      <c r="S237" s="19">
        <v>200.5</v>
      </c>
      <c r="T237" s="19">
        <v>234.5</v>
      </c>
      <c r="U237" s="19">
        <v>636.75</v>
      </c>
      <c r="V237" s="31">
        <v>65.900000000000006</v>
      </c>
      <c r="W237" s="19">
        <v>112.9</v>
      </c>
      <c r="X237" s="19">
        <v>186.9</v>
      </c>
      <c r="Y237" s="341">
        <v>228.3</v>
      </c>
      <c r="Z237" s="19">
        <v>290.8</v>
      </c>
      <c r="AA237" s="19">
        <v>335.05</v>
      </c>
      <c r="AB237" s="19">
        <v>367.05</v>
      </c>
      <c r="AC237" s="19">
        <v>440.05</v>
      </c>
      <c r="AD237" s="19">
        <v>523.04999999999995</v>
      </c>
      <c r="AE237" s="19">
        <v>588.79999999999995</v>
      </c>
      <c r="AF237" s="19">
        <v>625.29999999999995</v>
      </c>
      <c r="AG237" s="19">
        <v>669.3</v>
      </c>
      <c r="AH237" s="31">
        <v>50.5</v>
      </c>
      <c r="AI237" s="19">
        <v>96.5</v>
      </c>
      <c r="AJ237" s="19"/>
      <c r="AK237" s="408"/>
      <c r="AL237" s="19">
        <f t="shared" si="1401"/>
        <v>16</v>
      </c>
      <c r="AM237" s="19">
        <f t="shared" ref="AM237:AM242" si="1459">K237-J237</f>
        <v>19</v>
      </c>
      <c r="AN237" s="19">
        <f t="shared" si="1422"/>
        <v>12</v>
      </c>
      <c r="AO237" s="19">
        <f t="shared" si="1423"/>
        <v>25</v>
      </c>
      <c r="AP237" s="130">
        <f t="shared" si="1424"/>
        <v>12</v>
      </c>
      <c r="AQ237" s="130">
        <f t="shared" si="1425"/>
        <v>21</v>
      </c>
      <c r="AR237" s="130">
        <f t="shared" si="1345"/>
        <v>16.5</v>
      </c>
      <c r="AS237" s="130">
        <f t="shared" si="1346"/>
        <v>22.5</v>
      </c>
      <c r="AT237" s="130">
        <f t="shared" si="1347"/>
        <v>26.5</v>
      </c>
      <c r="AU237" s="130">
        <f t="shared" si="1348"/>
        <v>30</v>
      </c>
      <c r="AV237" s="130">
        <f t="shared" si="1349"/>
        <v>34</v>
      </c>
      <c r="AW237" s="130">
        <f t="shared" si="1350"/>
        <v>402.25</v>
      </c>
      <c r="AX237" s="19">
        <f t="shared" si="1402"/>
        <v>65.900000000000006</v>
      </c>
      <c r="AY237" s="130">
        <f t="shared" si="1351"/>
        <v>47</v>
      </c>
      <c r="AZ237" s="130">
        <f t="shared" si="1352"/>
        <v>74</v>
      </c>
      <c r="BA237" s="130">
        <f t="shared" si="1403"/>
        <v>41.400000000000006</v>
      </c>
      <c r="BB237" s="130">
        <f t="shared" si="1353"/>
        <v>62.5</v>
      </c>
      <c r="BC237" s="130">
        <f t="shared" si="1354"/>
        <v>44.25</v>
      </c>
      <c r="BD237" s="130">
        <f t="shared" si="1355"/>
        <v>32</v>
      </c>
      <c r="BE237" s="130">
        <f t="shared" si="1356"/>
        <v>73</v>
      </c>
      <c r="BF237" s="130">
        <f t="shared" si="1357"/>
        <v>82.999999999999943</v>
      </c>
      <c r="BG237" s="130">
        <f t="shared" si="1358"/>
        <v>65.75</v>
      </c>
      <c r="BH237" s="130">
        <f t="shared" si="1359"/>
        <v>36.5</v>
      </c>
      <c r="BI237" s="130">
        <f t="shared" si="1360"/>
        <v>44</v>
      </c>
      <c r="BJ237" s="19">
        <f t="shared" si="1404"/>
        <v>50.5</v>
      </c>
      <c r="BK237" s="130">
        <f t="shared" si="1361"/>
        <v>46</v>
      </c>
      <c r="BL237" s="130">
        <f t="shared" si="1362"/>
        <v>0</v>
      </c>
      <c r="BM237" s="408"/>
      <c r="BN237" s="48">
        <f t="shared" si="1373"/>
        <v>47</v>
      </c>
      <c r="BO237" s="48">
        <f t="shared" si="1374"/>
        <v>47</v>
      </c>
      <c r="BP237" s="48">
        <f t="shared" si="1426"/>
        <v>47</v>
      </c>
      <c r="BQ237" s="48">
        <f t="shared" si="1376"/>
        <v>58</v>
      </c>
      <c r="BR237" s="48">
        <f t="shared" si="1377"/>
        <v>58</v>
      </c>
      <c r="BS237" s="48">
        <f t="shared" si="1427"/>
        <v>58</v>
      </c>
      <c r="BT237" s="48">
        <f t="shared" si="1379"/>
        <v>65.5</v>
      </c>
      <c r="BU237" s="48">
        <f t="shared" si="1380"/>
        <v>65.5</v>
      </c>
      <c r="BV237" s="48">
        <f t="shared" si="1428"/>
        <v>65.5</v>
      </c>
      <c r="BW237" s="48">
        <f t="shared" si="1382"/>
        <v>466.25</v>
      </c>
      <c r="BX237" s="48">
        <f t="shared" si="1383"/>
        <v>466.25</v>
      </c>
      <c r="BY237" s="48">
        <f t="shared" si="1429"/>
        <v>466.25</v>
      </c>
      <c r="BZ237" s="48">
        <f t="shared" si="1385"/>
        <v>186.9</v>
      </c>
      <c r="CA237" s="48">
        <f t="shared" si="1386"/>
        <v>186.9</v>
      </c>
      <c r="CB237" s="48">
        <f t="shared" si="1430"/>
        <v>186.9</v>
      </c>
      <c r="CC237" s="48">
        <f t="shared" si="1388"/>
        <v>148.15</v>
      </c>
      <c r="CD237" s="48">
        <f t="shared" si="1389"/>
        <v>148.15</v>
      </c>
      <c r="CE237" s="48">
        <f t="shared" si="1431"/>
        <v>148.15</v>
      </c>
      <c r="CF237" s="48">
        <f t="shared" si="1391"/>
        <v>187.99999999999994</v>
      </c>
      <c r="CG237" s="48">
        <f t="shared" si="1392"/>
        <v>187.99999999999994</v>
      </c>
      <c r="CH237" s="48">
        <f t="shared" si="1432"/>
        <v>187.99999999999994</v>
      </c>
      <c r="CI237" s="48">
        <f t="shared" si="1394"/>
        <v>146.25</v>
      </c>
      <c r="CJ237" s="48">
        <f t="shared" si="1395"/>
        <v>146.25</v>
      </c>
      <c r="CK237" s="48">
        <f t="shared" si="1433"/>
        <v>146.25</v>
      </c>
      <c r="CL237" s="48">
        <f t="shared" si="1397"/>
        <v>96.5</v>
      </c>
      <c r="CM237" s="48">
        <f t="shared" si="1398"/>
        <v>96.5</v>
      </c>
      <c r="CN237" s="48">
        <f t="shared" si="1434"/>
        <v>96.5</v>
      </c>
      <c r="CO237" s="406"/>
      <c r="CP237" s="21">
        <f t="shared" ref="CP237:CP242" si="1460">AL237</f>
        <v>16</v>
      </c>
      <c r="CQ237" s="21">
        <f t="shared" ref="CQ237:CQ242" si="1461">CP237+AM237</f>
        <v>35</v>
      </c>
      <c r="CR237" s="21">
        <f t="shared" si="1435"/>
        <v>47</v>
      </c>
      <c r="CS237" s="21">
        <f t="shared" si="1436"/>
        <v>72</v>
      </c>
      <c r="CT237" s="21">
        <f t="shared" si="1437"/>
        <v>84</v>
      </c>
      <c r="CU237" s="21">
        <f t="shared" si="1438"/>
        <v>105</v>
      </c>
      <c r="CV237" s="21">
        <f t="shared" si="1439"/>
        <v>121.5</v>
      </c>
      <c r="CW237" s="21">
        <f t="shared" si="1440"/>
        <v>144</v>
      </c>
      <c r="CX237" s="21">
        <f t="shared" si="1441"/>
        <v>170.5</v>
      </c>
      <c r="CY237" s="21">
        <f t="shared" si="1442"/>
        <v>200.5</v>
      </c>
      <c r="CZ237" s="21">
        <f t="shared" si="1443"/>
        <v>234.5</v>
      </c>
      <c r="DA237" s="21">
        <f t="shared" si="1444"/>
        <v>636.75</v>
      </c>
      <c r="DB237" s="21">
        <f t="shared" ref="DB237:DB242" si="1462">AX237</f>
        <v>65.900000000000006</v>
      </c>
      <c r="DC237" s="21">
        <f t="shared" si="1445"/>
        <v>112.9</v>
      </c>
      <c r="DD237" s="21">
        <f t="shared" si="1446"/>
        <v>186.9</v>
      </c>
      <c r="DE237" s="21">
        <f t="shared" si="1447"/>
        <v>228.3</v>
      </c>
      <c r="DF237" s="21">
        <f t="shared" si="1448"/>
        <v>290.8</v>
      </c>
      <c r="DG237" s="21">
        <f t="shared" si="1449"/>
        <v>335.05</v>
      </c>
      <c r="DH237" s="21">
        <f t="shared" si="1450"/>
        <v>367.05</v>
      </c>
      <c r="DI237" s="21">
        <f t="shared" si="1451"/>
        <v>440.05</v>
      </c>
      <c r="DJ237" s="21">
        <f t="shared" si="1452"/>
        <v>523.04999999999995</v>
      </c>
      <c r="DK237" s="21">
        <f t="shared" si="1453"/>
        <v>588.79999999999995</v>
      </c>
      <c r="DL237" s="21">
        <f t="shared" si="1454"/>
        <v>625.29999999999995</v>
      </c>
      <c r="DM237" s="21">
        <f t="shared" si="1455"/>
        <v>669.3</v>
      </c>
      <c r="DN237" s="21">
        <f t="shared" si="1456"/>
        <v>50.5</v>
      </c>
      <c r="DO237" s="21">
        <f t="shared" si="1457"/>
        <v>96.5</v>
      </c>
      <c r="DP237" s="21">
        <f t="shared" si="1458"/>
        <v>96.5</v>
      </c>
      <c r="DQ237" s="248"/>
      <c r="DR237" s="248"/>
      <c r="DS237" s="248"/>
      <c r="DT237" s="248"/>
      <c r="DU237" s="248"/>
      <c r="DV237" s="248"/>
      <c r="DW237" s="248"/>
      <c r="DX237" s="248"/>
      <c r="DY237" s="248"/>
      <c r="ED237" s="429"/>
      <c r="EE237" s="23"/>
      <c r="EF237" s="23"/>
      <c r="EG237" s="23"/>
      <c r="EH237" s="18">
        <f t="shared" si="1366"/>
        <v>46</v>
      </c>
      <c r="EI237" s="18">
        <f t="shared" si="1367"/>
        <v>96.5</v>
      </c>
      <c r="EJ237" s="18">
        <f t="shared" si="1368"/>
        <v>96.5</v>
      </c>
      <c r="EK237" s="24">
        <f t="shared" si="1411"/>
        <v>0.16666666666666666</v>
      </c>
      <c r="EL237" s="14">
        <f t="shared" si="1417"/>
        <v>0.51111111111111107</v>
      </c>
      <c r="EM237" s="14">
        <f t="shared" si="1417"/>
        <v>0.71481481481481479</v>
      </c>
      <c r="EN237" s="14">
        <f>EJ237/EK237/EG212</f>
        <v>1.075208913649025</v>
      </c>
      <c r="EO237" s="46" t="str">
        <f t="shared" si="1418"/>
        <v>È</v>
      </c>
      <c r="EP237" s="46" t="str">
        <f t="shared" si="1419"/>
        <v>È</v>
      </c>
      <c r="EQ237" s="2">
        <f t="shared" si="1400"/>
        <v>3</v>
      </c>
      <c r="ER237" s="2">
        <f t="shared" si="1371"/>
        <v>3</v>
      </c>
      <c r="ES237" s="2">
        <f t="shared" si="1372"/>
        <v>1</v>
      </c>
    </row>
    <row r="238" spans="1:149" ht="12.75" customHeight="1">
      <c r="A238" s="6" t="s">
        <v>23</v>
      </c>
      <c r="B238" s="2" t="s">
        <v>10</v>
      </c>
      <c r="C238" s="3" t="s">
        <v>66</v>
      </c>
      <c r="E238" s="3" t="s">
        <v>16</v>
      </c>
      <c r="G238" s="3" t="s">
        <v>91</v>
      </c>
      <c r="I238" s="23"/>
      <c r="J238" s="19">
        <v>0.5</v>
      </c>
      <c r="K238" s="19">
        <v>3.5</v>
      </c>
      <c r="L238" s="19">
        <v>3.5</v>
      </c>
      <c r="M238" s="19">
        <v>6.5</v>
      </c>
      <c r="N238" s="19">
        <v>10.5</v>
      </c>
      <c r="O238" s="19">
        <v>12.5</v>
      </c>
      <c r="P238" s="19">
        <v>17</v>
      </c>
      <c r="Q238" s="19">
        <v>22.5</v>
      </c>
      <c r="R238" s="19">
        <v>26</v>
      </c>
      <c r="S238" s="19">
        <v>30.5</v>
      </c>
      <c r="T238" s="19">
        <v>36</v>
      </c>
      <c r="U238" s="19">
        <v>51</v>
      </c>
      <c r="V238" s="31">
        <v>9.5</v>
      </c>
      <c r="W238" s="19">
        <v>18.5</v>
      </c>
      <c r="X238" s="19">
        <v>27</v>
      </c>
      <c r="Y238" s="341">
        <v>31.65</v>
      </c>
      <c r="Z238" s="19">
        <v>43.65</v>
      </c>
      <c r="AA238" s="19">
        <v>60.9</v>
      </c>
      <c r="AB238" s="19">
        <v>69.400000000000006</v>
      </c>
      <c r="AC238" s="19">
        <v>86.4</v>
      </c>
      <c r="AD238" s="19">
        <v>93.4</v>
      </c>
      <c r="AE238" s="19">
        <v>97.65</v>
      </c>
      <c r="AF238" s="19">
        <v>113.65</v>
      </c>
      <c r="AG238" s="19">
        <v>118.15</v>
      </c>
      <c r="AH238" s="31">
        <v>13</v>
      </c>
      <c r="AI238" s="19">
        <v>22.25</v>
      </c>
      <c r="AJ238" s="19"/>
      <c r="AK238" s="408"/>
      <c r="AL238" s="19">
        <f t="shared" si="1401"/>
        <v>0.5</v>
      </c>
      <c r="AM238" s="19">
        <f t="shared" si="1459"/>
        <v>3</v>
      </c>
      <c r="AN238" s="19">
        <f t="shared" si="1422"/>
        <v>0</v>
      </c>
      <c r="AO238" s="19">
        <f t="shared" si="1423"/>
        <v>3</v>
      </c>
      <c r="AP238" s="129">
        <f t="shared" si="1424"/>
        <v>4</v>
      </c>
      <c r="AQ238" s="129">
        <f t="shared" si="1425"/>
        <v>2</v>
      </c>
      <c r="AR238" s="129">
        <f t="shared" si="1345"/>
        <v>4.5</v>
      </c>
      <c r="AS238" s="129">
        <f t="shared" si="1346"/>
        <v>5.5</v>
      </c>
      <c r="AT238" s="129">
        <f t="shared" si="1347"/>
        <v>3.5</v>
      </c>
      <c r="AU238" s="129">
        <f t="shared" si="1348"/>
        <v>4.5</v>
      </c>
      <c r="AV238" s="129">
        <f t="shared" si="1349"/>
        <v>5.5</v>
      </c>
      <c r="AW238" s="129">
        <f t="shared" si="1350"/>
        <v>15</v>
      </c>
      <c r="AX238" s="19">
        <f t="shared" si="1402"/>
        <v>9.5</v>
      </c>
      <c r="AY238" s="129">
        <f t="shared" si="1351"/>
        <v>9</v>
      </c>
      <c r="AZ238" s="129">
        <f t="shared" si="1352"/>
        <v>8.5</v>
      </c>
      <c r="BA238" s="129">
        <f t="shared" si="1403"/>
        <v>4.6499999999999986</v>
      </c>
      <c r="BB238" s="129">
        <f t="shared" si="1353"/>
        <v>12</v>
      </c>
      <c r="BC238" s="129">
        <f t="shared" si="1354"/>
        <v>17.25</v>
      </c>
      <c r="BD238" s="129">
        <f t="shared" si="1355"/>
        <v>8.5000000000000071</v>
      </c>
      <c r="BE238" s="129">
        <f t="shared" si="1356"/>
        <v>17</v>
      </c>
      <c r="BF238" s="129">
        <f t="shared" si="1357"/>
        <v>7</v>
      </c>
      <c r="BG238" s="129">
        <f t="shared" si="1358"/>
        <v>4.25</v>
      </c>
      <c r="BH238" s="129">
        <f t="shared" si="1359"/>
        <v>16</v>
      </c>
      <c r="BI238" s="129">
        <f t="shared" si="1360"/>
        <v>4.5</v>
      </c>
      <c r="BJ238" s="19">
        <f t="shared" si="1404"/>
        <v>13</v>
      </c>
      <c r="BK238" s="129">
        <f t="shared" si="1361"/>
        <v>9.25</v>
      </c>
      <c r="BL238" s="129">
        <f t="shared" si="1362"/>
        <v>0</v>
      </c>
      <c r="BM238" s="408"/>
      <c r="BN238" s="48">
        <f t="shared" si="1373"/>
        <v>3.5</v>
      </c>
      <c r="BO238" s="48">
        <f t="shared" si="1374"/>
        <v>3.5</v>
      </c>
      <c r="BP238" s="48">
        <f t="shared" si="1426"/>
        <v>3.5</v>
      </c>
      <c r="BQ238" s="48">
        <f t="shared" si="1376"/>
        <v>9</v>
      </c>
      <c r="BR238" s="48">
        <f t="shared" si="1377"/>
        <v>9</v>
      </c>
      <c r="BS238" s="48">
        <f t="shared" si="1427"/>
        <v>9</v>
      </c>
      <c r="BT238" s="48">
        <f t="shared" si="1379"/>
        <v>13.5</v>
      </c>
      <c r="BU238" s="48">
        <f t="shared" si="1380"/>
        <v>13.5</v>
      </c>
      <c r="BV238" s="48">
        <f t="shared" si="1428"/>
        <v>13.5</v>
      </c>
      <c r="BW238" s="48">
        <f t="shared" si="1382"/>
        <v>25</v>
      </c>
      <c r="BX238" s="48">
        <f t="shared" si="1383"/>
        <v>25</v>
      </c>
      <c r="BY238" s="48">
        <f t="shared" si="1429"/>
        <v>25</v>
      </c>
      <c r="BZ238" s="48">
        <f t="shared" si="1385"/>
        <v>27</v>
      </c>
      <c r="CA238" s="48">
        <f t="shared" si="1386"/>
        <v>27</v>
      </c>
      <c r="CB238" s="48">
        <f t="shared" si="1430"/>
        <v>27</v>
      </c>
      <c r="CC238" s="48">
        <f t="shared" si="1388"/>
        <v>33.9</v>
      </c>
      <c r="CD238" s="48">
        <f t="shared" si="1389"/>
        <v>33.9</v>
      </c>
      <c r="CE238" s="48">
        <f t="shared" si="1431"/>
        <v>33.9</v>
      </c>
      <c r="CF238" s="48">
        <f t="shared" si="1391"/>
        <v>32.500000000000007</v>
      </c>
      <c r="CG238" s="48">
        <f t="shared" si="1392"/>
        <v>32.500000000000007</v>
      </c>
      <c r="CH238" s="48">
        <f t="shared" si="1432"/>
        <v>32.500000000000007</v>
      </c>
      <c r="CI238" s="48">
        <f t="shared" si="1394"/>
        <v>24.75</v>
      </c>
      <c r="CJ238" s="48">
        <f t="shared" si="1395"/>
        <v>24.75</v>
      </c>
      <c r="CK238" s="48">
        <f t="shared" si="1433"/>
        <v>24.75</v>
      </c>
      <c r="CL238" s="48">
        <f t="shared" si="1397"/>
        <v>22.25</v>
      </c>
      <c r="CM238" s="48">
        <f t="shared" si="1398"/>
        <v>22.25</v>
      </c>
      <c r="CN238" s="48">
        <f t="shared" si="1434"/>
        <v>22.25</v>
      </c>
      <c r="CO238" s="406"/>
      <c r="CP238" s="21">
        <f t="shared" si="1460"/>
        <v>0.5</v>
      </c>
      <c r="CQ238" s="21">
        <f t="shared" si="1461"/>
        <v>3.5</v>
      </c>
      <c r="CR238" s="21">
        <f t="shared" si="1435"/>
        <v>3.5</v>
      </c>
      <c r="CS238" s="21">
        <f t="shared" si="1436"/>
        <v>6.5</v>
      </c>
      <c r="CT238" s="21">
        <f t="shared" si="1437"/>
        <v>10.5</v>
      </c>
      <c r="CU238" s="21">
        <f t="shared" si="1438"/>
        <v>12.5</v>
      </c>
      <c r="CV238" s="21">
        <f t="shared" si="1439"/>
        <v>17</v>
      </c>
      <c r="CW238" s="21">
        <f t="shared" si="1440"/>
        <v>22.5</v>
      </c>
      <c r="CX238" s="21">
        <f t="shared" si="1441"/>
        <v>26</v>
      </c>
      <c r="CY238" s="21">
        <f t="shared" si="1442"/>
        <v>30.5</v>
      </c>
      <c r="CZ238" s="21">
        <f t="shared" si="1443"/>
        <v>36</v>
      </c>
      <c r="DA238" s="21">
        <f t="shared" si="1444"/>
        <v>51</v>
      </c>
      <c r="DB238" s="21">
        <f t="shared" si="1462"/>
        <v>9.5</v>
      </c>
      <c r="DC238" s="21">
        <f t="shared" si="1445"/>
        <v>18.5</v>
      </c>
      <c r="DD238" s="21">
        <f t="shared" si="1446"/>
        <v>27</v>
      </c>
      <c r="DE238" s="21">
        <f t="shared" si="1447"/>
        <v>31.65</v>
      </c>
      <c r="DF238" s="21">
        <f t="shared" si="1448"/>
        <v>43.65</v>
      </c>
      <c r="DG238" s="21">
        <f t="shared" si="1449"/>
        <v>60.9</v>
      </c>
      <c r="DH238" s="21">
        <f t="shared" si="1450"/>
        <v>69.400000000000006</v>
      </c>
      <c r="DI238" s="21">
        <f t="shared" si="1451"/>
        <v>86.4</v>
      </c>
      <c r="DJ238" s="21">
        <f t="shared" si="1452"/>
        <v>93.4</v>
      </c>
      <c r="DK238" s="21">
        <f t="shared" si="1453"/>
        <v>97.65</v>
      </c>
      <c r="DL238" s="21">
        <f t="shared" si="1454"/>
        <v>113.65</v>
      </c>
      <c r="DM238" s="21">
        <f t="shared" si="1455"/>
        <v>118.15</v>
      </c>
      <c r="DN238" s="21">
        <f t="shared" si="1456"/>
        <v>13</v>
      </c>
      <c r="DO238" s="21">
        <f t="shared" si="1457"/>
        <v>22.25</v>
      </c>
      <c r="DP238" s="21">
        <f t="shared" si="1458"/>
        <v>22.25</v>
      </c>
      <c r="DQ238" s="248"/>
      <c r="DR238" s="248"/>
      <c r="DS238" s="248"/>
      <c r="DT238" s="248"/>
      <c r="DU238" s="248"/>
      <c r="DV238" s="248"/>
      <c r="DW238" s="248"/>
      <c r="DX238" s="248"/>
      <c r="DY238" s="248"/>
      <c r="ED238" s="429"/>
      <c r="EE238" s="23"/>
      <c r="EF238" s="23"/>
      <c r="EG238" s="23"/>
      <c r="EH238" s="18">
        <f t="shared" si="1366"/>
        <v>9.25</v>
      </c>
      <c r="EI238" s="18">
        <f t="shared" si="1367"/>
        <v>22.25</v>
      </c>
      <c r="EJ238" s="18">
        <f t="shared" si="1368"/>
        <v>22.25</v>
      </c>
      <c r="EK238" s="24">
        <f t="shared" si="1411"/>
        <v>0.16666666666666666</v>
      </c>
      <c r="EL238" s="14" t="e">
        <f t="shared" si="1417"/>
        <v>#DIV/0!</v>
      </c>
      <c r="EM238" s="14" t="e">
        <f t="shared" si="1417"/>
        <v>#DIV/0!</v>
      </c>
      <c r="EN238" s="14">
        <f>EJ238/EK238/EG213</f>
        <v>1.6481481481481481</v>
      </c>
      <c r="EO238" s="46" t="str">
        <f t="shared" si="1418"/>
        <v>Ç</v>
      </c>
      <c r="EP238" s="46" t="str">
        <f t="shared" si="1419"/>
        <v>Ç</v>
      </c>
      <c r="EQ238" s="2" t="e">
        <f t="shared" si="1400"/>
        <v>#DIV/0!</v>
      </c>
      <c r="ER238" s="2" t="e">
        <f t="shared" si="1371"/>
        <v>#DIV/0!</v>
      </c>
      <c r="ES238" s="2">
        <f t="shared" si="1372"/>
        <v>1</v>
      </c>
    </row>
    <row r="239" spans="1:149" ht="12.75" customHeight="1">
      <c r="A239" s="6" t="s">
        <v>23</v>
      </c>
      <c r="B239" s="2" t="s">
        <v>11</v>
      </c>
      <c r="C239" s="3" t="s">
        <v>67</v>
      </c>
      <c r="E239" s="3" t="s">
        <v>16</v>
      </c>
      <c r="G239" s="3" t="s">
        <v>91</v>
      </c>
      <c r="I239" s="23"/>
      <c r="J239" s="19">
        <v>4</v>
      </c>
      <c r="K239" s="19">
        <v>10</v>
      </c>
      <c r="L239" s="19">
        <v>13</v>
      </c>
      <c r="M239" s="19">
        <v>19</v>
      </c>
      <c r="N239" s="19">
        <v>21</v>
      </c>
      <c r="O239" s="19">
        <v>24</v>
      </c>
      <c r="P239" s="19">
        <v>32</v>
      </c>
      <c r="Q239" s="19">
        <v>39</v>
      </c>
      <c r="R239" s="19">
        <v>43</v>
      </c>
      <c r="S239" s="19">
        <v>51</v>
      </c>
      <c r="T239" s="19">
        <v>67</v>
      </c>
      <c r="U239" s="19">
        <v>110</v>
      </c>
      <c r="V239" s="31">
        <v>16</v>
      </c>
      <c r="W239" s="19">
        <v>26</v>
      </c>
      <c r="X239" s="19">
        <v>45</v>
      </c>
      <c r="Y239" s="341">
        <v>53</v>
      </c>
      <c r="Z239" s="19">
        <v>61</v>
      </c>
      <c r="AA239" s="19">
        <v>67</v>
      </c>
      <c r="AB239" s="19">
        <v>75</v>
      </c>
      <c r="AC239" s="19">
        <v>84</v>
      </c>
      <c r="AD239" s="19">
        <v>96</v>
      </c>
      <c r="AE239" s="19">
        <v>107</v>
      </c>
      <c r="AF239" s="19">
        <v>112</v>
      </c>
      <c r="AG239" s="19">
        <v>119</v>
      </c>
      <c r="AH239" s="31">
        <v>7</v>
      </c>
      <c r="AI239" s="19">
        <v>13</v>
      </c>
      <c r="AJ239" s="19"/>
      <c r="AK239" s="408"/>
      <c r="AL239" s="19">
        <f t="shared" si="1401"/>
        <v>4</v>
      </c>
      <c r="AM239" s="19">
        <f t="shared" si="1459"/>
        <v>6</v>
      </c>
      <c r="AN239" s="19">
        <f t="shared" si="1422"/>
        <v>3</v>
      </c>
      <c r="AO239" s="19">
        <f t="shared" si="1423"/>
        <v>6</v>
      </c>
      <c r="AP239" s="129">
        <f t="shared" si="1424"/>
        <v>2</v>
      </c>
      <c r="AQ239" s="129">
        <f t="shared" si="1425"/>
        <v>3</v>
      </c>
      <c r="AR239" s="129">
        <f t="shared" si="1345"/>
        <v>8</v>
      </c>
      <c r="AS239" s="129">
        <f t="shared" si="1346"/>
        <v>7</v>
      </c>
      <c r="AT239" s="129">
        <f t="shared" si="1347"/>
        <v>4</v>
      </c>
      <c r="AU239" s="129">
        <f t="shared" si="1348"/>
        <v>8</v>
      </c>
      <c r="AV239" s="129">
        <f t="shared" si="1349"/>
        <v>16</v>
      </c>
      <c r="AW239" s="129">
        <f t="shared" si="1350"/>
        <v>43</v>
      </c>
      <c r="AX239" s="19">
        <f t="shared" si="1402"/>
        <v>16</v>
      </c>
      <c r="AY239" s="129">
        <f t="shared" si="1351"/>
        <v>10</v>
      </c>
      <c r="AZ239" s="129">
        <f t="shared" si="1352"/>
        <v>19</v>
      </c>
      <c r="BA239" s="129">
        <f t="shared" si="1403"/>
        <v>8</v>
      </c>
      <c r="BB239" s="129">
        <f t="shared" si="1353"/>
        <v>8</v>
      </c>
      <c r="BC239" s="129">
        <f t="shared" si="1354"/>
        <v>6</v>
      </c>
      <c r="BD239" s="129">
        <f t="shared" si="1355"/>
        <v>8</v>
      </c>
      <c r="BE239" s="129">
        <f t="shared" si="1356"/>
        <v>9</v>
      </c>
      <c r="BF239" s="129">
        <f t="shared" si="1357"/>
        <v>12</v>
      </c>
      <c r="BG239" s="129">
        <f t="shared" si="1358"/>
        <v>11</v>
      </c>
      <c r="BH239" s="129">
        <f t="shared" si="1359"/>
        <v>5</v>
      </c>
      <c r="BI239" s="129">
        <f t="shared" si="1360"/>
        <v>7</v>
      </c>
      <c r="BJ239" s="19">
        <f t="shared" si="1404"/>
        <v>7</v>
      </c>
      <c r="BK239" s="129">
        <f t="shared" si="1361"/>
        <v>6</v>
      </c>
      <c r="BL239" s="129">
        <f t="shared" si="1362"/>
        <v>0</v>
      </c>
      <c r="BM239" s="408"/>
      <c r="BN239" s="48">
        <f t="shared" si="1373"/>
        <v>13</v>
      </c>
      <c r="BO239" s="48">
        <f t="shared" si="1374"/>
        <v>13</v>
      </c>
      <c r="BP239" s="48">
        <f t="shared" si="1426"/>
        <v>13</v>
      </c>
      <c r="BQ239" s="48">
        <f t="shared" si="1376"/>
        <v>11</v>
      </c>
      <c r="BR239" s="48">
        <f t="shared" si="1377"/>
        <v>11</v>
      </c>
      <c r="BS239" s="48">
        <f t="shared" si="1427"/>
        <v>11</v>
      </c>
      <c r="BT239" s="48">
        <f t="shared" si="1379"/>
        <v>19</v>
      </c>
      <c r="BU239" s="48">
        <f t="shared" si="1380"/>
        <v>19</v>
      </c>
      <c r="BV239" s="48">
        <f t="shared" si="1428"/>
        <v>19</v>
      </c>
      <c r="BW239" s="48">
        <f t="shared" si="1382"/>
        <v>67</v>
      </c>
      <c r="BX239" s="48">
        <f t="shared" si="1383"/>
        <v>67</v>
      </c>
      <c r="BY239" s="48">
        <f t="shared" si="1429"/>
        <v>67</v>
      </c>
      <c r="BZ239" s="48">
        <f t="shared" si="1385"/>
        <v>45</v>
      </c>
      <c r="CA239" s="48">
        <f t="shared" si="1386"/>
        <v>45</v>
      </c>
      <c r="CB239" s="48">
        <f t="shared" si="1430"/>
        <v>45</v>
      </c>
      <c r="CC239" s="48">
        <f t="shared" si="1388"/>
        <v>22</v>
      </c>
      <c r="CD239" s="48">
        <f t="shared" si="1389"/>
        <v>22</v>
      </c>
      <c r="CE239" s="48">
        <f t="shared" si="1431"/>
        <v>22</v>
      </c>
      <c r="CF239" s="48">
        <f t="shared" si="1391"/>
        <v>29</v>
      </c>
      <c r="CG239" s="48">
        <f t="shared" si="1392"/>
        <v>29</v>
      </c>
      <c r="CH239" s="48">
        <f t="shared" si="1432"/>
        <v>29</v>
      </c>
      <c r="CI239" s="48">
        <f t="shared" si="1394"/>
        <v>23</v>
      </c>
      <c r="CJ239" s="48">
        <f t="shared" si="1395"/>
        <v>23</v>
      </c>
      <c r="CK239" s="48">
        <f t="shared" si="1433"/>
        <v>23</v>
      </c>
      <c r="CL239" s="48">
        <f t="shared" si="1397"/>
        <v>13</v>
      </c>
      <c r="CM239" s="48">
        <f t="shared" si="1398"/>
        <v>13</v>
      </c>
      <c r="CN239" s="48">
        <f t="shared" si="1434"/>
        <v>13</v>
      </c>
      <c r="CO239" s="406"/>
      <c r="CP239" s="21">
        <f t="shared" si="1460"/>
        <v>4</v>
      </c>
      <c r="CQ239" s="21">
        <f t="shared" si="1461"/>
        <v>10</v>
      </c>
      <c r="CR239" s="21">
        <f t="shared" si="1435"/>
        <v>13</v>
      </c>
      <c r="CS239" s="21">
        <f t="shared" si="1436"/>
        <v>19</v>
      </c>
      <c r="CT239" s="21">
        <f t="shared" si="1437"/>
        <v>21</v>
      </c>
      <c r="CU239" s="21">
        <f t="shared" si="1438"/>
        <v>24</v>
      </c>
      <c r="CV239" s="21">
        <f t="shared" si="1439"/>
        <v>32</v>
      </c>
      <c r="CW239" s="21">
        <f t="shared" si="1440"/>
        <v>39</v>
      </c>
      <c r="CX239" s="21">
        <f t="shared" si="1441"/>
        <v>43</v>
      </c>
      <c r="CY239" s="21">
        <f t="shared" si="1442"/>
        <v>51</v>
      </c>
      <c r="CZ239" s="21">
        <f t="shared" si="1443"/>
        <v>67</v>
      </c>
      <c r="DA239" s="21">
        <f t="shared" si="1444"/>
        <v>110</v>
      </c>
      <c r="DB239" s="21">
        <f t="shared" si="1462"/>
        <v>16</v>
      </c>
      <c r="DC239" s="21">
        <f t="shared" si="1445"/>
        <v>26</v>
      </c>
      <c r="DD239" s="21">
        <f t="shared" si="1446"/>
        <v>45</v>
      </c>
      <c r="DE239" s="21">
        <f t="shared" si="1447"/>
        <v>53</v>
      </c>
      <c r="DF239" s="21">
        <f t="shared" si="1448"/>
        <v>61</v>
      </c>
      <c r="DG239" s="21">
        <f t="shared" si="1449"/>
        <v>67</v>
      </c>
      <c r="DH239" s="21">
        <f t="shared" si="1450"/>
        <v>75</v>
      </c>
      <c r="DI239" s="21">
        <f t="shared" si="1451"/>
        <v>84</v>
      </c>
      <c r="DJ239" s="21">
        <f t="shared" si="1452"/>
        <v>96</v>
      </c>
      <c r="DK239" s="21">
        <f t="shared" si="1453"/>
        <v>107</v>
      </c>
      <c r="DL239" s="21">
        <f t="shared" si="1454"/>
        <v>112</v>
      </c>
      <c r="DM239" s="21">
        <f t="shared" si="1455"/>
        <v>119</v>
      </c>
      <c r="DN239" s="21">
        <f t="shared" si="1456"/>
        <v>7</v>
      </c>
      <c r="DO239" s="21">
        <f t="shared" si="1457"/>
        <v>13</v>
      </c>
      <c r="DP239" s="21">
        <f t="shared" si="1458"/>
        <v>13</v>
      </c>
      <c r="DQ239" s="248"/>
      <c r="DR239" s="248"/>
      <c r="DS239" s="248"/>
      <c r="DT239" s="248"/>
      <c r="DU239" s="248"/>
      <c r="DV239" s="248"/>
      <c r="DW239" s="248"/>
      <c r="DX239" s="248"/>
      <c r="DY239" s="248"/>
      <c r="ED239" s="429"/>
      <c r="EE239" s="23"/>
      <c r="EF239" s="23"/>
      <c r="EG239" s="23"/>
      <c r="EH239" s="18">
        <f t="shared" si="1366"/>
        <v>6</v>
      </c>
      <c r="EI239" s="18">
        <f t="shared" si="1367"/>
        <v>13</v>
      </c>
      <c r="EJ239" s="18">
        <f t="shared" si="1368"/>
        <v>13</v>
      </c>
      <c r="EK239" s="24">
        <f t="shared" si="1411"/>
        <v>0.16666666666666666</v>
      </c>
      <c r="EL239" s="14" t="e">
        <f t="shared" si="1417"/>
        <v>#DIV/0!</v>
      </c>
      <c r="EM239" s="14" t="e">
        <f t="shared" si="1417"/>
        <v>#DIV/0!</v>
      </c>
      <c r="EN239" s="14">
        <f>EJ239/EG214</f>
        <v>0.18571428571428572</v>
      </c>
      <c r="EO239" s="46" t="str">
        <f t="shared" si="1418"/>
        <v>Ç</v>
      </c>
      <c r="EP239" s="46" t="str">
        <f t="shared" si="1419"/>
        <v>Ç</v>
      </c>
      <c r="EQ239" s="2" t="e">
        <f t="shared" si="1400"/>
        <v>#DIV/0!</v>
      </c>
      <c r="ER239" s="2" t="e">
        <f t="shared" si="1371"/>
        <v>#DIV/0!</v>
      </c>
      <c r="ES239" s="2">
        <f t="shared" si="1372"/>
        <v>3</v>
      </c>
    </row>
    <row r="240" spans="1:149" ht="12.75" customHeight="1">
      <c r="A240" s="6" t="s">
        <v>23</v>
      </c>
      <c r="B240" s="2" t="s">
        <v>12</v>
      </c>
      <c r="C240" s="3" t="s">
        <v>68</v>
      </c>
      <c r="E240" s="3" t="s">
        <v>16</v>
      </c>
      <c r="G240" s="3" t="s">
        <v>91</v>
      </c>
      <c r="I240" s="23"/>
      <c r="J240" s="19">
        <v>0</v>
      </c>
      <c r="K240" s="19">
        <v>1</v>
      </c>
      <c r="L240" s="19">
        <v>1</v>
      </c>
      <c r="M240" s="19">
        <v>1</v>
      </c>
      <c r="N240" s="19">
        <v>1</v>
      </c>
      <c r="O240" s="19">
        <v>1</v>
      </c>
      <c r="P240" s="19">
        <v>1</v>
      </c>
      <c r="Q240" s="19">
        <v>4</v>
      </c>
      <c r="R240" s="19">
        <v>5</v>
      </c>
      <c r="S240" s="19">
        <v>12</v>
      </c>
      <c r="T240" s="19">
        <v>30</v>
      </c>
      <c r="U240" s="19">
        <v>72</v>
      </c>
      <c r="V240" s="31">
        <v>14</v>
      </c>
      <c r="W240" s="19">
        <v>23</v>
      </c>
      <c r="X240" s="19">
        <v>30</v>
      </c>
      <c r="Y240" s="341">
        <v>39</v>
      </c>
      <c r="Z240" s="19">
        <v>47</v>
      </c>
      <c r="AA240" s="19">
        <v>57</v>
      </c>
      <c r="AB240" s="19">
        <v>67</v>
      </c>
      <c r="AC240" s="19">
        <v>76</v>
      </c>
      <c r="AD240" s="19">
        <v>79</v>
      </c>
      <c r="AE240" s="19">
        <v>85</v>
      </c>
      <c r="AF240" s="19">
        <v>88</v>
      </c>
      <c r="AG240" s="19">
        <v>95</v>
      </c>
      <c r="AH240" s="31">
        <v>1</v>
      </c>
      <c r="AI240" s="19">
        <v>7</v>
      </c>
      <c r="AJ240" s="19"/>
      <c r="AK240" s="408"/>
      <c r="AL240" s="19">
        <f t="shared" si="1401"/>
        <v>0</v>
      </c>
      <c r="AM240" s="19">
        <f t="shared" si="1459"/>
        <v>1</v>
      </c>
      <c r="AN240" s="19">
        <f t="shared" si="1422"/>
        <v>0</v>
      </c>
      <c r="AO240" s="19">
        <f t="shared" si="1423"/>
        <v>0</v>
      </c>
      <c r="AP240" s="129">
        <f t="shared" si="1424"/>
        <v>0</v>
      </c>
      <c r="AQ240" s="129">
        <f t="shared" si="1425"/>
        <v>0</v>
      </c>
      <c r="AR240" s="129">
        <f t="shared" si="1345"/>
        <v>0</v>
      </c>
      <c r="AS240" s="129">
        <f t="shared" si="1346"/>
        <v>3</v>
      </c>
      <c r="AT240" s="129">
        <f t="shared" si="1347"/>
        <v>1</v>
      </c>
      <c r="AU240" s="129">
        <f t="shared" si="1348"/>
        <v>7</v>
      </c>
      <c r="AV240" s="129">
        <f t="shared" si="1349"/>
        <v>18</v>
      </c>
      <c r="AW240" s="129">
        <f t="shared" si="1350"/>
        <v>42</v>
      </c>
      <c r="AX240" s="19">
        <f t="shared" si="1402"/>
        <v>14</v>
      </c>
      <c r="AY240" s="129">
        <f t="shared" si="1351"/>
        <v>9</v>
      </c>
      <c r="AZ240" s="129">
        <f t="shared" si="1352"/>
        <v>7</v>
      </c>
      <c r="BA240" s="129">
        <f t="shared" si="1403"/>
        <v>9</v>
      </c>
      <c r="BB240" s="129">
        <f t="shared" si="1353"/>
        <v>8</v>
      </c>
      <c r="BC240" s="129">
        <f t="shared" si="1354"/>
        <v>10</v>
      </c>
      <c r="BD240" s="129">
        <f t="shared" si="1355"/>
        <v>10</v>
      </c>
      <c r="BE240" s="129">
        <f t="shared" si="1356"/>
        <v>9</v>
      </c>
      <c r="BF240" s="129">
        <f t="shared" si="1357"/>
        <v>3</v>
      </c>
      <c r="BG240" s="129">
        <f t="shared" si="1358"/>
        <v>6</v>
      </c>
      <c r="BH240" s="129">
        <f t="shared" si="1359"/>
        <v>3</v>
      </c>
      <c r="BI240" s="129">
        <f t="shared" si="1360"/>
        <v>7</v>
      </c>
      <c r="BJ240" s="19">
        <f t="shared" si="1404"/>
        <v>1</v>
      </c>
      <c r="BK240" s="129">
        <f t="shared" si="1361"/>
        <v>6</v>
      </c>
      <c r="BL240" s="129">
        <f t="shared" si="1362"/>
        <v>0</v>
      </c>
      <c r="BM240" s="408"/>
      <c r="BN240" s="48">
        <f t="shared" si="1373"/>
        <v>1</v>
      </c>
      <c r="BO240" s="48">
        <f t="shared" si="1374"/>
        <v>1</v>
      </c>
      <c r="BP240" s="48">
        <f t="shared" si="1426"/>
        <v>1</v>
      </c>
      <c r="BQ240" s="48">
        <f t="shared" si="1376"/>
        <v>0</v>
      </c>
      <c r="BR240" s="48">
        <f t="shared" si="1377"/>
        <v>0</v>
      </c>
      <c r="BS240" s="48">
        <f t="shared" si="1427"/>
        <v>0</v>
      </c>
      <c r="BT240" s="48">
        <f t="shared" si="1379"/>
        <v>4</v>
      </c>
      <c r="BU240" s="48">
        <f t="shared" si="1380"/>
        <v>4</v>
      </c>
      <c r="BV240" s="48">
        <f t="shared" si="1428"/>
        <v>4</v>
      </c>
      <c r="BW240" s="48">
        <f t="shared" si="1382"/>
        <v>67</v>
      </c>
      <c r="BX240" s="48">
        <f t="shared" si="1383"/>
        <v>67</v>
      </c>
      <c r="BY240" s="48">
        <f t="shared" si="1429"/>
        <v>67</v>
      </c>
      <c r="BZ240" s="48">
        <f t="shared" si="1385"/>
        <v>30</v>
      </c>
      <c r="CA240" s="48">
        <f t="shared" si="1386"/>
        <v>30</v>
      </c>
      <c r="CB240" s="48">
        <f t="shared" si="1430"/>
        <v>30</v>
      </c>
      <c r="CC240" s="48">
        <f t="shared" si="1388"/>
        <v>27</v>
      </c>
      <c r="CD240" s="48">
        <f t="shared" si="1389"/>
        <v>27</v>
      </c>
      <c r="CE240" s="48">
        <f t="shared" si="1431"/>
        <v>27</v>
      </c>
      <c r="CF240" s="48">
        <f t="shared" si="1391"/>
        <v>22</v>
      </c>
      <c r="CG240" s="48">
        <f t="shared" si="1392"/>
        <v>22</v>
      </c>
      <c r="CH240" s="48">
        <f t="shared" si="1432"/>
        <v>22</v>
      </c>
      <c r="CI240" s="48">
        <f t="shared" si="1394"/>
        <v>16</v>
      </c>
      <c r="CJ240" s="48">
        <f t="shared" si="1395"/>
        <v>16</v>
      </c>
      <c r="CK240" s="48">
        <f t="shared" si="1433"/>
        <v>16</v>
      </c>
      <c r="CL240" s="48">
        <f t="shared" si="1397"/>
        <v>7</v>
      </c>
      <c r="CM240" s="48">
        <f t="shared" si="1398"/>
        <v>7</v>
      </c>
      <c r="CN240" s="48">
        <f t="shared" si="1434"/>
        <v>7</v>
      </c>
      <c r="CO240" s="406"/>
      <c r="CP240" s="21">
        <f t="shared" si="1460"/>
        <v>0</v>
      </c>
      <c r="CQ240" s="21">
        <f t="shared" si="1461"/>
        <v>1</v>
      </c>
      <c r="CR240" s="21">
        <f t="shared" si="1435"/>
        <v>1</v>
      </c>
      <c r="CS240" s="21">
        <f t="shared" si="1436"/>
        <v>1</v>
      </c>
      <c r="CT240" s="21">
        <f t="shared" si="1437"/>
        <v>1</v>
      </c>
      <c r="CU240" s="21">
        <f t="shared" si="1438"/>
        <v>1</v>
      </c>
      <c r="CV240" s="21">
        <f t="shared" si="1439"/>
        <v>1</v>
      </c>
      <c r="CW240" s="21">
        <f t="shared" si="1440"/>
        <v>4</v>
      </c>
      <c r="CX240" s="21">
        <f t="shared" si="1441"/>
        <v>5</v>
      </c>
      <c r="CY240" s="21">
        <f t="shared" si="1442"/>
        <v>12</v>
      </c>
      <c r="CZ240" s="21">
        <f t="shared" si="1443"/>
        <v>30</v>
      </c>
      <c r="DA240" s="21">
        <f t="shared" si="1444"/>
        <v>72</v>
      </c>
      <c r="DB240" s="21">
        <f t="shared" si="1462"/>
        <v>14</v>
      </c>
      <c r="DC240" s="21">
        <f t="shared" si="1445"/>
        <v>23</v>
      </c>
      <c r="DD240" s="21">
        <f t="shared" si="1446"/>
        <v>30</v>
      </c>
      <c r="DE240" s="21">
        <f t="shared" si="1447"/>
        <v>39</v>
      </c>
      <c r="DF240" s="21">
        <f t="shared" si="1448"/>
        <v>47</v>
      </c>
      <c r="DG240" s="21">
        <f t="shared" si="1449"/>
        <v>57</v>
      </c>
      <c r="DH240" s="21">
        <f t="shared" si="1450"/>
        <v>67</v>
      </c>
      <c r="DI240" s="21">
        <f t="shared" si="1451"/>
        <v>76</v>
      </c>
      <c r="DJ240" s="21">
        <f t="shared" si="1452"/>
        <v>79</v>
      </c>
      <c r="DK240" s="21">
        <f t="shared" si="1453"/>
        <v>85</v>
      </c>
      <c r="DL240" s="21">
        <f t="shared" si="1454"/>
        <v>88</v>
      </c>
      <c r="DM240" s="21">
        <f t="shared" si="1455"/>
        <v>95</v>
      </c>
      <c r="DN240" s="21">
        <f t="shared" si="1456"/>
        <v>1</v>
      </c>
      <c r="DO240" s="21">
        <f t="shared" si="1457"/>
        <v>7</v>
      </c>
      <c r="DP240" s="21">
        <f t="shared" si="1458"/>
        <v>7</v>
      </c>
      <c r="DQ240" s="248"/>
      <c r="DR240" s="248"/>
      <c r="DS240" s="248"/>
      <c r="DT240" s="248"/>
      <c r="DU240" s="248"/>
      <c r="DV240" s="248"/>
      <c r="DW240" s="248"/>
      <c r="DX240" s="248"/>
      <c r="DY240" s="248"/>
      <c r="ED240" s="429"/>
      <c r="EE240" s="23"/>
      <c r="EF240" s="23"/>
      <c r="EG240" s="23"/>
      <c r="EH240" s="18">
        <f t="shared" si="1366"/>
        <v>6</v>
      </c>
      <c r="EI240" s="18">
        <f t="shared" si="1367"/>
        <v>7</v>
      </c>
      <c r="EJ240" s="18">
        <f t="shared" si="1368"/>
        <v>7</v>
      </c>
      <c r="EK240" s="24">
        <f t="shared" si="1411"/>
        <v>0.16666666666666666</v>
      </c>
      <c r="EL240" s="14" t="e">
        <f t="shared" si="1417"/>
        <v>#DIV/0!</v>
      </c>
      <c r="EM240" s="14" t="e">
        <f t="shared" si="1417"/>
        <v>#DIV/0!</v>
      </c>
      <c r="EN240" s="14">
        <f t="shared" si="1417"/>
        <v>0.12962962962962962</v>
      </c>
      <c r="EO240" s="46" t="str">
        <f t="shared" si="1418"/>
        <v>Ç</v>
      </c>
      <c r="EP240" s="46" t="str">
        <f t="shared" si="1419"/>
        <v>Ç</v>
      </c>
      <c r="EQ240" s="2" t="e">
        <f t="shared" si="1400"/>
        <v>#DIV/0!</v>
      </c>
      <c r="ER240" s="2" t="e">
        <f t="shared" si="1371"/>
        <v>#DIV/0!</v>
      </c>
      <c r="ES240" s="2">
        <f t="shared" si="1372"/>
        <v>3</v>
      </c>
    </row>
    <row r="241" spans="1:149" ht="12.75" customHeight="1">
      <c r="A241" s="6" t="s">
        <v>23</v>
      </c>
      <c r="B241" s="2" t="s">
        <v>17</v>
      </c>
      <c r="C241" s="3" t="s">
        <v>69</v>
      </c>
      <c r="E241" s="3" t="s">
        <v>18</v>
      </c>
      <c r="G241" s="3" t="s">
        <v>91</v>
      </c>
      <c r="I241" s="23"/>
      <c r="J241" s="19">
        <v>0</v>
      </c>
      <c r="K241" s="19">
        <v>0</v>
      </c>
      <c r="L241" s="19">
        <v>2</v>
      </c>
      <c r="M241" s="19">
        <f>L241</f>
        <v>2</v>
      </c>
      <c r="N241" s="19">
        <v>2</v>
      </c>
      <c r="O241" s="19">
        <v>2</v>
      </c>
      <c r="P241" s="19">
        <v>2</v>
      </c>
      <c r="Q241" s="19">
        <v>2</v>
      </c>
      <c r="R241" s="19">
        <v>2</v>
      </c>
      <c r="S241" s="19">
        <v>2</v>
      </c>
      <c r="T241" s="19">
        <v>5</v>
      </c>
      <c r="U241" s="19">
        <v>5</v>
      </c>
      <c r="V241" s="31">
        <v>0</v>
      </c>
      <c r="W241" s="19">
        <v>2</v>
      </c>
      <c r="X241" s="19">
        <v>2</v>
      </c>
      <c r="Y241" s="341">
        <v>2</v>
      </c>
      <c r="Z241" s="19">
        <v>2</v>
      </c>
      <c r="AA241" s="19">
        <v>2</v>
      </c>
      <c r="AB241" s="19">
        <v>4</v>
      </c>
      <c r="AC241" s="19">
        <v>4</v>
      </c>
      <c r="AD241" s="19">
        <v>4</v>
      </c>
      <c r="AE241" s="19">
        <v>4</v>
      </c>
      <c r="AF241" s="19"/>
      <c r="AG241" s="19">
        <v>2</v>
      </c>
      <c r="AH241" s="31"/>
      <c r="AI241" s="19"/>
      <c r="AJ241" s="19"/>
      <c r="AK241" s="408"/>
      <c r="AL241" s="19">
        <f t="shared" si="1401"/>
        <v>0</v>
      </c>
      <c r="AM241" s="19">
        <f t="shared" si="1459"/>
        <v>0</v>
      </c>
      <c r="AN241" s="19">
        <f t="shared" si="1422"/>
        <v>2</v>
      </c>
      <c r="AO241" s="19">
        <f t="shared" si="1423"/>
        <v>0</v>
      </c>
      <c r="AP241" s="129">
        <f t="shared" si="1424"/>
        <v>0</v>
      </c>
      <c r="AQ241" s="129">
        <f t="shared" si="1425"/>
        <v>0</v>
      </c>
      <c r="AR241" s="129">
        <f t="shared" si="1345"/>
        <v>0</v>
      </c>
      <c r="AS241" s="129">
        <f t="shared" si="1346"/>
        <v>0</v>
      </c>
      <c r="AT241" s="129">
        <f t="shared" si="1347"/>
        <v>0</v>
      </c>
      <c r="AU241" s="129">
        <f t="shared" si="1348"/>
        <v>0</v>
      </c>
      <c r="AV241" s="129">
        <f t="shared" si="1349"/>
        <v>3</v>
      </c>
      <c r="AW241" s="129">
        <f t="shared" si="1350"/>
        <v>0</v>
      </c>
      <c r="AX241" s="19">
        <f t="shared" si="1402"/>
        <v>0</v>
      </c>
      <c r="AY241" s="129">
        <f t="shared" si="1351"/>
        <v>2</v>
      </c>
      <c r="AZ241" s="129">
        <f t="shared" si="1352"/>
        <v>0</v>
      </c>
      <c r="BA241" s="129">
        <f t="shared" si="1403"/>
        <v>0</v>
      </c>
      <c r="BB241" s="129">
        <f t="shared" si="1353"/>
        <v>0</v>
      </c>
      <c r="BC241" s="129">
        <f t="shared" si="1354"/>
        <v>0</v>
      </c>
      <c r="BD241" s="129">
        <f t="shared" si="1355"/>
        <v>2</v>
      </c>
      <c r="BE241" s="129">
        <f t="shared" si="1356"/>
        <v>0</v>
      </c>
      <c r="BF241" s="129">
        <f t="shared" si="1357"/>
        <v>0</v>
      </c>
      <c r="BG241" s="129">
        <f t="shared" si="1358"/>
        <v>0</v>
      </c>
      <c r="BH241" s="129">
        <f t="shared" si="1359"/>
        <v>0</v>
      </c>
      <c r="BI241" s="129">
        <f t="shared" si="1360"/>
        <v>2</v>
      </c>
      <c r="BJ241" s="19">
        <f t="shared" si="1404"/>
        <v>0</v>
      </c>
      <c r="BK241" s="129">
        <f t="shared" si="1361"/>
        <v>0</v>
      </c>
      <c r="BL241" s="129">
        <f t="shared" si="1362"/>
        <v>0</v>
      </c>
      <c r="BM241" s="408"/>
      <c r="BN241" s="48">
        <f t="shared" si="1373"/>
        <v>2</v>
      </c>
      <c r="BO241" s="48">
        <f t="shared" si="1374"/>
        <v>2</v>
      </c>
      <c r="BP241" s="48">
        <f t="shared" si="1426"/>
        <v>2</v>
      </c>
      <c r="BQ241" s="48">
        <f t="shared" si="1376"/>
        <v>0</v>
      </c>
      <c r="BR241" s="48">
        <f t="shared" si="1377"/>
        <v>0</v>
      </c>
      <c r="BS241" s="48">
        <f t="shared" si="1427"/>
        <v>0</v>
      </c>
      <c r="BT241" s="48">
        <f t="shared" si="1379"/>
        <v>0</v>
      </c>
      <c r="BU241" s="48">
        <f t="shared" si="1380"/>
        <v>0</v>
      </c>
      <c r="BV241" s="48">
        <f t="shared" si="1428"/>
        <v>0</v>
      </c>
      <c r="BW241" s="48">
        <f t="shared" si="1382"/>
        <v>3</v>
      </c>
      <c r="BX241" s="48">
        <f t="shared" si="1383"/>
        <v>3</v>
      </c>
      <c r="BY241" s="48">
        <f t="shared" si="1429"/>
        <v>3</v>
      </c>
      <c r="BZ241" s="48">
        <f t="shared" si="1385"/>
        <v>2</v>
      </c>
      <c r="CA241" s="48">
        <f t="shared" si="1386"/>
        <v>2</v>
      </c>
      <c r="CB241" s="48">
        <f t="shared" si="1430"/>
        <v>2</v>
      </c>
      <c r="CC241" s="48">
        <f t="shared" si="1388"/>
        <v>0</v>
      </c>
      <c r="CD241" s="48">
        <f t="shared" si="1389"/>
        <v>0</v>
      </c>
      <c r="CE241" s="48">
        <f t="shared" si="1431"/>
        <v>0</v>
      </c>
      <c r="CF241" s="48">
        <f t="shared" si="1391"/>
        <v>2</v>
      </c>
      <c r="CG241" s="48">
        <f t="shared" si="1392"/>
        <v>2</v>
      </c>
      <c r="CH241" s="48">
        <f t="shared" si="1432"/>
        <v>2</v>
      </c>
      <c r="CI241" s="48">
        <f t="shared" si="1394"/>
        <v>2</v>
      </c>
      <c r="CJ241" s="48">
        <f t="shared" si="1395"/>
        <v>2</v>
      </c>
      <c r="CK241" s="48">
        <f t="shared" si="1433"/>
        <v>2</v>
      </c>
      <c r="CL241" s="48">
        <f t="shared" si="1397"/>
        <v>0</v>
      </c>
      <c r="CM241" s="48">
        <f t="shared" si="1398"/>
        <v>0</v>
      </c>
      <c r="CN241" s="48">
        <f t="shared" si="1434"/>
        <v>0</v>
      </c>
      <c r="CO241" s="406"/>
      <c r="CP241" s="21">
        <f t="shared" si="1460"/>
        <v>0</v>
      </c>
      <c r="CQ241" s="21">
        <f t="shared" si="1461"/>
        <v>0</v>
      </c>
      <c r="CR241" s="21">
        <f t="shared" si="1435"/>
        <v>2</v>
      </c>
      <c r="CS241" s="21">
        <f t="shared" si="1436"/>
        <v>2</v>
      </c>
      <c r="CT241" s="21">
        <f t="shared" si="1437"/>
        <v>2</v>
      </c>
      <c r="CU241" s="21">
        <f t="shared" si="1438"/>
        <v>2</v>
      </c>
      <c r="CV241" s="21">
        <f t="shared" si="1439"/>
        <v>2</v>
      </c>
      <c r="CW241" s="21">
        <f t="shared" si="1440"/>
        <v>2</v>
      </c>
      <c r="CX241" s="21">
        <f t="shared" si="1441"/>
        <v>2</v>
      </c>
      <c r="CY241" s="21">
        <f t="shared" si="1442"/>
        <v>2</v>
      </c>
      <c r="CZ241" s="21">
        <f t="shared" si="1443"/>
        <v>5</v>
      </c>
      <c r="DA241" s="21">
        <f t="shared" si="1444"/>
        <v>5</v>
      </c>
      <c r="DB241" s="21">
        <f t="shared" si="1462"/>
        <v>0</v>
      </c>
      <c r="DC241" s="21">
        <f t="shared" si="1445"/>
        <v>2</v>
      </c>
      <c r="DD241" s="21">
        <f t="shared" si="1446"/>
        <v>2</v>
      </c>
      <c r="DE241" s="21">
        <f t="shared" si="1447"/>
        <v>2</v>
      </c>
      <c r="DF241" s="21">
        <f t="shared" si="1448"/>
        <v>2</v>
      </c>
      <c r="DG241" s="21">
        <f t="shared" si="1449"/>
        <v>2</v>
      </c>
      <c r="DH241" s="21">
        <f t="shared" si="1450"/>
        <v>4</v>
      </c>
      <c r="DI241" s="21">
        <f t="shared" si="1451"/>
        <v>4</v>
      </c>
      <c r="DJ241" s="21">
        <f t="shared" si="1452"/>
        <v>4</v>
      </c>
      <c r="DK241" s="21">
        <f t="shared" si="1453"/>
        <v>4</v>
      </c>
      <c r="DL241" s="21">
        <f t="shared" si="1454"/>
        <v>4</v>
      </c>
      <c r="DM241" s="21">
        <f t="shared" si="1455"/>
        <v>6</v>
      </c>
      <c r="DN241" s="21">
        <f t="shared" si="1456"/>
        <v>0</v>
      </c>
      <c r="DO241" s="21">
        <f t="shared" si="1457"/>
        <v>0</v>
      </c>
      <c r="DP241" s="21">
        <f t="shared" si="1458"/>
        <v>0</v>
      </c>
      <c r="DQ241" s="248"/>
      <c r="DR241" s="248"/>
      <c r="DS241" s="248"/>
      <c r="DT241" s="248"/>
      <c r="DU241" s="248"/>
      <c r="DV241" s="248"/>
      <c r="DW241" s="248"/>
      <c r="DX241" s="248"/>
      <c r="DY241" s="248"/>
      <c r="ED241" s="429"/>
      <c r="EE241" s="23"/>
      <c r="EF241" s="23"/>
      <c r="EG241" s="23"/>
      <c r="EH241" s="18">
        <f t="shared" si="1366"/>
        <v>0</v>
      </c>
      <c r="EI241" s="18">
        <f t="shared" si="1367"/>
        <v>0</v>
      </c>
      <c r="EJ241" s="18">
        <f t="shared" si="1368"/>
        <v>0</v>
      </c>
      <c r="EK241" s="24">
        <f t="shared" si="1411"/>
        <v>0.16666666666666666</v>
      </c>
      <c r="EL241" s="14">
        <f>IF(EE216=0,0,EH241/EE216)</f>
        <v>0</v>
      </c>
      <c r="EM241" s="14" t="str">
        <f>IF(EF216=0,"",EI241/EF216)</f>
        <v/>
      </c>
      <c r="EN241" s="14">
        <f t="shared" si="1417"/>
        <v>0</v>
      </c>
      <c r="EO241" s="46" t="str">
        <f t="shared" si="1418"/>
        <v>Æ</v>
      </c>
      <c r="EP241" s="46" t="str">
        <f t="shared" si="1419"/>
        <v>Æ</v>
      </c>
      <c r="EQ241" s="24" t="str">
        <f>IF(EJ216&lt;&gt;0,EM241/EJ216,"N/A")</f>
        <v>N/A</v>
      </c>
      <c r="ER241" s="2">
        <f>IF(EM241&gt;=0.9,1,IF(EM241&gt;0.75,2,3))</f>
        <v>1</v>
      </c>
      <c r="ES241" s="2">
        <f>IF(EN241="","",IF(EN241&gt;=0.9,1,IF(EN241&lt;0.75,3,2)))</f>
        <v>3</v>
      </c>
    </row>
    <row r="242" spans="1:149" ht="12.75" customHeight="1">
      <c r="A242" s="6" t="s">
        <v>23</v>
      </c>
      <c r="B242" s="324" t="s">
        <v>202</v>
      </c>
      <c r="C242" s="3" t="s">
        <v>70</v>
      </c>
      <c r="E242" s="3" t="s">
        <v>15</v>
      </c>
      <c r="G242" s="3" t="s">
        <v>91</v>
      </c>
      <c r="I242" s="23"/>
      <c r="J242" s="19">
        <v>0</v>
      </c>
      <c r="K242" s="19">
        <v>0</v>
      </c>
      <c r="L242" s="19">
        <v>0</v>
      </c>
      <c r="M242" s="19">
        <v>0</v>
      </c>
      <c r="N242" s="19">
        <v>0</v>
      </c>
      <c r="O242" s="19">
        <v>0</v>
      </c>
      <c r="P242" s="19">
        <v>2</v>
      </c>
      <c r="Q242" s="19">
        <v>2</v>
      </c>
      <c r="R242" s="19">
        <v>2</v>
      </c>
      <c r="S242" s="19">
        <v>2</v>
      </c>
      <c r="T242" s="19">
        <v>2</v>
      </c>
      <c r="U242" s="19">
        <v>4</v>
      </c>
      <c r="V242" s="31">
        <v>0</v>
      </c>
      <c r="W242" s="19">
        <v>0</v>
      </c>
      <c r="X242" s="19">
        <v>0</v>
      </c>
      <c r="Y242" s="341">
        <v>0</v>
      </c>
      <c r="Z242" s="19">
        <v>0</v>
      </c>
      <c r="AA242" s="19">
        <v>0</v>
      </c>
      <c r="AB242" s="19">
        <v>2</v>
      </c>
      <c r="AC242" s="19">
        <v>2</v>
      </c>
      <c r="AD242" s="19">
        <v>2</v>
      </c>
      <c r="AE242" s="19">
        <v>2</v>
      </c>
      <c r="AF242" s="19">
        <v>2</v>
      </c>
      <c r="AG242" s="19">
        <v>3</v>
      </c>
      <c r="AH242" s="31"/>
      <c r="AI242" s="19"/>
      <c r="AJ242" s="19"/>
      <c r="AK242" s="408"/>
      <c r="AL242" s="40">
        <f t="shared" si="1401"/>
        <v>0</v>
      </c>
      <c r="AM242" s="40">
        <f t="shared" si="1459"/>
        <v>0</v>
      </c>
      <c r="AN242" s="40">
        <f t="shared" si="1422"/>
        <v>0</v>
      </c>
      <c r="AO242" s="40">
        <f t="shared" si="1423"/>
        <v>0</v>
      </c>
      <c r="AP242" s="40">
        <f t="shared" ref="AP242:AW242" si="1463">N242-M242</f>
        <v>0</v>
      </c>
      <c r="AQ242" s="40">
        <f t="shared" si="1463"/>
        <v>0</v>
      </c>
      <c r="AR242" s="40">
        <f t="shared" si="1463"/>
        <v>2</v>
      </c>
      <c r="AS242" s="40">
        <f t="shared" si="1463"/>
        <v>0</v>
      </c>
      <c r="AT242" s="40">
        <f t="shared" si="1463"/>
        <v>0</v>
      </c>
      <c r="AU242" s="40">
        <f t="shared" si="1463"/>
        <v>0</v>
      </c>
      <c r="AV242" s="40">
        <f t="shared" si="1463"/>
        <v>0</v>
      </c>
      <c r="AW242" s="40">
        <f t="shared" si="1463"/>
        <v>2</v>
      </c>
      <c r="AX242" s="40">
        <f t="shared" si="1402"/>
        <v>0</v>
      </c>
      <c r="AY242" s="40">
        <f t="shared" ref="AY242:BL243" si="1464">W242-V242</f>
        <v>0</v>
      </c>
      <c r="AZ242" s="40">
        <f t="shared" si="1464"/>
        <v>0</v>
      </c>
      <c r="BA242" s="40">
        <f t="shared" si="1464"/>
        <v>0</v>
      </c>
      <c r="BB242" s="40">
        <f t="shared" si="1464"/>
        <v>0</v>
      </c>
      <c r="BC242" s="40">
        <f t="shared" si="1464"/>
        <v>0</v>
      </c>
      <c r="BD242" s="40">
        <f t="shared" si="1464"/>
        <v>2</v>
      </c>
      <c r="BE242" s="40">
        <f t="shared" si="1464"/>
        <v>0</v>
      </c>
      <c r="BF242" s="40">
        <f t="shared" si="1464"/>
        <v>0</v>
      </c>
      <c r="BG242" s="40">
        <f t="shared" si="1464"/>
        <v>0</v>
      </c>
      <c r="BH242" s="40">
        <f t="shared" si="1464"/>
        <v>0</v>
      </c>
      <c r="BI242" s="40">
        <f t="shared" si="1464"/>
        <v>1</v>
      </c>
      <c r="BJ242" s="40">
        <f t="shared" si="1464"/>
        <v>-3</v>
      </c>
      <c r="BK242" s="40">
        <f t="shared" si="1464"/>
        <v>0</v>
      </c>
      <c r="BL242" s="40">
        <f t="shared" si="1464"/>
        <v>0</v>
      </c>
      <c r="BM242" s="408"/>
      <c r="BN242" s="48">
        <f t="shared" si="1373"/>
        <v>0</v>
      </c>
      <c r="BO242" s="48">
        <f t="shared" si="1374"/>
        <v>0</v>
      </c>
      <c r="BP242" s="48">
        <f>SUM(AL242:AN242)</f>
        <v>0</v>
      </c>
      <c r="BQ242" s="48">
        <f t="shared" si="1376"/>
        <v>0</v>
      </c>
      <c r="BR242" s="48">
        <f t="shared" si="1377"/>
        <v>0</v>
      </c>
      <c r="BS242" s="48">
        <f>SUM(AO242:AQ242)</f>
        <v>0</v>
      </c>
      <c r="BT242" s="48">
        <f t="shared" si="1379"/>
        <v>2</v>
      </c>
      <c r="BU242" s="48">
        <f t="shared" si="1380"/>
        <v>2</v>
      </c>
      <c r="BV242" s="48">
        <f>SUM(AR242:AT242)</f>
        <v>2</v>
      </c>
      <c r="BW242" s="48">
        <f t="shared" si="1382"/>
        <v>2</v>
      </c>
      <c r="BX242" s="48">
        <f t="shared" si="1383"/>
        <v>2</v>
      </c>
      <c r="BY242" s="48">
        <f>SUM(AU242:AW242)</f>
        <v>2</v>
      </c>
      <c r="BZ242" s="48">
        <f t="shared" si="1385"/>
        <v>0</v>
      </c>
      <c r="CA242" s="48">
        <f t="shared" si="1386"/>
        <v>0</v>
      </c>
      <c r="CB242" s="48">
        <f>SUM(AX242:AZ242)</f>
        <v>0</v>
      </c>
      <c r="CC242" s="48">
        <f t="shared" si="1388"/>
        <v>0</v>
      </c>
      <c r="CD242" s="48">
        <f t="shared" si="1389"/>
        <v>0</v>
      </c>
      <c r="CE242" s="48">
        <f>SUM(BA242:BC242)</f>
        <v>0</v>
      </c>
      <c r="CF242" s="48">
        <f t="shared" si="1391"/>
        <v>2</v>
      </c>
      <c r="CG242" s="48">
        <f t="shared" si="1392"/>
        <v>2</v>
      </c>
      <c r="CH242" s="48">
        <f>SUM(BD242:BF242)</f>
        <v>2</v>
      </c>
      <c r="CI242" s="48">
        <f t="shared" si="1394"/>
        <v>1</v>
      </c>
      <c r="CJ242" s="48">
        <f t="shared" si="1395"/>
        <v>1</v>
      </c>
      <c r="CK242" s="48">
        <f>SUM(BG242:BI242)</f>
        <v>1</v>
      </c>
      <c r="CL242" s="48">
        <f t="shared" si="1397"/>
        <v>-3</v>
      </c>
      <c r="CM242" s="48">
        <f t="shared" si="1398"/>
        <v>-3</v>
      </c>
      <c r="CN242" s="48">
        <f>SUM(BJ242:BL242)</f>
        <v>-3</v>
      </c>
      <c r="CO242" s="406"/>
      <c r="CP242" s="48">
        <f t="shared" si="1460"/>
        <v>0</v>
      </c>
      <c r="CQ242" s="48">
        <f t="shared" si="1461"/>
        <v>0</v>
      </c>
      <c r="CR242" s="48">
        <f t="shared" si="1435"/>
        <v>0</v>
      </c>
      <c r="CS242" s="48">
        <f t="shared" si="1436"/>
        <v>0</v>
      </c>
      <c r="CT242" s="48">
        <f t="shared" si="1437"/>
        <v>0</v>
      </c>
      <c r="CU242" s="48">
        <f t="shared" si="1438"/>
        <v>0</v>
      </c>
      <c r="CV242" s="48">
        <f t="shared" si="1439"/>
        <v>2</v>
      </c>
      <c r="CW242" s="48">
        <f t="shared" si="1440"/>
        <v>2</v>
      </c>
      <c r="CX242" s="48">
        <f t="shared" si="1441"/>
        <v>2</v>
      </c>
      <c r="CY242" s="48">
        <f t="shared" si="1442"/>
        <v>2</v>
      </c>
      <c r="CZ242" s="48">
        <f t="shared" si="1443"/>
        <v>2</v>
      </c>
      <c r="DA242" s="48">
        <f t="shared" si="1444"/>
        <v>4</v>
      </c>
      <c r="DB242" s="48">
        <f t="shared" si="1462"/>
        <v>0</v>
      </c>
      <c r="DC242" s="48">
        <f t="shared" si="1445"/>
        <v>0</v>
      </c>
      <c r="DD242" s="48">
        <f t="shared" si="1446"/>
        <v>0</v>
      </c>
      <c r="DE242" s="48">
        <f t="shared" si="1447"/>
        <v>0</v>
      </c>
      <c r="DF242" s="48">
        <f t="shared" si="1448"/>
        <v>0</v>
      </c>
      <c r="DG242" s="48">
        <f t="shared" si="1449"/>
        <v>0</v>
      </c>
      <c r="DH242" s="48">
        <f t="shared" si="1450"/>
        <v>2</v>
      </c>
      <c r="DI242" s="48">
        <f t="shared" si="1451"/>
        <v>2</v>
      </c>
      <c r="DJ242" s="48">
        <f t="shared" si="1452"/>
        <v>2</v>
      </c>
      <c r="DK242" s="48">
        <f t="shared" si="1453"/>
        <v>2</v>
      </c>
      <c r="DL242" s="48">
        <f t="shared" si="1454"/>
        <v>2</v>
      </c>
      <c r="DM242" s="48">
        <f t="shared" si="1455"/>
        <v>3</v>
      </c>
      <c r="DN242" s="48">
        <f>DM242+BJ242</f>
        <v>0</v>
      </c>
      <c r="DO242" s="48">
        <f t="shared" si="1457"/>
        <v>0</v>
      </c>
      <c r="DP242" s="48">
        <f t="shared" si="1458"/>
        <v>0</v>
      </c>
      <c r="DQ242" s="48"/>
      <c r="DR242" s="48"/>
      <c r="DS242" s="48"/>
      <c r="DT242" s="48"/>
      <c r="DU242" s="48"/>
      <c r="DV242" s="48"/>
      <c r="DW242" s="48"/>
      <c r="DX242" s="48"/>
      <c r="DY242" s="48"/>
      <c r="ED242" s="429"/>
      <c r="EE242" s="23"/>
      <c r="EF242" s="23"/>
      <c r="EG242" s="23"/>
      <c r="EH242" s="18">
        <f t="shared" si="1366"/>
        <v>0</v>
      </c>
      <c r="EI242" s="18">
        <f t="shared" si="1367"/>
        <v>-3</v>
      </c>
      <c r="EJ242" s="18">
        <f t="shared" si="1368"/>
        <v>0</v>
      </c>
      <c r="EK242" s="24">
        <f>IF(EK200&lt;6,0.5,IF(AND(EK200&gt;=6,EK200&lt;12),0.5,1))</f>
        <v>0.5</v>
      </c>
      <c r="EL242" s="14">
        <f>IF(EE217=0,0,EH242/EE217)</f>
        <v>0</v>
      </c>
      <c r="EM242" s="14">
        <f>IF(EF217=0,0,EI242/EF217)</f>
        <v>0.75</v>
      </c>
      <c r="EN242" s="14">
        <f>IF(EG217="","",EJ242/EG217)</f>
        <v>0</v>
      </c>
      <c r="EO242" s="46" t="str">
        <f t="shared" si="1418"/>
        <v>Æ</v>
      </c>
      <c r="EP242" s="46">
        <f t="shared" si="1419"/>
        <v>0</v>
      </c>
      <c r="EQ242" s="24" t="str">
        <f>IF(EJ217&lt;&gt;0,EM242/EJ217,"N/A")</f>
        <v>N/A</v>
      </c>
      <c r="ER242" s="24" t="str">
        <f>IF(EK217&lt;&gt;0,EN242/EK217,"N/A")</f>
        <v>N/A</v>
      </c>
      <c r="ES242" s="2">
        <f>IF(EN242="","",IF(EN242&gt;=0.9,1,IF(EN242&lt;0.75,3,2)))</f>
        <v>3</v>
      </c>
    </row>
    <row r="243" spans="1:149" ht="12.75" customHeight="1">
      <c r="A243" s="6" t="s">
        <v>23</v>
      </c>
      <c r="B243" s="2" t="s">
        <v>13</v>
      </c>
      <c r="C243" s="3" t="s">
        <v>71</v>
      </c>
      <c r="E243" s="3" t="s">
        <v>15</v>
      </c>
      <c r="G243" s="3" t="s">
        <v>91</v>
      </c>
      <c r="I243" s="23"/>
      <c r="J243" s="19">
        <v>0</v>
      </c>
      <c r="K243" s="19">
        <f>J243</f>
        <v>0</v>
      </c>
      <c r="L243" s="19">
        <v>22769</v>
      </c>
      <c r="M243" s="19">
        <v>22769</v>
      </c>
      <c r="N243" s="19">
        <v>22769</v>
      </c>
      <c r="O243" s="19">
        <v>22768.61</v>
      </c>
      <c r="P243" s="263">
        <v>41966.35</v>
      </c>
      <c r="Q243" s="263">
        <v>41966.35</v>
      </c>
      <c r="R243" s="19">
        <v>41966</v>
      </c>
      <c r="S243" s="19">
        <v>41966</v>
      </c>
      <c r="T243" s="19">
        <v>41966</v>
      </c>
      <c r="U243" s="19">
        <v>41966</v>
      </c>
      <c r="V243" s="31">
        <v>0</v>
      </c>
      <c r="W243" s="19">
        <v>0</v>
      </c>
      <c r="X243" s="19">
        <v>0</v>
      </c>
      <c r="Y243" s="341">
        <v>0</v>
      </c>
      <c r="Z243" s="19">
        <v>0</v>
      </c>
      <c r="AA243" s="19">
        <v>0</v>
      </c>
      <c r="AB243" s="263">
        <v>29100.52</v>
      </c>
      <c r="AC243" s="19">
        <v>0</v>
      </c>
      <c r="AD243" s="19">
        <v>0</v>
      </c>
      <c r="AE243" s="19">
        <v>0</v>
      </c>
      <c r="AF243" s="19">
        <v>0</v>
      </c>
      <c r="AG243" s="19">
        <v>16694.48</v>
      </c>
      <c r="AH243" s="404">
        <v>16694.48</v>
      </c>
      <c r="AI243" s="19"/>
      <c r="AJ243" s="19"/>
      <c r="AK243" s="408"/>
      <c r="AL243" s="19">
        <f t="shared" si="1401"/>
        <v>0</v>
      </c>
      <c r="AM243" s="19"/>
      <c r="AN243" s="19"/>
      <c r="AO243" s="19"/>
      <c r="AP243" s="19"/>
      <c r="AQ243" s="19">
        <f t="shared" si="1425"/>
        <v>-0.38999999999941792</v>
      </c>
      <c r="AR243" s="19">
        <f t="shared" si="1345"/>
        <v>19197.739999999998</v>
      </c>
      <c r="AS243" s="19">
        <f t="shared" si="1346"/>
        <v>0</v>
      </c>
      <c r="AT243" s="19">
        <f t="shared" si="1347"/>
        <v>-0.34999999999854481</v>
      </c>
      <c r="AU243" s="19">
        <f t="shared" si="1348"/>
        <v>0</v>
      </c>
      <c r="AV243" s="19">
        <f t="shared" si="1349"/>
        <v>0</v>
      </c>
      <c r="AW243" s="19">
        <f t="shared" si="1350"/>
        <v>0</v>
      </c>
      <c r="AX243" s="19">
        <f t="shared" si="1402"/>
        <v>0</v>
      </c>
      <c r="AY243" s="19">
        <f t="shared" si="1351"/>
        <v>0</v>
      </c>
      <c r="AZ243" s="19">
        <f t="shared" si="1352"/>
        <v>0</v>
      </c>
      <c r="BA243" s="19">
        <f t="shared" si="1403"/>
        <v>0</v>
      </c>
      <c r="BB243" s="19">
        <f t="shared" si="1464"/>
        <v>0</v>
      </c>
      <c r="BC243" s="19">
        <f t="shared" si="1464"/>
        <v>0</v>
      </c>
      <c r="BD243" s="19">
        <f t="shared" si="1464"/>
        <v>29100.52</v>
      </c>
      <c r="BE243" s="19"/>
      <c r="BF243" s="19">
        <f t="shared" si="1464"/>
        <v>0</v>
      </c>
      <c r="BG243" s="19">
        <f t="shared" si="1464"/>
        <v>0</v>
      </c>
      <c r="BH243" s="19">
        <f t="shared" si="1464"/>
        <v>0</v>
      </c>
      <c r="BI243" s="19">
        <f t="shared" si="1464"/>
        <v>16694.48</v>
      </c>
      <c r="BJ243" s="19"/>
      <c r="BK243" s="19"/>
      <c r="BL243" s="19"/>
      <c r="BM243" s="408"/>
      <c r="BN243" s="40" t="s">
        <v>97</v>
      </c>
      <c r="BO243" s="40" t="s">
        <v>97</v>
      </c>
      <c r="BP243" s="40" t="s">
        <v>97</v>
      </c>
      <c r="BQ243" s="40" t="s">
        <v>97</v>
      </c>
      <c r="BR243" s="40" t="s">
        <v>97</v>
      </c>
      <c r="BS243" s="40" t="s">
        <v>97</v>
      </c>
      <c r="BT243" s="40" t="s">
        <v>97</v>
      </c>
      <c r="BU243" s="40" t="s">
        <v>97</v>
      </c>
      <c r="BV243" s="40" t="s">
        <v>97</v>
      </c>
      <c r="BW243" s="40" t="s">
        <v>97</v>
      </c>
      <c r="BX243" s="40" t="s">
        <v>97</v>
      </c>
      <c r="BY243" s="40" t="s">
        <v>97</v>
      </c>
      <c r="BZ243" s="40" t="s">
        <v>97</v>
      </c>
      <c r="CA243" s="40" t="s">
        <v>97</v>
      </c>
      <c r="CB243" s="40" t="s">
        <v>97</v>
      </c>
      <c r="CC243" s="40" t="s">
        <v>97</v>
      </c>
      <c r="CD243" s="40" t="s">
        <v>97</v>
      </c>
      <c r="CE243" s="40" t="s">
        <v>97</v>
      </c>
      <c r="CF243" s="40" t="s">
        <v>97</v>
      </c>
      <c r="CG243" s="40" t="s">
        <v>97</v>
      </c>
      <c r="CH243" s="40" t="s">
        <v>97</v>
      </c>
      <c r="CI243" s="40" t="s">
        <v>97</v>
      </c>
      <c r="CJ243" s="40" t="s">
        <v>97</v>
      </c>
      <c r="CK243" s="40" t="s">
        <v>97</v>
      </c>
      <c r="CL243" s="40" t="s">
        <v>97</v>
      </c>
      <c r="CM243" s="40" t="s">
        <v>97</v>
      </c>
      <c r="CN243" s="40" t="s">
        <v>97</v>
      </c>
      <c r="CO243" s="408"/>
      <c r="CP243" s="21">
        <f t="shared" ref="CP243:CY244" si="1465">J243</f>
        <v>0</v>
      </c>
      <c r="CQ243" s="21">
        <f t="shared" si="1465"/>
        <v>0</v>
      </c>
      <c r="CR243" s="21">
        <f t="shared" si="1465"/>
        <v>22769</v>
      </c>
      <c r="CS243" s="21">
        <f t="shared" si="1465"/>
        <v>22769</v>
      </c>
      <c r="CT243" s="21">
        <f t="shared" si="1465"/>
        <v>22769</v>
      </c>
      <c r="CU243" s="21">
        <f t="shared" si="1465"/>
        <v>22768.61</v>
      </c>
      <c r="CV243" s="21">
        <f t="shared" si="1465"/>
        <v>41966.35</v>
      </c>
      <c r="CW243" s="21">
        <f t="shared" si="1465"/>
        <v>41966.35</v>
      </c>
      <c r="CX243" s="21">
        <f t="shared" si="1465"/>
        <v>41966</v>
      </c>
      <c r="CY243" s="21">
        <f t="shared" si="1465"/>
        <v>41966</v>
      </c>
      <c r="CZ243" s="21">
        <f t="shared" ref="CZ243:DI244" si="1466">T243</f>
        <v>41966</v>
      </c>
      <c r="DA243" s="21">
        <f t="shared" si="1466"/>
        <v>41966</v>
      </c>
      <c r="DB243" s="21">
        <f t="shared" si="1466"/>
        <v>0</v>
      </c>
      <c r="DC243" s="21">
        <f t="shared" si="1466"/>
        <v>0</v>
      </c>
      <c r="DD243" s="21">
        <f t="shared" si="1466"/>
        <v>0</v>
      </c>
      <c r="DE243" s="21">
        <f t="shared" si="1466"/>
        <v>0</v>
      </c>
      <c r="DF243" s="21">
        <f t="shared" si="1466"/>
        <v>0</v>
      </c>
      <c r="DG243" s="21">
        <f t="shared" si="1466"/>
        <v>0</v>
      </c>
      <c r="DH243" s="21">
        <f t="shared" si="1466"/>
        <v>29100.52</v>
      </c>
      <c r="DI243" s="21">
        <f t="shared" si="1466"/>
        <v>0</v>
      </c>
      <c r="DJ243" s="21">
        <f t="shared" ref="DJ243:DP244" si="1467">AD243</f>
        <v>0</v>
      </c>
      <c r="DK243" s="21">
        <f t="shared" si="1467"/>
        <v>0</v>
      </c>
      <c r="DL243" s="21">
        <f t="shared" si="1467"/>
        <v>0</v>
      </c>
      <c r="DM243" s="21">
        <f t="shared" si="1467"/>
        <v>16694.48</v>
      </c>
      <c r="DN243" s="21">
        <f t="shared" si="1467"/>
        <v>16694.48</v>
      </c>
      <c r="DO243" s="21">
        <f t="shared" si="1467"/>
        <v>0</v>
      </c>
      <c r="DP243" s="21">
        <f t="shared" si="1467"/>
        <v>0</v>
      </c>
      <c r="DQ243" s="248"/>
      <c r="DR243" s="248"/>
      <c r="DS243" s="248"/>
      <c r="DT243" s="248"/>
      <c r="DU243" s="248"/>
      <c r="DV243" s="248"/>
      <c r="DW243" s="248"/>
      <c r="DX243" s="248"/>
      <c r="DY243" s="248"/>
      <c r="ED243" s="429"/>
      <c r="EE243" s="23"/>
      <c r="EF243" s="23"/>
      <c r="EG243" s="23"/>
      <c r="EH243" s="24" t="s">
        <v>97</v>
      </c>
      <c r="EI243" s="24" t="s">
        <v>97</v>
      </c>
      <c r="EJ243" s="18">
        <f t="shared" si="1368"/>
        <v>0</v>
      </c>
      <c r="EK243" s="24">
        <f t="shared" si="1411"/>
        <v>0.16666666666666666</v>
      </c>
      <c r="EL243" s="24" t="s">
        <v>97</v>
      </c>
      <c r="EM243" s="24" t="s">
        <v>97</v>
      </c>
      <c r="EN243" s="24">
        <f>EJ243/EG218</f>
        <v>0</v>
      </c>
      <c r="EO243" s="46" t="str">
        <f t="shared" si="1418"/>
        <v>Æ</v>
      </c>
      <c r="EP243" s="46" t="str">
        <f t="shared" si="1419"/>
        <v>Æ</v>
      </c>
      <c r="EQ243" s="24" t="s">
        <v>97</v>
      </c>
      <c r="ER243" s="24" t="s">
        <v>97</v>
      </c>
      <c r="ES243" s="2">
        <f>IF(EN243&gt;=0.9,1,IF(EN243&lt;0.75,2,3))</f>
        <v>2</v>
      </c>
    </row>
    <row r="244" spans="1:149" ht="12.75" customHeight="1" thickBot="1">
      <c r="A244" s="6" t="s">
        <v>23</v>
      </c>
      <c r="B244" s="2" t="s">
        <v>14</v>
      </c>
      <c r="C244" s="3" t="s">
        <v>72</v>
      </c>
      <c r="E244" s="3" t="s">
        <v>15</v>
      </c>
      <c r="G244" s="3" t="s">
        <v>91</v>
      </c>
      <c r="I244" s="23"/>
      <c r="J244" s="19">
        <v>0</v>
      </c>
      <c r="K244" s="19">
        <f>J244</f>
        <v>0</v>
      </c>
      <c r="L244" s="19">
        <v>0</v>
      </c>
      <c r="M244" s="19">
        <v>0</v>
      </c>
      <c r="N244" s="19">
        <v>0</v>
      </c>
      <c r="O244" s="19">
        <v>0</v>
      </c>
      <c r="P244" s="263">
        <v>0</v>
      </c>
      <c r="Q244" s="263">
        <v>0</v>
      </c>
      <c r="R244" s="19">
        <v>0</v>
      </c>
      <c r="S244" s="19">
        <v>0</v>
      </c>
      <c r="T244" s="19">
        <v>0</v>
      </c>
      <c r="U244" s="19">
        <v>0</v>
      </c>
      <c r="V244" s="34">
        <v>0</v>
      </c>
      <c r="W244" s="19">
        <v>0</v>
      </c>
      <c r="X244" s="19">
        <v>0</v>
      </c>
      <c r="Y244" s="341">
        <v>0</v>
      </c>
      <c r="Z244" s="19">
        <v>0</v>
      </c>
      <c r="AA244" s="19">
        <v>0</v>
      </c>
      <c r="AB244" s="19">
        <v>30000</v>
      </c>
      <c r="AC244" s="19">
        <v>0</v>
      </c>
      <c r="AD244" s="19">
        <v>0</v>
      </c>
      <c r="AE244" s="19">
        <v>0</v>
      </c>
      <c r="AF244" s="19">
        <v>0</v>
      </c>
      <c r="AG244" s="254">
        <v>21006.2</v>
      </c>
      <c r="AH244" s="387">
        <v>21006.2</v>
      </c>
      <c r="AI244" s="19"/>
      <c r="AJ244" s="19"/>
      <c r="AK244" s="408"/>
      <c r="AL244" s="19">
        <f t="shared" si="1401"/>
        <v>0</v>
      </c>
      <c r="AM244" s="19"/>
      <c r="AN244" s="19"/>
      <c r="AO244" s="19"/>
      <c r="AP244" s="19"/>
      <c r="AQ244" s="19">
        <f t="shared" si="1425"/>
        <v>0</v>
      </c>
      <c r="AR244" s="19">
        <f t="shared" si="1345"/>
        <v>0</v>
      </c>
      <c r="AS244" s="19">
        <f t="shared" si="1346"/>
        <v>0</v>
      </c>
      <c r="AT244" s="19">
        <f t="shared" si="1347"/>
        <v>0</v>
      </c>
      <c r="AU244" s="19">
        <f t="shared" si="1348"/>
        <v>0</v>
      </c>
      <c r="AV244" s="19">
        <f t="shared" si="1349"/>
        <v>0</v>
      </c>
      <c r="AW244" s="19">
        <f t="shared" si="1350"/>
        <v>0</v>
      </c>
      <c r="AX244" s="19">
        <f t="shared" si="1402"/>
        <v>0</v>
      </c>
      <c r="AY244" s="19">
        <f t="shared" si="1351"/>
        <v>0</v>
      </c>
      <c r="AZ244" s="19">
        <f t="shared" si="1352"/>
        <v>0</v>
      </c>
      <c r="BA244" s="19">
        <f t="shared" si="1403"/>
        <v>0</v>
      </c>
      <c r="BB244" s="19"/>
      <c r="BC244" s="19"/>
      <c r="BD244" s="19"/>
      <c r="BE244" s="19"/>
      <c r="BF244" s="19"/>
      <c r="BG244" s="19"/>
      <c r="BH244" s="19"/>
      <c r="BI244" s="19"/>
      <c r="BJ244" s="19"/>
      <c r="BK244" s="19"/>
      <c r="BL244" s="19"/>
      <c r="BM244" s="408"/>
      <c r="BN244" s="40" t="s">
        <v>97</v>
      </c>
      <c r="BO244" s="40" t="s">
        <v>97</v>
      </c>
      <c r="BP244" s="40" t="s">
        <v>97</v>
      </c>
      <c r="BQ244" s="40" t="s">
        <v>97</v>
      </c>
      <c r="BR244" s="40" t="s">
        <v>97</v>
      </c>
      <c r="BS244" s="40" t="s">
        <v>97</v>
      </c>
      <c r="BT244" s="40" t="s">
        <v>97</v>
      </c>
      <c r="BU244" s="40" t="s">
        <v>97</v>
      </c>
      <c r="BV244" s="40" t="s">
        <v>97</v>
      </c>
      <c r="BW244" s="40" t="s">
        <v>97</v>
      </c>
      <c r="BX244" s="40" t="s">
        <v>97</v>
      </c>
      <c r="BY244" s="40" t="s">
        <v>97</v>
      </c>
      <c r="BZ244" s="40" t="s">
        <v>97</v>
      </c>
      <c r="CA244" s="40" t="s">
        <v>97</v>
      </c>
      <c r="CB244" s="40" t="s">
        <v>97</v>
      </c>
      <c r="CC244" s="40" t="s">
        <v>97</v>
      </c>
      <c r="CD244" s="40" t="s">
        <v>97</v>
      </c>
      <c r="CE244" s="40" t="s">
        <v>97</v>
      </c>
      <c r="CF244" s="40" t="s">
        <v>97</v>
      </c>
      <c r="CG244" s="40" t="s">
        <v>97</v>
      </c>
      <c r="CH244" s="40" t="s">
        <v>97</v>
      </c>
      <c r="CI244" s="40" t="s">
        <v>97</v>
      </c>
      <c r="CJ244" s="40" t="s">
        <v>97</v>
      </c>
      <c r="CK244" s="40" t="s">
        <v>97</v>
      </c>
      <c r="CL244" s="40" t="s">
        <v>97</v>
      </c>
      <c r="CM244" s="40" t="s">
        <v>97</v>
      </c>
      <c r="CN244" s="40" t="s">
        <v>97</v>
      </c>
      <c r="CO244" s="408"/>
      <c r="CP244" s="21">
        <f t="shared" si="1465"/>
        <v>0</v>
      </c>
      <c r="CQ244" s="21">
        <f t="shared" si="1465"/>
        <v>0</v>
      </c>
      <c r="CR244" s="21">
        <f t="shared" si="1465"/>
        <v>0</v>
      </c>
      <c r="CS244" s="21">
        <f t="shared" si="1465"/>
        <v>0</v>
      </c>
      <c r="CT244" s="21">
        <f t="shared" si="1465"/>
        <v>0</v>
      </c>
      <c r="CU244" s="21">
        <f t="shared" si="1465"/>
        <v>0</v>
      </c>
      <c r="CV244" s="21">
        <f t="shared" si="1465"/>
        <v>0</v>
      </c>
      <c r="CW244" s="21">
        <f t="shared" si="1465"/>
        <v>0</v>
      </c>
      <c r="CX244" s="21">
        <f t="shared" si="1465"/>
        <v>0</v>
      </c>
      <c r="CY244" s="21">
        <f t="shared" si="1465"/>
        <v>0</v>
      </c>
      <c r="CZ244" s="21">
        <f t="shared" si="1466"/>
        <v>0</v>
      </c>
      <c r="DA244" s="21">
        <f t="shared" si="1466"/>
        <v>0</v>
      </c>
      <c r="DB244" s="21">
        <f t="shared" si="1466"/>
        <v>0</v>
      </c>
      <c r="DC244" s="21">
        <f t="shared" si="1466"/>
        <v>0</v>
      </c>
      <c r="DD244" s="21">
        <f t="shared" si="1466"/>
        <v>0</v>
      </c>
      <c r="DE244" s="21">
        <f t="shared" si="1466"/>
        <v>0</v>
      </c>
      <c r="DF244" s="21">
        <f t="shared" si="1466"/>
        <v>0</v>
      </c>
      <c r="DG244" s="21">
        <f t="shared" si="1466"/>
        <v>0</v>
      </c>
      <c r="DH244" s="21">
        <f t="shared" si="1466"/>
        <v>30000</v>
      </c>
      <c r="DI244" s="21">
        <f t="shared" si="1466"/>
        <v>0</v>
      </c>
      <c r="DJ244" s="21">
        <f t="shared" si="1467"/>
        <v>0</v>
      </c>
      <c r="DK244" s="21">
        <f t="shared" si="1467"/>
        <v>0</v>
      </c>
      <c r="DL244" s="21">
        <f t="shared" si="1467"/>
        <v>0</v>
      </c>
      <c r="DM244" s="21">
        <f t="shared" si="1467"/>
        <v>21006.2</v>
      </c>
      <c r="DN244" s="21">
        <f t="shared" si="1467"/>
        <v>21006.2</v>
      </c>
      <c r="DO244" s="21">
        <f t="shared" si="1467"/>
        <v>0</v>
      </c>
      <c r="DP244" s="21">
        <f t="shared" si="1467"/>
        <v>0</v>
      </c>
      <c r="DQ244" s="248"/>
      <c r="DR244" s="248"/>
      <c r="DS244" s="248"/>
      <c r="DT244" s="248"/>
      <c r="DU244" s="248"/>
      <c r="DV244" s="248"/>
      <c r="DW244" s="248"/>
      <c r="DX244" s="248"/>
      <c r="DY244" s="248"/>
      <c r="ED244" s="429"/>
      <c r="EE244" s="23"/>
      <c r="EF244" s="23"/>
      <c r="EG244" s="23"/>
      <c r="EH244" s="24" t="s">
        <v>97</v>
      </c>
      <c r="EI244" s="24" t="s">
        <v>97</v>
      </c>
      <c r="EJ244" s="18">
        <f t="shared" si="1368"/>
        <v>0</v>
      </c>
      <c r="EK244" s="24">
        <f t="shared" si="1411"/>
        <v>0.16666666666666666</v>
      </c>
      <c r="EL244" s="24" t="s">
        <v>97</v>
      </c>
      <c r="EM244" s="24" t="s">
        <v>97</v>
      </c>
      <c r="EN244" s="24">
        <f>EJ244/EG219</f>
        <v>0</v>
      </c>
      <c r="EO244" s="46" t="str">
        <f t="shared" si="1418"/>
        <v>Æ</v>
      </c>
      <c r="EP244" s="46" t="str">
        <f t="shared" si="1419"/>
        <v>Æ</v>
      </c>
      <c r="EQ244" s="24" t="s">
        <v>97</v>
      </c>
      <c r="ER244" s="24" t="s">
        <v>97</v>
      </c>
      <c r="ES244" s="2">
        <f>IF(EN244&gt;=0.9,1,IF(EN244&lt;0.75,2,3))</f>
        <v>2</v>
      </c>
    </row>
    <row r="245" spans="1:149" ht="12.75" customHeight="1">
      <c r="A245" s="6" t="s">
        <v>23</v>
      </c>
      <c r="B245" s="2" t="s">
        <v>0</v>
      </c>
      <c r="C245" s="3" t="s">
        <v>59</v>
      </c>
      <c r="E245" s="3" t="s">
        <v>16</v>
      </c>
      <c r="G245" s="28" t="s">
        <v>92</v>
      </c>
      <c r="H245" s="28"/>
      <c r="I245" s="29"/>
      <c r="J245" s="30">
        <f t="shared" ref="J245:U245" si="1468">IF(J232&lt;&gt;"",+J232-I232,"")</f>
        <v>9</v>
      </c>
      <c r="K245" s="30">
        <f t="shared" si="1468"/>
        <v>8</v>
      </c>
      <c r="L245" s="30">
        <f t="shared" si="1468"/>
        <v>4</v>
      </c>
      <c r="M245" s="30">
        <f t="shared" si="1468"/>
        <v>8</v>
      </c>
      <c r="N245" s="30">
        <f t="shared" si="1468"/>
        <v>3</v>
      </c>
      <c r="O245" s="30">
        <f t="shared" si="1468"/>
        <v>4</v>
      </c>
      <c r="P245" s="30">
        <f t="shared" si="1468"/>
        <v>8</v>
      </c>
      <c r="Q245" s="30">
        <f t="shared" si="1468"/>
        <v>7</v>
      </c>
      <c r="R245" s="30">
        <f t="shared" si="1468"/>
        <v>4</v>
      </c>
      <c r="S245" s="30">
        <f t="shared" si="1468"/>
        <v>8</v>
      </c>
      <c r="T245" s="30">
        <f t="shared" si="1468"/>
        <v>17</v>
      </c>
      <c r="U245" s="30">
        <f t="shared" si="1468"/>
        <v>26</v>
      </c>
      <c r="V245" s="30">
        <f>IF(V225&lt;&gt;"",+V225-U225,"")</f>
        <v>15</v>
      </c>
      <c r="W245" s="30">
        <f>IF(W232&lt;&gt;"",+W232-V232,"")</f>
        <v>11</v>
      </c>
      <c r="X245" s="30">
        <f>IF(X232&lt;&gt;"",+X232-W232,"")</f>
        <v>23</v>
      </c>
      <c r="Y245" s="226">
        <f>IF(Y232&lt;&gt;"",+Y232-X232,0)</f>
        <v>9</v>
      </c>
      <c r="Z245" s="30">
        <f t="shared" ref="Z245:AG246" si="1469">IF(Z232&lt;&gt;"",+Z232-Y232,"")</f>
        <v>10</v>
      </c>
      <c r="AA245" s="30">
        <f t="shared" si="1469"/>
        <v>7</v>
      </c>
      <c r="AB245" s="30">
        <f t="shared" si="1469"/>
        <v>10</v>
      </c>
      <c r="AC245" s="30">
        <f t="shared" si="1469"/>
        <v>11</v>
      </c>
      <c r="AD245" s="30">
        <f t="shared" si="1469"/>
        <v>13</v>
      </c>
      <c r="AE245" s="30">
        <f t="shared" si="1469"/>
        <v>10</v>
      </c>
      <c r="AF245" s="30">
        <f t="shared" si="1469"/>
        <v>5</v>
      </c>
      <c r="AG245" s="30">
        <f t="shared" si="1469"/>
        <v>7</v>
      </c>
      <c r="AH245" s="30">
        <f>IF(AH232&lt;&gt;"",+AH232,"")</f>
        <v>13</v>
      </c>
      <c r="AI245" s="30">
        <f>IF(AI232&lt;&gt;"",+AI232-AH232,"")</f>
        <v>11</v>
      </c>
      <c r="AJ245" s="30" t="str">
        <f>IF(AJ232&lt;&gt;"",+AJ232-AI232,"")</f>
        <v/>
      </c>
      <c r="AK245" s="408"/>
      <c r="AL245" s="48">
        <f t="shared" si="1401"/>
        <v>9</v>
      </c>
      <c r="AM245" s="48">
        <f t="shared" ref="AM245:AV246" si="1470">K245</f>
        <v>8</v>
      </c>
      <c r="AN245" s="48">
        <f t="shared" si="1470"/>
        <v>4</v>
      </c>
      <c r="AO245" s="48">
        <f t="shared" si="1470"/>
        <v>8</v>
      </c>
      <c r="AP245" s="48">
        <f t="shared" si="1470"/>
        <v>3</v>
      </c>
      <c r="AQ245" s="48">
        <f t="shared" si="1470"/>
        <v>4</v>
      </c>
      <c r="AR245" s="48">
        <f t="shared" si="1470"/>
        <v>8</v>
      </c>
      <c r="AS245" s="48">
        <f t="shared" si="1470"/>
        <v>7</v>
      </c>
      <c r="AT245" s="48">
        <f t="shared" si="1470"/>
        <v>4</v>
      </c>
      <c r="AU245" s="48">
        <f t="shared" si="1470"/>
        <v>8</v>
      </c>
      <c r="AV245" s="48">
        <f t="shared" si="1470"/>
        <v>17</v>
      </c>
      <c r="AW245" s="48">
        <f t="shared" ref="AW245:BF246" si="1471">U245</f>
        <v>26</v>
      </c>
      <c r="AX245" s="48">
        <f t="shared" si="1471"/>
        <v>15</v>
      </c>
      <c r="AY245" s="48">
        <f t="shared" si="1471"/>
        <v>11</v>
      </c>
      <c r="AZ245" s="48">
        <f t="shared" si="1471"/>
        <v>23</v>
      </c>
      <c r="BA245" s="48">
        <f t="shared" si="1471"/>
        <v>9</v>
      </c>
      <c r="BB245" s="48">
        <f t="shared" si="1471"/>
        <v>10</v>
      </c>
      <c r="BC245" s="48">
        <f t="shared" si="1471"/>
        <v>7</v>
      </c>
      <c r="BD245" s="48">
        <f t="shared" si="1471"/>
        <v>10</v>
      </c>
      <c r="BE245" s="48">
        <f t="shared" si="1471"/>
        <v>11</v>
      </c>
      <c r="BF245" s="48">
        <f t="shared" si="1471"/>
        <v>13</v>
      </c>
      <c r="BG245" s="48">
        <f t="shared" ref="BG245:BL246" si="1472">AE245</f>
        <v>10</v>
      </c>
      <c r="BH245" s="48">
        <f t="shared" si="1472"/>
        <v>5</v>
      </c>
      <c r="BI245" s="48">
        <f t="shared" si="1472"/>
        <v>7</v>
      </c>
      <c r="BJ245" s="48">
        <f t="shared" si="1472"/>
        <v>13</v>
      </c>
      <c r="BK245" s="48">
        <f t="shared" si="1472"/>
        <v>11</v>
      </c>
      <c r="BL245" s="48" t="str">
        <f t="shared" si="1472"/>
        <v/>
      </c>
      <c r="BM245" s="408"/>
      <c r="BN245" s="48">
        <f>+AL245</f>
        <v>9</v>
      </c>
      <c r="BO245" s="48">
        <f t="shared" ref="BO245:BP247" si="1473">+BN245+AM245</f>
        <v>17</v>
      </c>
      <c r="BP245" s="48">
        <f t="shared" si="1473"/>
        <v>21</v>
      </c>
      <c r="BQ245" s="48">
        <f>+AO245</f>
        <v>8</v>
      </c>
      <c r="BR245" s="48">
        <f t="shared" ref="BR245:BS247" si="1474">+BQ245+AP245</f>
        <v>11</v>
      </c>
      <c r="BS245" s="48">
        <f t="shared" si="1474"/>
        <v>15</v>
      </c>
      <c r="BT245" s="48">
        <f>+AR245</f>
        <v>8</v>
      </c>
      <c r="BU245" s="48">
        <f t="shared" ref="BU245:BV247" si="1475">+BT245+AS245</f>
        <v>15</v>
      </c>
      <c r="BV245" s="48">
        <f t="shared" si="1475"/>
        <v>19</v>
      </c>
      <c r="BW245" s="48">
        <f>+AU245</f>
        <v>8</v>
      </c>
      <c r="BX245" s="48">
        <f t="shared" ref="BX245:BY247" si="1476">+BW245+AV245</f>
        <v>25</v>
      </c>
      <c r="BY245" s="48">
        <f t="shared" si="1476"/>
        <v>51</v>
      </c>
      <c r="BZ245" s="48">
        <f>+AX245</f>
        <v>15</v>
      </c>
      <c r="CA245" s="48">
        <f t="shared" ref="CA245:CB247" si="1477">+BZ245+AY245</f>
        <v>26</v>
      </c>
      <c r="CB245" s="48">
        <f t="shared" si="1477"/>
        <v>49</v>
      </c>
      <c r="CC245" s="48">
        <f>+BA245</f>
        <v>9</v>
      </c>
      <c r="CD245" s="48">
        <f t="shared" ref="CD245:CE247" si="1478">+CC245+BB245</f>
        <v>19</v>
      </c>
      <c r="CE245" s="48">
        <f t="shared" si="1478"/>
        <v>26</v>
      </c>
      <c r="CF245" s="48">
        <f>+BD245</f>
        <v>10</v>
      </c>
      <c r="CG245" s="48">
        <f t="shared" ref="CG245:CH247" si="1479">+CF245+BE245</f>
        <v>21</v>
      </c>
      <c r="CH245" s="48">
        <f t="shared" si="1479"/>
        <v>34</v>
      </c>
      <c r="CI245" s="48">
        <f>+BG245</f>
        <v>10</v>
      </c>
      <c r="CJ245" s="48">
        <f t="shared" ref="CJ245:CK247" si="1480">+CI245+BH245</f>
        <v>15</v>
      </c>
      <c r="CK245" s="48">
        <f t="shared" si="1480"/>
        <v>22</v>
      </c>
      <c r="CL245" s="48">
        <f>+BJ245</f>
        <v>13</v>
      </c>
      <c r="CM245" s="48">
        <f t="shared" ref="CM245:CN247" si="1481">+CL245+BK245</f>
        <v>24</v>
      </c>
      <c r="CN245" s="48" t="e">
        <f t="shared" si="1481"/>
        <v>#VALUE!</v>
      </c>
      <c r="CO245" s="406"/>
      <c r="CP245" s="40">
        <f>AL245</f>
        <v>9</v>
      </c>
      <c r="CQ245" s="40">
        <f t="shared" ref="CQ245:DA246" si="1482">CP245+AM245</f>
        <v>17</v>
      </c>
      <c r="CR245" s="40">
        <f t="shared" si="1482"/>
        <v>21</v>
      </c>
      <c r="CS245" s="40">
        <f t="shared" si="1482"/>
        <v>29</v>
      </c>
      <c r="CT245" s="40">
        <f t="shared" si="1482"/>
        <v>32</v>
      </c>
      <c r="CU245" s="40">
        <f t="shared" si="1482"/>
        <v>36</v>
      </c>
      <c r="CV245" s="40">
        <f t="shared" si="1482"/>
        <v>44</v>
      </c>
      <c r="CW245" s="40">
        <f t="shared" si="1482"/>
        <v>51</v>
      </c>
      <c r="CX245" s="40">
        <f t="shared" si="1482"/>
        <v>55</v>
      </c>
      <c r="CY245" s="40">
        <f t="shared" si="1482"/>
        <v>63</v>
      </c>
      <c r="CZ245" s="40">
        <f t="shared" si="1482"/>
        <v>80</v>
      </c>
      <c r="DA245" s="40">
        <f t="shared" si="1482"/>
        <v>106</v>
      </c>
      <c r="DB245" s="40">
        <f>AX245</f>
        <v>15</v>
      </c>
      <c r="DC245" s="40">
        <f t="shared" ref="DC245:DM246" si="1483">DB245+AY245</f>
        <v>26</v>
      </c>
      <c r="DD245" s="40">
        <f t="shared" si="1483"/>
        <v>49</v>
      </c>
      <c r="DE245" s="40">
        <f t="shared" si="1483"/>
        <v>58</v>
      </c>
      <c r="DF245" s="40">
        <f t="shared" si="1483"/>
        <v>68</v>
      </c>
      <c r="DG245" s="40">
        <f t="shared" si="1483"/>
        <v>75</v>
      </c>
      <c r="DH245" s="40">
        <f t="shared" si="1483"/>
        <v>85</v>
      </c>
      <c r="DI245" s="40">
        <f t="shared" si="1483"/>
        <v>96</v>
      </c>
      <c r="DJ245" s="40">
        <f t="shared" si="1483"/>
        <v>109</v>
      </c>
      <c r="DK245" s="40">
        <f t="shared" si="1483"/>
        <v>119</v>
      </c>
      <c r="DL245" s="40">
        <f t="shared" si="1483"/>
        <v>124</v>
      </c>
      <c r="DM245" s="40">
        <f t="shared" si="1483"/>
        <v>131</v>
      </c>
      <c r="DN245" s="40">
        <f>BJ245</f>
        <v>13</v>
      </c>
      <c r="DO245" s="40">
        <f>DN245+BK245</f>
        <v>24</v>
      </c>
      <c r="DP245" s="40" t="e">
        <f>DO245+BL245</f>
        <v>#VALUE!</v>
      </c>
      <c r="DQ245" s="40"/>
      <c r="DR245" s="40"/>
      <c r="DS245" s="40"/>
      <c r="DT245" s="40"/>
      <c r="DU245" s="40"/>
      <c r="DV245" s="40"/>
      <c r="DW245" s="40"/>
      <c r="DX245" s="40"/>
      <c r="DY245" s="40"/>
      <c r="EA245" s="53"/>
      <c r="EB245" s="53"/>
      <c r="EC245" s="53"/>
      <c r="ED245" s="429"/>
      <c r="EE245" s="54"/>
      <c r="EF245" s="54"/>
      <c r="EG245" s="54"/>
      <c r="EH245" s="18">
        <f>HLOOKUP($I$1,Month,ROW()-1)</f>
        <v>11</v>
      </c>
      <c r="EI245" s="18">
        <f>HLOOKUP($I$1,Qtr,ROW()-1)</f>
        <v>24</v>
      </c>
      <c r="EJ245" s="18">
        <f t="shared" si="1368"/>
        <v>24</v>
      </c>
      <c r="EK245" s="57">
        <f t="shared" si="1411"/>
        <v>0.16666666666666666</v>
      </c>
      <c r="EL245" s="14">
        <f>EH245/EE220</f>
        <v>1.1000000000000001</v>
      </c>
      <c r="EM245" s="14">
        <f>EI245/EF220</f>
        <v>0.8</v>
      </c>
      <c r="EN245" s="14">
        <f>EJ245/EG220</f>
        <v>0.2</v>
      </c>
      <c r="EO245" s="46" t="str">
        <f>IF(EH245&lt;0,,IF(EH245&lt;EE220,"È",IF(EH245=EE220,"Æ","Ç")))</f>
        <v>Ç</v>
      </c>
      <c r="EP245" s="46" t="str">
        <f>IF(EI245&lt;0,,IF(EI245&lt;EF220,"È",IF(EI245=EF220,"Æ","Ç")))</f>
        <v>È</v>
      </c>
      <c r="EQ245" s="2">
        <f>IF(EL245&gt;=0.9,1,IF(EL245&lt;0.75,2,3))</f>
        <v>1</v>
      </c>
      <c r="ER245" s="2">
        <f>IF(EM245&gt;=0.9,1,IF(EM245&lt;0.75,2,3))</f>
        <v>3</v>
      </c>
      <c r="ES245" s="2">
        <f>IF(EN245&gt;=0.9,1,IF(EN245&lt;0.75,2,3))</f>
        <v>2</v>
      </c>
    </row>
    <row r="246" spans="1:149">
      <c r="A246" s="6" t="s">
        <v>23</v>
      </c>
      <c r="B246" s="2" t="s">
        <v>1</v>
      </c>
      <c r="C246" s="3" t="s">
        <v>60</v>
      </c>
      <c r="E246" s="3" t="s">
        <v>16</v>
      </c>
      <c r="G246" s="28" t="s">
        <v>92</v>
      </c>
      <c r="H246" s="28"/>
      <c r="I246" s="29"/>
      <c r="J246" s="30">
        <f>IF(J233&lt;&gt;"",,"")+J233-I233</f>
        <v>2</v>
      </c>
      <c r="K246" s="30">
        <f t="shared" ref="K246:U246" si="1484">IF(K233&lt;&gt;"",+K233-J233,"")</f>
        <v>3</v>
      </c>
      <c r="L246" s="30">
        <f t="shared" si="1484"/>
        <v>0</v>
      </c>
      <c r="M246" s="30">
        <f t="shared" si="1484"/>
        <v>2</v>
      </c>
      <c r="N246" s="30">
        <f t="shared" si="1484"/>
        <v>2</v>
      </c>
      <c r="O246" s="30">
        <f t="shared" si="1484"/>
        <v>2</v>
      </c>
      <c r="P246" s="30">
        <f t="shared" si="1484"/>
        <v>2</v>
      </c>
      <c r="Q246" s="30">
        <f t="shared" si="1484"/>
        <v>0</v>
      </c>
      <c r="R246" s="30">
        <f t="shared" si="1484"/>
        <v>2</v>
      </c>
      <c r="S246" s="30">
        <f t="shared" si="1484"/>
        <v>2</v>
      </c>
      <c r="T246" s="30">
        <f t="shared" si="1484"/>
        <v>1</v>
      </c>
      <c r="U246" s="30">
        <f t="shared" si="1484"/>
        <v>16</v>
      </c>
      <c r="V246" s="30">
        <f>IF(V233&lt;&gt;"",+V233,"")</f>
        <v>1</v>
      </c>
      <c r="W246" s="30">
        <f>IF(W233&lt;&gt;"",+W233-V233,"")</f>
        <v>4</v>
      </c>
      <c r="X246" s="30">
        <f>IF(X233&lt;&gt;"",+X233-W233,"")</f>
        <v>4</v>
      </c>
      <c r="Y246" s="30">
        <f>IF(Y233&lt;&gt;"",+Y233-X233,"")</f>
        <v>2</v>
      </c>
      <c r="Z246" s="30">
        <f t="shared" si="1469"/>
        <v>2</v>
      </c>
      <c r="AA246" s="30">
        <f t="shared" si="1469"/>
        <v>0</v>
      </c>
      <c r="AB246" s="30">
        <f t="shared" si="1469"/>
        <v>1</v>
      </c>
      <c r="AC246" s="30">
        <f t="shared" si="1469"/>
        <v>8</v>
      </c>
      <c r="AD246" s="30">
        <f t="shared" si="1469"/>
        <v>3</v>
      </c>
      <c r="AE246" s="30">
        <f t="shared" si="1469"/>
        <v>3</v>
      </c>
      <c r="AF246" s="30">
        <f t="shared" si="1469"/>
        <v>1</v>
      </c>
      <c r="AG246" s="30">
        <f t="shared" si="1469"/>
        <v>1</v>
      </c>
      <c r="AH246" s="30">
        <f>IF(AH233&lt;&gt;"",+AH233,"")</f>
        <v>5</v>
      </c>
      <c r="AI246" s="30">
        <f>IF(AI233&lt;&gt;"",+AI233-AH233,"")</f>
        <v>5</v>
      </c>
      <c r="AJ246" s="30" t="str">
        <f>IF(AJ233&lt;&gt;"",+AJ233-AI233,"")</f>
        <v/>
      </c>
      <c r="AK246" s="408"/>
      <c r="AL246" s="48">
        <f t="shared" si="1401"/>
        <v>2</v>
      </c>
      <c r="AM246" s="48">
        <f t="shared" si="1470"/>
        <v>3</v>
      </c>
      <c r="AN246" s="48">
        <f t="shared" si="1470"/>
        <v>0</v>
      </c>
      <c r="AO246" s="48">
        <f t="shared" si="1470"/>
        <v>2</v>
      </c>
      <c r="AP246" s="48">
        <f t="shared" si="1470"/>
        <v>2</v>
      </c>
      <c r="AQ246" s="48">
        <f t="shared" si="1470"/>
        <v>2</v>
      </c>
      <c r="AR246" s="48">
        <f t="shared" si="1470"/>
        <v>2</v>
      </c>
      <c r="AS246" s="48">
        <f t="shared" si="1470"/>
        <v>0</v>
      </c>
      <c r="AT246" s="48">
        <f t="shared" si="1470"/>
        <v>2</v>
      </c>
      <c r="AU246" s="48">
        <f t="shared" si="1470"/>
        <v>2</v>
      </c>
      <c r="AV246" s="48">
        <f t="shared" si="1470"/>
        <v>1</v>
      </c>
      <c r="AW246" s="48">
        <f t="shared" si="1471"/>
        <v>16</v>
      </c>
      <c r="AX246" s="48">
        <f t="shared" si="1471"/>
        <v>1</v>
      </c>
      <c r="AY246" s="48">
        <f t="shared" si="1471"/>
        <v>4</v>
      </c>
      <c r="AZ246" s="48">
        <f t="shared" si="1471"/>
        <v>4</v>
      </c>
      <c r="BA246" s="48">
        <f t="shared" si="1471"/>
        <v>2</v>
      </c>
      <c r="BB246" s="48">
        <f t="shared" si="1471"/>
        <v>2</v>
      </c>
      <c r="BC246" s="48">
        <f t="shared" si="1471"/>
        <v>0</v>
      </c>
      <c r="BD246" s="48">
        <f t="shared" si="1471"/>
        <v>1</v>
      </c>
      <c r="BE246" s="48">
        <f t="shared" si="1471"/>
        <v>8</v>
      </c>
      <c r="BF246" s="48">
        <f t="shared" si="1471"/>
        <v>3</v>
      </c>
      <c r="BG246" s="48">
        <f t="shared" si="1472"/>
        <v>3</v>
      </c>
      <c r="BH246" s="48">
        <f t="shared" si="1472"/>
        <v>1</v>
      </c>
      <c r="BI246" s="48">
        <f t="shared" si="1472"/>
        <v>1</v>
      </c>
      <c r="BJ246" s="48">
        <f t="shared" si="1472"/>
        <v>5</v>
      </c>
      <c r="BK246" s="48">
        <f t="shared" si="1472"/>
        <v>5</v>
      </c>
      <c r="BL246" s="48" t="str">
        <f t="shared" si="1472"/>
        <v/>
      </c>
      <c r="BM246" s="408"/>
      <c r="BN246" s="48">
        <f>+AL246</f>
        <v>2</v>
      </c>
      <c r="BO246" s="48">
        <f t="shared" si="1473"/>
        <v>5</v>
      </c>
      <c r="BP246" s="48">
        <f t="shared" si="1473"/>
        <v>5</v>
      </c>
      <c r="BQ246" s="48">
        <f>+AO246</f>
        <v>2</v>
      </c>
      <c r="BR246" s="48">
        <f t="shared" si="1474"/>
        <v>4</v>
      </c>
      <c r="BS246" s="48">
        <f t="shared" si="1474"/>
        <v>6</v>
      </c>
      <c r="BT246" s="48">
        <f>+AR246</f>
        <v>2</v>
      </c>
      <c r="BU246" s="48">
        <f t="shared" si="1475"/>
        <v>2</v>
      </c>
      <c r="BV246" s="48">
        <f t="shared" si="1475"/>
        <v>4</v>
      </c>
      <c r="BW246" s="48">
        <f>+AU246</f>
        <v>2</v>
      </c>
      <c r="BX246" s="48">
        <f t="shared" si="1476"/>
        <v>3</v>
      </c>
      <c r="BY246" s="48">
        <f t="shared" si="1476"/>
        <v>19</v>
      </c>
      <c r="BZ246" s="48">
        <f>+AX246</f>
        <v>1</v>
      </c>
      <c r="CA246" s="48">
        <f t="shared" si="1477"/>
        <v>5</v>
      </c>
      <c r="CB246" s="48">
        <f t="shared" si="1477"/>
        <v>9</v>
      </c>
      <c r="CC246" s="48">
        <f>+BA246</f>
        <v>2</v>
      </c>
      <c r="CD246" s="48">
        <f t="shared" si="1478"/>
        <v>4</v>
      </c>
      <c r="CE246" s="48">
        <f t="shared" si="1478"/>
        <v>4</v>
      </c>
      <c r="CF246" s="48">
        <f>+BD246</f>
        <v>1</v>
      </c>
      <c r="CG246" s="48">
        <f t="shared" si="1479"/>
        <v>9</v>
      </c>
      <c r="CH246" s="48">
        <f t="shared" si="1479"/>
        <v>12</v>
      </c>
      <c r="CI246" s="48">
        <f>+BG246</f>
        <v>3</v>
      </c>
      <c r="CJ246" s="48">
        <f t="shared" si="1480"/>
        <v>4</v>
      </c>
      <c r="CK246" s="48">
        <f t="shared" si="1480"/>
        <v>5</v>
      </c>
      <c r="CL246" s="48">
        <f>+BJ246</f>
        <v>5</v>
      </c>
      <c r="CM246" s="48">
        <f t="shared" si="1481"/>
        <v>10</v>
      </c>
      <c r="CN246" s="48" t="e">
        <f t="shared" si="1481"/>
        <v>#VALUE!</v>
      </c>
      <c r="CO246" s="406"/>
      <c r="CP246" s="40">
        <f>AL246</f>
        <v>2</v>
      </c>
      <c r="CQ246" s="40">
        <f t="shared" si="1482"/>
        <v>5</v>
      </c>
      <c r="CR246" s="40">
        <f t="shared" si="1482"/>
        <v>5</v>
      </c>
      <c r="CS246" s="40">
        <f t="shared" si="1482"/>
        <v>7</v>
      </c>
      <c r="CT246" s="40">
        <f t="shared" si="1482"/>
        <v>9</v>
      </c>
      <c r="CU246" s="40">
        <f t="shared" si="1482"/>
        <v>11</v>
      </c>
      <c r="CV246" s="40">
        <f t="shared" si="1482"/>
        <v>13</v>
      </c>
      <c r="CW246" s="40">
        <f t="shared" si="1482"/>
        <v>13</v>
      </c>
      <c r="CX246" s="40">
        <f t="shared" si="1482"/>
        <v>15</v>
      </c>
      <c r="CY246" s="40">
        <f t="shared" si="1482"/>
        <v>17</v>
      </c>
      <c r="CZ246" s="40">
        <f t="shared" si="1482"/>
        <v>18</v>
      </c>
      <c r="DA246" s="40">
        <f t="shared" si="1482"/>
        <v>34</v>
      </c>
      <c r="DB246" s="40">
        <f>AX246</f>
        <v>1</v>
      </c>
      <c r="DC246" s="40">
        <f t="shared" si="1483"/>
        <v>5</v>
      </c>
      <c r="DD246" s="40">
        <f t="shared" si="1483"/>
        <v>9</v>
      </c>
      <c r="DE246" s="40">
        <f t="shared" si="1483"/>
        <v>11</v>
      </c>
      <c r="DF246" s="40">
        <f t="shared" si="1483"/>
        <v>13</v>
      </c>
      <c r="DG246" s="40">
        <f t="shared" si="1483"/>
        <v>13</v>
      </c>
      <c r="DH246" s="40">
        <f t="shared" si="1483"/>
        <v>14</v>
      </c>
      <c r="DI246" s="40">
        <f t="shared" si="1483"/>
        <v>22</v>
      </c>
      <c r="DJ246" s="40">
        <f t="shared" si="1483"/>
        <v>25</v>
      </c>
      <c r="DK246" s="40">
        <f t="shared" si="1483"/>
        <v>28</v>
      </c>
      <c r="DL246" s="40">
        <f t="shared" si="1483"/>
        <v>29</v>
      </c>
      <c r="DM246" s="40">
        <f t="shared" si="1483"/>
        <v>30</v>
      </c>
      <c r="DN246" s="40">
        <f>BJ246</f>
        <v>5</v>
      </c>
      <c r="DO246" s="40">
        <f>DN246+BK246</f>
        <v>10</v>
      </c>
      <c r="DP246" s="40" t="e">
        <f>DO246+BL246</f>
        <v>#VALUE!</v>
      </c>
      <c r="DQ246" s="40"/>
      <c r="DR246" s="40"/>
      <c r="DS246" s="40"/>
      <c r="DT246" s="40"/>
      <c r="DU246" s="40"/>
      <c r="DV246" s="40"/>
      <c r="DW246" s="40"/>
      <c r="DX246" s="40"/>
      <c r="DY246" s="40"/>
      <c r="EA246" s="53"/>
      <c r="EB246" s="53"/>
      <c r="EC246" s="53"/>
      <c r="ED246" s="429"/>
      <c r="EE246" s="54"/>
      <c r="EF246" s="54"/>
      <c r="EG246" s="54"/>
      <c r="EH246" s="18">
        <f>HLOOKUP($I$1,Month,ROW()-1)</f>
        <v>5</v>
      </c>
      <c r="EI246" s="18">
        <f>HLOOKUP($I$1,Qtr,ROW()-1)</f>
        <v>10</v>
      </c>
      <c r="EJ246" s="18">
        <f t="shared" si="1368"/>
        <v>10</v>
      </c>
      <c r="EK246" s="57">
        <f t="shared" si="1411"/>
        <v>0.16666666666666666</v>
      </c>
      <c r="EL246" s="14">
        <f>EH246/EE221</f>
        <v>1.6216391528557059</v>
      </c>
      <c r="EM246" s="14">
        <f>EI246/EF221</f>
        <v>1.6216391528557059</v>
      </c>
      <c r="EN246" s="14">
        <f>EJ246/EG221</f>
        <v>0.28368794326241137</v>
      </c>
      <c r="EO246" s="46" t="str">
        <f t="shared" si="1418"/>
        <v>Ç</v>
      </c>
      <c r="EP246" s="46" t="str">
        <f t="shared" si="1419"/>
        <v>Ç</v>
      </c>
      <c r="EQ246" s="2">
        <f>IF(EL246&gt;=0.9,1,IF(EL246&lt;0.75,2,3))</f>
        <v>1</v>
      </c>
      <c r="ER246" s="2">
        <f>IF(EM246&gt;=0.9,1,IF(EM246&lt;0.75,2,3))</f>
        <v>1</v>
      </c>
      <c r="ES246" s="2">
        <f>IF(EN246&gt;=0.9,1,IF(EN246&lt;0.75,2,3))</f>
        <v>2</v>
      </c>
    </row>
    <row r="247" spans="1:149">
      <c r="A247" s="6" t="s">
        <v>23</v>
      </c>
      <c r="B247" s="2" t="s">
        <v>98</v>
      </c>
      <c r="G247" s="28" t="s">
        <v>92</v>
      </c>
      <c r="H247" s="28"/>
      <c r="I247" s="29"/>
      <c r="J247" s="32">
        <f>J234*J235</f>
        <v>0</v>
      </c>
      <c r="K247" s="32">
        <f t="shared" ref="K247:AJ247" si="1485">K234*K235</f>
        <v>0</v>
      </c>
      <c r="L247" s="32">
        <f t="shared" si="1485"/>
        <v>1</v>
      </c>
      <c r="M247" s="32">
        <f t="shared" si="1485"/>
        <v>1</v>
      </c>
      <c r="N247" s="32">
        <f t="shared" si="1485"/>
        <v>1</v>
      </c>
      <c r="O247" s="32">
        <f t="shared" si="1485"/>
        <v>1</v>
      </c>
      <c r="P247" s="32">
        <f t="shared" si="1485"/>
        <v>0</v>
      </c>
      <c r="Q247" s="32">
        <f t="shared" si="1485"/>
        <v>3.4</v>
      </c>
      <c r="R247" s="32">
        <f t="shared" si="1485"/>
        <v>3</v>
      </c>
      <c r="S247" s="32">
        <f t="shared" si="1485"/>
        <v>0</v>
      </c>
      <c r="T247" s="32">
        <f t="shared" si="1485"/>
        <v>1.4</v>
      </c>
      <c r="U247" s="32">
        <f t="shared" si="1485"/>
        <v>3</v>
      </c>
      <c r="V247" s="32">
        <f t="shared" si="1485"/>
        <v>3</v>
      </c>
      <c r="W247" s="32">
        <f t="shared" si="1485"/>
        <v>3</v>
      </c>
      <c r="X247" s="32">
        <f t="shared" si="1485"/>
        <v>2.19</v>
      </c>
      <c r="Y247" s="32">
        <f t="shared" si="1485"/>
        <v>2.79</v>
      </c>
      <c r="Z247" s="32">
        <f t="shared" si="1485"/>
        <v>0</v>
      </c>
      <c r="AA247" s="32">
        <f t="shared" si="1485"/>
        <v>1.8</v>
      </c>
      <c r="AB247" s="32">
        <f t="shared" si="1485"/>
        <v>0</v>
      </c>
      <c r="AC247" s="32">
        <f t="shared" si="1485"/>
        <v>2</v>
      </c>
      <c r="AD247" s="32">
        <f t="shared" si="1485"/>
        <v>1</v>
      </c>
      <c r="AE247" s="32">
        <f t="shared" si="1485"/>
        <v>4</v>
      </c>
      <c r="AF247" s="32">
        <f t="shared" si="1485"/>
        <v>2.79</v>
      </c>
      <c r="AG247" s="32">
        <f t="shared" si="1485"/>
        <v>1</v>
      </c>
      <c r="AH247" s="32">
        <f t="shared" si="1485"/>
        <v>1</v>
      </c>
      <c r="AI247" s="32">
        <f t="shared" si="1485"/>
        <v>1</v>
      </c>
      <c r="AJ247" s="32">
        <f t="shared" si="1485"/>
        <v>0</v>
      </c>
      <c r="AK247" s="408"/>
      <c r="AL247" s="56">
        <f t="shared" ref="AL247:BL247" si="1486">AL234*AL235</f>
        <v>0</v>
      </c>
      <c r="AM247" s="56">
        <f t="shared" si="1486"/>
        <v>0</v>
      </c>
      <c r="AN247" s="56">
        <f t="shared" si="1486"/>
        <v>1</v>
      </c>
      <c r="AO247" s="56">
        <f t="shared" si="1486"/>
        <v>1</v>
      </c>
      <c r="AP247" s="56">
        <f t="shared" si="1486"/>
        <v>1</v>
      </c>
      <c r="AQ247" s="56">
        <f t="shared" si="1486"/>
        <v>1</v>
      </c>
      <c r="AR247" s="56">
        <f t="shared" si="1486"/>
        <v>0</v>
      </c>
      <c r="AS247" s="56">
        <f t="shared" si="1486"/>
        <v>3.4</v>
      </c>
      <c r="AT247" s="56">
        <f t="shared" si="1486"/>
        <v>3</v>
      </c>
      <c r="AU247" s="56">
        <f t="shared" si="1486"/>
        <v>0</v>
      </c>
      <c r="AV247" s="56">
        <f t="shared" si="1486"/>
        <v>1.4</v>
      </c>
      <c r="AW247" s="56">
        <f t="shared" si="1486"/>
        <v>3</v>
      </c>
      <c r="AX247" s="56">
        <f t="shared" si="1486"/>
        <v>3</v>
      </c>
      <c r="AY247" s="56">
        <f t="shared" si="1486"/>
        <v>3</v>
      </c>
      <c r="AZ247" s="56">
        <f t="shared" si="1486"/>
        <v>2.19</v>
      </c>
      <c r="BA247" s="56">
        <f t="shared" si="1486"/>
        <v>2.79</v>
      </c>
      <c r="BB247" s="56">
        <f t="shared" si="1486"/>
        <v>0</v>
      </c>
      <c r="BC247" s="56">
        <f t="shared" si="1486"/>
        <v>1.8</v>
      </c>
      <c r="BD247" s="56">
        <f t="shared" si="1486"/>
        <v>0</v>
      </c>
      <c r="BE247" s="56">
        <f t="shared" si="1486"/>
        <v>2</v>
      </c>
      <c r="BF247" s="56">
        <f t="shared" si="1486"/>
        <v>1</v>
      </c>
      <c r="BG247" s="56">
        <f t="shared" si="1486"/>
        <v>4</v>
      </c>
      <c r="BH247" s="56">
        <f t="shared" si="1486"/>
        <v>2.79</v>
      </c>
      <c r="BI247" s="56">
        <f t="shared" si="1486"/>
        <v>1</v>
      </c>
      <c r="BJ247" s="56">
        <f t="shared" si="1486"/>
        <v>1</v>
      </c>
      <c r="BK247" s="56">
        <f t="shared" si="1486"/>
        <v>1</v>
      </c>
      <c r="BL247" s="56">
        <f t="shared" si="1486"/>
        <v>0</v>
      </c>
      <c r="BM247" s="408"/>
      <c r="BN247" s="56">
        <f>+AL247</f>
        <v>0</v>
      </c>
      <c r="BO247" s="56">
        <f t="shared" si="1473"/>
        <v>0</v>
      </c>
      <c r="BP247" s="56">
        <f t="shared" si="1473"/>
        <v>1</v>
      </c>
      <c r="BQ247" s="56">
        <f>+AO247</f>
        <v>1</v>
      </c>
      <c r="BR247" s="56">
        <f t="shared" si="1474"/>
        <v>2</v>
      </c>
      <c r="BS247" s="56">
        <f t="shared" si="1474"/>
        <v>3</v>
      </c>
      <c r="BT247" s="56">
        <f>+AR247</f>
        <v>0</v>
      </c>
      <c r="BU247" s="56">
        <f t="shared" si="1475"/>
        <v>3.4</v>
      </c>
      <c r="BV247" s="56">
        <f t="shared" si="1475"/>
        <v>6.4</v>
      </c>
      <c r="BW247" s="56">
        <f>+AU247</f>
        <v>0</v>
      </c>
      <c r="BX247" s="56">
        <f t="shared" si="1476"/>
        <v>1.4</v>
      </c>
      <c r="BY247" s="56">
        <f t="shared" si="1476"/>
        <v>4.4000000000000004</v>
      </c>
      <c r="BZ247" s="56">
        <f>+AX247</f>
        <v>3</v>
      </c>
      <c r="CA247" s="56">
        <f t="shared" si="1477"/>
        <v>6</v>
      </c>
      <c r="CB247" s="56">
        <f t="shared" si="1477"/>
        <v>8.19</v>
      </c>
      <c r="CC247" s="56">
        <f>+BA247</f>
        <v>2.79</v>
      </c>
      <c r="CD247" s="56">
        <f t="shared" si="1478"/>
        <v>2.79</v>
      </c>
      <c r="CE247" s="56">
        <f t="shared" si="1478"/>
        <v>4.59</v>
      </c>
      <c r="CF247" s="56">
        <f>+BD247</f>
        <v>0</v>
      </c>
      <c r="CG247" s="56">
        <f t="shared" si="1479"/>
        <v>2</v>
      </c>
      <c r="CH247" s="56">
        <f t="shared" si="1479"/>
        <v>3</v>
      </c>
      <c r="CI247" s="56">
        <f>+BG247</f>
        <v>4</v>
      </c>
      <c r="CJ247" s="56">
        <f t="shared" si="1480"/>
        <v>6.79</v>
      </c>
      <c r="CK247" s="56">
        <f t="shared" si="1480"/>
        <v>7.79</v>
      </c>
      <c r="CL247" s="56">
        <f>+BJ247</f>
        <v>1</v>
      </c>
      <c r="CM247" s="56">
        <f t="shared" si="1481"/>
        <v>2</v>
      </c>
      <c r="CN247" s="56">
        <f t="shared" si="1481"/>
        <v>2</v>
      </c>
      <c r="CO247" s="406"/>
      <c r="CP247" s="60">
        <f>J247</f>
        <v>0</v>
      </c>
      <c r="CQ247" s="60">
        <f t="shared" ref="CQ247:DA247" si="1487">CP247+K247</f>
        <v>0</v>
      </c>
      <c r="CR247" s="60">
        <f t="shared" si="1487"/>
        <v>1</v>
      </c>
      <c r="CS247" s="60">
        <f t="shared" si="1487"/>
        <v>2</v>
      </c>
      <c r="CT247" s="60">
        <f t="shared" si="1487"/>
        <v>3</v>
      </c>
      <c r="CU247" s="60">
        <f t="shared" si="1487"/>
        <v>4</v>
      </c>
      <c r="CV247" s="60">
        <f t="shared" si="1487"/>
        <v>4</v>
      </c>
      <c r="CW247" s="60">
        <f t="shared" si="1487"/>
        <v>7.4</v>
      </c>
      <c r="CX247" s="60">
        <f t="shared" si="1487"/>
        <v>10.4</v>
      </c>
      <c r="CY247" s="60">
        <f t="shared" si="1487"/>
        <v>10.4</v>
      </c>
      <c r="CZ247" s="60">
        <f t="shared" si="1487"/>
        <v>11.8</v>
      </c>
      <c r="DA247" s="60">
        <f t="shared" si="1487"/>
        <v>14.8</v>
      </c>
      <c r="DB247" s="60">
        <f>V247</f>
        <v>3</v>
      </c>
      <c r="DC247" s="60">
        <f t="shared" ref="DC247:DM247" si="1488">DB247+W247</f>
        <v>6</v>
      </c>
      <c r="DD247" s="60">
        <f t="shared" si="1488"/>
        <v>8.19</v>
      </c>
      <c r="DE247" s="60">
        <f t="shared" si="1488"/>
        <v>10.98</v>
      </c>
      <c r="DF247" s="60">
        <f t="shared" si="1488"/>
        <v>10.98</v>
      </c>
      <c r="DG247" s="60">
        <f t="shared" si="1488"/>
        <v>12.780000000000001</v>
      </c>
      <c r="DH247" s="60">
        <f t="shared" si="1488"/>
        <v>12.780000000000001</v>
      </c>
      <c r="DI247" s="60">
        <f t="shared" si="1488"/>
        <v>14.780000000000001</v>
      </c>
      <c r="DJ247" s="60">
        <f t="shared" si="1488"/>
        <v>15.780000000000001</v>
      </c>
      <c r="DK247" s="60">
        <f t="shared" si="1488"/>
        <v>19.78</v>
      </c>
      <c r="DL247" s="60">
        <f t="shared" si="1488"/>
        <v>22.57</v>
      </c>
      <c r="DM247" s="60">
        <f t="shared" si="1488"/>
        <v>23.57</v>
      </c>
      <c r="DN247" s="60">
        <f>AH247</f>
        <v>1</v>
      </c>
      <c r="DO247" s="60">
        <f>DN247+AI247</f>
        <v>2</v>
      </c>
      <c r="DP247" s="60">
        <f>DO247+AJ247</f>
        <v>2</v>
      </c>
      <c r="DQ247" s="60"/>
      <c r="DR247" s="60"/>
      <c r="DS247" s="60"/>
      <c r="DT247" s="60"/>
      <c r="DU247" s="60"/>
      <c r="DV247" s="60"/>
      <c r="DW247" s="60"/>
      <c r="DX247" s="60"/>
      <c r="DY247" s="60"/>
      <c r="EA247" s="53"/>
      <c r="EB247" s="53"/>
      <c r="EC247" s="53"/>
      <c r="ED247" s="429"/>
      <c r="EE247" s="54"/>
      <c r="EF247" s="54"/>
      <c r="EG247" s="54"/>
      <c r="EH247" s="18">
        <f>HLOOKUP($I$1,Month,ROW()-1)</f>
        <v>1</v>
      </c>
      <c r="EI247" s="18">
        <f>HLOOKUP($I$1,Qtr,ROW()-1)</f>
        <v>2</v>
      </c>
      <c r="EJ247" s="18">
        <f t="shared" si="1368"/>
        <v>2</v>
      </c>
      <c r="EK247" s="57">
        <f t="shared" si="1411"/>
        <v>0.16666666666666666</v>
      </c>
      <c r="EL247" s="14"/>
      <c r="EM247" s="14" t="e">
        <f>EI247/EF223</f>
        <v>#DIV/0!</v>
      </c>
      <c r="EN247" s="14"/>
      <c r="EO247" s="46" t="str">
        <f>IF(EH247&lt;0,,IF(EH247&lt;EE223,"È",IF(EH247=EE223,"Æ","Ç")))</f>
        <v>Ç</v>
      </c>
      <c r="EP247" s="46" t="str">
        <f>IF(EI247&lt;0,,IF(EI247&lt;EF223,"È",IF(EI247=EF223,"Æ","Ç")))</f>
        <v>Ç</v>
      </c>
    </row>
    <row r="248" spans="1:149" ht="13.5" thickBot="1">
      <c r="K248" s="42" t="s">
        <v>114</v>
      </c>
      <c r="AL248" s="14"/>
      <c r="CN248" s="23" t="s">
        <v>152</v>
      </c>
      <c r="CP248" s="2">
        <v>10</v>
      </c>
      <c r="CQ248" s="2">
        <v>11</v>
      </c>
      <c r="CR248" s="2">
        <v>12</v>
      </c>
      <c r="CS248" s="2">
        <v>1</v>
      </c>
      <c r="CT248" s="2">
        <v>2</v>
      </c>
      <c r="CU248" s="2">
        <v>3</v>
      </c>
      <c r="CV248" s="2">
        <v>4</v>
      </c>
      <c r="CW248" s="2">
        <v>5</v>
      </c>
      <c r="CX248" s="2">
        <v>6</v>
      </c>
      <c r="CY248" s="2">
        <v>7</v>
      </c>
      <c r="CZ248" s="2">
        <v>8</v>
      </c>
      <c r="DA248" s="2">
        <v>9</v>
      </c>
      <c r="DB248" s="2">
        <v>10</v>
      </c>
      <c r="DC248" s="2">
        <v>11</v>
      </c>
      <c r="DD248" s="2">
        <v>12</v>
      </c>
      <c r="DE248" s="2">
        <v>1</v>
      </c>
      <c r="DF248" s="2">
        <v>2</v>
      </c>
      <c r="DG248" s="2">
        <v>3</v>
      </c>
      <c r="DH248" s="2">
        <v>4</v>
      </c>
      <c r="DI248" s="2">
        <v>5</v>
      </c>
      <c r="DJ248" s="2">
        <v>6</v>
      </c>
      <c r="DK248" s="2">
        <v>7</v>
      </c>
      <c r="DL248" s="2">
        <v>8</v>
      </c>
      <c r="DM248" s="2">
        <v>9</v>
      </c>
      <c r="DN248" s="2">
        <v>10</v>
      </c>
      <c r="DO248" s="2">
        <v>11</v>
      </c>
      <c r="DP248" s="2">
        <v>12</v>
      </c>
      <c r="ED248" s="429"/>
      <c r="EE248" s="23"/>
      <c r="EF248" s="23"/>
      <c r="EG248" s="23"/>
      <c r="EH248" s="23"/>
      <c r="EI248" s="23"/>
      <c r="EJ248" s="23"/>
      <c r="EK248" s="23"/>
    </row>
    <row r="249" spans="1:149" ht="13.5" thickBot="1">
      <c r="A249" s="6" t="s">
        <v>30</v>
      </c>
      <c r="C249" s="11" t="s">
        <v>73</v>
      </c>
      <c r="E249" s="8" t="s">
        <v>34</v>
      </c>
      <c r="F249" s="11" t="s">
        <v>33</v>
      </c>
      <c r="G249" s="9" t="s">
        <v>34</v>
      </c>
      <c r="H249" s="11" t="s">
        <v>33</v>
      </c>
      <c r="I249" s="11" t="s">
        <v>34</v>
      </c>
      <c r="AL249" s="109"/>
    </row>
    <row r="250" spans="1:149">
      <c r="A250" s="6" t="s">
        <v>23</v>
      </c>
      <c r="B250" s="2" t="s">
        <v>24</v>
      </c>
      <c r="C250" s="3" t="s">
        <v>74</v>
      </c>
      <c r="E250" s="4" t="str">
        <f>C208</f>
        <v>BInBusNew</v>
      </c>
      <c r="F250" s="4" t="s">
        <v>31</v>
      </c>
      <c r="G250" s="28" t="str">
        <f>C207</f>
        <v>BAllNew</v>
      </c>
      <c r="H250" s="28"/>
      <c r="I250" s="28"/>
      <c r="J250" s="62">
        <f t="shared" ref="J250:AJ250" si="1489">J208/J207</f>
        <v>0.44871794871794868</v>
      </c>
      <c r="K250" s="62">
        <f t="shared" si="1489"/>
        <v>0.44871794897435896</v>
      </c>
      <c r="L250" s="62">
        <f t="shared" si="1489"/>
        <v>0.44871794905982909</v>
      </c>
      <c r="M250" s="62">
        <f t="shared" si="1489"/>
        <v>0.44871794910256413</v>
      </c>
      <c r="N250" s="62">
        <f t="shared" si="1489"/>
        <v>0.44871794912820512</v>
      </c>
      <c r="O250" s="62">
        <f t="shared" si="1489"/>
        <v>0.44871794914529917</v>
      </c>
      <c r="P250" s="62">
        <f t="shared" si="1489"/>
        <v>0.44871794915750923</v>
      </c>
      <c r="Q250" s="62">
        <f t="shared" si="1489"/>
        <v>0.44871794916666674</v>
      </c>
      <c r="R250" s="62">
        <f t="shared" si="1489"/>
        <v>0.44871794917378927</v>
      </c>
      <c r="S250" s="62">
        <f t="shared" si="1489"/>
        <v>0.44871794917948726</v>
      </c>
      <c r="T250" s="62">
        <f t="shared" si="1489"/>
        <v>0.44871794918414926</v>
      </c>
      <c r="U250" s="62">
        <f t="shared" si="1489"/>
        <v>0.4487179491880342</v>
      </c>
      <c r="V250" s="62">
        <f t="shared" si="1489"/>
        <v>0.39743538461538463</v>
      </c>
      <c r="W250" s="62">
        <f t="shared" si="1489"/>
        <v>0.39743538461538463</v>
      </c>
      <c r="X250" s="62">
        <f t="shared" si="1489"/>
        <v>0.39743538461538463</v>
      </c>
      <c r="Y250" s="62">
        <f t="shared" si="1489"/>
        <v>0.39743538461538463</v>
      </c>
      <c r="Z250" s="62">
        <f t="shared" si="1489"/>
        <v>0.39743538461538463</v>
      </c>
      <c r="AA250" s="62">
        <f t="shared" si="1489"/>
        <v>0.39743538461538463</v>
      </c>
      <c r="AB250" s="62">
        <f t="shared" si="1489"/>
        <v>0.39743538461538463</v>
      </c>
      <c r="AC250" s="62">
        <f t="shared" si="1489"/>
        <v>0.39743538461538463</v>
      </c>
      <c r="AD250" s="62">
        <f t="shared" si="1489"/>
        <v>0.39743538461538463</v>
      </c>
      <c r="AE250" s="62">
        <f t="shared" si="1489"/>
        <v>0.39743538461538463</v>
      </c>
      <c r="AF250" s="62">
        <f t="shared" si="1489"/>
        <v>0.39743538461538463</v>
      </c>
      <c r="AG250" s="62">
        <f t="shared" si="1489"/>
        <v>0.39743538461538463</v>
      </c>
      <c r="AH250" s="62">
        <f t="shared" si="1489"/>
        <v>0.50442477876106195</v>
      </c>
      <c r="AI250" s="62" t="e">
        <f t="shared" si="1489"/>
        <v>#DIV/0!</v>
      </c>
      <c r="AJ250" s="62" t="e">
        <f t="shared" si="1489"/>
        <v>#DIV/0!</v>
      </c>
      <c r="AK250" s="412"/>
      <c r="AL250" s="14">
        <f t="shared" ref="AL250:BL250" si="1490">AL208/AL207</f>
        <v>0.44871794871794868</v>
      </c>
      <c r="AM250" s="14">
        <f t="shared" si="1490"/>
        <v>0.44871794923076924</v>
      </c>
      <c r="AN250" s="14">
        <f>AN208/AN207</f>
        <v>0.4487179492307693</v>
      </c>
      <c r="AO250" s="14">
        <f t="shared" si="1490"/>
        <v>0.44871794923076919</v>
      </c>
      <c r="AP250" s="14">
        <f t="shared" si="1490"/>
        <v>0.44871794923076919</v>
      </c>
      <c r="AQ250" s="14">
        <f t="shared" si="1490"/>
        <v>0.44871794923076946</v>
      </c>
      <c r="AR250" s="14">
        <f t="shared" si="1490"/>
        <v>0.44871794923076946</v>
      </c>
      <c r="AS250" s="14">
        <f t="shared" si="1490"/>
        <v>0.44871794923076946</v>
      </c>
      <c r="AT250" s="14">
        <f t="shared" si="1490"/>
        <v>0.44871794923076946</v>
      </c>
      <c r="AU250" s="14">
        <f t="shared" si="1490"/>
        <v>0.44871794923076946</v>
      </c>
      <c r="AV250" s="14">
        <f t="shared" si="1490"/>
        <v>0.44871794923076891</v>
      </c>
      <c r="AW250" s="14">
        <f t="shared" si="1490"/>
        <v>0.44871794923076891</v>
      </c>
      <c r="AX250" s="14">
        <f t="shared" si="1490"/>
        <v>0.39743538461538463</v>
      </c>
      <c r="AY250" s="14">
        <f t="shared" si="1490"/>
        <v>0.39743538461538463</v>
      </c>
      <c r="AZ250" s="14">
        <f t="shared" si="1490"/>
        <v>0.39743538461538463</v>
      </c>
      <c r="BA250" s="14">
        <f t="shared" si="1490"/>
        <v>0.39743538461538463</v>
      </c>
      <c r="BB250" s="14">
        <f t="shared" si="1490"/>
        <v>0.39743538461538463</v>
      </c>
      <c r="BC250" s="14">
        <f t="shared" si="1490"/>
        <v>0.39743538461538463</v>
      </c>
      <c r="BD250" s="14">
        <f t="shared" si="1490"/>
        <v>0.39743538461538463</v>
      </c>
      <c r="BE250" s="14">
        <f t="shared" si="1490"/>
        <v>0.39743538461538463</v>
      </c>
      <c r="BF250" s="14">
        <f t="shared" si="1490"/>
        <v>0.39743538461538463</v>
      </c>
      <c r="BG250" s="14">
        <f t="shared" si="1490"/>
        <v>0.39743538461538463</v>
      </c>
      <c r="BH250" s="14">
        <f t="shared" si="1490"/>
        <v>0.39743538461538463</v>
      </c>
      <c r="BI250" s="14">
        <f t="shared" si="1490"/>
        <v>0.39743538461538463</v>
      </c>
      <c r="BJ250" s="14">
        <f t="shared" si="1490"/>
        <v>0.50442477876106195</v>
      </c>
      <c r="BK250" s="14" t="e">
        <f t="shared" si="1490"/>
        <v>#DIV/0!</v>
      </c>
      <c r="BL250" s="14" t="e">
        <f t="shared" si="1490"/>
        <v>#DIV/0!</v>
      </c>
      <c r="BM250" s="412"/>
      <c r="BN250" s="14">
        <f t="shared" ref="BN250:CN250" si="1491">BN208/BN207</f>
        <v>0.44871794905982909</v>
      </c>
      <c r="BO250" s="14">
        <f t="shared" si="1491"/>
        <v>0.44871794905982909</v>
      </c>
      <c r="BP250" s="14">
        <f t="shared" si="1491"/>
        <v>0.44871794905982909</v>
      </c>
      <c r="BQ250" s="14">
        <f t="shared" si="1491"/>
        <v>0.4487179492307693</v>
      </c>
      <c r="BR250" s="14">
        <f t="shared" si="1491"/>
        <v>0.4487179492307693</v>
      </c>
      <c r="BS250" s="14">
        <f t="shared" si="1491"/>
        <v>0.4487179492307693</v>
      </c>
      <c r="BT250" s="14">
        <f t="shared" si="1491"/>
        <v>0.44871794923076946</v>
      </c>
      <c r="BU250" s="14">
        <f t="shared" si="1491"/>
        <v>0.44871794923076946</v>
      </c>
      <c r="BV250" s="14">
        <f t="shared" si="1491"/>
        <v>0.44871794923076946</v>
      </c>
      <c r="BW250" s="14">
        <f t="shared" si="1491"/>
        <v>0.44871794923076908</v>
      </c>
      <c r="BX250" s="14">
        <f t="shared" si="1491"/>
        <v>0.44871794923076908</v>
      </c>
      <c r="BY250" s="14">
        <f t="shared" si="1491"/>
        <v>0.44871794923076908</v>
      </c>
      <c r="BZ250" s="14">
        <f t="shared" si="1491"/>
        <v>0.39743538461538463</v>
      </c>
      <c r="CA250" s="14">
        <f t="shared" si="1491"/>
        <v>0.39743538461538463</v>
      </c>
      <c r="CB250" s="14">
        <f t="shared" si="1491"/>
        <v>0.39743538461538463</v>
      </c>
      <c r="CC250" s="14">
        <f t="shared" si="1491"/>
        <v>0.39743538461538463</v>
      </c>
      <c r="CD250" s="14">
        <f t="shared" si="1491"/>
        <v>0.39743538461538463</v>
      </c>
      <c r="CE250" s="14">
        <f t="shared" si="1491"/>
        <v>0.39743538461538463</v>
      </c>
      <c r="CF250" s="14">
        <f t="shared" si="1491"/>
        <v>0.39743538461538463</v>
      </c>
      <c r="CG250" s="14">
        <f t="shared" si="1491"/>
        <v>0.39743538461538463</v>
      </c>
      <c r="CH250" s="14">
        <f t="shared" si="1491"/>
        <v>0.39743538461538463</v>
      </c>
      <c r="CI250" s="14">
        <f t="shared" si="1491"/>
        <v>0.39743538461538463</v>
      </c>
      <c r="CJ250" s="14">
        <f t="shared" si="1491"/>
        <v>0.39743538461538463</v>
      </c>
      <c r="CK250" s="14">
        <f t="shared" si="1491"/>
        <v>0.39743538461538463</v>
      </c>
      <c r="CL250" s="14">
        <f t="shared" si="1491"/>
        <v>0.50442477876106195</v>
      </c>
      <c r="CM250" s="14">
        <f t="shared" si="1491"/>
        <v>0.50442477876106195</v>
      </c>
      <c r="CN250" s="14">
        <f t="shared" si="1491"/>
        <v>0.50442477876106195</v>
      </c>
      <c r="CO250" s="412"/>
      <c r="CP250" s="14">
        <f t="shared" ref="CP250:DP250" si="1492">CP208/CP207</f>
        <v>0.44871794871794868</v>
      </c>
      <c r="CQ250" s="14">
        <f t="shared" si="1492"/>
        <v>0.44871794897435896</v>
      </c>
      <c r="CR250" s="14">
        <f t="shared" si="1492"/>
        <v>0.44871794905982909</v>
      </c>
      <c r="CS250" s="14">
        <f t="shared" si="1492"/>
        <v>0.44871794910256413</v>
      </c>
      <c r="CT250" s="14">
        <f t="shared" si="1492"/>
        <v>0.44871794912820512</v>
      </c>
      <c r="CU250" s="14">
        <f t="shared" si="1492"/>
        <v>0.44871794914529917</v>
      </c>
      <c r="CV250" s="14">
        <f t="shared" si="1492"/>
        <v>0.44871794915750923</v>
      </c>
      <c r="CW250" s="14">
        <f t="shared" si="1492"/>
        <v>0.44871794916666674</v>
      </c>
      <c r="CX250" s="14">
        <f t="shared" si="1492"/>
        <v>0.44871794917378927</v>
      </c>
      <c r="CY250" s="14">
        <f t="shared" si="1492"/>
        <v>0.44871794917948726</v>
      </c>
      <c r="CZ250" s="14">
        <f t="shared" si="1492"/>
        <v>0.44871794918414926</v>
      </c>
      <c r="DA250" s="14">
        <f t="shared" si="1492"/>
        <v>0.4487179491880342</v>
      </c>
      <c r="DB250" s="14">
        <f t="shared" si="1492"/>
        <v>0.39743538461538463</v>
      </c>
      <c r="DC250" s="14">
        <f t="shared" si="1492"/>
        <v>0.39743538461538463</v>
      </c>
      <c r="DD250" s="14">
        <f t="shared" si="1492"/>
        <v>0.39743538461538463</v>
      </c>
      <c r="DE250" s="14">
        <f t="shared" si="1492"/>
        <v>0.39743538461538463</v>
      </c>
      <c r="DF250" s="14">
        <f t="shared" si="1492"/>
        <v>0.39743538461538463</v>
      </c>
      <c r="DG250" s="14">
        <f t="shared" si="1492"/>
        <v>0.39743538461538463</v>
      </c>
      <c r="DH250" s="14">
        <f t="shared" si="1492"/>
        <v>0.39743538461538463</v>
      </c>
      <c r="DI250" s="14">
        <f t="shared" si="1492"/>
        <v>0.39743538461538463</v>
      </c>
      <c r="DJ250" s="14">
        <f t="shared" si="1492"/>
        <v>0.39743538461538463</v>
      </c>
      <c r="DK250" s="14">
        <f t="shared" si="1492"/>
        <v>0.39743538461538463</v>
      </c>
      <c r="DL250" s="14">
        <f t="shared" si="1492"/>
        <v>0.39743538461538463</v>
      </c>
      <c r="DM250" s="14">
        <f t="shared" si="1492"/>
        <v>0.39743538461538463</v>
      </c>
      <c r="DN250" s="14">
        <f t="shared" si="1492"/>
        <v>0.50442477876106195</v>
      </c>
      <c r="DO250" s="14">
        <f t="shared" si="1492"/>
        <v>0.50442477876106195</v>
      </c>
      <c r="DP250" s="14">
        <f t="shared" si="1492"/>
        <v>0</v>
      </c>
      <c r="DQ250" s="14"/>
      <c r="DR250" s="14"/>
      <c r="DS250" s="14"/>
      <c r="DT250" s="14"/>
      <c r="DU250" s="14"/>
      <c r="DV250" s="14"/>
      <c r="DW250" s="14"/>
      <c r="DX250" s="14"/>
      <c r="DY250" s="14"/>
      <c r="DZ250" s="14"/>
      <c r="EA250" s="14">
        <f>EA208/EA207</f>
        <v>0.4487179491880342</v>
      </c>
      <c r="EB250" s="14">
        <f>EB208/EB207</f>
        <v>0.39743538461538463</v>
      </c>
      <c r="EC250" s="14"/>
      <c r="ED250" s="429"/>
      <c r="EE250" s="14" t="e">
        <f>EE208/EE207</f>
        <v>#DIV/0!</v>
      </c>
      <c r="EF250" s="14">
        <f>EF208/EF207</f>
        <v>0.50442477876106195</v>
      </c>
      <c r="EG250" s="14">
        <f>EG208/EG207</f>
        <v>0.50442477876106195</v>
      </c>
      <c r="EK250" s="24"/>
      <c r="EL250" s="47"/>
      <c r="EM250" s="47"/>
      <c r="EN250" s="47"/>
    </row>
    <row r="251" spans="1:149">
      <c r="A251" s="6" t="s">
        <v>23</v>
      </c>
      <c r="B251" s="2" t="s">
        <v>25</v>
      </c>
      <c r="C251" s="3" t="s">
        <v>75</v>
      </c>
      <c r="E251" s="4" t="str">
        <f>C221</f>
        <v>BSEE</v>
      </c>
      <c r="F251" s="4" t="s">
        <v>31</v>
      </c>
      <c r="G251" s="28" t="str">
        <f>C220</f>
        <v>BSUniq</v>
      </c>
      <c r="H251" s="28"/>
      <c r="I251" s="28"/>
      <c r="J251" s="62">
        <f t="shared" ref="J251:AJ251" si="1493">J221/J220</f>
        <v>0.38709677419354838</v>
      </c>
      <c r="K251" s="62">
        <f t="shared" si="1493"/>
        <v>0.38709677419354838</v>
      </c>
      <c r="L251" s="62">
        <f t="shared" si="1493"/>
        <v>0.38709677419354838</v>
      </c>
      <c r="M251" s="62">
        <f t="shared" si="1493"/>
        <v>0.32258064516129031</v>
      </c>
      <c r="N251" s="62">
        <f t="shared" si="1493"/>
        <v>0.32258064516129031</v>
      </c>
      <c r="O251" s="62">
        <f t="shared" si="1493"/>
        <v>0.32258064516129031</v>
      </c>
      <c r="P251" s="62">
        <f t="shared" si="1493"/>
        <v>0.32258064516129031</v>
      </c>
      <c r="Q251" s="62">
        <f t="shared" si="1493"/>
        <v>0.32258064516129031</v>
      </c>
      <c r="R251" s="62">
        <f t="shared" si="1493"/>
        <v>0.32258064516129031</v>
      </c>
      <c r="S251" s="62">
        <f t="shared" si="1493"/>
        <v>0.32258064516129031</v>
      </c>
      <c r="T251" s="62">
        <f t="shared" si="1493"/>
        <v>0.32258064516129031</v>
      </c>
      <c r="U251" s="62">
        <f t="shared" si="1493"/>
        <v>0.32258064516129031</v>
      </c>
      <c r="V251" s="62">
        <f t="shared" si="1493"/>
        <v>0.39166666666666666</v>
      </c>
      <c r="W251" s="62">
        <f t="shared" si="1493"/>
        <v>0.39183333333333331</v>
      </c>
      <c r="X251" s="62">
        <f t="shared" si="1493"/>
        <v>0.39188888888888884</v>
      </c>
      <c r="Y251" s="62">
        <f t="shared" si="1493"/>
        <v>0.39191666666666664</v>
      </c>
      <c r="Z251" s="62">
        <f t="shared" si="1493"/>
        <v>0.3919333333333333</v>
      </c>
      <c r="AA251" s="62">
        <f t="shared" si="1493"/>
        <v>0.39194444444444443</v>
      </c>
      <c r="AB251" s="62">
        <f t="shared" si="1493"/>
        <v>0.39195238095238094</v>
      </c>
      <c r="AC251" s="62">
        <f t="shared" si="1493"/>
        <v>0.39195833333333335</v>
      </c>
      <c r="AD251" s="62">
        <f t="shared" si="1493"/>
        <v>0.39196296296296301</v>
      </c>
      <c r="AE251" s="62">
        <f t="shared" si="1493"/>
        <v>0.39196666666666674</v>
      </c>
      <c r="AF251" s="62">
        <f t="shared" si="1493"/>
        <v>0.39196969696969702</v>
      </c>
      <c r="AG251" s="62">
        <f t="shared" si="1493"/>
        <v>0.39197222222222228</v>
      </c>
      <c r="AH251" s="62">
        <f t="shared" si="1493"/>
        <v>0.3083300000000001</v>
      </c>
      <c r="AI251" s="62">
        <f t="shared" si="1493"/>
        <v>0.3083300000000001</v>
      </c>
      <c r="AJ251" s="62">
        <f t="shared" si="1493"/>
        <v>0.3083300000000001</v>
      </c>
      <c r="AK251" s="412"/>
      <c r="AL251" s="14">
        <f t="shared" ref="AL251:BL251" si="1494">AL221/AL220</f>
        <v>0.38709677419354838</v>
      </c>
      <c r="AM251" s="14">
        <f t="shared" si="1494"/>
        <v>0.38709677419354838</v>
      </c>
      <c r="AN251" s="14">
        <f t="shared" si="1494"/>
        <v>0.38709677419354838</v>
      </c>
      <c r="AO251" s="14">
        <f t="shared" si="1494"/>
        <v>0.32258064516129031</v>
      </c>
      <c r="AP251" s="14">
        <f t="shared" si="1494"/>
        <v>0.32258064516129031</v>
      </c>
      <c r="AQ251" s="14">
        <f t="shared" si="1494"/>
        <v>0.32258064516129031</v>
      </c>
      <c r="AR251" s="14">
        <f t="shared" si="1494"/>
        <v>0.32258064516129031</v>
      </c>
      <c r="AS251" s="14">
        <f t="shared" si="1494"/>
        <v>0.32258064516129031</v>
      </c>
      <c r="AT251" s="14">
        <f t="shared" si="1494"/>
        <v>0.32258064516129031</v>
      </c>
      <c r="AU251" s="14">
        <f t="shared" si="1494"/>
        <v>0.32258064516129031</v>
      </c>
      <c r="AV251" s="14">
        <f t="shared" si="1494"/>
        <v>0.32258064516129031</v>
      </c>
      <c r="AW251" s="14">
        <f t="shared" si="1494"/>
        <v>0.33333333333333331</v>
      </c>
      <c r="AX251" s="14">
        <f t="shared" si="1494"/>
        <v>0.39166666666666666</v>
      </c>
      <c r="AY251" s="14">
        <f t="shared" si="1494"/>
        <v>0.39166666666666666</v>
      </c>
      <c r="AZ251" s="14">
        <f t="shared" si="1494"/>
        <v>0.39166666666666666</v>
      </c>
      <c r="BA251" s="14">
        <f t="shared" si="1494"/>
        <v>0.39166666666666666</v>
      </c>
      <c r="BB251" s="14">
        <f t="shared" si="1494"/>
        <v>0.39166666666666666</v>
      </c>
      <c r="BC251" s="14">
        <f t="shared" si="1494"/>
        <v>0.39166666666666666</v>
      </c>
      <c r="BD251" s="14">
        <f t="shared" si="1494"/>
        <v>0.39166666666666666</v>
      </c>
      <c r="BE251" s="14">
        <f t="shared" si="1494"/>
        <v>0.39166666666666666</v>
      </c>
      <c r="BF251" s="14">
        <f t="shared" si="1494"/>
        <v>0.39166666666666666</v>
      </c>
      <c r="BG251" s="14">
        <f t="shared" si="1494"/>
        <v>0.39166666666666666</v>
      </c>
      <c r="BH251" s="14">
        <f t="shared" si="1494"/>
        <v>0.39166666666666666</v>
      </c>
      <c r="BI251" s="14">
        <f t="shared" si="1494"/>
        <v>0.39166666666666666</v>
      </c>
      <c r="BJ251" s="14">
        <f t="shared" si="1494"/>
        <v>0.3083300000000001</v>
      </c>
      <c r="BK251" s="14">
        <f t="shared" si="1494"/>
        <v>0.3083300000000001</v>
      </c>
      <c r="BL251" s="14">
        <f t="shared" si="1494"/>
        <v>0.3083300000000001</v>
      </c>
      <c r="BM251" s="412"/>
      <c r="BN251" s="14">
        <f t="shared" ref="BN251:CN251" si="1495">BN221/BN220</f>
        <v>0.38709677419354838</v>
      </c>
      <c r="BO251" s="14">
        <f t="shared" si="1495"/>
        <v>0.38709677419354838</v>
      </c>
      <c r="BP251" s="14">
        <f t="shared" si="1495"/>
        <v>0.38709677419354838</v>
      </c>
      <c r="BQ251" s="14">
        <f t="shared" si="1495"/>
        <v>0.32258064516129031</v>
      </c>
      <c r="BR251" s="14">
        <f t="shared" si="1495"/>
        <v>0.32258064516129031</v>
      </c>
      <c r="BS251" s="14">
        <f t="shared" si="1495"/>
        <v>0.32258064516129031</v>
      </c>
      <c r="BT251" s="14">
        <f t="shared" si="1495"/>
        <v>0.32258064516129031</v>
      </c>
      <c r="BU251" s="14">
        <f t="shared" si="1495"/>
        <v>0.32258064516129031</v>
      </c>
      <c r="BV251" s="14">
        <f t="shared" si="1495"/>
        <v>0.32258064516129031</v>
      </c>
      <c r="BW251" s="14">
        <f t="shared" si="1495"/>
        <v>0.32258064516129031</v>
      </c>
      <c r="BX251" s="14">
        <f t="shared" si="1495"/>
        <v>0.32258064516129031</v>
      </c>
      <c r="BY251" s="14">
        <f t="shared" si="1495"/>
        <v>0.32608695652173914</v>
      </c>
      <c r="BZ251" s="14">
        <f t="shared" si="1495"/>
        <v>0.3915555555555556</v>
      </c>
      <c r="CA251" s="14">
        <f t="shared" si="1495"/>
        <v>0.3915555555555556</v>
      </c>
      <c r="CB251" s="14">
        <f t="shared" si="1495"/>
        <v>0.3915555555555556</v>
      </c>
      <c r="CC251" s="14">
        <f t="shared" si="1495"/>
        <v>0.39166666666666666</v>
      </c>
      <c r="CD251" s="14">
        <f t="shared" si="1495"/>
        <v>0.39166666666666666</v>
      </c>
      <c r="CE251" s="14">
        <f t="shared" si="1495"/>
        <v>0.39166666666666666</v>
      </c>
      <c r="CF251" s="14">
        <f t="shared" si="1495"/>
        <v>0.39155555555555555</v>
      </c>
      <c r="CG251" s="14">
        <f t="shared" si="1495"/>
        <v>0.39155555555555555</v>
      </c>
      <c r="CH251" s="14">
        <f t="shared" si="1495"/>
        <v>0.39155555555555555</v>
      </c>
      <c r="CI251" s="14">
        <f t="shared" si="1495"/>
        <v>0.3915555555555556</v>
      </c>
      <c r="CJ251" s="14">
        <f t="shared" si="1495"/>
        <v>0.3915555555555556</v>
      </c>
      <c r="CK251" s="14">
        <f t="shared" si="1495"/>
        <v>0.3915555555555556</v>
      </c>
      <c r="CL251" s="14">
        <f t="shared" si="1495"/>
        <v>0.10277666666666671</v>
      </c>
      <c r="CM251" s="14">
        <f t="shared" si="1495"/>
        <v>0.20555333333333342</v>
      </c>
      <c r="CN251" s="14">
        <f t="shared" si="1495"/>
        <v>0.3083300000000001</v>
      </c>
      <c r="CO251" s="412"/>
      <c r="CP251" s="14">
        <f t="shared" ref="CP251:DP251" si="1496">CP221/CP220</f>
        <v>0.38709677419354838</v>
      </c>
      <c r="CQ251" s="14">
        <f t="shared" si="1496"/>
        <v>0.38709677419354838</v>
      </c>
      <c r="CR251" s="14">
        <f t="shared" si="1496"/>
        <v>0.38709677419354838</v>
      </c>
      <c r="CS251" s="14">
        <f t="shared" si="1496"/>
        <v>0.37096774193548387</v>
      </c>
      <c r="CT251" s="14">
        <f t="shared" si="1496"/>
        <v>0.36129032258064514</v>
      </c>
      <c r="CU251" s="14">
        <f t="shared" si="1496"/>
        <v>0.35483870967741937</v>
      </c>
      <c r="CV251" s="14">
        <f t="shared" si="1496"/>
        <v>0.35023041474654376</v>
      </c>
      <c r="CW251" s="14">
        <f t="shared" si="1496"/>
        <v>0.34677419354838712</v>
      </c>
      <c r="CX251" s="14">
        <f t="shared" si="1496"/>
        <v>0.34408602150537637</v>
      </c>
      <c r="CY251" s="14">
        <f t="shared" si="1496"/>
        <v>0.34193548387096773</v>
      </c>
      <c r="CZ251" s="14">
        <f t="shared" si="1496"/>
        <v>0.34017595307917886</v>
      </c>
      <c r="DA251" s="14">
        <f t="shared" si="1496"/>
        <v>0.33962264150943394</v>
      </c>
      <c r="DB251" s="14">
        <f t="shared" si="1496"/>
        <v>0.39166666666666666</v>
      </c>
      <c r="DC251" s="14">
        <f t="shared" si="1496"/>
        <v>0.39166666666666666</v>
      </c>
      <c r="DD251" s="14">
        <f t="shared" si="1496"/>
        <v>0.39166666666666666</v>
      </c>
      <c r="DE251" s="14">
        <f t="shared" si="1496"/>
        <v>0.39166666666666666</v>
      </c>
      <c r="DF251" s="14">
        <f t="shared" si="1496"/>
        <v>0.39166666666666666</v>
      </c>
      <c r="DG251" s="14">
        <f t="shared" si="1496"/>
        <v>0.39166666666666666</v>
      </c>
      <c r="DH251" s="14">
        <f t="shared" si="1496"/>
        <v>0.39166666666666666</v>
      </c>
      <c r="DI251" s="14">
        <f t="shared" si="1496"/>
        <v>0.39166666666666666</v>
      </c>
      <c r="DJ251" s="14">
        <f t="shared" si="1496"/>
        <v>0.39166666666666666</v>
      </c>
      <c r="DK251" s="14">
        <f t="shared" si="1496"/>
        <v>0.39166666666666666</v>
      </c>
      <c r="DL251" s="14">
        <f t="shared" si="1496"/>
        <v>0.39166666666666666</v>
      </c>
      <c r="DM251" s="14">
        <f t="shared" si="1496"/>
        <v>0.39166666666666666</v>
      </c>
      <c r="DN251" s="14">
        <f t="shared" si="1496"/>
        <v>0.3083300000000001</v>
      </c>
      <c r="DO251" s="14">
        <f t="shared" si="1496"/>
        <v>0.3083300000000001</v>
      </c>
      <c r="DP251" s="14">
        <f t="shared" si="1496"/>
        <v>0.3083300000000001</v>
      </c>
      <c r="DQ251" s="14"/>
      <c r="DR251" s="14"/>
      <c r="DS251" s="14"/>
      <c r="DT251" s="14"/>
      <c r="DU251" s="14"/>
      <c r="DV251" s="14"/>
      <c r="DW251" s="14"/>
      <c r="DX251" s="14"/>
      <c r="DY251" s="14"/>
      <c r="DZ251" s="14"/>
      <c r="EA251" s="14">
        <f>EA221/EA220</f>
        <v>0.33962264150943394</v>
      </c>
      <c r="EB251" s="14">
        <f>EB221/EB220</f>
        <v>0.29375000000000001</v>
      </c>
      <c r="EC251" s="14"/>
      <c r="ED251" s="429"/>
      <c r="EE251" s="14">
        <f>EE221/EE220</f>
        <v>0.3083300000000001</v>
      </c>
      <c r="EF251" s="14">
        <f>EF221/EF220</f>
        <v>0.20555333333333342</v>
      </c>
      <c r="EG251" s="14">
        <f>EG221/EG220</f>
        <v>0.29375000000000001</v>
      </c>
      <c r="EK251" s="24"/>
      <c r="EL251" s="47"/>
      <c r="EM251" s="47"/>
      <c r="EN251" s="47"/>
    </row>
    <row r="252" spans="1:149">
      <c r="A252" s="6" t="s">
        <v>23</v>
      </c>
      <c r="B252" s="2" t="s">
        <v>160</v>
      </c>
      <c r="C252" s="3" t="s">
        <v>76</v>
      </c>
      <c r="E252" s="3" t="str">
        <f>C210</f>
        <v>BSatRate</v>
      </c>
      <c r="F252" s="3" t="s">
        <v>32</v>
      </c>
      <c r="G252" s="28" t="str">
        <f>C207</f>
        <v>BAllNew</v>
      </c>
      <c r="H252" s="63" t="s">
        <v>31</v>
      </c>
      <c r="I252" s="28" t="str">
        <f>C209</f>
        <v>BSatResp</v>
      </c>
      <c r="J252" s="62">
        <f t="shared" ref="J252:AJ252" si="1497">J210*J209/J207</f>
        <v>0.23749999999999999</v>
      </c>
      <c r="K252" s="62">
        <f t="shared" si="1497"/>
        <v>0.11874999999999999</v>
      </c>
      <c r="L252" s="62">
        <f t="shared" si="1497"/>
        <v>7.9166666666666663E-2</v>
      </c>
      <c r="M252" s="62">
        <f t="shared" si="1497"/>
        <v>5.9374999999999997E-2</v>
      </c>
      <c r="N252" s="62">
        <f t="shared" si="1497"/>
        <v>4.7500000000000001E-2</v>
      </c>
      <c r="O252" s="62">
        <f t="shared" si="1497"/>
        <v>3.9583333333333331E-2</v>
      </c>
      <c r="P252" s="62">
        <f t="shared" si="1497"/>
        <v>3.3928571428571426E-2</v>
      </c>
      <c r="Q252" s="62">
        <f t="shared" si="1497"/>
        <v>2.9687499999999999E-2</v>
      </c>
      <c r="R252" s="62">
        <f t="shared" si="1497"/>
        <v>2.6388888888888889E-2</v>
      </c>
      <c r="S252" s="62">
        <f t="shared" si="1497"/>
        <v>2.375E-2</v>
      </c>
      <c r="T252" s="62">
        <f t="shared" si="1497"/>
        <v>2.1590909090909091E-2</v>
      </c>
      <c r="U252" s="62">
        <f t="shared" si="1497"/>
        <v>1.9791666666666666E-2</v>
      </c>
      <c r="V252" s="62">
        <f t="shared" si="1497"/>
        <v>0.14249999999999999</v>
      </c>
      <c r="W252" s="62">
        <f t="shared" si="1497"/>
        <v>0.14249999999999999</v>
      </c>
      <c r="X252" s="62">
        <f t="shared" si="1497"/>
        <v>0.14249999999999999</v>
      </c>
      <c r="Y252" s="62">
        <f t="shared" si="1497"/>
        <v>0.14249999999999999</v>
      </c>
      <c r="Z252" s="62">
        <f t="shared" si="1497"/>
        <v>0.14249999999999999</v>
      </c>
      <c r="AA252" s="62">
        <f t="shared" si="1497"/>
        <v>0.14249999999999999</v>
      </c>
      <c r="AB252" s="62">
        <f t="shared" si="1497"/>
        <v>0.14249999999999996</v>
      </c>
      <c r="AC252" s="62">
        <f t="shared" si="1497"/>
        <v>0.14249999999999996</v>
      </c>
      <c r="AD252" s="62">
        <f t="shared" si="1497"/>
        <v>0.14249999999999996</v>
      </c>
      <c r="AE252" s="62">
        <f t="shared" si="1497"/>
        <v>0.14249999999999996</v>
      </c>
      <c r="AF252" s="62">
        <f t="shared" si="1497"/>
        <v>0.14249999999999996</v>
      </c>
      <c r="AG252" s="62">
        <f t="shared" si="1497"/>
        <v>0.14249999999999996</v>
      </c>
      <c r="AH252" s="62">
        <f t="shared" si="1497"/>
        <v>0</v>
      </c>
      <c r="AI252" s="62" t="e">
        <f t="shared" si="1497"/>
        <v>#DIV/0!</v>
      </c>
      <c r="AJ252" s="62" t="e">
        <f t="shared" si="1497"/>
        <v>#DIV/0!</v>
      </c>
      <c r="AK252" s="412"/>
      <c r="AL252" s="14">
        <f t="shared" ref="AL252:BL252" si="1498">AL210*AL209/AL207</f>
        <v>0.23749999999999999</v>
      </c>
      <c r="AM252" s="14">
        <f t="shared" si="1498"/>
        <v>0.23749999999999999</v>
      </c>
      <c r="AN252" s="14">
        <f t="shared" si="1498"/>
        <v>0.23749999999999999</v>
      </c>
      <c r="AO252" s="14">
        <f t="shared" si="1498"/>
        <v>0.23749999999999999</v>
      </c>
      <c r="AP252" s="14">
        <f t="shared" si="1498"/>
        <v>0.23749999999999999</v>
      </c>
      <c r="AQ252" s="14">
        <f t="shared" si="1498"/>
        <v>0.23749999999999999</v>
      </c>
      <c r="AR252" s="14">
        <f t="shared" si="1498"/>
        <v>0.23749999999999999</v>
      </c>
      <c r="AS252" s="14">
        <f t="shared" si="1498"/>
        <v>0.23749999999999999</v>
      </c>
      <c r="AT252" s="14">
        <f t="shared" si="1498"/>
        <v>0.23749999999999999</v>
      </c>
      <c r="AU252" s="14">
        <f t="shared" si="1498"/>
        <v>0.23749999999999999</v>
      </c>
      <c r="AV252" s="14">
        <f t="shared" si="1498"/>
        <v>0.23749999999999999</v>
      </c>
      <c r="AW252" s="14">
        <f t="shared" si="1498"/>
        <v>0.23749999999999999</v>
      </c>
      <c r="AX252" s="14">
        <f t="shared" si="1498"/>
        <v>0.14249999999999999</v>
      </c>
      <c r="AY252" s="14">
        <f t="shared" si="1498"/>
        <v>0.14249999999999999</v>
      </c>
      <c r="AZ252" s="14">
        <f t="shared" si="1498"/>
        <v>0.14249999999999996</v>
      </c>
      <c r="BA252" s="14">
        <f t="shared" si="1498"/>
        <v>0.14250000000000002</v>
      </c>
      <c r="BB252" s="14">
        <f t="shared" si="1498"/>
        <v>0.14250000000000002</v>
      </c>
      <c r="BC252" s="14">
        <f t="shared" si="1498"/>
        <v>0.14249999999999993</v>
      </c>
      <c r="BD252" s="14">
        <f t="shared" si="1498"/>
        <v>0.14249999999999993</v>
      </c>
      <c r="BE252" s="14">
        <f t="shared" si="1498"/>
        <v>0.14249999999999993</v>
      </c>
      <c r="BF252" s="14">
        <f t="shared" si="1498"/>
        <v>0.14249999999999993</v>
      </c>
      <c r="BG252" s="14">
        <f t="shared" si="1498"/>
        <v>0.14249999999999993</v>
      </c>
      <c r="BH252" s="14">
        <f t="shared" si="1498"/>
        <v>0.14249999999999993</v>
      </c>
      <c r="BI252" s="14">
        <f t="shared" si="1498"/>
        <v>0.14249999999999993</v>
      </c>
      <c r="BJ252" s="14">
        <f t="shared" si="1498"/>
        <v>0</v>
      </c>
      <c r="BK252" s="14" t="e">
        <f t="shared" si="1498"/>
        <v>#DIV/0!</v>
      </c>
      <c r="BL252" s="14" t="e">
        <f t="shared" si="1498"/>
        <v>#DIV/0!</v>
      </c>
      <c r="BM252" s="412"/>
      <c r="BN252" s="14">
        <f t="shared" ref="BN252:CN252" si="1499">BN210*BN209/BN207</f>
        <v>0.23749999999999999</v>
      </c>
      <c r="BO252" s="14">
        <f t="shared" si="1499"/>
        <v>0.23749999999999999</v>
      </c>
      <c r="BP252" s="14">
        <f t="shared" si="1499"/>
        <v>0.23749999999999999</v>
      </c>
      <c r="BQ252" s="14">
        <f t="shared" si="1499"/>
        <v>0.23749999999999999</v>
      </c>
      <c r="BR252" s="14">
        <f t="shared" si="1499"/>
        <v>0.23749999999999999</v>
      </c>
      <c r="BS252" s="14">
        <f t="shared" si="1499"/>
        <v>0.23749999999999999</v>
      </c>
      <c r="BT252" s="14">
        <f t="shared" si="1499"/>
        <v>0.23749999999999999</v>
      </c>
      <c r="BU252" s="14">
        <f t="shared" si="1499"/>
        <v>0.23749999999999999</v>
      </c>
      <c r="BV252" s="14">
        <f t="shared" si="1499"/>
        <v>0.23749999999999999</v>
      </c>
      <c r="BW252" s="14">
        <f t="shared" si="1499"/>
        <v>0.23749999999999999</v>
      </c>
      <c r="BX252" s="14">
        <f t="shared" si="1499"/>
        <v>0.23749999999999999</v>
      </c>
      <c r="BY252" s="14">
        <f t="shared" si="1499"/>
        <v>0.23749999999999999</v>
      </c>
      <c r="BZ252" s="14">
        <f t="shared" si="1499"/>
        <v>0.14249999999999999</v>
      </c>
      <c r="CA252" s="14">
        <f t="shared" si="1499"/>
        <v>0.14249999999999999</v>
      </c>
      <c r="CB252" s="14">
        <f t="shared" si="1499"/>
        <v>0.14249999999999999</v>
      </c>
      <c r="CC252" s="14">
        <f t="shared" si="1499"/>
        <v>0.42749999999999988</v>
      </c>
      <c r="CD252" s="14">
        <f t="shared" si="1499"/>
        <v>0.42749999999999988</v>
      </c>
      <c r="CE252" s="14">
        <f t="shared" si="1499"/>
        <v>0.42749999999999988</v>
      </c>
      <c r="CF252" s="14">
        <f t="shared" si="1499"/>
        <v>0.42749999999999982</v>
      </c>
      <c r="CG252" s="14">
        <f t="shared" si="1499"/>
        <v>0.42749999999999982</v>
      </c>
      <c r="CH252" s="14">
        <f t="shared" si="1499"/>
        <v>0.42749999999999982</v>
      </c>
      <c r="CI252" s="14">
        <f t="shared" si="1499"/>
        <v>0.42749999999999982</v>
      </c>
      <c r="CJ252" s="14">
        <f t="shared" si="1499"/>
        <v>0.42749999999999982</v>
      </c>
      <c r="CK252" s="14">
        <f t="shared" si="1499"/>
        <v>0.42749999999999982</v>
      </c>
      <c r="CL252" s="14">
        <f t="shared" si="1499"/>
        <v>0</v>
      </c>
      <c r="CM252" s="14">
        <f t="shared" si="1499"/>
        <v>0</v>
      </c>
      <c r="CN252" s="14">
        <f t="shared" si="1499"/>
        <v>0</v>
      </c>
      <c r="CO252" s="412"/>
      <c r="CP252" s="14">
        <f t="shared" ref="CP252:DP252" si="1500">CP210*CP209/CP207</f>
        <v>0.23749999999999999</v>
      </c>
      <c r="CQ252" s="14">
        <f t="shared" si="1500"/>
        <v>0.23749999999999999</v>
      </c>
      <c r="CR252" s="14">
        <f t="shared" si="1500"/>
        <v>0.23749999999999999</v>
      </c>
      <c r="CS252" s="14">
        <f t="shared" si="1500"/>
        <v>0.23749999999999999</v>
      </c>
      <c r="CT252" s="14">
        <f t="shared" si="1500"/>
        <v>0.23749999999999999</v>
      </c>
      <c r="CU252" s="14">
        <f t="shared" si="1500"/>
        <v>0.23749999999999999</v>
      </c>
      <c r="CV252" s="14">
        <f t="shared" si="1500"/>
        <v>0.23749999999999996</v>
      </c>
      <c r="CW252" s="14">
        <f t="shared" si="1500"/>
        <v>0.23749999999999996</v>
      </c>
      <c r="CX252" s="14">
        <f t="shared" si="1500"/>
        <v>0.23749999999999996</v>
      </c>
      <c r="CY252" s="14">
        <f t="shared" si="1500"/>
        <v>0.23749999999999993</v>
      </c>
      <c r="CZ252" s="14">
        <f t="shared" si="1500"/>
        <v>0.23749999999999993</v>
      </c>
      <c r="DA252" s="14">
        <f t="shared" si="1500"/>
        <v>0.23749999999999993</v>
      </c>
      <c r="DB252" s="14">
        <f t="shared" si="1500"/>
        <v>0.14249999999999996</v>
      </c>
      <c r="DC252" s="14">
        <f t="shared" si="1500"/>
        <v>0.14249999999999996</v>
      </c>
      <c r="DD252" s="14">
        <f t="shared" si="1500"/>
        <v>0.14249999999999996</v>
      </c>
      <c r="DE252" s="14">
        <f t="shared" si="1500"/>
        <v>0.14249999999999996</v>
      </c>
      <c r="DF252" s="14">
        <f t="shared" si="1500"/>
        <v>0.14249999999999996</v>
      </c>
      <c r="DG252" s="14">
        <f t="shared" si="1500"/>
        <v>0.14249999999999996</v>
      </c>
      <c r="DH252" s="14">
        <f t="shared" si="1500"/>
        <v>0.14249999999999996</v>
      </c>
      <c r="DI252" s="14">
        <f t="shared" si="1500"/>
        <v>0.14249999999999993</v>
      </c>
      <c r="DJ252" s="14">
        <f t="shared" si="1500"/>
        <v>0.14249999999999993</v>
      </c>
      <c r="DK252" s="14">
        <f t="shared" si="1500"/>
        <v>0.14249999999999993</v>
      </c>
      <c r="DL252" s="14">
        <f t="shared" si="1500"/>
        <v>0.14249999999999993</v>
      </c>
      <c r="DM252" s="14">
        <f t="shared" si="1500"/>
        <v>0.14249999999999993</v>
      </c>
      <c r="DN252" s="14">
        <f t="shared" si="1500"/>
        <v>0</v>
      </c>
      <c r="DO252" s="14">
        <f t="shared" si="1500"/>
        <v>0</v>
      </c>
      <c r="DP252" s="14">
        <f t="shared" si="1500"/>
        <v>0</v>
      </c>
      <c r="DQ252" s="14"/>
      <c r="DR252" s="14"/>
      <c r="DS252" s="14"/>
      <c r="DT252" s="14"/>
      <c r="DU252" s="14"/>
      <c r="DV252" s="14"/>
      <c r="DW252" s="14"/>
      <c r="DX252" s="14"/>
      <c r="DY252" s="14"/>
      <c r="DZ252" s="14"/>
      <c r="EA252" s="14">
        <f>EA210*EA209/EA207</f>
        <v>0.23749999999999993</v>
      </c>
      <c r="EB252" s="14">
        <f>EB210*EB209/EB207</f>
        <v>0.14249999999999993</v>
      </c>
      <c r="EC252" s="14"/>
      <c r="ED252" s="429"/>
      <c r="EE252" s="14" t="e">
        <f>EE209*EE210/EE209</f>
        <v>#DIV/0!</v>
      </c>
      <c r="EF252" s="14" t="e">
        <f>EF210*EF209/EF209</f>
        <v>#DIV/0!</v>
      </c>
      <c r="EG252" s="14">
        <f>EG209*EG210/EG209</f>
        <v>0.94999999999999973</v>
      </c>
      <c r="EK252" s="24"/>
      <c r="EL252" s="47"/>
      <c r="EM252" s="47"/>
      <c r="EN252" s="47"/>
    </row>
    <row r="253" spans="1:149">
      <c r="A253" s="6" t="s">
        <v>23</v>
      </c>
      <c r="B253" s="2" t="s">
        <v>26</v>
      </c>
      <c r="C253" s="3" t="s">
        <v>84</v>
      </c>
      <c r="E253" s="3" t="str">
        <f>C211</f>
        <v>BSpec1</v>
      </c>
      <c r="F253" s="4" t="s">
        <v>31</v>
      </c>
      <c r="G253" s="28" t="str">
        <f>C220</f>
        <v>BSUniq</v>
      </c>
      <c r="H253" s="28"/>
      <c r="I253" s="28"/>
      <c r="J253" s="62">
        <f t="shared" ref="J253:AJ253" si="1501">J211/J220</f>
        <v>0.26881720430107531</v>
      </c>
      <c r="K253" s="62">
        <f t="shared" si="1501"/>
        <v>0.53763440430107534</v>
      </c>
      <c r="L253" s="62">
        <f t="shared" si="1501"/>
        <v>0.80645160430107521</v>
      </c>
      <c r="M253" s="62">
        <f t="shared" si="1501"/>
        <v>1.0752688043010752</v>
      </c>
      <c r="N253" s="62">
        <f t="shared" si="1501"/>
        <v>1.3440860043010752</v>
      </c>
      <c r="O253" s="62">
        <f t="shared" si="1501"/>
        <v>1.6129032043010751</v>
      </c>
      <c r="P253" s="62">
        <f t="shared" si="1501"/>
        <v>1.8817204043010751</v>
      </c>
      <c r="Q253" s="62">
        <f t="shared" si="1501"/>
        <v>2.1505376043010753</v>
      </c>
      <c r="R253" s="62">
        <f t="shared" si="1501"/>
        <v>2.4193548043010753</v>
      </c>
      <c r="S253" s="62">
        <f t="shared" si="1501"/>
        <v>2.6881720043010753</v>
      </c>
      <c r="T253" s="62">
        <f t="shared" si="1501"/>
        <v>2.9569892043010753</v>
      </c>
      <c r="U253" s="62">
        <f t="shared" si="1501"/>
        <v>3.2258064043010752</v>
      </c>
      <c r="V253" s="62">
        <f t="shared" si="1501"/>
        <v>0.15546666666666667</v>
      </c>
      <c r="W253" s="62">
        <f t="shared" si="1501"/>
        <v>0.15546666666666667</v>
      </c>
      <c r="X253" s="62">
        <f t="shared" si="1501"/>
        <v>0.15546666666666667</v>
      </c>
      <c r="Y253" s="62">
        <f t="shared" si="1501"/>
        <v>0.15546666666666667</v>
      </c>
      <c r="Z253" s="62">
        <f t="shared" si="1501"/>
        <v>0.15546666666666667</v>
      </c>
      <c r="AA253" s="62">
        <f t="shared" si="1501"/>
        <v>0.15546666666666667</v>
      </c>
      <c r="AB253" s="62">
        <f t="shared" si="1501"/>
        <v>0.15546666666666667</v>
      </c>
      <c r="AC253" s="62">
        <f t="shared" si="1501"/>
        <v>0.1554666666666667</v>
      </c>
      <c r="AD253" s="62">
        <f t="shared" si="1501"/>
        <v>0.1554666666666667</v>
      </c>
      <c r="AE253" s="62">
        <f t="shared" si="1501"/>
        <v>0.1554666666666667</v>
      </c>
      <c r="AF253" s="62">
        <f t="shared" si="1501"/>
        <v>0.1554666666666667</v>
      </c>
      <c r="AG253" s="62">
        <f t="shared" si="1501"/>
        <v>0.1554666666666667</v>
      </c>
      <c r="AH253" s="62">
        <f t="shared" si="1501"/>
        <v>0</v>
      </c>
      <c r="AI253" s="62">
        <f t="shared" si="1501"/>
        <v>0</v>
      </c>
      <c r="AJ253" s="62">
        <f t="shared" si="1501"/>
        <v>0</v>
      </c>
      <c r="AK253" s="412"/>
      <c r="AL253" s="14">
        <f t="shared" ref="AL253:BL253" si="1502">AL211/AL220</f>
        <v>0.26881720430107531</v>
      </c>
      <c r="AM253" s="14">
        <f t="shared" si="1502"/>
        <v>0.26881720000000003</v>
      </c>
      <c r="AN253" s="14">
        <f t="shared" si="1502"/>
        <v>0.26881719999999992</v>
      </c>
      <c r="AO253" s="14">
        <f t="shared" si="1502"/>
        <v>0.26881719999999992</v>
      </c>
      <c r="AP253" s="14">
        <f t="shared" si="1502"/>
        <v>0.26881719999999992</v>
      </c>
      <c r="AQ253" s="14">
        <f t="shared" si="1502"/>
        <v>0.26881719999999992</v>
      </c>
      <c r="AR253" s="14">
        <f t="shared" si="1502"/>
        <v>0.26881719999999992</v>
      </c>
      <c r="AS253" s="14">
        <f t="shared" si="1502"/>
        <v>0.2688172000000002</v>
      </c>
      <c r="AT253" s="14">
        <f t="shared" si="1502"/>
        <v>0.26881719999999992</v>
      </c>
      <c r="AU253" s="14">
        <f t="shared" si="1502"/>
        <v>0.26881719999999992</v>
      </c>
      <c r="AV253" s="14">
        <f t="shared" si="1502"/>
        <v>0.26881719999999992</v>
      </c>
      <c r="AW253" s="14">
        <f t="shared" si="1502"/>
        <v>0.27777777333333326</v>
      </c>
      <c r="AX253" s="14">
        <f t="shared" si="1502"/>
        <v>0.15546666666666667</v>
      </c>
      <c r="AY253" s="14">
        <f t="shared" si="1502"/>
        <v>0.15546666666666667</v>
      </c>
      <c r="AZ253" s="14">
        <f t="shared" si="1502"/>
        <v>0.15546666666666667</v>
      </c>
      <c r="BA253" s="14">
        <f t="shared" si="1502"/>
        <v>0.15546666666666667</v>
      </c>
      <c r="BB253" s="14">
        <f t="shared" si="1502"/>
        <v>0.15546666666666673</v>
      </c>
      <c r="BC253" s="14">
        <f t="shared" si="1502"/>
        <v>0.15546666666666673</v>
      </c>
      <c r="BD253" s="14">
        <f t="shared" si="1502"/>
        <v>0.15546666666666673</v>
      </c>
      <c r="BE253" s="14">
        <f t="shared" si="1502"/>
        <v>0.15546666666666673</v>
      </c>
      <c r="BF253" s="14">
        <f t="shared" si="1502"/>
        <v>0.15546666666666673</v>
      </c>
      <c r="BG253" s="14">
        <f t="shared" si="1502"/>
        <v>0.15546666666666673</v>
      </c>
      <c r="BH253" s="14">
        <f t="shared" si="1502"/>
        <v>0.15546666666666673</v>
      </c>
      <c r="BI253" s="14">
        <f t="shared" si="1502"/>
        <v>0.15546666666666673</v>
      </c>
      <c r="BJ253" s="14">
        <f t="shared" si="1502"/>
        <v>0</v>
      </c>
      <c r="BK253" s="14">
        <f t="shared" si="1502"/>
        <v>0</v>
      </c>
      <c r="BL253" s="14">
        <f t="shared" si="1502"/>
        <v>0</v>
      </c>
      <c r="BM253" s="412"/>
      <c r="BN253" s="14">
        <f t="shared" ref="BN253:CN253" si="1503">BN211/BN220</f>
        <v>0.80645160430107521</v>
      </c>
      <c r="BO253" s="14">
        <f t="shared" si="1503"/>
        <v>0.4032258021505376</v>
      </c>
      <c r="BP253" s="14">
        <f t="shared" si="1503"/>
        <v>0.26881720143369175</v>
      </c>
      <c r="BQ253" s="14">
        <f t="shared" si="1503"/>
        <v>0.80645159999999982</v>
      </c>
      <c r="BR253" s="14">
        <f t="shared" si="1503"/>
        <v>0.40322579999999991</v>
      </c>
      <c r="BS253" s="14">
        <f t="shared" si="1503"/>
        <v>0.26881719999999992</v>
      </c>
      <c r="BT253" s="14">
        <f t="shared" si="1503"/>
        <v>0.80645160000000005</v>
      </c>
      <c r="BU253" s="14">
        <f t="shared" si="1503"/>
        <v>0.40322580000000002</v>
      </c>
      <c r="BV253" s="14">
        <f t="shared" si="1503"/>
        <v>0.26881720000000003</v>
      </c>
      <c r="BW253" s="14">
        <f t="shared" si="1503"/>
        <v>0.80645159999999982</v>
      </c>
      <c r="BX253" s="14">
        <f t="shared" si="1503"/>
        <v>0.40322579999999991</v>
      </c>
      <c r="BY253" s="14">
        <f t="shared" si="1503"/>
        <v>0.2717391260869565</v>
      </c>
      <c r="BZ253" s="14">
        <f t="shared" si="1503"/>
        <v>0.15546666666666667</v>
      </c>
      <c r="CA253" s="14">
        <f t="shared" si="1503"/>
        <v>0.15546666666666667</v>
      </c>
      <c r="CB253" s="14">
        <f t="shared" si="1503"/>
        <v>0.15546666666666667</v>
      </c>
      <c r="CC253" s="14">
        <f t="shared" si="1503"/>
        <v>7.7733333333333349E-2</v>
      </c>
      <c r="CD253" s="14">
        <f t="shared" si="1503"/>
        <v>7.7733333333333349E-2</v>
      </c>
      <c r="CE253" s="14">
        <f t="shared" si="1503"/>
        <v>7.7733333333333349E-2</v>
      </c>
      <c r="CF253" s="14">
        <f t="shared" si="1503"/>
        <v>5.1822222222222242E-2</v>
      </c>
      <c r="CG253" s="14">
        <f t="shared" si="1503"/>
        <v>5.1822222222222242E-2</v>
      </c>
      <c r="CH253" s="14">
        <f t="shared" si="1503"/>
        <v>5.1822222222222242E-2</v>
      </c>
      <c r="CI253" s="14">
        <f t="shared" si="1503"/>
        <v>3.8866666666666681E-2</v>
      </c>
      <c r="CJ253" s="14">
        <f t="shared" si="1503"/>
        <v>3.8866666666666681E-2</v>
      </c>
      <c r="CK253" s="14">
        <f t="shared" si="1503"/>
        <v>3.8866666666666681E-2</v>
      </c>
      <c r="CL253" s="14">
        <f t="shared" si="1503"/>
        <v>0</v>
      </c>
      <c r="CM253" s="14">
        <f t="shared" si="1503"/>
        <v>0</v>
      </c>
      <c r="CN253" s="14">
        <f t="shared" si="1503"/>
        <v>0</v>
      </c>
      <c r="CO253" s="412"/>
      <c r="CP253" s="14">
        <f t="shared" ref="CP253:DP253" si="1504">CP211/CP220</f>
        <v>0.26881720430107531</v>
      </c>
      <c r="CQ253" s="14">
        <f t="shared" si="1504"/>
        <v>0.26881720215053767</v>
      </c>
      <c r="CR253" s="14">
        <f t="shared" si="1504"/>
        <v>0.26881720143369175</v>
      </c>
      <c r="CS253" s="14">
        <f t="shared" si="1504"/>
        <v>0.2688172010752688</v>
      </c>
      <c r="CT253" s="14">
        <f t="shared" si="1504"/>
        <v>0.26881720086021504</v>
      </c>
      <c r="CU253" s="14">
        <f t="shared" si="1504"/>
        <v>0.26881720071684584</v>
      </c>
      <c r="CV253" s="14">
        <f t="shared" si="1504"/>
        <v>0.26881720061443931</v>
      </c>
      <c r="CW253" s="14">
        <f t="shared" si="1504"/>
        <v>0.26881720053763442</v>
      </c>
      <c r="CX253" s="14">
        <f t="shared" si="1504"/>
        <v>0.26881720047789726</v>
      </c>
      <c r="CY253" s="14">
        <f t="shared" si="1504"/>
        <v>0.26881720043010754</v>
      </c>
      <c r="CZ253" s="14">
        <f t="shared" si="1504"/>
        <v>0.26881720039100682</v>
      </c>
      <c r="DA253" s="14">
        <f t="shared" si="1504"/>
        <v>0.26954177502246179</v>
      </c>
      <c r="DB253" s="14">
        <f t="shared" si="1504"/>
        <v>0.15546666666666667</v>
      </c>
      <c r="DC253" s="14">
        <f t="shared" si="1504"/>
        <v>0.15546666666666667</v>
      </c>
      <c r="DD253" s="14">
        <f t="shared" si="1504"/>
        <v>0.15546666666666667</v>
      </c>
      <c r="DE253" s="14">
        <f t="shared" si="1504"/>
        <v>0.15546666666666667</v>
      </c>
      <c r="DF253" s="14">
        <f t="shared" si="1504"/>
        <v>0.15546666666666667</v>
      </c>
      <c r="DG253" s="14">
        <f t="shared" si="1504"/>
        <v>0.15546666666666667</v>
      </c>
      <c r="DH253" s="14">
        <f t="shared" si="1504"/>
        <v>0.15546666666666667</v>
      </c>
      <c r="DI253" s="14">
        <f t="shared" si="1504"/>
        <v>0.1554666666666667</v>
      </c>
      <c r="DJ253" s="14">
        <f t="shared" si="1504"/>
        <v>0.1554666666666667</v>
      </c>
      <c r="DK253" s="14">
        <f t="shared" si="1504"/>
        <v>0.1554666666666667</v>
      </c>
      <c r="DL253" s="14">
        <f t="shared" si="1504"/>
        <v>0.1554666666666667</v>
      </c>
      <c r="DM253" s="14">
        <f t="shared" si="1504"/>
        <v>0.1554666666666667</v>
      </c>
      <c r="DN253" s="14">
        <f t="shared" si="1504"/>
        <v>0</v>
      </c>
      <c r="DO253" s="14">
        <f t="shared" si="1504"/>
        <v>0</v>
      </c>
      <c r="DP253" s="14">
        <f t="shared" si="1504"/>
        <v>0</v>
      </c>
      <c r="DQ253" s="14"/>
      <c r="DR253" s="14"/>
      <c r="DS253" s="14"/>
      <c r="DT253" s="14"/>
      <c r="DU253" s="14"/>
      <c r="DV253" s="14"/>
      <c r="DW253" s="14"/>
      <c r="DX253" s="14"/>
      <c r="DY253" s="14"/>
      <c r="DZ253" s="14"/>
      <c r="EA253" s="14">
        <f>EA211/EA220</f>
        <v>0.26954177502246179</v>
      </c>
      <c r="EB253" s="14">
        <f>EB211/EB220</f>
        <v>0.11660000000000002</v>
      </c>
      <c r="EC253" s="14"/>
      <c r="ED253" s="429"/>
      <c r="EE253" s="14">
        <f>EE211/EE220</f>
        <v>0</v>
      </c>
      <c r="EF253" s="14">
        <f>EF211/EF220</f>
        <v>0</v>
      </c>
      <c r="EG253" s="14">
        <f>EG211/EG220</f>
        <v>0.11660000000000002</v>
      </c>
      <c r="EK253" s="24"/>
      <c r="EL253" s="47"/>
      <c r="EM253" s="47"/>
      <c r="EN253" s="47"/>
    </row>
    <row r="254" spans="1:149">
      <c r="A254" s="6" t="s">
        <v>23</v>
      </c>
      <c r="B254" s="2" t="s">
        <v>27</v>
      </c>
      <c r="C254" s="3" t="s">
        <v>77</v>
      </c>
      <c r="E254" s="3" t="str">
        <f>C213</f>
        <v>BOnlHrs</v>
      </c>
      <c r="F254" s="4" t="s">
        <v>31</v>
      </c>
      <c r="G254" s="28" t="str">
        <f>C212</f>
        <v>BTotHrs</v>
      </c>
      <c r="H254" s="28"/>
      <c r="I254" s="28"/>
      <c r="J254" s="62">
        <f t="shared" ref="J254:AJ254" si="1505">J213/J212</f>
        <v>0.11</v>
      </c>
      <c r="K254" s="62">
        <f t="shared" si="1505"/>
        <v>0.11</v>
      </c>
      <c r="L254" s="62">
        <f t="shared" si="1505"/>
        <v>0.11000000000000001</v>
      </c>
      <c r="M254" s="62">
        <f t="shared" si="1505"/>
        <v>0.11</v>
      </c>
      <c r="N254" s="62">
        <f t="shared" si="1505"/>
        <v>0.11000000000000001</v>
      </c>
      <c r="O254" s="62">
        <f t="shared" si="1505"/>
        <v>0.11</v>
      </c>
      <c r="P254" s="62">
        <f t="shared" si="1505"/>
        <v>0.11</v>
      </c>
      <c r="Q254" s="62">
        <f t="shared" si="1505"/>
        <v>0.11</v>
      </c>
      <c r="R254" s="62">
        <f t="shared" si="1505"/>
        <v>0.11000000000000001</v>
      </c>
      <c r="S254" s="62">
        <f t="shared" si="1505"/>
        <v>0.11</v>
      </c>
      <c r="T254" s="62">
        <f t="shared" si="1505"/>
        <v>0.11</v>
      </c>
      <c r="U254" s="62">
        <f t="shared" si="1505"/>
        <v>0.11</v>
      </c>
      <c r="V254" s="62">
        <f t="shared" si="1505"/>
        <v>0.15041782729805014</v>
      </c>
      <c r="W254" s="62">
        <f t="shared" si="1505"/>
        <v>0.15041782729805014</v>
      </c>
      <c r="X254" s="62">
        <f t="shared" si="1505"/>
        <v>0.15041782729805014</v>
      </c>
      <c r="Y254" s="62">
        <f t="shared" si="1505"/>
        <v>0.15041782729805014</v>
      </c>
      <c r="Z254" s="62">
        <f t="shared" si="1505"/>
        <v>0.15041782729805014</v>
      </c>
      <c r="AA254" s="62">
        <f t="shared" si="1505"/>
        <v>0.15041782729805014</v>
      </c>
      <c r="AB254" s="62">
        <f t="shared" si="1505"/>
        <v>0.15041782729805014</v>
      </c>
      <c r="AC254" s="62">
        <f t="shared" si="1505"/>
        <v>0.15041782729805014</v>
      </c>
      <c r="AD254" s="62">
        <f t="shared" si="1505"/>
        <v>0.15041782729805014</v>
      </c>
      <c r="AE254" s="62">
        <f t="shared" si="1505"/>
        <v>0.15041782729805014</v>
      </c>
      <c r="AF254" s="62">
        <f t="shared" si="1505"/>
        <v>0.15041782729805014</v>
      </c>
      <c r="AG254" s="62">
        <f t="shared" si="1505"/>
        <v>0.15041782729805014</v>
      </c>
      <c r="AH254" s="62">
        <f t="shared" si="1505"/>
        <v>0</v>
      </c>
      <c r="AI254" s="62">
        <f t="shared" si="1505"/>
        <v>0</v>
      </c>
      <c r="AJ254" s="62">
        <f t="shared" si="1505"/>
        <v>0</v>
      </c>
      <c r="AK254" s="412"/>
      <c r="AL254" s="14">
        <f t="shared" ref="AL254:BL254" si="1506">AL213/AL212</f>
        <v>0.11</v>
      </c>
      <c r="AM254" s="14">
        <f t="shared" si="1506"/>
        <v>0.11</v>
      </c>
      <c r="AN254" s="14">
        <f t="shared" si="1506"/>
        <v>0.11000000000000004</v>
      </c>
      <c r="AO254" s="14">
        <f t="shared" si="1506"/>
        <v>0.10999999999999996</v>
      </c>
      <c r="AP254" s="14">
        <f t="shared" si="1506"/>
        <v>0.11000000000000006</v>
      </c>
      <c r="AQ254" s="14">
        <f t="shared" si="1506"/>
        <v>0.10999999999999996</v>
      </c>
      <c r="AR254" s="14">
        <f t="shared" si="1506"/>
        <v>0.10999999999999996</v>
      </c>
      <c r="AS254" s="14">
        <f t="shared" si="1506"/>
        <v>0.11000000000000004</v>
      </c>
      <c r="AT254" s="14">
        <f t="shared" si="1506"/>
        <v>0.11000000000000006</v>
      </c>
      <c r="AU254" s="14">
        <f t="shared" si="1506"/>
        <v>0.10999999999999996</v>
      </c>
      <c r="AV254" s="14">
        <f t="shared" si="1506"/>
        <v>0.10999999999999996</v>
      </c>
      <c r="AW254" s="14">
        <f t="shared" si="1506"/>
        <v>0.10999999999999996</v>
      </c>
      <c r="AX254" s="14">
        <f t="shared" si="1506"/>
        <v>0.15041782729805014</v>
      </c>
      <c r="AY254" s="14">
        <f t="shared" si="1506"/>
        <v>0.15041782729805014</v>
      </c>
      <c r="AZ254" s="14">
        <f t="shared" si="1506"/>
        <v>0.15041782729805014</v>
      </c>
      <c r="BA254" s="14">
        <f t="shared" si="1506"/>
        <v>0.15041782729805014</v>
      </c>
      <c r="BB254" s="14">
        <f t="shared" si="1506"/>
        <v>0.15041782729805014</v>
      </c>
      <c r="BC254" s="14">
        <f t="shared" si="1506"/>
        <v>0.15041782729805014</v>
      </c>
      <c r="BD254" s="14">
        <f t="shared" si="1506"/>
        <v>0.15041782729805014</v>
      </c>
      <c r="BE254" s="14">
        <f t="shared" si="1506"/>
        <v>0.15041782729805014</v>
      </c>
      <c r="BF254" s="14">
        <f t="shared" si="1506"/>
        <v>0.15041782729805014</v>
      </c>
      <c r="BG254" s="14">
        <f t="shared" si="1506"/>
        <v>0.15041782729805014</v>
      </c>
      <c r="BH254" s="14">
        <f t="shared" si="1506"/>
        <v>0.15041782729805014</v>
      </c>
      <c r="BI254" s="14">
        <f t="shared" si="1506"/>
        <v>0.15041782729805014</v>
      </c>
      <c r="BJ254" s="14">
        <f t="shared" si="1506"/>
        <v>0</v>
      </c>
      <c r="BK254" s="14">
        <f t="shared" si="1506"/>
        <v>0</v>
      </c>
      <c r="BL254" s="14">
        <f t="shared" si="1506"/>
        <v>0</v>
      </c>
      <c r="BM254" s="412"/>
      <c r="BN254" s="14">
        <f t="shared" ref="BN254:CN254" si="1507">BN213/BN212</f>
        <v>0.11000000000000001</v>
      </c>
      <c r="BO254" s="14">
        <f t="shared" si="1507"/>
        <v>0.11000000000000001</v>
      </c>
      <c r="BP254" s="14">
        <f t="shared" si="1507"/>
        <v>0.11000000000000001</v>
      </c>
      <c r="BQ254" s="14">
        <f t="shared" si="1507"/>
        <v>0.10999999999999999</v>
      </c>
      <c r="BR254" s="14">
        <f t="shared" si="1507"/>
        <v>0.10999999999999999</v>
      </c>
      <c r="BS254" s="14">
        <f t="shared" si="1507"/>
        <v>0.10999999999999999</v>
      </c>
      <c r="BT254" s="14">
        <f t="shared" si="1507"/>
        <v>0.11000000000000003</v>
      </c>
      <c r="BU254" s="14">
        <f t="shared" si="1507"/>
        <v>0.11000000000000003</v>
      </c>
      <c r="BV254" s="14">
        <f t="shared" si="1507"/>
        <v>0.11000000000000003</v>
      </c>
      <c r="BW254" s="14">
        <f t="shared" si="1507"/>
        <v>0.10999999999999996</v>
      </c>
      <c r="BX254" s="14">
        <f t="shared" si="1507"/>
        <v>0.10999999999999996</v>
      </c>
      <c r="BY254" s="14">
        <f t="shared" si="1507"/>
        <v>0.10999999999999996</v>
      </c>
      <c r="BZ254" s="14">
        <f t="shared" si="1507"/>
        <v>0.15041782729805014</v>
      </c>
      <c r="CA254" s="14">
        <f t="shared" si="1507"/>
        <v>0.15041782729805014</v>
      </c>
      <c r="CB254" s="14">
        <f t="shared" si="1507"/>
        <v>0.15041782729805014</v>
      </c>
      <c r="CC254" s="14">
        <f t="shared" si="1507"/>
        <v>0.45125348189415043</v>
      </c>
      <c r="CD254" s="14">
        <f t="shared" si="1507"/>
        <v>0.45125348189415043</v>
      </c>
      <c r="CE254" s="14">
        <f t="shared" si="1507"/>
        <v>0.45125348189415043</v>
      </c>
      <c r="CF254" s="14">
        <f t="shared" si="1507"/>
        <v>0.45125348189415043</v>
      </c>
      <c r="CG254" s="14">
        <f t="shared" si="1507"/>
        <v>0.45125348189415043</v>
      </c>
      <c r="CH254" s="14">
        <f t="shared" si="1507"/>
        <v>0.45125348189415043</v>
      </c>
      <c r="CI254" s="14">
        <f t="shared" si="1507"/>
        <v>0.45125348189415043</v>
      </c>
      <c r="CJ254" s="14">
        <f t="shared" si="1507"/>
        <v>0.45125348189415043</v>
      </c>
      <c r="CK254" s="14">
        <f t="shared" si="1507"/>
        <v>0.45125348189415043</v>
      </c>
      <c r="CL254" s="14">
        <f t="shared" si="1507"/>
        <v>0</v>
      </c>
      <c r="CM254" s="14">
        <f t="shared" si="1507"/>
        <v>0</v>
      </c>
      <c r="CN254" s="14">
        <f t="shared" si="1507"/>
        <v>0</v>
      </c>
      <c r="CO254" s="412"/>
      <c r="CP254" s="14">
        <f t="shared" ref="CP254:DP254" si="1508">CP213/CP212</f>
        <v>0.11</v>
      </c>
      <c r="CQ254" s="14">
        <f t="shared" si="1508"/>
        <v>0.11</v>
      </c>
      <c r="CR254" s="14">
        <f t="shared" si="1508"/>
        <v>0.11000000000000001</v>
      </c>
      <c r="CS254" s="14">
        <f t="shared" si="1508"/>
        <v>0.11</v>
      </c>
      <c r="CT254" s="14">
        <f t="shared" si="1508"/>
        <v>0.11000000000000001</v>
      </c>
      <c r="CU254" s="14">
        <f t="shared" si="1508"/>
        <v>0.11</v>
      </c>
      <c r="CV254" s="14">
        <f t="shared" si="1508"/>
        <v>0.11</v>
      </c>
      <c r="CW254" s="14">
        <f t="shared" si="1508"/>
        <v>0.11</v>
      </c>
      <c r="CX254" s="14">
        <f t="shared" si="1508"/>
        <v>0.11000000000000001</v>
      </c>
      <c r="CY254" s="14">
        <f t="shared" si="1508"/>
        <v>0.11</v>
      </c>
      <c r="CZ254" s="14">
        <f t="shared" si="1508"/>
        <v>0.11</v>
      </c>
      <c r="DA254" s="14">
        <f t="shared" si="1508"/>
        <v>0.11</v>
      </c>
      <c r="DB254" s="14">
        <f t="shared" si="1508"/>
        <v>0.15041782729805014</v>
      </c>
      <c r="DC254" s="14">
        <f t="shared" si="1508"/>
        <v>0.15041782729805014</v>
      </c>
      <c r="DD254" s="14">
        <f t="shared" si="1508"/>
        <v>0.15041782729805014</v>
      </c>
      <c r="DE254" s="14">
        <f t="shared" si="1508"/>
        <v>0.15041782729805014</v>
      </c>
      <c r="DF254" s="14">
        <f t="shared" si="1508"/>
        <v>0.15041782729805014</v>
      </c>
      <c r="DG254" s="14">
        <f t="shared" si="1508"/>
        <v>0.15041782729805014</v>
      </c>
      <c r="DH254" s="14">
        <f t="shared" si="1508"/>
        <v>0.15041782729805014</v>
      </c>
      <c r="DI254" s="14">
        <f t="shared" si="1508"/>
        <v>0.15041782729805014</v>
      </c>
      <c r="DJ254" s="14">
        <f t="shared" si="1508"/>
        <v>0.15041782729805014</v>
      </c>
      <c r="DK254" s="14">
        <f t="shared" si="1508"/>
        <v>0.15041782729805014</v>
      </c>
      <c r="DL254" s="14">
        <f t="shared" si="1508"/>
        <v>0.15041782729805014</v>
      </c>
      <c r="DM254" s="14">
        <f t="shared" si="1508"/>
        <v>0.15041782729805014</v>
      </c>
      <c r="DN254" s="14">
        <f t="shared" si="1508"/>
        <v>0</v>
      </c>
      <c r="DO254" s="14">
        <f t="shared" si="1508"/>
        <v>0</v>
      </c>
      <c r="DP254" s="14">
        <f t="shared" si="1508"/>
        <v>0</v>
      </c>
      <c r="DQ254" s="14"/>
      <c r="DR254" s="14"/>
      <c r="DS254" s="14"/>
      <c r="DT254" s="14"/>
      <c r="DU254" s="14"/>
      <c r="DV254" s="14"/>
      <c r="DW254" s="14"/>
      <c r="DX254" s="14"/>
      <c r="DY254" s="14"/>
      <c r="DZ254" s="14"/>
      <c r="EA254" s="14">
        <f>EA213/EA212</f>
        <v>0.11</v>
      </c>
      <c r="EB254" s="14">
        <f>EB213/EB212</f>
        <v>0.15041782729805014</v>
      </c>
      <c r="EC254" s="14"/>
      <c r="ED254" s="429"/>
      <c r="EE254" s="14">
        <f>EE213/EE212</f>
        <v>0</v>
      </c>
      <c r="EF254" s="14">
        <f>EF213/EF212</f>
        <v>0</v>
      </c>
      <c r="EG254" s="14">
        <f>EG213/EG212</f>
        <v>0.15041782729805014</v>
      </c>
      <c r="EK254" s="24"/>
      <c r="EL254" s="47"/>
      <c r="EM254" s="251"/>
      <c r="EN254" s="47"/>
    </row>
    <row r="255" spans="1:149">
      <c r="A255" s="6" t="s">
        <v>23</v>
      </c>
      <c r="B255" s="2" t="s">
        <v>28</v>
      </c>
      <c r="C255" s="3" t="s">
        <v>78</v>
      </c>
      <c r="E255" s="3" t="str">
        <f>C218</f>
        <v>BColCash</v>
      </c>
      <c r="F255" s="4" t="s">
        <v>31</v>
      </c>
      <c r="G255" s="28" t="str">
        <f>C219</f>
        <v>BFSFunds</v>
      </c>
      <c r="H255" s="28"/>
      <c r="I255" s="28"/>
      <c r="J255" s="62" t="str">
        <f t="shared" ref="J255:AJ255" si="1509">IF(J219&lt;&gt;0,J218/J219,"")</f>
        <v/>
      </c>
      <c r="K255" s="62" t="str">
        <f t="shared" si="1509"/>
        <v/>
      </c>
      <c r="L255" s="62" t="str">
        <f t="shared" si="1509"/>
        <v/>
      </c>
      <c r="M255" s="62" t="str">
        <f t="shared" si="1509"/>
        <v/>
      </c>
      <c r="N255" s="62" t="str">
        <f t="shared" si="1509"/>
        <v/>
      </c>
      <c r="O255" s="62" t="str">
        <f t="shared" si="1509"/>
        <v/>
      </c>
      <c r="P255" s="62" t="str">
        <f t="shared" si="1509"/>
        <v/>
      </c>
      <c r="Q255" s="62" t="str">
        <f t="shared" si="1509"/>
        <v/>
      </c>
      <c r="R255" s="62" t="str">
        <f t="shared" si="1509"/>
        <v/>
      </c>
      <c r="S255" s="62" t="str">
        <f t="shared" si="1509"/>
        <v/>
      </c>
      <c r="T255" s="62" t="str">
        <f t="shared" si="1509"/>
        <v/>
      </c>
      <c r="U255" s="62" t="str">
        <f t="shared" si="1509"/>
        <v/>
      </c>
      <c r="V255" s="62" t="str">
        <f t="shared" si="1509"/>
        <v/>
      </c>
      <c r="W255" s="62" t="str">
        <f t="shared" si="1509"/>
        <v/>
      </c>
      <c r="X255" s="62" t="str">
        <f t="shared" si="1509"/>
        <v/>
      </c>
      <c r="Y255" s="62" t="str">
        <f t="shared" si="1509"/>
        <v/>
      </c>
      <c r="Z255" s="62" t="str">
        <f t="shared" si="1509"/>
        <v/>
      </c>
      <c r="AA255" s="62">
        <f t="shared" si="1509"/>
        <v>3.6387999999999998</v>
      </c>
      <c r="AB255" s="62">
        <f t="shared" si="1509"/>
        <v>3.6387999999999998</v>
      </c>
      <c r="AC255" s="62">
        <f t="shared" si="1509"/>
        <v>3.6387999999999998</v>
      </c>
      <c r="AD255" s="62">
        <f t="shared" si="1509"/>
        <v>3.6387999999999998</v>
      </c>
      <c r="AE255" s="62">
        <f t="shared" si="1509"/>
        <v>3.6387999999999998</v>
      </c>
      <c r="AF255" s="62">
        <f t="shared" si="1509"/>
        <v>3.6387999999999998</v>
      </c>
      <c r="AG255" s="62">
        <f t="shared" si="1509"/>
        <v>3.6387999999999998</v>
      </c>
      <c r="AH255" s="62" t="str">
        <f t="shared" si="1509"/>
        <v/>
      </c>
      <c r="AI255" s="62" t="str">
        <f t="shared" si="1509"/>
        <v/>
      </c>
      <c r="AJ255" s="62" t="str">
        <f t="shared" si="1509"/>
        <v/>
      </c>
      <c r="AK255" s="412"/>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412"/>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c r="CM255" s="14"/>
      <c r="CN255" s="14"/>
      <c r="CO255" s="412"/>
      <c r="CP255" s="14" t="str">
        <f t="shared" ref="CP255:DP255" si="1510">IF(CP219&lt;&gt;0,CP218/CP219,"")</f>
        <v/>
      </c>
      <c r="CQ255" s="14" t="str">
        <f t="shared" si="1510"/>
        <v/>
      </c>
      <c r="CR255" s="14" t="str">
        <f t="shared" si="1510"/>
        <v/>
      </c>
      <c r="CS255" s="14" t="str">
        <f t="shared" si="1510"/>
        <v/>
      </c>
      <c r="CT255" s="14" t="str">
        <f t="shared" si="1510"/>
        <v/>
      </c>
      <c r="CU255" s="14" t="str">
        <f t="shared" si="1510"/>
        <v/>
      </c>
      <c r="CV255" s="14" t="str">
        <f t="shared" si="1510"/>
        <v/>
      </c>
      <c r="CW255" s="14" t="str">
        <f t="shared" si="1510"/>
        <v/>
      </c>
      <c r="CX255" s="14" t="str">
        <f t="shared" si="1510"/>
        <v/>
      </c>
      <c r="CY255" s="14" t="str">
        <f t="shared" si="1510"/>
        <v/>
      </c>
      <c r="CZ255" s="14" t="str">
        <f t="shared" si="1510"/>
        <v/>
      </c>
      <c r="DA255" s="14" t="str">
        <f t="shared" si="1510"/>
        <v/>
      </c>
      <c r="DB255" s="14" t="str">
        <f t="shared" si="1510"/>
        <v/>
      </c>
      <c r="DC255" s="14" t="str">
        <f t="shared" si="1510"/>
        <v/>
      </c>
      <c r="DD255" s="14" t="str">
        <f t="shared" si="1510"/>
        <v/>
      </c>
      <c r="DE255" s="14" t="str">
        <f t="shared" si="1510"/>
        <v/>
      </c>
      <c r="DF255" s="14" t="str">
        <f t="shared" si="1510"/>
        <v/>
      </c>
      <c r="DG255" s="14">
        <f t="shared" si="1510"/>
        <v>3.6387999999999998</v>
      </c>
      <c r="DH255" s="14">
        <f t="shared" si="1510"/>
        <v>3.6387999999999998</v>
      </c>
      <c r="DI255" s="14">
        <f t="shared" si="1510"/>
        <v>3.6387999999999998</v>
      </c>
      <c r="DJ255" s="14">
        <f t="shared" si="1510"/>
        <v>3.6387999999999998</v>
      </c>
      <c r="DK255" s="14">
        <f t="shared" si="1510"/>
        <v>3.6387999999999998</v>
      </c>
      <c r="DL255" s="14">
        <f t="shared" si="1510"/>
        <v>3.6387999999999998</v>
      </c>
      <c r="DM255" s="14">
        <f t="shared" si="1510"/>
        <v>3.6387999999999998</v>
      </c>
      <c r="DN255" s="14" t="str">
        <f t="shared" si="1510"/>
        <v/>
      </c>
      <c r="DO255" s="14" t="str">
        <f t="shared" si="1510"/>
        <v/>
      </c>
      <c r="DP255" s="14" t="str">
        <f t="shared" si="1510"/>
        <v/>
      </c>
      <c r="DQ255" s="14"/>
      <c r="DR255" s="14"/>
      <c r="DS255" s="14"/>
      <c r="DT255" s="14"/>
      <c r="DU255" s="14"/>
      <c r="DV255" s="14"/>
      <c r="DW255" s="14"/>
      <c r="DX255" s="14"/>
      <c r="DY255" s="14"/>
      <c r="DZ255" s="14"/>
      <c r="EA255" s="14" t="str">
        <f>IF(EA219&lt;&gt;0,EA218/EA219,"")</f>
        <v/>
      </c>
      <c r="EB255" s="14">
        <f>IF(EB219&lt;&gt;0,EB218/EB219,"")</f>
        <v>3.6387999999999998</v>
      </c>
      <c r="EC255" s="14"/>
      <c r="ED255" s="429"/>
      <c r="EE255" s="14"/>
      <c r="EF255" s="14"/>
      <c r="EG255" s="14">
        <f>IF(EG219&lt;&gt;0,EG218/EG219,"")</f>
        <v>0.5048209028459274</v>
      </c>
      <c r="EK255" s="24"/>
      <c r="EL255" s="65"/>
      <c r="EM255" s="65"/>
      <c r="EN255" s="47"/>
    </row>
    <row r="256" spans="1:149">
      <c r="A256" s="6" t="s">
        <v>29</v>
      </c>
      <c r="G256" s="28"/>
      <c r="H256" s="28"/>
      <c r="I256" s="28"/>
      <c r="J256" s="64"/>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c r="AI256" s="64"/>
      <c r="AJ256" s="64"/>
      <c r="ED256" s="429"/>
      <c r="EE256" s="23"/>
      <c r="EF256" s="23"/>
      <c r="EG256" s="23"/>
      <c r="EH256" s="25"/>
      <c r="EI256" s="25"/>
      <c r="EJ256" s="25"/>
      <c r="EK256" s="23"/>
    </row>
    <row r="257" spans="1:149">
      <c r="A257" s="6" t="s">
        <v>23</v>
      </c>
      <c r="B257" s="2" t="s">
        <v>24</v>
      </c>
      <c r="C257" s="3" t="s">
        <v>83</v>
      </c>
      <c r="E257" s="4" t="str">
        <f>C231</f>
        <v>AInBusNew</v>
      </c>
      <c r="F257" s="4" t="s">
        <v>31</v>
      </c>
      <c r="G257" s="28" t="str">
        <f>C230</f>
        <v>AAllNew</v>
      </c>
      <c r="H257" s="28"/>
      <c r="I257" s="28"/>
      <c r="J257" s="62">
        <f t="shared" ref="J257:AJ257" si="1511">IF(J230&lt;&gt;0,J231/J230,"")</f>
        <v>0</v>
      </c>
      <c r="K257" s="62">
        <f t="shared" si="1511"/>
        <v>0.2</v>
      </c>
      <c r="L257" s="62">
        <f t="shared" si="1511"/>
        <v>0.30769230769230771</v>
      </c>
      <c r="M257" s="62">
        <f t="shared" si="1511"/>
        <v>0.31578947368421051</v>
      </c>
      <c r="N257" s="62">
        <f t="shared" si="1511"/>
        <v>0.38095238095238093</v>
      </c>
      <c r="O257" s="62">
        <f t="shared" si="1511"/>
        <v>0.375</v>
      </c>
      <c r="P257" s="62">
        <f t="shared" si="1511"/>
        <v>0.375</v>
      </c>
      <c r="Q257" s="62">
        <f t="shared" si="1511"/>
        <v>0.35897435897435898</v>
      </c>
      <c r="R257" s="62">
        <f t="shared" si="1511"/>
        <v>0.37209302325581395</v>
      </c>
      <c r="S257" s="62">
        <f t="shared" si="1511"/>
        <v>0.36734693877551022</v>
      </c>
      <c r="T257" s="62">
        <f t="shared" si="1511"/>
        <v>0.38461538461538464</v>
      </c>
      <c r="U257" s="62">
        <f t="shared" si="1511"/>
        <v>0.34065934065934067</v>
      </c>
      <c r="V257" s="62">
        <f t="shared" si="1511"/>
        <v>0.53333333333333333</v>
      </c>
      <c r="W257" s="62">
        <f t="shared" si="1511"/>
        <v>0.48</v>
      </c>
      <c r="X257" s="62">
        <f t="shared" si="1511"/>
        <v>0.45454545454545453</v>
      </c>
      <c r="Y257" s="62">
        <f t="shared" si="1511"/>
        <v>0.5</v>
      </c>
      <c r="Z257" s="62">
        <f t="shared" si="1511"/>
        <v>0.53333333333333333</v>
      </c>
      <c r="AA257" s="62">
        <f t="shared" si="1511"/>
        <v>0.51515151515151514</v>
      </c>
      <c r="AB257" s="62">
        <f t="shared" si="1511"/>
        <v>0.51351351351351349</v>
      </c>
      <c r="AC257" s="62">
        <f t="shared" si="1511"/>
        <v>0.54878048780487809</v>
      </c>
      <c r="AD257" s="62">
        <f t="shared" si="1511"/>
        <v>0.55319148936170215</v>
      </c>
      <c r="AE257" s="62">
        <f t="shared" si="1511"/>
        <v>0.57692307692307687</v>
      </c>
      <c r="AF257" s="62">
        <f t="shared" si="1511"/>
        <v>0.56481481481481477</v>
      </c>
      <c r="AG257" s="62">
        <f t="shared" si="1511"/>
        <v>0.55652173913043479</v>
      </c>
      <c r="AH257" s="62">
        <f t="shared" si="1511"/>
        <v>0.66666666666666663</v>
      </c>
      <c r="AI257" s="62">
        <f t="shared" si="1511"/>
        <v>0.66666666666666663</v>
      </c>
      <c r="AJ257" s="62" t="str">
        <f t="shared" si="1511"/>
        <v/>
      </c>
      <c r="AK257" s="412"/>
      <c r="AL257" s="14">
        <f t="shared" ref="AL257:BL257" si="1512">IF(AL230&lt;&gt;0,AL231/AL230,"")</f>
        <v>0</v>
      </c>
      <c r="AM257" s="14">
        <f t="shared" si="1512"/>
        <v>0.33333333333333331</v>
      </c>
      <c r="AN257" s="14">
        <f t="shared" si="1512"/>
        <v>0.66666666666666663</v>
      </c>
      <c r="AO257" s="14">
        <f t="shared" si="1512"/>
        <v>0.33333333333333331</v>
      </c>
      <c r="AP257" s="14">
        <f t="shared" si="1512"/>
        <v>1</v>
      </c>
      <c r="AQ257" s="14">
        <f t="shared" si="1512"/>
        <v>0.33333333333333331</v>
      </c>
      <c r="AR257" s="14">
        <f t="shared" si="1512"/>
        <v>0.375</v>
      </c>
      <c r="AS257" s="14">
        <f t="shared" si="1512"/>
        <v>0.2857142857142857</v>
      </c>
      <c r="AT257" s="14">
        <f t="shared" si="1512"/>
        <v>0.5</v>
      </c>
      <c r="AU257" s="14">
        <f t="shared" si="1512"/>
        <v>0.33333333333333331</v>
      </c>
      <c r="AV257" s="14">
        <f t="shared" si="1512"/>
        <v>0.4375</v>
      </c>
      <c r="AW257" s="14">
        <f t="shared" si="1512"/>
        <v>0.23076923076923078</v>
      </c>
      <c r="AX257" s="14">
        <f t="shared" si="1512"/>
        <v>0.53333333333333333</v>
      </c>
      <c r="AY257" s="14">
        <f t="shared" si="1512"/>
        <v>0.4</v>
      </c>
      <c r="AZ257" s="14">
        <f t="shared" si="1512"/>
        <v>0.42105263157894735</v>
      </c>
      <c r="BA257" s="14">
        <f t="shared" si="1512"/>
        <v>0.75</v>
      </c>
      <c r="BB257" s="14">
        <f t="shared" si="1512"/>
        <v>0.75</v>
      </c>
      <c r="BC257" s="14">
        <f t="shared" si="1512"/>
        <v>0.33333333333333331</v>
      </c>
      <c r="BD257" s="14">
        <f t="shared" si="1512"/>
        <v>0.5</v>
      </c>
      <c r="BE257" s="14">
        <f t="shared" si="1512"/>
        <v>0.875</v>
      </c>
      <c r="BF257" s="14">
        <f t="shared" si="1512"/>
        <v>0.58333333333333337</v>
      </c>
      <c r="BG257" s="14">
        <f t="shared" si="1512"/>
        <v>0.8</v>
      </c>
      <c r="BH257" s="14">
        <f t="shared" si="1512"/>
        <v>0.25</v>
      </c>
      <c r="BI257" s="14">
        <f t="shared" si="1512"/>
        <v>0.42857142857142855</v>
      </c>
      <c r="BJ257" s="14">
        <f t="shared" si="1512"/>
        <v>0.66666666666666663</v>
      </c>
      <c r="BK257" s="14">
        <f t="shared" si="1512"/>
        <v>0.66666666666666663</v>
      </c>
      <c r="BL257" s="14" t="str">
        <f t="shared" si="1512"/>
        <v/>
      </c>
      <c r="BM257" s="412"/>
      <c r="BN257" s="14">
        <f t="shared" ref="BN257:CN257" si="1513">IF(BN230&lt;&gt;0,BN231/BN230,"")</f>
        <v>0.30769230769230771</v>
      </c>
      <c r="BO257" s="14">
        <f t="shared" si="1513"/>
        <v>0.30769230769230771</v>
      </c>
      <c r="BP257" s="14">
        <f t="shared" si="1513"/>
        <v>0.30769230769230771</v>
      </c>
      <c r="BQ257" s="14">
        <f t="shared" si="1513"/>
        <v>0.45454545454545453</v>
      </c>
      <c r="BR257" s="14">
        <f t="shared" si="1513"/>
        <v>0.45454545454545453</v>
      </c>
      <c r="BS257" s="14">
        <f t="shared" si="1513"/>
        <v>0.45454545454545453</v>
      </c>
      <c r="BT257" s="14">
        <f t="shared" si="1513"/>
        <v>0.36842105263157893</v>
      </c>
      <c r="BU257" s="14">
        <f t="shared" si="1513"/>
        <v>0.36842105263157893</v>
      </c>
      <c r="BV257" s="14">
        <f t="shared" si="1513"/>
        <v>0.36842105263157893</v>
      </c>
      <c r="BW257" s="14">
        <f t="shared" si="1513"/>
        <v>0.3125</v>
      </c>
      <c r="BX257" s="14">
        <f t="shared" si="1513"/>
        <v>0.3125</v>
      </c>
      <c r="BY257" s="14">
        <f t="shared" si="1513"/>
        <v>0.3125</v>
      </c>
      <c r="BZ257" s="14">
        <f t="shared" si="1513"/>
        <v>0.45454545454545453</v>
      </c>
      <c r="CA257" s="14">
        <f t="shared" si="1513"/>
        <v>0.45454545454545453</v>
      </c>
      <c r="CB257" s="14">
        <f t="shared" si="1513"/>
        <v>0.45454545454545453</v>
      </c>
      <c r="CC257" s="14">
        <f t="shared" si="1513"/>
        <v>0.63636363636363635</v>
      </c>
      <c r="CD257" s="14">
        <f t="shared" si="1513"/>
        <v>0.63636363636363635</v>
      </c>
      <c r="CE257" s="14">
        <f t="shared" si="1513"/>
        <v>0.63636363636363635</v>
      </c>
      <c r="CF257" s="14">
        <f t="shared" si="1513"/>
        <v>0.6428571428571429</v>
      </c>
      <c r="CG257" s="14">
        <f t="shared" si="1513"/>
        <v>0.6428571428571429</v>
      </c>
      <c r="CH257" s="14">
        <f t="shared" si="1513"/>
        <v>0.6428571428571429</v>
      </c>
      <c r="CI257" s="14">
        <f t="shared" si="1513"/>
        <v>0.5714285714285714</v>
      </c>
      <c r="CJ257" s="14">
        <f t="shared" si="1513"/>
        <v>0.5714285714285714</v>
      </c>
      <c r="CK257" s="14">
        <f t="shared" si="1513"/>
        <v>0.5714285714285714</v>
      </c>
      <c r="CL257" s="14">
        <f t="shared" si="1513"/>
        <v>0.66666666666666663</v>
      </c>
      <c r="CM257" s="14">
        <f t="shared" si="1513"/>
        <v>0.66666666666666663</v>
      </c>
      <c r="CN257" s="14">
        <f t="shared" si="1513"/>
        <v>0.66666666666666663</v>
      </c>
      <c r="CO257" s="412"/>
      <c r="CP257" s="14">
        <f t="shared" ref="CP257:DP257" si="1514">IF(CP230&lt;&gt;0,CP231/CP230,"")</f>
        <v>0</v>
      </c>
      <c r="CQ257" s="14">
        <f t="shared" si="1514"/>
        <v>0.2</v>
      </c>
      <c r="CR257" s="14">
        <f t="shared" si="1514"/>
        <v>0.30769230769230771</v>
      </c>
      <c r="CS257" s="14">
        <f t="shared" si="1514"/>
        <v>0.31578947368421051</v>
      </c>
      <c r="CT257" s="14">
        <f t="shared" si="1514"/>
        <v>0.38095238095238093</v>
      </c>
      <c r="CU257" s="14">
        <f t="shared" si="1514"/>
        <v>0.375</v>
      </c>
      <c r="CV257" s="14">
        <f t="shared" si="1514"/>
        <v>0.375</v>
      </c>
      <c r="CW257" s="14">
        <f t="shared" si="1514"/>
        <v>0.35897435897435898</v>
      </c>
      <c r="CX257" s="14">
        <f t="shared" si="1514"/>
        <v>0.37209302325581395</v>
      </c>
      <c r="CY257" s="14">
        <f t="shared" si="1514"/>
        <v>0.36734693877551022</v>
      </c>
      <c r="CZ257" s="14">
        <f t="shared" si="1514"/>
        <v>0.38461538461538464</v>
      </c>
      <c r="DA257" s="14">
        <f t="shared" si="1514"/>
        <v>0.34065934065934067</v>
      </c>
      <c r="DB257" s="14">
        <f t="shared" si="1514"/>
        <v>0.53333333333333333</v>
      </c>
      <c r="DC257" s="14">
        <f t="shared" si="1514"/>
        <v>0.48</v>
      </c>
      <c r="DD257" s="14">
        <f t="shared" si="1514"/>
        <v>0.45454545454545453</v>
      </c>
      <c r="DE257" s="14">
        <f t="shared" si="1514"/>
        <v>0.5</v>
      </c>
      <c r="DF257" s="14">
        <f t="shared" si="1514"/>
        <v>0.53333333333333333</v>
      </c>
      <c r="DG257" s="14">
        <f t="shared" si="1514"/>
        <v>0.51515151515151514</v>
      </c>
      <c r="DH257" s="14">
        <f t="shared" si="1514"/>
        <v>0.51351351351351349</v>
      </c>
      <c r="DI257" s="14">
        <f t="shared" si="1514"/>
        <v>0.54878048780487809</v>
      </c>
      <c r="DJ257" s="14">
        <f t="shared" si="1514"/>
        <v>0.55319148936170215</v>
      </c>
      <c r="DK257" s="14">
        <f t="shared" si="1514"/>
        <v>0.57692307692307687</v>
      </c>
      <c r="DL257" s="14">
        <f t="shared" si="1514"/>
        <v>0.56481481481481477</v>
      </c>
      <c r="DM257" s="14">
        <f t="shared" si="1514"/>
        <v>0.55652173913043479</v>
      </c>
      <c r="DN257" s="14">
        <f t="shared" si="1514"/>
        <v>0.66666666666666663</v>
      </c>
      <c r="DO257" s="14">
        <f t="shared" si="1514"/>
        <v>0.66666666666666663</v>
      </c>
      <c r="DP257" s="14">
        <f t="shared" si="1514"/>
        <v>0.66666666666666663</v>
      </c>
      <c r="DQ257" s="14"/>
      <c r="DR257" s="14"/>
      <c r="DS257" s="14"/>
      <c r="DT257" s="14"/>
      <c r="DU257" s="14"/>
      <c r="DV257" s="14"/>
      <c r="DW257" s="14"/>
      <c r="DX257" s="14"/>
      <c r="DY257" s="14"/>
      <c r="ED257" s="429"/>
      <c r="EE257" s="23"/>
      <c r="EF257" s="23"/>
      <c r="EG257" s="23"/>
      <c r="EH257" s="14">
        <f>IF(EH230&lt;&gt;0,EH231/EH230,"")</f>
        <v>0.66666666666666663</v>
      </c>
      <c r="EI257" s="14">
        <f>IF(EI230&lt;&gt;0,EI231/EI230,"")</f>
        <v>0.66666666666666663</v>
      </c>
      <c r="EJ257" s="14">
        <f>IF(EJ230&lt;&gt;0,EJ231/EJ230,"")</f>
        <v>0.66666666666666663</v>
      </c>
      <c r="EK257" s="24"/>
      <c r="EL257" s="47" t="e">
        <f t="shared" ref="EL257:EN261" si="1515">+EH257-EE250</f>
        <v>#DIV/0!</v>
      </c>
      <c r="EM257" s="47">
        <f t="shared" si="1515"/>
        <v>0.16224188790560468</v>
      </c>
      <c r="EN257" s="47">
        <f t="shared" si="1515"/>
        <v>0.16224188790560468</v>
      </c>
      <c r="EO257" s="46" t="e">
        <f t="shared" ref="EO257:EP261" si="1516">IF(EH257&lt;0,,IF(EH257&lt;EE250,"È",IF(EH257=EE250,"Æ","Ç")))</f>
        <v>#DIV/0!</v>
      </c>
      <c r="EP257" s="46" t="str">
        <f t="shared" si="1516"/>
        <v>Ç</v>
      </c>
      <c r="EQ257" s="2" t="e">
        <f t="shared" ref="EQ257:ES261" si="1517">IF(EH257/EE250&gt;=0.9,1,IF(EH257/EE250&lt;0.75,3,2))</f>
        <v>#DIV/0!</v>
      </c>
      <c r="ER257" s="2">
        <f t="shared" si="1517"/>
        <v>1</v>
      </c>
      <c r="ES257" s="2">
        <f t="shared" si="1517"/>
        <v>1</v>
      </c>
    </row>
    <row r="258" spans="1:149">
      <c r="A258" s="6" t="s">
        <v>23</v>
      </c>
      <c r="B258" s="2" t="s">
        <v>25</v>
      </c>
      <c r="C258" s="3" t="s">
        <v>79</v>
      </c>
      <c r="E258" s="4" t="str">
        <f>C246</f>
        <v>ASEE</v>
      </c>
      <c r="F258" s="4" t="s">
        <v>31</v>
      </c>
      <c r="G258" s="28" t="str">
        <f>C245</f>
        <v>ASUniq</v>
      </c>
      <c r="H258" s="28"/>
      <c r="I258" s="28"/>
      <c r="J258" s="62">
        <f>IF(J245&lt;&gt;0,J246/J245,"")</f>
        <v>0.22222222222222221</v>
      </c>
      <c r="K258" s="62">
        <f>IF(K245&lt;&gt;0,K246/K245,"")</f>
        <v>0.375</v>
      </c>
      <c r="L258" s="62">
        <f>IF(L245&lt;&gt;0,L246/L245,"")</f>
        <v>0</v>
      </c>
      <c r="M258" s="62">
        <f>IF(M245&lt;&gt;0,M246/M245,"")</f>
        <v>0.25</v>
      </c>
      <c r="N258" s="62">
        <f>IF(N245&lt;&gt;0,N246/N245,"")</f>
        <v>0.66666666666666663</v>
      </c>
      <c r="O258" s="62">
        <f>IF(O245&lt;&gt;"",O246/O245,"")</f>
        <v>0.5</v>
      </c>
      <c r="P258" s="62">
        <f t="shared" ref="P258:AJ258" si="1518">IF(P245&lt;&gt;"",P246/P245,"")</f>
        <v>0.25</v>
      </c>
      <c r="Q258" s="62">
        <f t="shared" si="1518"/>
        <v>0</v>
      </c>
      <c r="R258" s="62">
        <f t="shared" si="1518"/>
        <v>0.5</v>
      </c>
      <c r="S258" s="62">
        <f t="shared" si="1518"/>
        <v>0.25</v>
      </c>
      <c r="T258" s="62">
        <f t="shared" si="1518"/>
        <v>5.8823529411764705E-2</v>
      </c>
      <c r="U258" s="62">
        <f t="shared" si="1518"/>
        <v>0.61538461538461542</v>
      </c>
      <c r="V258" s="62">
        <f t="shared" si="1518"/>
        <v>6.6666666666666666E-2</v>
      </c>
      <c r="W258" s="62">
        <f t="shared" si="1518"/>
        <v>0.36363636363636365</v>
      </c>
      <c r="X258" s="62">
        <f t="shared" si="1518"/>
        <v>0.17391304347826086</v>
      </c>
      <c r="Y258" s="62">
        <f t="shared" si="1518"/>
        <v>0.22222222222222221</v>
      </c>
      <c r="Z258" s="62">
        <f t="shared" si="1518"/>
        <v>0.2</v>
      </c>
      <c r="AA258" s="62">
        <f t="shared" si="1518"/>
        <v>0</v>
      </c>
      <c r="AB258" s="62">
        <f t="shared" si="1518"/>
        <v>0.1</v>
      </c>
      <c r="AC258" s="62">
        <f t="shared" si="1518"/>
        <v>0.72727272727272729</v>
      </c>
      <c r="AD258" s="62">
        <f t="shared" si="1518"/>
        <v>0.23076923076923078</v>
      </c>
      <c r="AE258" s="62">
        <f t="shared" si="1518"/>
        <v>0.3</v>
      </c>
      <c r="AF258" s="62">
        <f t="shared" si="1518"/>
        <v>0.2</v>
      </c>
      <c r="AG258" s="62">
        <f t="shared" si="1518"/>
        <v>0.14285714285714285</v>
      </c>
      <c r="AH258" s="62">
        <f t="shared" si="1518"/>
        <v>0.38461538461538464</v>
      </c>
      <c r="AI258" s="62">
        <f t="shared" si="1518"/>
        <v>0.45454545454545453</v>
      </c>
      <c r="AJ258" s="62" t="str">
        <f t="shared" si="1518"/>
        <v/>
      </c>
      <c r="AK258" s="412"/>
      <c r="AL258" s="14">
        <f t="shared" ref="AL258:BN258" si="1519">IF(AL245&lt;&gt;0,AL233/AL232,"")</f>
        <v>0.22222222222222221</v>
      </c>
      <c r="AM258" s="14">
        <f t="shared" si="1519"/>
        <v>0.375</v>
      </c>
      <c r="AN258" s="14">
        <f t="shared" si="1519"/>
        <v>0</v>
      </c>
      <c r="AO258" s="14">
        <f t="shared" si="1519"/>
        <v>0.25</v>
      </c>
      <c r="AP258" s="14">
        <f t="shared" si="1519"/>
        <v>0.66666666666666663</v>
      </c>
      <c r="AQ258" s="14">
        <f t="shared" si="1519"/>
        <v>0.5</v>
      </c>
      <c r="AR258" s="14">
        <f t="shared" si="1519"/>
        <v>0.25</v>
      </c>
      <c r="AS258" s="14">
        <f t="shared" si="1519"/>
        <v>0</v>
      </c>
      <c r="AT258" s="14">
        <f t="shared" si="1519"/>
        <v>0.5</v>
      </c>
      <c r="AU258" s="14">
        <f t="shared" si="1519"/>
        <v>0.25</v>
      </c>
      <c r="AV258" s="14">
        <f t="shared" si="1519"/>
        <v>5.8823529411764705E-2</v>
      </c>
      <c r="AW258" s="14">
        <f t="shared" si="1519"/>
        <v>0.61538461538461542</v>
      </c>
      <c r="AX258" s="14">
        <f t="shared" si="1519"/>
        <v>0.05</v>
      </c>
      <c r="AY258" s="14">
        <f t="shared" si="1519"/>
        <v>0.36363636363636365</v>
      </c>
      <c r="AZ258" s="14">
        <f t="shared" si="1519"/>
        <v>0.17391304347826086</v>
      </c>
      <c r="BA258" s="14">
        <f t="shared" si="1519"/>
        <v>0.22222222222222221</v>
      </c>
      <c r="BB258" s="14">
        <f t="shared" si="1519"/>
        <v>0.2</v>
      </c>
      <c r="BC258" s="14">
        <f t="shared" si="1519"/>
        <v>0</v>
      </c>
      <c r="BD258" s="14">
        <f t="shared" si="1519"/>
        <v>0.1</v>
      </c>
      <c r="BE258" s="14">
        <f t="shared" si="1519"/>
        <v>0.72727272727272729</v>
      </c>
      <c r="BF258" s="14">
        <f t="shared" si="1519"/>
        <v>0.23076923076923078</v>
      </c>
      <c r="BG258" s="14">
        <f t="shared" si="1519"/>
        <v>0.3</v>
      </c>
      <c r="BH258" s="14">
        <f t="shared" si="1519"/>
        <v>0.2</v>
      </c>
      <c r="BI258" s="14">
        <f t="shared" si="1519"/>
        <v>0.14285714285714285</v>
      </c>
      <c r="BJ258" s="14">
        <f t="shared" si="1519"/>
        <v>0.38461538461538464</v>
      </c>
      <c r="BK258" s="14">
        <f t="shared" si="1519"/>
        <v>0.45454545454545453</v>
      </c>
      <c r="BL258" s="14" t="e">
        <f t="shared" si="1519"/>
        <v>#DIV/0!</v>
      </c>
      <c r="BM258" s="412"/>
      <c r="BN258" s="14">
        <f t="shared" si="1519"/>
        <v>0.23809523809523808</v>
      </c>
      <c r="BO258" s="14">
        <f t="shared" ref="BO258:CN258" si="1520">IF(BO245&lt;&gt;0,BO246/BO245,"")</f>
        <v>0.29411764705882354</v>
      </c>
      <c r="BP258" s="14">
        <f t="shared" si="1520"/>
        <v>0.23809523809523808</v>
      </c>
      <c r="BQ258" s="14">
        <f t="shared" si="1520"/>
        <v>0.25</v>
      </c>
      <c r="BR258" s="14">
        <f t="shared" si="1520"/>
        <v>0.36363636363636365</v>
      </c>
      <c r="BS258" s="14">
        <f t="shared" si="1520"/>
        <v>0.4</v>
      </c>
      <c r="BT258" s="14">
        <f t="shared" si="1520"/>
        <v>0.25</v>
      </c>
      <c r="BU258" s="14">
        <f t="shared" si="1520"/>
        <v>0.13333333333333333</v>
      </c>
      <c r="BV258" s="14">
        <f t="shared" si="1520"/>
        <v>0.21052631578947367</v>
      </c>
      <c r="BW258" s="14">
        <f t="shared" si="1520"/>
        <v>0.25</v>
      </c>
      <c r="BX258" s="14">
        <f t="shared" si="1520"/>
        <v>0.12</v>
      </c>
      <c r="BY258" s="14">
        <f t="shared" si="1520"/>
        <v>0.37254901960784315</v>
      </c>
      <c r="BZ258" s="14">
        <f t="shared" si="1520"/>
        <v>6.6666666666666666E-2</v>
      </c>
      <c r="CA258" s="14">
        <f t="shared" si="1520"/>
        <v>0.19230769230769232</v>
      </c>
      <c r="CB258" s="14">
        <f t="shared" si="1520"/>
        <v>0.18367346938775511</v>
      </c>
      <c r="CC258" s="14">
        <f t="shared" si="1520"/>
        <v>0.22222222222222221</v>
      </c>
      <c r="CD258" s="14">
        <f t="shared" si="1520"/>
        <v>0.21052631578947367</v>
      </c>
      <c r="CE258" s="14">
        <f t="shared" si="1520"/>
        <v>0.15384615384615385</v>
      </c>
      <c r="CF258" s="14">
        <f t="shared" si="1520"/>
        <v>0.1</v>
      </c>
      <c r="CG258" s="14">
        <f t="shared" si="1520"/>
        <v>0.42857142857142855</v>
      </c>
      <c r="CH258" s="14">
        <f t="shared" si="1520"/>
        <v>0.35294117647058826</v>
      </c>
      <c r="CI258" s="14">
        <f t="shared" si="1520"/>
        <v>0.3</v>
      </c>
      <c r="CJ258" s="14">
        <f t="shared" si="1520"/>
        <v>0.26666666666666666</v>
      </c>
      <c r="CK258" s="14">
        <f t="shared" si="1520"/>
        <v>0.22727272727272727</v>
      </c>
      <c r="CL258" s="14">
        <f t="shared" si="1520"/>
        <v>0.38461538461538464</v>
      </c>
      <c r="CM258" s="14">
        <f t="shared" si="1520"/>
        <v>0.41666666666666669</v>
      </c>
      <c r="CN258" s="14" t="e">
        <f t="shared" si="1520"/>
        <v>#VALUE!</v>
      </c>
      <c r="CO258" s="412"/>
      <c r="CP258" s="14">
        <f>IF(CP245&lt;&gt;0,CP233/CP232,"")</f>
        <v>0.22222222222222221</v>
      </c>
      <c r="CQ258" s="14">
        <f t="shared" ref="CQ258:DP258" si="1521">IF(CQ245&lt;&gt;0,CQ246/CQ245,"")</f>
        <v>0.29411764705882354</v>
      </c>
      <c r="CR258" s="14">
        <f t="shared" si="1521"/>
        <v>0.23809523809523808</v>
      </c>
      <c r="CS258" s="14">
        <f t="shared" si="1521"/>
        <v>0.2413793103448276</v>
      </c>
      <c r="CT258" s="14">
        <f t="shared" si="1521"/>
        <v>0.28125</v>
      </c>
      <c r="CU258" s="14">
        <f t="shared" si="1521"/>
        <v>0.30555555555555558</v>
      </c>
      <c r="CV258" s="14">
        <f t="shared" si="1521"/>
        <v>0.29545454545454547</v>
      </c>
      <c r="CW258" s="14">
        <f t="shared" si="1521"/>
        <v>0.25490196078431371</v>
      </c>
      <c r="CX258" s="14">
        <f t="shared" si="1521"/>
        <v>0.27272727272727271</v>
      </c>
      <c r="CY258" s="14">
        <f t="shared" si="1521"/>
        <v>0.26984126984126983</v>
      </c>
      <c r="CZ258" s="14">
        <f t="shared" si="1521"/>
        <v>0.22500000000000001</v>
      </c>
      <c r="DA258" s="14">
        <f t="shared" si="1521"/>
        <v>0.32075471698113206</v>
      </c>
      <c r="DB258" s="14">
        <f t="shared" si="1521"/>
        <v>6.6666666666666666E-2</v>
      </c>
      <c r="DC258" s="14">
        <f t="shared" si="1521"/>
        <v>0.19230769230769232</v>
      </c>
      <c r="DD258" s="14">
        <f t="shared" si="1521"/>
        <v>0.18367346938775511</v>
      </c>
      <c r="DE258" s="14">
        <f t="shared" si="1521"/>
        <v>0.18965517241379309</v>
      </c>
      <c r="DF258" s="14">
        <f t="shared" si="1521"/>
        <v>0.19117647058823528</v>
      </c>
      <c r="DG258" s="14">
        <f t="shared" si="1521"/>
        <v>0.17333333333333334</v>
      </c>
      <c r="DH258" s="14">
        <f t="shared" si="1521"/>
        <v>0.16470588235294117</v>
      </c>
      <c r="DI258" s="14">
        <f t="shared" si="1521"/>
        <v>0.22916666666666666</v>
      </c>
      <c r="DJ258" s="14">
        <f t="shared" si="1521"/>
        <v>0.22935779816513763</v>
      </c>
      <c r="DK258" s="14">
        <f t="shared" si="1521"/>
        <v>0.23529411764705882</v>
      </c>
      <c r="DL258" s="14">
        <f t="shared" si="1521"/>
        <v>0.23387096774193547</v>
      </c>
      <c r="DM258" s="14">
        <f t="shared" si="1521"/>
        <v>0.22900763358778625</v>
      </c>
      <c r="DN258" s="14">
        <f t="shared" si="1521"/>
        <v>0.38461538461538464</v>
      </c>
      <c r="DO258" s="14">
        <f t="shared" si="1521"/>
        <v>0.41666666666666669</v>
      </c>
      <c r="DP258" s="14" t="e">
        <f t="shared" si="1521"/>
        <v>#VALUE!</v>
      </c>
      <c r="DQ258" s="14"/>
      <c r="DR258" s="14"/>
      <c r="DS258" s="14"/>
      <c r="DT258" s="14"/>
      <c r="DU258" s="14"/>
      <c r="DV258" s="14"/>
      <c r="DW258" s="14"/>
      <c r="DX258" s="14"/>
      <c r="DY258" s="14"/>
      <c r="ED258" s="429"/>
      <c r="EE258" s="23"/>
      <c r="EF258" s="23"/>
      <c r="EG258" s="23"/>
      <c r="EH258" s="14">
        <f>IF(EH245&lt;&gt;0,EH246/EH245,"")</f>
        <v>0.45454545454545453</v>
      </c>
      <c r="EI258" s="14">
        <f>IF(EI245&lt;&gt;0,EI246/EI245,"")</f>
        <v>0.41666666666666669</v>
      </c>
      <c r="EJ258" s="14">
        <f>IF(EJ245&lt;&gt;0,EJ246/EJ245,"")</f>
        <v>0.41666666666666669</v>
      </c>
      <c r="EK258" s="24"/>
      <c r="EL258" s="47">
        <f t="shared" si="1515"/>
        <v>0.14621545454545443</v>
      </c>
      <c r="EM258" s="47">
        <f t="shared" si="1515"/>
        <v>0.21111333333333326</v>
      </c>
      <c r="EN258" s="47">
        <f t="shared" si="1515"/>
        <v>0.12291666666666667</v>
      </c>
      <c r="EO258" s="46" t="str">
        <f>IF(EH258&lt;0,,IF(EH258&gt;EE251,"È",IF(EH258=EE251,"Æ","Ç")))</f>
        <v>È</v>
      </c>
      <c r="EP258" s="46" t="str">
        <f>IF(EI258&lt;0,,IF(EI258&gt;EF251,"È",IF(EI258=EF251,"Æ","Ç")))</f>
        <v>È</v>
      </c>
      <c r="EQ258" s="2">
        <f t="shared" si="1517"/>
        <v>1</v>
      </c>
      <c r="ER258" s="2">
        <f t="shared" si="1517"/>
        <v>1</v>
      </c>
      <c r="ES258" s="2">
        <f t="shared" si="1517"/>
        <v>1</v>
      </c>
    </row>
    <row r="259" spans="1:149">
      <c r="A259" s="6" t="s">
        <v>23</v>
      </c>
      <c r="B259" s="2" t="s">
        <v>160</v>
      </c>
      <c r="C259" s="3" t="s">
        <v>80</v>
      </c>
      <c r="E259" s="3" t="str">
        <f>C235</f>
        <v>ASatRate</v>
      </c>
      <c r="F259" s="3" t="s">
        <v>32</v>
      </c>
      <c r="G259" s="28" t="str">
        <f>C230</f>
        <v>AAllNew</v>
      </c>
      <c r="H259" s="63" t="s">
        <v>31</v>
      </c>
      <c r="I259" s="28" t="str">
        <f>C234</f>
        <v>ASatResp</v>
      </c>
      <c r="J259" s="62">
        <f t="shared" ref="J259:AJ259" si="1522">IF(J230&lt;&gt;0,J235*J234/J230,"")</f>
        <v>0</v>
      </c>
      <c r="K259" s="62">
        <f t="shared" si="1522"/>
        <v>0</v>
      </c>
      <c r="L259" s="62">
        <f t="shared" si="1522"/>
        <v>7.6923076923076927E-2</v>
      </c>
      <c r="M259" s="62">
        <f t="shared" si="1522"/>
        <v>5.2631578947368418E-2</v>
      </c>
      <c r="N259" s="62">
        <f t="shared" si="1522"/>
        <v>4.7619047619047616E-2</v>
      </c>
      <c r="O259" s="62">
        <f t="shared" si="1522"/>
        <v>4.1666666666666664E-2</v>
      </c>
      <c r="P259" s="62">
        <f t="shared" si="1522"/>
        <v>0</v>
      </c>
      <c r="Q259" s="62">
        <f t="shared" si="1522"/>
        <v>8.7179487179487175E-2</v>
      </c>
      <c r="R259" s="62">
        <f t="shared" si="1522"/>
        <v>6.9767441860465115E-2</v>
      </c>
      <c r="S259" s="62">
        <f t="shared" si="1522"/>
        <v>0</v>
      </c>
      <c r="T259" s="62">
        <f t="shared" si="1522"/>
        <v>2.1538461538461538E-2</v>
      </c>
      <c r="U259" s="62">
        <f t="shared" si="1522"/>
        <v>3.2967032967032968E-2</v>
      </c>
      <c r="V259" s="62">
        <f t="shared" si="1522"/>
        <v>0.2</v>
      </c>
      <c r="W259" s="62">
        <f t="shared" si="1522"/>
        <v>0.12</v>
      </c>
      <c r="X259" s="62">
        <f t="shared" si="1522"/>
        <v>4.9772727272727274E-2</v>
      </c>
      <c r="Y259" s="62">
        <f t="shared" si="1522"/>
        <v>5.3653846153846156E-2</v>
      </c>
      <c r="Z259" s="62">
        <f t="shared" si="1522"/>
        <v>0</v>
      </c>
      <c r="AA259" s="62">
        <f t="shared" si="1522"/>
        <v>2.7272727272727275E-2</v>
      </c>
      <c r="AB259" s="62">
        <f t="shared" si="1522"/>
        <v>0</v>
      </c>
      <c r="AC259" s="62">
        <f t="shared" si="1522"/>
        <v>2.4390243902439025E-2</v>
      </c>
      <c r="AD259" s="62">
        <f t="shared" si="1522"/>
        <v>1.0638297872340425E-2</v>
      </c>
      <c r="AE259" s="62">
        <f t="shared" si="1522"/>
        <v>3.8461538461538464E-2</v>
      </c>
      <c r="AF259" s="62">
        <f t="shared" si="1522"/>
        <v>2.5833333333333333E-2</v>
      </c>
      <c r="AG259" s="62">
        <f t="shared" si="1522"/>
        <v>8.6956521739130436E-3</v>
      </c>
      <c r="AH259" s="62">
        <f t="shared" si="1522"/>
        <v>0.16666666666666666</v>
      </c>
      <c r="AI259" s="62">
        <f t="shared" si="1522"/>
        <v>8.3333333333333329E-2</v>
      </c>
      <c r="AJ259" s="62" t="str">
        <f t="shared" si="1522"/>
        <v/>
      </c>
      <c r="AK259" s="412"/>
      <c r="AL259" s="14">
        <f t="shared" ref="AL259:BL259" si="1523">IF(AL230&lt;&gt;0,AL235*AL234/AL230,"")</f>
        <v>0</v>
      </c>
      <c r="AM259" s="14">
        <f t="shared" si="1523"/>
        <v>0</v>
      </c>
      <c r="AN259" s="14">
        <f t="shared" si="1523"/>
        <v>0.33333333333333331</v>
      </c>
      <c r="AO259" s="14">
        <f t="shared" si="1523"/>
        <v>0.16666666666666666</v>
      </c>
      <c r="AP259" s="14">
        <f t="shared" si="1523"/>
        <v>0.5</v>
      </c>
      <c r="AQ259" s="14">
        <f t="shared" si="1523"/>
        <v>0.33333333333333331</v>
      </c>
      <c r="AR259" s="14">
        <f t="shared" si="1523"/>
        <v>0</v>
      </c>
      <c r="AS259" s="14">
        <f t="shared" si="1523"/>
        <v>0.48571428571428571</v>
      </c>
      <c r="AT259" s="14">
        <f t="shared" si="1523"/>
        <v>0.75</v>
      </c>
      <c r="AU259" s="14">
        <f t="shared" si="1523"/>
        <v>0</v>
      </c>
      <c r="AV259" s="14">
        <f t="shared" si="1523"/>
        <v>8.7499999999999994E-2</v>
      </c>
      <c r="AW259" s="14">
        <f t="shared" si="1523"/>
        <v>0.11538461538461539</v>
      </c>
      <c r="AX259" s="14">
        <f t="shared" si="1523"/>
        <v>0.2</v>
      </c>
      <c r="AY259" s="14">
        <f t="shared" si="1523"/>
        <v>0.3</v>
      </c>
      <c r="AZ259" s="14">
        <f t="shared" si="1523"/>
        <v>0.11526315789473685</v>
      </c>
      <c r="BA259" s="14">
        <f t="shared" si="1523"/>
        <v>0.34875</v>
      </c>
      <c r="BB259" s="14">
        <f t="shared" si="1523"/>
        <v>0</v>
      </c>
      <c r="BC259" s="14">
        <f t="shared" si="1523"/>
        <v>0.3</v>
      </c>
      <c r="BD259" s="14">
        <f t="shared" si="1523"/>
        <v>0</v>
      </c>
      <c r="BE259" s="14">
        <f t="shared" si="1523"/>
        <v>0.25</v>
      </c>
      <c r="BF259" s="14">
        <f t="shared" si="1523"/>
        <v>8.3333333333333329E-2</v>
      </c>
      <c r="BG259" s="14">
        <f t="shared" si="1523"/>
        <v>0.4</v>
      </c>
      <c r="BH259" s="14">
        <f t="shared" si="1523"/>
        <v>0.69750000000000001</v>
      </c>
      <c r="BI259" s="14">
        <f t="shared" si="1523"/>
        <v>0.14285714285714285</v>
      </c>
      <c r="BJ259" s="14">
        <f t="shared" si="1523"/>
        <v>0.16666666666666666</v>
      </c>
      <c r="BK259" s="14">
        <f t="shared" si="1523"/>
        <v>0.16666666666666666</v>
      </c>
      <c r="BL259" s="14" t="str">
        <f t="shared" si="1523"/>
        <v/>
      </c>
      <c r="BM259" s="412"/>
      <c r="BN259" s="14">
        <f t="shared" ref="BN259:CN259" si="1524">IF(BN230&lt;&gt;0,BN235*BN234/BN230,"")</f>
        <v>7.6923076923076927E-2</v>
      </c>
      <c r="BO259" s="14">
        <f t="shared" si="1524"/>
        <v>7.6923076923076927E-2</v>
      </c>
      <c r="BP259" s="14">
        <f t="shared" si="1524"/>
        <v>7.6923076923076927E-2</v>
      </c>
      <c r="BQ259" s="14">
        <f t="shared" si="1524"/>
        <v>0.27272727272727271</v>
      </c>
      <c r="BR259" s="14">
        <f t="shared" si="1524"/>
        <v>0.27272727272727271</v>
      </c>
      <c r="BS259" s="14">
        <f t="shared" si="1524"/>
        <v>0.27272727272727271</v>
      </c>
      <c r="BT259" s="14">
        <f t="shared" si="1524"/>
        <v>0.33684210526315789</v>
      </c>
      <c r="BU259" s="14">
        <f t="shared" si="1524"/>
        <v>0.33684210526315789</v>
      </c>
      <c r="BV259" s="14">
        <f t="shared" si="1524"/>
        <v>0.33684210526315789</v>
      </c>
      <c r="BW259" s="14">
        <f t="shared" si="1524"/>
        <v>9.1666666666666674E-2</v>
      </c>
      <c r="BX259" s="14">
        <f t="shared" si="1524"/>
        <v>9.1666666666666674E-2</v>
      </c>
      <c r="BY259" s="14">
        <f t="shared" si="1524"/>
        <v>9.1666666666666674E-2</v>
      </c>
      <c r="BZ259" s="14">
        <f t="shared" si="1524"/>
        <v>0.18613636363636363</v>
      </c>
      <c r="CA259" s="14">
        <f t="shared" si="1524"/>
        <v>0.18613636363636363</v>
      </c>
      <c r="CB259" s="14">
        <f t="shared" si="1524"/>
        <v>0.18613636363636363</v>
      </c>
      <c r="CC259" s="14">
        <f t="shared" si="1524"/>
        <v>0.20863636363636362</v>
      </c>
      <c r="CD259" s="14">
        <f t="shared" si="1524"/>
        <v>0.20863636363636362</v>
      </c>
      <c r="CE259" s="14">
        <f t="shared" si="1524"/>
        <v>0.20863636363636362</v>
      </c>
      <c r="CF259" s="14">
        <f t="shared" si="1524"/>
        <v>0.10714285714285714</v>
      </c>
      <c r="CG259" s="14">
        <f t="shared" si="1524"/>
        <v>0.10714285714285714</v>
      </c>
      <c r="CH259" s="14">
        <f t="shared" si="1524"/>
        <v>0.10714285714285714</v>
      </c>
      <c r="CI259" s="14">
        <f t="shared" si="1524"/>
        <v>0.37095238095238098</v>
      </c>
      <c r="CJ259" s="14">
        <f t="shared" si="1524"/>
        <v>0.37095238095238098</v>
      </c>
      <c r="CK259" s="14">
        <f t="shared" si="1524"/>
        <v>0.37095238095238098</v>
      </c>
      <c r="CL259" s="14">
        <f t="shared" si="1524"/>
        <v>0.16666666666666666</v>
      </c>
      <c r="CM259" s="14">
        <f t="shared" si="1524"/>
        <v>0.16666666666666666</v>
      </c>
      <c r="CN259" s="14">
        <f t="shared" si="1524"/>
        <v>0.16666666666666666</v>
      </c>
      <c r="CO259" s="412"/>
      <c r="CP259" s="14">
        <f t="shared" ref="CP259:DP259" si="1525">IF(CP230&lt;&gt;0,CP235*CP234/CP230,"")</f>
        <v>0</v>
      </c>
      <c r="CQ259" s="14">
        <f t="shared" si="1525"/>
        <v>0</v>
      </c>
      <c r="CR259" s="14">
        <f t="shared" si="1525"/>
        <v>7.6923076923076927E-2</v>
      </c>
      <c r="CS259" s="14">
        <f t="shared" si="1525"/>
        <v>0.10526315789473684</v>
      </c>
      <c r="CT259" s="14">
        <f t="shared" si="1525"/>
        <v>0.14285714285714285</v>
      </c>
      <c r="CU259" s="14">
        <f t="shared" si="1525"/>
        <v>0.16666666666666666</v>
      </c>
      <c r="CV259" s="14">
        <f t="shared" si="1525"/>
        <v>0.125</v>
      </c>
      <c r="CW259" s="14">
        <f t="shared" si="1525"/>
        <v>0.18974358974358976</v>
      </c>
      <c r="CX259" s="14">
        <f t="shared" si="1525"/>
        <v>0.24186046511627907</v>
      </c>
      <c r="CY259" s="14">
        <f t="shared" si="1525"/>
        <v>0.21224489795918369</v>
      </c>
      <c r="CZ259" s="14">
        <f t="shared" si="1525"/>
        <v>0.18153846153846154</v>
      </c>
      <c r="DA259" s="14">
        <f t="shared" si="1525"/>
        <v>0.16263736263736264</v>
      </c>
      <c r="DB259" s="14">
        <f t="shared" si="1525"/>
        <v>0.2</v>
      </c>
      <c r="DC259" s="14">
        <f t="shared" si="1525"/>
        <v>0.24</v>
      </c>
      <c r="DD259" s="14">
        <f t="shared" si="1525"/>
        <v>0.18613636363636363</v>
      </c>
      <c r="DE259" s="14">
        <f t="shared" si="1525"/>
        <v>0.21115384615384616</v>
      </c>
      <c r="DF259" s="14">
        <f t="shared" si="1525"/>
        <v>0.183</v>
      </c>
      <c r="DG259" s="14">
        <f t="shared" si="1525"/>
        <v>0.19363636363636366</v>
      </c>
      <c r="DH259" s="14">
        <f t="shared" si="1525"/>
        <v>0.17270270270270272</v>
      </c>
      <c r="DI259" s="14">
        <f t="shared" si="1525"/>
        <v>0.18024390243902441</v>
      </c>
      <c r="DJ259" s="14">
        <f t="shared" si="1525"/>
        <v>0.16787234042553195</v>
      </c>
      <c r="DK259" s="14">
        <f t="shared" si="1525"/>
        <v>0.19019230769230772</v>
      </c>
      <c r="DL259" s="14">
        <f t="shared" si="1525"/>
        <v>0.20898148148148149</v>
      </c>
      <c r="DM259" s="14">
        <f t="shared" si="1525"/>
        <v>0.20495652173913043</v>
      </c>
      <c r="DN259" s="14">
        <f t="shared" si="1525"/>
        <v>0.16666666666666666</v>
      </c>
      <c r="DO259" s="14">
        <f t="shared" si="1525"/>
        <v>0.16666666666666666</v>
      </c>
      <c r="DP259" s="14">
        <f t="shared" si="1525"/>
        <v>0.16666666666666666</v>
      </c>
      <c r="DQ259" s="14"/>
      <c r="DR259" s="14"/>
      <c r="DS259" s="14"/>
      <c r="DT259" s="14"/>
      <c r="DU259" s="14"/>
      <c r="DV259" s="14"/>
      <c r="DW259" s="14"/>
      <c r="DX259" s="14"/>
      <c r="DY259" s="14"/>
      <c r="ED259" s="429"/>
      <c r="EE259" s="23"/>
      <c r="EF259" s="23"/>
      <c r="EG259" s="23"/>
      <c r="EH259" s="14">
        <f>IF(EH234&lt;&gt;0,EH235*EH234/EH234,"")</f>
        <v>1</v>
      </c>
      <c r="EI259" s="14">
        <f>IF(EI234&lt;&gt;0,EI235*EI234/EI234,"")</f>
        <v>1</v>
      </c>
      <c r="EJ259" s="14">
        <f>IF(EJ234&lt;&gt;0,EJ235*EJ234/EJ234,"")</f>
        <v>1</v>
      </c>
      <c r="EK259" s="24"/>
      <c r="EL259" s="47" t="e">
        <f t="shared" si="1515"/>
        <v>#DIV/0!</v>
      </c>
      <c r="EM259" s="47" t="e">
        <f t="shared" si="1515"/>
        <v>#DIV/0!</v>
      </c>
      <c r="EN259" s="47">
        <f t="shared" si="1515"/>
        <v>5.0000000000000266E-2</v>
      </c>
      <c r="EO259" s="46" t="e">
        <f t="shared" si="1516"/>
        <v>#DIV/0!</v>
      </c>
      <c r="EP259" s="46" t="e">
        <f t="shared" si="1516"/>
        <v>#DIV/0!</v>
      </c>
      <c r="EQ259" s="2" t="e">
        <f t="shared" si="1517"/>
        <v>#DIV/0!</v>
      </c>
      <c r="ER259" s="2" t="e">
        <f t="shared" si="1517"/>
        <v>#DIV/0!</v>
      </c>
      <c r="ES259" s="2">
        <f t="shared" si="1517"/>
        <v>1</v>
      </c>
    </row>
    <row r="260" spans="1:149">
      <c r="A260" s="6" t="s">
        <v>23</v>
      </c>
      <c r="B260" s="2" t="s">
        <v>26</v>
      </c>
      <c r="C260" s="3" t="s">
        <v>85</v>
      </c>
      <c r="E260" s="3" t="str">
        <f>C236</f>
        <v>ASpec1</v>
      </c>
      <c r="F260" s="4" t="s">
        <v>31</v>
      </c>
      <c r="G260" s="28" t="str">
        <f>C245</f>
        <v>ASUniq</v>
      </c>
      <c r="H260" s="28"/>
      <c r="I260" s="28"/>
      <c r="J260" s="62">
        <f>IF(J245&lt;&gt;0,J236/J245,"")</f>
        <v>0</v>
      </c>
      <c r="K260" s="62">
        <f>IF(K245&lt;&gt;0,K236/K245,"")</f>
        <v>0</v>
      </c>
      <c r="L260" s="62">
        <f>IF(L245&lt;&gt;0,L236/L245,"")</f>
        <v>0</v>
      </c>
      <c r="M260" s="62">
        <f>IF(M245&lt;&gt;0,M236/M245,"")</f>
        <v>0</v>
      </c>
      <c r="N260" s="62">
        <f>IF(N245&lt;&gt;0,N236/N245,"")</f>
        <v>0</v>
      </c>
      <c r="O260" s="62">
        <f>IF(O245&lt;&gt;"",O236/O245,"")</f>
        <v>0</v>
      </c>
      <c r="P260" s="62">
        <f t="shared" ref="P260:AJ260" si="1526">IF(P245&lt;&gt;"",P236/P245,"")</f>
        <v>0</v>
      </c>
      <c r="Q260" s="62">
        <f t="shared" si="1526"/>
        <v>0</v>
      </c>
      <c r="R260" s="62">
        <f t="shared" si="1526"/>
        <v>0</v>
      </c>
      <c r="S260" s="62">
        <f t="shared" si="1526"/>
        <v>0</v>
      </c>
      <c r="T260" s="62">
        <f t="shared" si="1526"/>
        <v>0</v>
      </c>
      <c r="U260" s="62">
        <f t="shared" si="1526"/>
        <v>0</v>
      </c>
      <c r="V260" s="62">
        <f t="shared" si="1526"/>
        <v>0</v>
      </c>
      <c r="W260" s="62">
        <f t="shared" si="1526"/>
        <v>0</v>
      </c>
      <c r="X260" s="62">
        <f t="shared" si="1526"/>
        <v>4.3478260869565216E-2</v>
      </c>
      <c r="Y260" s="62">
        <f t="shared" si="1526"/>
        <v>0.1111111111111111</v>
      </c>
      <c r="Z260" s="62">
        <f t="shared" si="1526"/>
        <v>0.1</v>
      </c>
      <c r="AA260" s="62">
        <f t="shared" si="1526"/>
        <v>0.2857142857142857</v>
      </c>
      <c r="AB260" s="62">
        <f t="shared" si="1526"/>
        <v>0.1</v>
      </c>
      <c r="AC260" s="62">
        <f t="shared" si="1526"/>
        <v>9.0909090909090912E-2</v>
      </c>
      <c r="AD260" s="62">
        <f t="shared" si="1526"/>
        <v>7.6923076923076927E-2</v>
      </c>
      <c r="AE260" s="62">
        <f t="shared" si="1526"/>
        <v>0.1</v>
      </c>
      <c r="AF260" s="62">
        <f t="shared" si="1526"/>
        <v>0.2</v>
      </c>
      <c r="AG260" s="62">
        <f t="shared" si="1526"/>
        <v>0.14285714285714285</v>
      </c>
      <c r="AH260" s="62">
        <f t="shared" si="1526"/>
        <v>0</v>
      </c>
      <c r="AI260" s="62">
        <f t="shared" si="1526"/>
        <v>0</v>
      </c>
      <c r="AJ260" s="62" t="str">
        <f t="shared" si="1526"/>
        <v/>
      </c>
      <c r="AK260" s="412"/>
      <c r="AL260" s="14">
        <f t="shared" ref="AL260:BL260" si="1527">IF(AL245&lt;&gt;0,AL236/AL245,"")</f>
        <v>0</v>
      </c>
      <c r="AM260" s="14">
        <f t="shared" si="1527"/>
        <v>0</v>
      </c>
      <c r="AN260" s="14">
        <f t="shared" si="1527"/>
        <v>0</v>
      </c>
      <c r="AO260" s="14">
        <f t="shared" si="1527"/>
        <v>0</v>
      </c>
      <c r="AP260" s="14">
        <f t="shared" si="1527"/>
        <v>0</v>
      </c>
      <c r="AQ260" s="14">
        <f t="shared" si="1527"/>
        <v>0</v>
      </c>
      <c r="AR260" s="14">
        <f t="shared" si="1527"/>
        <v>0</v>
      </c>
      <c r="AS260" s="14">
        <f t="shared" si="1527"/>
        <v>0</v>
      </c>
      <c r="AT260" s="14">
        <f t="shared" si="1527"/>
        <v>0</v>
      </c>
      <c r="AU260" s="14">
        <f t="shared" si="1527"/>
        <v>0</v>
      </c>
      <c r="AV260" s="14">
        <f t="shared" si="1527"/>
        <v>0</v>
      </c>
      <c r="AW260" s="14">
        <f t="shared" si="1527"/>
        <v>0</v>
      </c>
      <c r="AX260" s="14">
        <f t="shared" si="1527"/>
        <v>0</v>
      </c>
      <c r="AY260" s="14">
        <f t="shared" si="1527"/>
        <v>0</v>
      </c>
      <c r="AZ260" s="14">
        <f t="shared" si="1527"/>
        <v>4.3478260869565216E-2</v>
      </c>
      <c r="BA260" s="14">
        <f t="shared" si="1527"/>
        <v>0</v>
      </c>
      <c r="BB260" s="14">
        <f t="shared" si="1527"/>
        <v>0</v>
      </c>
      <c r="BC260" s="14">
        <f t="shared" si="1527"/>
        <v>0.14285714285714285</v>
      </c>
      <c r="BD260" s="14">
        <f t="shared" si="1527"/>
        <v>-0.1</v>
      </c>
      <c r="BE260" s="14">
        <f t="shared" si="1527"/>
        <v>0</v>
      </c>
      <c r="BF260" s="14">
        <f t="shared" si="1527"/>
        <v>0</v>
      </c>
      <c r="BG260" s="14">
        <f t="shared" si="1527"/>
        <v>0</v>
      </c>
      <c r="BH260" s="14">
        <f t="shared" si="1527"/>
        <v>0</v>
      </c>
      <c r="BI260" s="14">
        <f t="shared" si="1527"/>
        <v>0</v>
      </c>
      <c r="BJ260" s="14">
        <f t="shared" si="1527"/>
        <v>0</v>
      </c>
      <c r="BK260" s="14">
        <f t="shared" si="1527"/>
        <v>0</v>
      </c>
      <c r="BL260" s="14" t="e">
        <f t="shared" si="1527"/>
        <v>#VALUE!</v>
      </c>
      <c r="BM260" s="412"/>
      <c r="BN260" s="14">
        <f t="shared" ref="BN260:CN260" si="1528">IF(BN245&lt;&gt;0,BN236/BN245,"")</f>
        <v>0</v>
      </c>
      <c r="BO260" s="14">
        <f t="shared" si="1528"/>
        <v>0</v>
      </c>
      <c r="BP260" s="14">
        <f t="shared" si="1528"/>
        <v>0</v>
      </c>
      <c r="BQ260" s="14">
        <f t="shared" si="1528"/>
        <v>0</v>
      </c>
      <c r="BR260" s="14">
        <f t="shared" si="1528"/>
        <v>0</v>
      </c>
      <c r="BS260" s="14">
        <f t="shared" si="1528"/>
        <v>0</v>
      </c>
      <c r="BT260" s="14">
        <f t="shared" si="1528"/>
        <v>0</v>
      </c>
      <c r="BU260" s="14">
        <f t="shared" si="1528"/>
        <v>0</v>
      </c>
      <c r="BV260" s="14">
        <f t="shared" si="1528"/>
        <v>0</v>
      </c>
      <c r="BW260" s="14">
        <f t="shared" si="1528"/>
        <v>0</v>
      </c>
      <c r="BX260" s="14">
        <f t="shared" si="1528"/>
        <v>0</v>
      </c>
      <c r="BY260" s="14">
        <f t="shared" si="1528"/>
        <v>0</v>
      </c>
      <c r="BZ260" s="14">
        <f t="shared" si="1528"/>
        <v>6.6666666666666666E-2</v>
      </c>
      <c r="CA260" s="14">
        <f t="shared" si="1528"/>
        <v>3.8461538461538464E-2</v>
      </c>
      <c r="CB260" s="14">
        <f t="shared" si="1528"/>
        <v>2.0408163265306121E-2</v>
      </c>
      <c r="CC260" s="14">
        <f t="shared" si="1528"/>
        <v>0.1111111111111111</v>
      </c>
      <c r="CD260" s="14">
        <f t="shared" si="1528"/>
        <v>5.2631578947368418E-2</v>
      </c>
      <c r="CE260" s="14">
        <f t="shared" si="1528"/>
        <v>3.8461538461538464E-2</v>
      </c>
      <c r="CF260" s="14">
        <f t="shared" si="1528"/>
        <v>-0.1</v>
      </c>
      <c r="CG260" s="14">
        <f t="shared" si="1528"/>
        <v>-4.7619047619047616E-2</v>
      </c>
      <c r="CH260" s="14">
        <f t="shared" si="1528"/>
        <v>-2.9411764705882353E-2</v>
      </c>
      <c r="CI260" s="14">
        <f t="shared" si="1528"/>
        <v>0</v>
      </c>
      <c r="CJ260" s="14">
        <f t="shared" si="1528"/>
        <v>0</v>
      </c>
      <c r="CK260" s="14">
        <f t="shared" si="1528"/>
        <v>0</v>
      </c>
      <c r="CL260" s="14">
        <f t="shared" si="1528"/>
        <v>0</v>
      </c>
      <c r="CM260" s="14">
        <f t="shared" si="1528"/>
        <v>0</v>
      </c>
      <c r="CN260" s="14" t="e">
        <f t="shared" si="1528"/>
        <v>#VALUE!</v>
      </c>
      <c r="CO260" s="412"/>
      <c r="CP260" s="14">
        <f t="shared" ref="CP260:DP260" si="1529">IF(CP245&lt;&gt;0,CP236/CP245,"")</f>
        <v>0</v>
      </c>
      <c r="CQ260" s="14">
        <f t="shared" si="1529"/>
        <v>0</v>
      </c>
      <c r="CR260" s="14">
        <f t="shared" si="1529"/>
        <v>0</v>
      </c>
      <c r="CS260" s="14">
        <f t="shared" si="1529"/>
        <v>0</v>
      </c>
      <c r="CT260" s="14">
        <f t="shared" si="1529"/>
        <v>0</v>
      </c>
      <c r="CU260" s="14">
        <f t="shared" si="1529"/>
        <v>0</v>
      </c>
      <c r="CV260" s="14">
        <f t="shared" si="1529"/>
        <v>0</v>
      </c>
      <c r="CW260" s="14">
        <f t="shared" si="1529"/>
        <v>0</v>
      </c>
      <c r="CX260" s="14">
        <f t="shared" si="1529"/>
        <v>0</v>
      </c>
      <c r="CY260" s="14">
        <f t="shared" si="1529"/>
        <v>0</v>
      </c>
      <c r="CZ260" s="14">
        <f t="shared" si="1529"/>
        <v>0</v>
      </c>
      <c r="DA260" s="14">
        <f t="shared" si="1529"/>
        <v>0</v>
      </c>
      <c r="DB260" s="14">
        <f t="shared" si="1529"/>
        <v>0</v>
      </c>
      <c r="DC260" s="14">
        <f t="shared" si="1529"/>
        <v>0</v>
      </c>
      <c r="DD260" s="14">
        <f t="shared" si="1529"/>
        <v>2.0408163265306121E-2</v>
      </c>
      <c r="DE260" s="14">
        <f t="shared" si="1529"/>
        <v>1.7241379310344827E-2</v>
      </c>
      <c r="DF260" s="14">
        <f t="shared" si="1529"/>
        <v>1.4705882352941176E-2</v>
      </c>
      <c r="DG260" s="14">
        <f t="shared" si="1529"/>
        <v>2.6666666666666668E-2</v>
      </c>
      <c r="DH260" s="14">
        <f t="shared" si="1529"/>
        <v>1.1764705882352941E-2</v>
      </c>
      <c r="DI260" s="14">
        <f t="shared" si="1529"/>
        <v>1.0416666666666666E-2</v>
      </c>
      <c r="DJ260" s="14">
        <f t="shared" si="1529"/>
        <v>9.1743119266055051E-3</v>
      </c>
      <c r="DK260" s="14">
        <f t="shared" si="1529"/>
        <v>8.4033613445378148E-3</v>
      </c>
      <c r="DL260" s="14">
        <f t="shared" si="1529"/>
        <v>8.0645161290322578E-3</v>
      </c>
      <c r="DM260" s="14">
        <f t="shared" si="1529"/>
        <v>7.6335877862595417E-3</v>
      </c>
      <c r="DN260" s="14">
        <f t="shared" si="1529"/>
        <v>0</v>
      </c>
      <c r="DO260" s="14">
        <f t="shared" si="1529"/>
        <v>0</v>
      </c>
      <c r="DP260" s="14" t="e">
        <f t="shared" si="1529"/>
        <v>#VALUE!</v>
      </c>
      <c r="DQ260" s="14"/>
      <c r="DR260" s="14"/>
      <c r="DS260" s="14"/>
      <c r="DT260" s="14"/>
      <c r="DU260" s="14"/>
      <c r="DV260" s="14"/>
      <c r="DW260" s="14"/>
      <c r="DX260" s="14"/>
      <c r="DY260" s="14"/>
      <c r="ED260" s="429"/>
      <c r="EE260" s="23"/>
      <c r="EF260" s="23"/>
      <c r="EG260" s="23"/>
      <c r="EH260" s="14">
        <f>IF(EH232&lt;&gt;0,EH236/EH232,"0%")</f>
        <v>0</v>
      </c>
      <c r="EI260" s="14">
        <f>IF(EI232&lt;&gt;0,EI236/EI232,"0%")</f>
        <v>0</v>
      </c>
      <c r="EJ260" s="14">
        <f>IF(EJ232&lt;&gt;0,EJ236/EJ232,"0%")</f>
        <v>0</v>
      </c>
      <c r="EK260" s="24"/>
      <c r="EL260" s="47">
        <f t="shared" si="1515"/>
        <v>0</v>
      </c>
      <c r="EM260" s="47">
        <f t="shared" si="1515"/>
        <v>0</v>
      </c>
      <c r="EN260" s="47">
        <f t="shared" si="1515"/>
        <v>-0.11660000000000002</v>
      </c>
      <c r="EO260" s="46" t="str">
        <f t="shared" si="1516"/>
        <v>Æ</v>
      </c>
      <c r="EP260" s="46" t="str">
        <f t="shared" si="1516"/>
        <v>Æ</v>
      </c>
      <c r="EQ260" s="2" t="e">
        <f t="shared" si="1517"/>
        <v>#DIV/0!</v>
      </c>
      <c r="ER260" s="2" t="e">
        <f t="shared" si="1517"/>
        <v>#DIV/0!</v>
      </c>
      <c r="ES260" s="2">
        <f t="shared" si="1517"/>
        <v>3</v>
      </c>
    </row>
    <row r="261" spans="1:149">
      <c r="A261" s="6" t="s">
        <v>23</v>
      </c>
      <c r="B261" s="2" t="s">
        <v>27</v>
      </c>
      <c r="C261" s="3" t="s">
        <v>81</v>
      </c>
      <c r="E261" s="3" t="str">
        <f>C238</f>
        <v>AOnlHrs</v>
      </c>
      <c r="F261" s="4" t="s">
        <v>31</v>
      </c>
      <c r="G261" s="28" t="str">
        <f>C237</f>
        <v>ATotHrs</v>
      </c>
      <c r="H261" s="28"/>
      <c r="I261" s="28"/>
      <c r="J261" s="62">
        <f t="shared" ref="J261:AJ261" si="1530">IF(J237&lt;&gt;0,J238/J237,"")</f>
        <v>3.125E-2</v>
      </c>
      <c r="K261" s="62">
        <f t="shared" si="1530"/>
        <v>0.1</v>
      </c>
      <c r="L261" s="62">
        <f t="shared" si="1530"/>
        <v>7.4468085106382975E-2</v>
      </c>
      <c r="M261" s="62">
        <f t="shared" si="1530"/>
        <v>9.0277777777777776E-2</v>
      </c>
      <c r="N261" s="62">
        <f t="shared" si="1530"/>
        <v>0.125</v>
      </c>
      <c r="O261" s="62">
        <f t="shared" si="1530"/>
        <v>0.11904761904761904</v>
      </c>
      <c r="P261" s="62">
        <f t="shared" si="1530"/>
        <v>0.13991769547325103</v>
      </c>
      <c r="Q261" s="62">
        <f t="shared" si="1530"/>
        <v>0.15625</v>
      </c>
      <c r="R261" s="62">
        <f t="shared" si="1530"/>
        <v>0.15249266862170088</v>
      </c>
      <c r="S261" s="62">
        <f t="shared" si="1530"/>
        <v>0.15211970074812967</v>
      </c>
      <c r="T261" s="62">
        <f t="shared" si="1530"/>
        <v>0.15351812366737741</v>
      </c>
      <c r="U261" s="62">
        <f t="shared" si="1530"/>
        <v>8.0094228504122497E-2</v>
      </c>
      <c r="V261" s="62">
        <f t="shared" si="1530"/>
        <v>0.14415781487101667</v>
      </c>
      <c r="W261" s="62">
        <f t="shared" si="1530"/>
        <v>0.16386182462356066</v>
      </c>
      <c r="X261" s="62">
        <f t="shared" si="1530"/>
        <v>0.14446227929373998</v>
      </c>
      <c r="Y261" s="62">
        <f t="shared" si="1530"/>
        <v>0.13863337713534821</v>
      </c>
      <c r="Z261" s="62">
        <f t="shared" si="1530"/>
        <v>0.15010316368638238</v>
      </c>
      <c r="AA261" s="62">
        <f t="shared" si="1530"/>
        <v>0.18176391583345769</v>
      </c>
      <c r="AB261" s="62">
        <f t="shared" si="1530"/>
        <v>0.1890750578940199</v>
      </c>
      <c r="AC261" s="62">
        <f t="shared" si="1530"/>
        <v>0.19634132484944894</v>
      </c>
      <c r="AD261" s="62">
        <f t="shared" si="1530"/>
        <v>0.17856801453015966</v>
      </c>
      <c r="AE261" s="62">
        <f t="shared" si="1530"/>
        <v>0.16584578804347827</v>
      </c>
      <c r="AF261" s="62">
        <f t="shared" si="1530"/>
        <v>0.18175275867583562</v>
      </c>
      <c r="AG261" s="62">
        <f t="shared" si="1530"/>
        <v>0.17652771552368149</v>
      </c>
      <c r="AH261" s="62">
        <f t="shared" si="1530"/>
        <v>0.25742574257425743</v>
      </c>
      <c r="AI261" s="62">
        <f t="shared" si="1530"/>
        <v>0.23056994818652848</v>
      </c>
      <c r="AJ261" s="62" t="str">
        <f t="shared" si="1530"/>
        <v/>
      </c>
      <c r="AK261" s="412"/>
      <c r="AL261" s="14">
        <f t="shared" ref="AL261:BL261" si="1531">IF(AL237&lt;&gt;0,AL238/AL237,"")</f>
        <v>3.125E-2</v>
      </c>
      <c r="AM261" s="14">
        <f t="shared" si="1531"/>
        <v>0.15789473684210525</v>
      </c>
      <c r="AN261" s="14">
        <f t="shared" si="1531"/>
        <v>0</v>
      </c>
      <c r="AO261" s="14">
        <f t="shared" si="1531"/>
        <v>0.12</v>
      </c>
      <c r="AP261" s="14">
        <f t="shared" si="1531"/>
        <v>0.33333333333333331</v>
      </c>
      <c r="AQ261" s="14">
        <f t="shared" si="1531"/>
        <v>9.5238095238095233E-2</v>
      </c>
      <c r="AR261" s="14">
        <f t="shared" si="1531"/>
        <v>0.27272727272727271</v>
      </c>
      <c r="AS261" s="14">
        <f t="shared" si="1531"/>
        <v>0.24444444444444444</v>
      </c>
      <c r="AT261" s="14">
        <f t="shared" si="1531"/>
        <v>0.13207547169811321</v>
      </c>
      <c r="AU261" s="14">
        <f t="shared" si="1531"/>
        <v>0.15</v>
      </c>
      <c r="AV261" s="14">
        <f t="shared" si="1531"/>
        <v>0.16176470588235295</v>
      </c>
      <c r="AW261" s="14">
        <f t="shared" si="1531"/>
        <v>3.7290242386575516E-2</v>
      </c>
      <c r="AX261" s="14">
        <f t="shared" si="1531"/>
        <v>0.14415781487101667</v>
      </c>
      <c r="AY261" s="14">
        <f t="shared" si="1531"/>
        <v>0.19148936170212766</v>
      </c>
      <c r="AZ261" s="14">
        <f t="shared" si="1531"/>
        <v>0.11486486486486487</v>
      </c>
      <c r="BA261" s="14">
        <f t="shared" si="1531"/>
        <v>0.11231884057971009</v>
      </c>
      <c r="BB261" s="14">
        <f t="shared" si="1531"/>
        <v>0.192</v>
      </c>
      <c r="BC261" s="14">
        <f t="shared" si="1531"/>
        <v>0.38983050847457629</v>
      </c>
      <c r="BD261" s="14">
        <f t="shared" si="1531"/>
        <v>0.26562500000000022</v>
      </c>
      <c r="BE261" s="14">
        <f t="shared" si="1531"/>
        <v>0.23287671232876711</v>
      </c>
      <c r="BF261" s="14">
        <f t="shared" si="1531"/>
        <v>8.4337349397590425E-2</v>
      </c>
      <c r="BG261" s="14">
        <f t="shared" si="1531"/>
        <v>6.4638783269961975E-2</v>
      </c>
      <c r="BH261" s="14">
        <f t="shared" si="1531"/>
        <v>0.43835616438356162</v>
      </c>
      <c r="BI261" s="14">
        <f t="shared" si="1531"/>
        <v>0.10227272727272728</v>
      </c>
      <c r="BJ261" s="14">
        <f t="shared" si="1531"/>
        <v>0.25742574257425743</v>
      </c>
      <c r="BK261" s="14">
        <f t="shared" si="1531"/>
        <v>0.20108695652173914</v>
      </c>
      <c r="BL261" s="14" t="str">
        <f t="shared" si="1531"/>
        <v/>
      </c>
      <c r="BM261" s="412"/>
      <c r="BN261" s="14">
        <f t="shared" ref="BN261:CN261" si="1532">IF(BN237&lt;&gt;0,BN238/BN237,"")</f>
        <v>7.4468085106382975E-2</v>
      </c>
      <c r="BO261" s="14">
        <f t="shared" si="1532"/>
        <v>7.4468085106382975E-2</v>
      </c>
      <c r="BP261" s="14">
        <f t="shared" si="1532"/>
        <v>7.4468085106382975E-2</v>
      </c>
      <c r="BQ261" s="14">
        <f t="shared" si="1532"/>
        <v>0.15517241379310345</v>
      </c>
      <c r="BR261" s="14">
        <f t="shared" si="1532"/>
        <v>0.15517241379310345</v>
      </c>
      <c r="BS261" s="14">
        <f t="shared" si="1532"/>
        <v>0.15517241379310345</v>
      </c>
      <c r="BT261" s="14">
        <f t="shared" si="1532"/>
        <v>0.20610687022900764</v>
      </c>
      <c r="BU261" s="14">
        <f t="shared" si="1532"/>
        <v>0.20610687022900764</v>
      </c>
      <c r="BV261" s="14">
        <f t="shared" si="1532"/>
        <v>0.20610687022900764</v>
      </c>
      <c r="BW261" s="14">
        <f t="shared" si="1532"/>
        <v>5.3619302949061663E-2</v>
      </c>
      <c r="BX261" s="14">
        <f t="shared" si="1532"/>
        <v>5.3619302949061663E-2</v>
      </c>
      <c r="BY261" s="14">
        <f t="shared" si="1532"/>
        <v>5.3619302949061663E-2</v>
      </c>
      <c r="BZ261" s="14">
        <f t="shared" si="1532"/>
        <v>0.14446227929373998</v>
      </c>
      <c r="CA261" s="14">
        <f t="shared" si="1532"/>
        <v>0.14446227929373998</v>
      </c>
      <c r="CB261" s="14">
        <f t="shared" si="1532"/>
        <v>0.14446227929373998</v>
      </c>
      <c r="CC261" s="14">
        <f t="shared" si="1532"/>
        <v>0.22882213972325344</v>
      </c>
      <c r="CD261" s="14">
        <f t="shared" si="1532"/>
        <v>0.22882213972325344</v>
      </c>
      <c r="CE261" s="14">
        <f t="shared" si="1532"/>
        <v>0.22882213972325344</v>
      </c>
      <c r="CF261" s="14">
        <f t="shared" si="1532"/>
        <v>0.17287234042553201</v>
      </c>
      <c r="CG261" s="14">
        <f t="shared" si="1532"/>
        <v>0.17287234042553201</v>
      </c>
      <c r="CH261" s="14">
        <f t="shared" si="1532"/>
        <v>0.17287234042553201</v>
      </c>
      <c r="CI261" s="14">
        <f t="shared" si="1532"/>
        <v>0.16923076923076924</v>
      </c>
      <c r="CJ261" s="14">
        <f t="shared" si="1532"/>
        <v>0.16923076923076924</v>
      </c>
      <c r="CK261" s="14">
        <f t="shared" si="1532"/>
        <v>0.16923076923076924</v>
      </c>
      <c r="CL261" s="14">
        <f t="shared" si="1532"/>
        <v>0.23056994818652848</v>
      </c>
      <c r="CM261" s="14">
        <f t="shared" si="1532"/>
        <v>0.23056994818652848</v>
      </c>
      <c r="CN261" s="14">
        <f t="shared" si="1532"/>
        <v>0.23056994818652848</v>
      </c>
      <c r="CO261" s="412"/>
      <c r="CP261" s="14">
        <f t="shared" ref="CP261:DP261" si="1533">IF(CP237&lt;&gt;0,CP238/CP237,"")</f>
        <v>3.125E-2</v>
      </c>
      <c r="CQ261" s="14">
        <f t="shared" si="1533"/>
        <v>0.1</v>
      </c>
      <c r="CR261" s="14">
        <f t="shared" si="1533"/>
        <v>7.4468085106382975E-2</v>
      </c>
      <c r="CS261" s="14">
        <f t="shared" si="1533"/>
        <v>9.0277777777777776E-2</v>
      </c>
      <c r="CT261" s="14">
        <f t="shared" si="1533"/>
        <v>0.125</v>
      </c>
      <c r="CU261" s="14">
        <f t="shared" si="1533"/>
        <v>0.11904761904761904</v>
      </c>
      <c r="CV261" s="14">
        <f t="shared" si="1533"/>
        <v>0.13991769547325103</v>
      </c>
      <c r="CW261" s="14">
        <f t="shared" si="1533"/>
        <v>0.15625</v>
      </c>
      <c r="CX261" s="14">
        <f t="shared" si="1533"/>
        <v>0.15249266862170088</v>
      </c>
      <c r="CY261" s="14">
        <f t="shared" si="1533"/>
        <v>0.15211970074812967</v>
      </c>
      <c r="CZ261" s="14">
        <f t="shared" si="1533"/>
        <v>0.15351812366737741</v>
      </c>
      <c r="DA261" s="14">
        <f t="shared" si="1533"/>
        <v>8.0094228504122497E-2</v>
      </c>
      <c r="DB261" s="14">
        <f t="shared" si="1533"/>
        <v>0.14415781487101667</v>
      </c>
      <c r="DC261" s="14">
        <f t="shared" si="1533"/>
        <v>0.16386182462356066</v>
      </c>
      <c r="DD261" s="14">
        <f t="shared" si="1533"/>
        <v>0.14446227929373998</v>
      </c>
      <c r="DE261" s="14">
        <f t="shared" si="1533"/>
        <v>0.13863337713534821</v>
      </c>
      <c r="DF261" s="14">
        <f t="shared" si="1533"/>
        <v>0.15010316368638238</v>
      </c>
      <c r="DG261" s="14">
        <f t="shared" si="1533"/>
        <v>0.18176391583345769</v>
      </c>
      <c r="DH261" s="14">
        <f t="shared" si="1533"/>
        <v>0.1890750578940199</v>
      </c>
      <c r="DI261" s="14">
        <f t="shared" si="1533"/>
        <v>0.19634132484944894</v>
      </c>
      <c r="DJ261" s="14">
        <f t="shared" si="1533"/>
        <v>0.17856801453015966</v>
      </c>
      <c r="DK261" s="14">
        <f t="shared" si="1533"/>
        <v>0.16584578804347827</v>
      </c>
      <c r="DL261" s="14">
        <f t="shared" si="1533"/>
        <v>0.18175275867583562</v>
      </c>
      <c r="DM261" s="14">
        <f t="shared" si="1533"/>
        <v>0.17652771552368149</v>
      </c>
      <c r="DN261" s="14">
        <f t="shared" si="1533"/>
        <v>0.25742574257425743</v>
      </c>
      <c r="DO261" s="14">
        <f t="shared" si="1533"/>
        <v>0.23056994818652848</v>
      </c>
      <c r="DP261" s="14">
        <f t="shared" si="1533"/>
        <v>0.23056994818652848</v>
      </c>
      <c r="DQ261" s="14"/>
      <c r="DR261" s="14"/>
      <c r="DS261" s="14"/>
      <c r="DT261" s="14"/>
      <c r="DU261" s="14"/>
      <c r="DV261" s="14"/>
      <c r="DW261" s="14"/>
      <c r="DX261" s="14"/>
      <c r="DY261" s="14"/>
      <c r="ED261" s="429"/>
      <c r="EE261" s="23"/>
      <c r="EF261" s="23"/>
      <c r="EG261" s="23"/>
      <c r="EH261" s="14">
        <f>IF(EH237&lt;&gt;0,EH238/EH237,"")</f>
        <v>0.20108695652173914</v>
      </c>
      <c r="EI261" s="14">
        <f>IF(EI237&lt;&gt;0,EI238/EI237,"")</f>
        <v>0.23056994818652848</v>
      </c>
      <c r="EJ261" s="14">
        <f>IF(EJ237&lt;&gt;0,EJ238/EJ237,"")</f>
        <v>0.23056994818652848</v>
      </c>
      <c r="EK261" s="24"/>
      <c r="EL261" s="47">
        <f t="shared" si="1515"/>
        <v>0.20108695652173914</v>
      </c>
      <c r="EM261" s="47">
        <f t="shared" si="1515"/>
        <v>0.23056994818652848</v>
      </c>
      <c r="EN261" s="47">
        <f t="shared" si="1515"/>
        <v>8.015212088847834E-2</v>
      </c>
      <c r="EO261" s="46" t="str">
        <f t="shared" si="1516"/>
        <v>Ç</v>
      </c>
      <c r="EP261" s="46" t="str">
        <f t="shared" si="1516"/>
        <v>Ç</v>
      </c>
      <c r="EQ261" s="2" t="e">
        <f t="shared" si="1517"/>
        <v>#DIV/0!</v>
      </c>
      <c r="ER261" s="2" t="e">
        <f t="shared" si="1517"/>
        <v>#DIV/0!</v>
      </c>
      <c r="ES261" s="2">
        <f t="shared" si="1517"/>
        <v>1</v>
      </c>
    </row>
    <row r="262" spans="1:149">
      <c r="A262" s="6" t="s">
        <v>23</v>
      </c>
      <c r="B262" s="2" t="s">
        <v>28</v>
      </c>
      <c r="C262" s="3" t="s">
        <v>82</v>
      </c>
      <c r="E262" s="3" t="str">
        <f>C243</f>
        <v>AColCash</v>
      </c>
      <c r="F262" s="4" t="s">
        <v>31</v>
      </c>
      <c r="G262" s="28" t="str">
        <f>C244</f>
        <v>AFSFunds</v>
      </c>
      <c r="H262" s="28"/>
      <c r="I262" s="28"/>
      <c r="J262" s="62" t="str">
        <f t="shared" ref="J262:AJ262" si="1534">IF(J244&lt;&gt;0,J243/J244,"")</f>
        <v/>
      </c>
      <c r="K262" s="62" t="str">
        <f t="shared" si="1534"/>
        <v/>
      </c>
      <c r="L262" s="62" t="str">
        <f t="shared" si="1534"/>
        <v/>
      </c>
      <c r="M262" s="62" t="str">
        <f t="shared" si="1534"/>
        <v/>
      </c>
      <c r="N262" s="62" t="str">
        <f t="shared" si="1534"/>
        <v/>
      </c>
      <c r="O262" s="62" t="str">
        <f t="shared" si="1534"/>
        <v/>
      </c>
      <c r="P262" s="62" t="str">
        <f t="shared" si="1534"/>
        <v/>
      </c>
      <c r="Q262" s="62" t="str">
        <f t="shared" si="1534"/>
        <v/>
      </c>
      <c r="R262" s="62" t="str">
        <f t="shared" si="1534"/>
        <v/>
      </c>
      <c r="S262" s="62" t="str">
        <f t="shared" si="1534"/>
        <v/>
      </c>
      <c r="T262" s="62" t="str">
        <f t="shared" si="1534"/>
        <v/>
      </c>
      <c r="U262" s="62" t="str">
        <f t="shared" si="1534"/>
        <v/>
      </c>
      <c r="V262" s="62" t="str">
        <f t="shared" si="1534"/>
        <v/>
      </c>
      <c r="W262" s="62" t="str">
        <f t="shared" si="1534"/>
        <v/>
      </c>
      <c r="X262" s="62" t="str">
        <f t="shared" si="1534"/>
        <v/>
      </c>
      <c r="Y262" s="62" t="str">
        <f t="shared" si="1534"/>
        <v/>
      </c>
      <c r="Z262" s="62" t="str">
        <f t="shared" si="1534"/>
        <v/>
      </c>
      <c r="AA262" s="62" t="str">
        <f t="shared" si="1534"/>
        <v/>
      </c>
      <c r="AB262" s="62">
        <f t="shared" si="1534"/>
        <v>0.9700173333333334</v>
      </c>
      <c r="AC262" s="62" t="str">
        <f t="shared" si="1534"/>
        <v/>
      </c>
      <c r="AD262" s="62" t="str">
        <f t="shared" si="1534"/>
        <v/>
      </c>
      <c r="AE262" s="62" t="str">
        <f t="shared" si="1534"/>
        <v/>
      </c>
      <c r="AF262" s="62" t="str">
        <f t="shared" si="1534"/>
        <v/>
      </c>
      <c r="AG262" s="62">
        <f t="shared" si="1534"/>
        <v>0.79474060039416927</v>
      </c>
      <c r="AH262" s="62">
        <f t="shared" si="1534"/>
        <v>0.79474060039416927</v>
      </c>
      <c r="AI262" s="62" t="str">
        <f t="shared" si="1534"/>
        <v/>
      </c>
      <c r="AJ262" s="62" t="str">
        <f t="shared" si="1534"/>
        <v/>
      </c>
      <c r="AK262" s="412"/>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412"/>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412"/>
      <c r="CP262" s="14" t="str">
        <f t="shared" ref="CP262:DP262" si="1535">IF(CP244&lt;&gt;0,CP243/CP244,"")</f>
        <v/>
      </c>
      <c r="CQ262" s="14" t="str">
        <f t="shared" si="1535"/>
        <v/>
      </c>
      <c r="CR262" s="14" t="str">
        <f t="shared" si="1535"/>
        <v/>
      </c>
      <c r="CS262" s="14" t="str">
        <f t="shared" si="1535"/>
        <v/>
      </c>
      <c r="CT262" s="14" t="str">
        <f t="shared" si="1535"/>
        <v/>
      </c>
      <c r="CU262" s="14" t="str">
        <f t="shared" si="1535"/>
        <v/>
      </c>
      <c r="CV262" s="14" t="str">
        <f t="shared" si="1535"/>
        <v/>
      </c>
      <c r="CW262" s="14" t="str">
        <f t="shared" si="1535"/>
        <v/>
      </c>
      <c r="CX262" s="14" t="str">
        <f t="shared" si="1535"/>
        <v/>
      </c>
      <c r="CY262" s="14" t="str">
        <f t="shared" si="1535"/>
        <v/>
      </c>
      <c r="CZ262" s="14" t="str">
        <f t="shared" si="1535"/>
        <v/>
      </c>
      <c r="DA262" s="14" t="str">
        <f t="shared" si="1535"/>
        <v/>
      </c>
      <c r="DB262" s="14" t="str">
        <f t="shared" si="1535"/>
        <v/>
      </c>
      <c r="DC262" s="14" t="str">
        <f t="shared" si="1535"/>
        <v/>
      </c>
      <c r="DD262" s="14" t="str">
        <f t="shared" si="1535"/>
        <v/>
      </c>
      <c r="DE262" s="14" t="str">
        <f t="shared" si="1535"/>
        <v/>
      </c>
      <c r="DF262" s="14" t="str">
        <f t="shared" si="1535"/>
        <v/>
      </c>
      <c r="DG262" s="14" t="str">
        <f t="shared" si="1535"/>
        <v/>
      </c>
      <c r="DH262" s="14">
        <f t="shared" si="1535"/>
        <v>0.9700173333333334</v>
      </c>
      <c r="DI262" s="14" t="str">
        <f t="shared" si="1535"/>
        <v/>
      </c>
      <c r="DJ262" s="14" t="str">
        <f t="shared" si="1535"/>
        <v/>
      </c>
      <c r="DK262" s="14" t="str">
        <f t="shared" si="1535"/>
        <v/>
      </c>
      <c r="DL262" s="14" t="str">
        <f t="shared" si="1535"/>
        <v/>
      </c>
      <c r="DM262" s="14">
        <f t="shared" si="1535"/>
        <v>0.79474060039416927</v>
      </c>
      <c r="DN262" s="14">
        <f t="shared" si="1535"/>
        <v>0.79474060039416927</v>
      </c>
      <c r="DO262" s="14" t="str">
        <f t="shared" si="1535"/>
        <v/>
      </c>
      <c r="DP262" s="14" t="str">
        <f t="shared" si="1535"/>
        <v/>
      </c>
      <c r="DQ262" s="14"/>
      <c r="DR262" s="14"/>
      <c r="DS262" s="14"/>
      <c r="DT262" s="14"/>
      <c r="DU262" s="14"/>
      <c r="DV262" s="14"/>
      <c r="DW262" s="14"/>
      <c r="DX262" s="14"/>
      <c r="DY262" s="14"/>
      <c r="ED262" s="429"/>
      <c r="EE262" s="23"/>
      <c r="EF262" s="23"/>
      <c r="EG262" s="23"/>
      <c r="EH262" s="24" t="s">
        <v>97</v>
      </c>
      <c r="EI262" s="24" t="s">
        <v>97</v>
      </c>
      <c r="EJ262" s="14" t="str">
        <f>IF(EJ244&lt;&gt;0,EJ243/EJ244,"")</f>
        <v/>
      </c>
      <c r="EK262" s="24"/>
      <c r="EL262" s="24" t="s">
        <v>97</v>
      </c>
      <c r="EM262" s="24" t="s">
        <v>97</v>
      </c>
      <c r="EN262" s="47" t="str">
        <f>IF(EJ262="","",+EJ262-EG255)</f>
        <v/>
      </c>
      <c r="EO262" s="100" t="s">
        <v>97</v>
      </c>
      <c r="EP262" s="100" t="s">
        <v>97</v>
      </c>
      <c r="EQ262" s="24" t="s">
        <v>97</v>
      </c>
      <c r="ER262" s="24" t="s">
        <v>97</v>
      </c>
      <c r="ES262" s="2" t="e">
        <f>IF(EJ262/EG255&gt;=0.9,1,IF(EJ262/EG255&lt;0.75,3,2))</f>
        <v>#VALUE!</v>
      </c>
    </row>
    <row r="263" spans="1:149">
      <c r="ED263" s="429"/>
      <c r="EE263" s="23"/>
      <c r="EF263" s="23"/>
      <c r="EG263" s="23"/>
      <c r="EH263" s="23"/>
      <c r="EI263" s="23"/>
      <c r="EJ263" s="23"/>
      <c r="EK263" s="23"/>
    </row>
    <row r="265" spans="1:149" ht="13.5" customHeight="1" thickBot="1">
      <c r="A265" s="6" t="s">
        <v>171</v>
      </c>
      <c r="C265" s="3" t="s">
        <v>172</v>
      </c>
      <c r="E265" s="107">
        <f>I265</f>
        <v>40391</v>
      </c>
      <c r="G265" s="132" t="s">
        <v>161</v>
      </c>
      <c r="I265" s="107">
        <f>$I$1</f>
        <v>40391</v>
      </c>
      <c r="J265" s="669" t="s">
        <v>95</v>
      </c>
      <c r="K265" s="669"/>
      <c r="L265" s="669"/>
      <c r="M265" s="669"/>
      <c r="N265" s="669"/>
      <c r="O265" s="669"/>
      <c r="P265" s="669"/>
      <c r="Q265" s="669"/>
      <c r="R265" s="669"/>
      <c r="S265" s="669"/>
      <c r="T265" s="669"/>
      <c r="U265" s="669"/>
      <c r="V265" s="669"/>
      <c r="W265" s="669"/>
      <c r="X265" s="669"/>
      <c r="Y265" s="669"/>
      <c r="Z265" s="669"/>
      <c r="AA265" s="669"/>
      <c r="AB265" s="669"/>
      <c r="AC265" s="669"/>
      <c r="AD265" s="669"/>
      <c r="AE265" s="669"/>
      <c r="AF265" s="669"/>
      <c r="AG265" s="669"/>
      <c r="AH265" s="669"/>
      <c r="AI265" s="669"/>
      <c r="AJ265" s="669"/>
      <c r="AL265" s="669" t="s">
        <v>115</v>
      </c>
      <c r="AM265" s="669"/>
      <c r="AN265" s="669"/>
      <c r="AO265" s="669"/>
      <c r="AP265" s="669"/>
      <c r="AQ265" s="669"/>
      <c r="AR265" s="669"/>
      <c r="AS265" s="669"/>
      <c r="AT265" s="669"/>
      <c r="AU265" s="669"/>
      <c r="AV265" s="669"/>
      <c r="AW265" s="669"/>
      <c r="AX265" s="669"/>
      <c r="AY265" s="669"/>
      <c r="AZ265" s="669"/>
      <c r="BA265" s="669"/>
      <c r="BB265" s="669"/>
      <c r="BC265" s="669"/>
      <c r="BD265" s="669"/>
      <c r="BE265" s="669"/>
      <c r="BF265" s="669"/>
      <c r="BG265" s="669"/>
      <c r="BH265" s="669"/>
      <c r="BI265" s="669"/>
      <c r="BJ265" s="669"/>
      <c r="BK265" s="669"/>
      <c r="BL265" s="669"/>
      <c r="BN265" s="669" t="s">
        <v>116</v>
      </c>
      <c r="BO265" s="669"/>
      <c r="BP265" s="669"/>
      <c r="BQ265" s="669"/>
      <c r="BR265" s="669"/>
      <c r="BS265" s="669"/>
      <c r="BT265" s="669"/>
      <c r="BU265" s="669"/>
      <c r="BV265" s="669"/>
      <c r="BW265" s="669"/>
      <c r="BX265" s="669"/>
      <c r="BY265" s="669"/>
      <c r="BZ265" s="669"/>
      <c r="CA265" s="669"/>
      <c r="CB265" s="669"/>
      <c r="CC265" s="669"/>
      <c r="CD265" s="669"/>
      <c r="CE265" s="669"/>
      <c r="CF265" s="669"/>
      <c r="CG265" s="669"/>
      <c r="CH265" s="669"/>
      <c r="CI265" s="669"/>
      <c r="CJ265" s="669"/>
      <c r="CK265" s="669"/>
      <c r="CL265" s="669"/>
      <c r="CM265" s="669"/>
      <c r="CN265" s="669"/>
      <c r="CP265" s="669" t="s">
        <v>117</v>
      </c>
      <c r="CQ265" s="669"/>
      <c r="CR265" s="669"/>
      <c r="CS265" s="669"/>
      <c r="CT265" s="669"/>
      <c r="CU265" s="669"/>
      <c r="CV265" s="669"/>
      <c r="CW265" s="669"/>
      <c r="CX265" s="669"/>
      <c r="CY265" s="669"/>
      <c r="CZ265" s="669"/>
      <c r="DA265" s="669"/>
      <c r="DB265" s="669"/>
      <c r="DC265" s="669"/>
      <c r="DD265" s="669"/>
      <c r="DE265" s="669"/>
      <c r="DF265" s="669"/>
      <c r="DG265" s="669"/>
      <c r="DH265" s="669"/>
      <c r="DI265" s="669"/>
      <c r="DJ265" s="669"/>
      <c r="DK265" s="669"/>
      <c r="DL265" s="669"/>
      <c r="DM265" s="669"/>
      <c r="DN265" s="669"/>
      <c r="DO265" s="669"/>
      <c r="DP265" s="669"/>
      <c r="DQ265" s="578"/>
      <c r="DR265" s="578"/>
      <c r="DS265" s="578"/>
      <c r="DT265" s="578"/>
      <c r="DU265" s="578"/>
      <c r="DV265" s="578"/>
      <c r="DW265" s="578"/>
      <c r="DX265" s="578"/>
      <c r="DY265" s="578"/>
      <c r="DZ265" s="670" t="s">
        <v>118</v>
      </c>
      <c r="EA265" s="671"/>
      <c r="EB265" s="672"/>
      <c r="EC265" s="579"/>
      <c r="ED265" s="427"/>
      <c r="EE265" s="669" t="s">
        <v>112</v>
      </c>
      <c r="EF265" s="669"/>
      <c r="EG265" s="669"/>
      <c r="EH265" s="669" t="s">
        <v>111</v>
      </c>
      <c r="EI265" s="669"/>
      <c r="EJ265" s="669"/>
      <c r="EK265" s="45">
        <f>IF(MONTH(I265)&gt;9,MONTH(I265)-9,MONTH(I265)+3)</f>
        <v>11</v>
      </c>
      <c r="EL265" s="673" t="s">
        <v>119</v>
      </c>
      <c r="EM265" s="674"/>
      <c r="EN265" s="674"/>
      <c r="EO265" s="674"/>
      <c r="EP265" s="674"/>
      <c r="EQ265" s="674"/>
      <c r="ER265" s="674"/>
      <c r="ES265" s="674"/>
    </row>
    <row r="266" spans="1:149" s="1" customFormat="1" ht="26.25" thickBot="1">
      <c r="A266" s="665" t="s">
        <v>19</v>
      </c>
      <c r="B266" s="665"/>
      <c r="C266" s="8" t="s">
        <v>34</v>
      </c>
      <c r="D266" s="9"/>
      <c r="E266" s="10" t="s">
        <v>93</v>
      </c>
      <c r="G266" s="17" t="s">
        <v>90</v>
      </c>
      <c r="I266" s="1" t="s">
        <v>96</v>
      </c>
      <c r="J266" s="13">
        <v>39630</v>
      </c>
      <c r="K266" s="13">
        <v>39661</v>
      </c>
      <c r="L266" s="13">
        <v>39692</v>
      </c>
      <c r="M266" s="13">
        <v>39722</v>
      </c>
      <c r="N266" s="13">
        <v>39753</v>
      </c>
      <c r="O266" s="13">
        <v>39783</v>
      </c>
      <c r="P266" s="13">
        <v>39814</v>
      </c>
      <c r="Q266" s="13">
        <v>39845</v>
      </c>
      <c r="R266" s="13">
        <v>39873</v>
      </c>
      <c r="S266" s="13">
        <v>39904</v>
      </c>
      <c r="T266" s="13">
        <v>39934</v>
      </c>
      <c r="U266" s="13">
        <v>39965</v>
      </c>
      <c r="V266" s="13">
        <v>39995</v>
      </c>
      <c r="W266" s="13">
        <v>40026</v>
      </c>
      <c r="X266" s="13">
        <v>40057</v>
      </c>
      <c r="Y266" s="13">
        <v>40087</v>
      </c>
      <c r="Z266" s="13">
        <v>40118</v>
      </c>
      <c r="AA266" s="13">
        <v>40148</v>
      </c>
      <c r="AB266" s="13">
        <v>40179</v>
      </c>
      <c r="AC266" s="13">
        <v>40210</v>
      </c>
      <c r="AD266" s="13">
        <v>40238</v>
      </c>
      <c r="AE266" s="13">
        <v>40269</v>
      </c>
      <c r="AF266" s="13">
        <v>40299</v>
      </c>
      <c r="AG266" s="13">
        <v>40330</v>
      </c>
      <c r="AH266" s="13">
        <v>40360</v>
      </c>
      <c r="AI266" s="13">
        <v>40391</v>
      </c>
      <c r="AJ266" s="13">
        <v>40422</v>
      </c>
      <c r="AK266" s="406"/>
      <c r="AL266" s="13">
        <v>39630</v>
      </c>
      <c r="AM266" s="13">
        <v>39661</v>
      </c>
      <c r="AN266" s="13">
        <v>39692</v>
      </c>
      <c r="AO266" s="13">
        <v>39722</v>
      </c>
      <c r="AP266" s="13">
        <v>39753</v>
      </c>
      <c r="AQ266" s="13">
        <v>39783</v>
      </c>
      <c r="AR266" s="13">
        <v>39814</v>
      </c>
      <c r="AS266" s="13">
        <v>39845</v>
      </c>
      <c r="AT266" s="13">
        <v>39873</v>
      </c>
      <c r="AU266" s="13">
        <v>39904</v>
      </c>
      <c r="AV266" s="13">
        <v>39934</v>
      </c>
      <c r="AW266" s="13">
        <v>39965</v>
      </c>
      <c r="AX266" s="13">
        <v>39995</v>
      </c>
      <c r="AY266" s="13">
        <v>40026</v>
      </c>
      <c r="AZ266" s="13">
        <v>40057</v>
      </c>
      <c r="BA266" s="13">
        <v>40087</v>
      </c>
      <c r="BB266" s="13">
        <v>40118</v>
      </c>
      <c r="BC266" s="13">
        <v>40148</v>
      </c>
      <c r="BD266" s="13">
        <v>40179</v>
      </c>
      <c r="BE266" s="13">
        <v>40210</v>
      </c>
      <c r="BF266" s="13">
        <v>40238</v>
      </c>
      <c r="BG266" s="13">
        <v>40269</v>
      </c>
      <c r="BH266" s="13">
        <v>40299</v>
      </c>
      <c r="BI266" s="13">
        <v>40330</v>
      </c>
      <c r="BJ266" s="13">
        <v>40360</v>
      </c>
      <c r="BK266" s="13">
        <v>40391</v>
      </c>
      <c r="BL266" s="13">
        <v>40422</v>
      </c>
      <c r="BM266" s="406"/>
      <c r="BN266" s="13">
        <v>39630</v>
      </c>
      <c r="BO266" s="13">
        <v>39661</v>
      </c>
      <c r="BP266" s="13">
        <v>39692</v>
      </c>
      <c r="BQ266" s="13">
        <v>39722</v>
      </c>
      <c r="BR266" s="13">
        <v>39753</v>
      </c>
      <c r="BS266" s="13">
        <v>39783</v>
      </c>
      <c r="BT266" s="13">
        <v>39814</v>
      </c>
      <c r="BU266" s="13">
        <v>39845</v>
      </c>
      <c r="BV266" s="13">
        <v>39873</v>
      </c>
      <c r="BW266" s="13">
        <v>39904</v>
      </c>
      <c r="BX266" s="13">
        <v>39934</v>
      </c>
      <c r="BY266" s="13">
        <v>39965</v>
      </c>
      <c r="BZ266" s="13">
        <v>39995</v>
      </c>
      <c r="CA266" s="13">
        <v>40026</v>
      </c>
      <c r="CB266" s="13">
        <v>40057</v>
      </c>
      <c r="CC266" s="13">
        <v>40087</v>
      </c>
      <c r="CD266" s="13">
        <v>40118</v>
      </c>
      <c r="CE266" s="13">
        <v>40148</v>
      </c>
      <c r="CF266" s="13">
        <v>40179</v>
      </c>
      <c r="CG266" s="13">
        <v>40210</v>
      </c>
      <c r="CH266" s="13">
        <v>40238</v>
      </c>
      <c r="CI266" s="13">
        <v>40269</v>
      </c>
      <c r="CJ266" s="13">
        <v>40299</v>
      </c>
      <c r="CK266" s="13">
        <v>40330</v>
      </c>
      <c r="CL266" s="13">
        <v>40360</v>
      </c>
      <c r="CM266" s="13">
        <v>40391</v>
      </c>
      <c r="CN266" s="13">
        <v>40422</v>
      </c>
      <c r="CO266" s="420"/>
      <c r="CP266" s="13">
        <v>39630</v>
      </c>
      <c r="CQ266" s="13">
        <v>39661</v>
      </c>
      <c r="CR266" s="13">
        <v>39692</v>
      </c>
      <c r="CS266" s="13">
        <v>39722</v>
      </c>
      <c r="CT266" s="13">
        <v>39753</v>
      </c>
      <c r="CU266" s="13">
        <v>39783</v>
      </c>
      <c r="CV266" s="13">
        <v>39814</v>
      </c>
      <c r="CW266" s="13">
        <v>39845</v>
      </c>
      <c r="CX266" s="13">
        <v>39873</v>
      </c>
      <c r="CY266" s="13">
        <v>39904</v>
      </c>
      <c r="CZ266" s="13">
        <v>39934</v>
      </c>
      <c r="DA266" s="13">
        <v>39965</v>
      </c>
      <c r="DB266" s="13">
        <v>39995</v>
      </c>
      <c r="DC266" s="13">
        <v>40026</v>
      </c>
      <c r="DD266" s="13">
        <v>40057</v>
      </c>
      <c r="DE266" s="13">
        <v>40087</v>
      </c>
      <c r="DF266" s="13">
        <v>40118</v>
      </c>
      <c r="DG266" s="13">
        <v>40148</v>
      </c>
      <c r="DH266" s="13">
        <v>40179</v>
      </c>
      <c r="DI266" s="13">
        <v>40210</v>
      </c>
      <c r="DJ266" s="13">
        <v>40238</v>
      </c>
      <c r="DK266" s="13">
        <v>40269</v>
      </c>
      <c r="DL266" s="13">
        <v>40299</v>
      </c>
      <c r="DM266" s="13">
        <v>40330</v>
      </c>
      <c r="DN266" s="13">
        <v>40360</v>
      </c>
      <c r="DO266" s="13">
        <v>40391</v>
      </c>
      <c r="DP266" s="13">
        <v>40422</v>
      </c>
      <c r="DQ266" s="580"/>
      <c r="DR266" s="580"/>
      <c r="DS266" s="580"/>
      <c r="DT266" s="580"/>
      <c r="DU266" s="580"/>
      <c r="DV266" s="580"/>
      <c r="DW266" s="580"/>
      <c r="DX266" s="580"/>
      <c r="DY266" s="580"/>
      <c r="DZ266" s="1">
        <v>2008</v>
      </c>
      <c r="EA266" s="135">
        <v>2009</v>
      </c>
      <c r="EB266" s="135">
        <v>2010</v>
      </c>
      <c r="EC266" s="577"/>
      <c r="ED266" s="428"/>
      <c r="EE266" s="115" t="s">
        <v>89</v>
      </c>
      <c r="EF266" s="115" t="s">
        <v>110</v>
      </c>
      <c r="EG266" s="115" t="s">
        <v>128</v>
      </c>
      <c r="EH266" s="115" t="s">
        <v>89</v>
      </c>
      <c r="EI266" s="115" t="s">
        <v>110</v>
      </c>
      <c r="EJ266" s="115" t="s">
        <v>91</v>
      </c>
      <c r="EK266" s="45">
        <f>IF(MONTH(I265)&gt;6,MONTH(I265)-6,MONTH(I265)+6)</f>
        <v>2</v>
      </c>
      <c r="EL266" s="115" t="s">
        <v>124</v>
      </c>
      <c r="EM266" s="115" t="s">
        <v>125</v>
      </c>
      <c r="EN266" s="115" t="s">
        <v>126</v>
      </c>
      <c r="EO266" s="115" t="s">
        <v>122</v>
      </c>
      <c r="EP266" s="115" t="s">
        <v>123</v>
      </c>
      <c r="EQ266" s="115" t="s">
        <v>120</v>
      </c>
      <c r="ER266" s="115" t="s">
        <v>127</v>
      </c>
      <c r="ES266" s="115" t="s">
        <v>121</v>
      </c>
    </row>
    <row r="267" spans="1:149" s="37" customFormat="1">
      <c r="A267" s="36" t="s">
        <v>20</v>
      </c>
      <c r="B267" s="36"/>
      <c r="J267" s="38"/>
      <c r="K267" s="38"/>
      <c r="L267" s="10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407"/>
      <c r="AL267" s="38"/>
      <c r="AM267" s="38"/>
      <c r="AN267" s="38"/>
      <c r="AO267" s="38"/>
      <c r="AP267" s="38"/>
      <c r="AQ267" s="38"/>
      <c r="AR267" s="38"/>
      <c r="AS267" s="38"/>
      <c r="AT267" s="38"/>
      <c r="AU267" s="38"/>
      <c r="AV267" s="38"/>
      <c r="AW267" s="38"/>
      <c r="AX267" s="38"/>
      <c r="AY267" s="38"/>
      <c r="AZ267" s="38"/>
      <c r="BA267" s="38"/>
      <c r="BB267" s="38"/>
      <c r="BC267" s="38"/>
      <c r="BD267" s="38"/>
      <c r="BE267" s="38"/>
      <c r="BF267" s="38"/>
      <c r="BG267" s="38"/>
      <c r="BH267" s="38"/>
      <c r="BI267" s="38"/>
      <c r="BJ267" s="38"/>
      <c r="BK267" s="38"/>
      <c r="BL267" s="38"/>
      <c r="BM267" s="407"/>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39"/>
      <c r="CK267" s="39"/>
      <c r="CL267" s="39"/>
      <c r="CM267" s="39"/>
      <c r="CN267" s="39"/>
      <c r="CO267" s="407"/>
      <c r="CP267" s="38"/>
      <c r="CQ267" s="38"/>
      <c r="CR267" s="38"/>
      <c r="CS267" s="38"/>
      <c r="CT267" s="38"/>
      <c r="CU267" s="38"/>
      <c r="CV267" s="38"/>
      <c r="CW267" s="38"/>
      <c r="CX267" s="38"/>
      <c r="CY267" s="38"/>
      <c r="CZ267" s="38"/>
      <c r="DA267" s="38"/>
      <c r="DB267" s="38"/>
      <c r="DC267" s="38"/>
      <c r="DD267" s="38"/>
      <c r="DE267" s="38"/>
      <c r="DF267" s="38"/>
      <c r="DG267" s="38"/>
      <c r="DH267" s="38"/>
      <c r="DI267" s="38"/>
      <c r="DJ267" s="38"/>
      <c r="DK267" s="38"/>
      <c r="DL267" s="38"/>
      <c r="DM267" s="38"/>
      <c r="DN267" s="38"/>
      <c r="DO267" s="38"/>
      <c r="DP267" s="38"/>
      <c r="DQ267" s="38"/>
      <c r="DR267" s="38"/>
      <c r="DS267" s="38"/>
      <c r="DT267" s="38"/>
      <c r="DU267" s="38"/>
      <c r="DV267" s="38"/>
      <c r="DW267" s="38"/>
      <c r="DX267" s="38"/>
      <c r="DY267" s="38"/>
      <c r="ED267" s="408"/>
      <c r="EE267" s="40"/>
      <c r="EI267" s="110" t="s">
        <v>155</v>
      </c>
      <c r="EJ267" s="110">
        <f>IF(I265&lt;M266,2008,IF(AND(I265&gt;=M266,I265&lt;=X266),2009,2010))</f>
        <v>2010</v>
      </c>
      <c r="EK267" s="40"/>
    </row>
    <row r="268" spans="1:149" s="1" customFormat="1">
      <c r="A268" s="134" t="s">
        <v>22</v>
      </c>
      <c r="B268" s="2" t="s">
        <v>0</v>
      </c>
      <c r="C268" s="3" t="s">
        <v>35</v>
      </c>
      <c r="D268" s="3"/>
      <c r="E268" s="3" t="s">
        <v>16</v>
      </c>
      <c r="G268" s="1" t="s">
        <v>91</v>
      </c>
      <c r="I268" s="18">
        <f>12.33*9</f>
        <v>110.97</v>
      </c>
      <c r="J268" s="159">
        <f>I268+12.33</f>
        <v>123.3</v>
      </c>
      <c r="K268" s="159">
        <f>J268+12.33</f>
        <v>135.63</v>
      </c>
      <c r="L268" s="159">
        <f>K268+12.33</f>
        <v>147.96</v>
      </c>
      <c r="M268" s="20">
        <f>132/12</f>
        <v>11</v>
      </c>
      <c r="N268" s="19">
        <f>M268+11</f>
        <v>22</v>
      </c>
      <c r="O268" s="19">
        <f t="shared" ref="O268:X268" si="1536">N268+11</f>
        <v>33</v>
      </c>
      <c r="P268" s="19">
        <f t="shared" si="1536"/>
        <v>44</v>
      </c>
      <c r="Q268" s="19">
        <f t="shared" si="1536"/>
        <v>55</v>
      </c>
      <c r="R268" s="19">
        <f t="shared" si="1536"/>
        <v>66</v>
      </c>
      <c r="S268" s="19">
        <f t="shared" si="1536"/>
        <v>77</v>
      </c>
      <c r="T268" s="19">
        <f t="shared" si="1536"/>
        <v>88</v>
      </c>
      <c r="U268" s="19">
        <f t="shared" si="1536"/>
        <v>99</v>
      </c>
      <c r="V268" s="19">
        <f t="shared" si="1536"/>
        <v>110</v>
      </c>
      <c r="W268" s="19">
        <f t="shared" si="1536"/>
        <v>121</v>
      </c>
      <c r="X268" s="19">
        <f t="shared" si="1536"/>
        <v>132</v>
      </c>
      <c r="Y268" s="219">
        <v>13.833</v>
      </c>
      <c r="Z268" s="246">
        <f>Y268+13.833</f>
        <v>27.666</v>
      </c>
      <c r="AA268" s="376">
        <f t="shared" ref="AA268:AJ268" si="1537">Z268+13.833</f>
        <v>41.499000000000002</v>
      </c>
      <c r="AB268" s="376">
        <f t="shared" si="1537"/>
        <v>55.332000000000001</v>
      </c>
      <c r="AC268" s="376">
        <f t="shared" si="1537"/>
        <v>69.165000000000006</v>
      </c>
      <c r="AD268" s="376">
        <f t="shared" si="1537"/>
        <v>82.998000000000005</v>
      </c>
      <c r="AE268" s="376">
        <f t="shared" si="1537"/>
        <v>96.831000000000003</v>
      </c>
      <c r="AF268" s="376">
        <f t="shared" si="1537"/>
        <v>110.664</v>
      </c>
      <c r="AG268" s="376">
        <f t="shared" si="1537"/>
        <v>124.497</v>
      </c>
      <c r="AH268" s="376">
        <f t="shared" si="1537"/>
        <v>138.33000000000001</v>
      </c>
      <c r="AI268" s="376">
        <f t="shared" si="1537"/>
        <v>152.16300000000001</v>
      </c>
      <c r="AJ268" s="263">
        <f t="shared" si="1537"/>
        <v>165.99600000000001</v>
      </c>
      <c r="AK268" s="408"/>
      <c r="AL268" s="48">
        <f>J268-I268</f>
        <v>12.329999999999998</v>
      </c>
      <c r="AM268" s="48">
        <f t="shared" ref="AM268:AM273" si="1538">K268-J268</f>
        <v>12.329999999999998</v>
      </c>
      <c r="AN268" s="48">
        <f t="shared" ref="AN268:AN273" si="1539">L268-K268</f>
        <v>12.330000000000013</v>
      </c>
      <c r="AO268" s="48">
        <f>M268</f>
        <v>11</v>
      </c>
      <c r="AP268" s="48">
        <f t="shared" ref="AP268:AP273" si="1540">N268-M268</f>
        <v>11</v>
      </c>
      <c r="AQ268" s="48">
        <f t="shared" ref="AQ268:AQ273" si="1541">O268-N268</f>
        <v>11</v>
      </c>
      <c r="AR268" s="48">
        <f t="shared" ref="AR268:AR273" si="1542">P268-O268</f>
        <v>11</v>
      </c>
      <c r="AS268" s="48">
        <f t="shared" ref="AS268:AS273" si="1543">Q268-P268</f>
        <v>11</v>
      </c>
      <c r="AT268" s="48">
        <f t="shared" ref="AT268:AT273" si="1544">R268-Q268</f>
        <v>11</v>
      </c>
      <c r="AU268" s="48">
        <f t="shared" ref="AU268:AU273" si="1545">S268-R268</f>
        <v>11</v>
      </c>
      <c r="AV268" s="48">
        <f t="shared" ref="AV268:AV273" si="1546">T268-S268</f>
        <v>11</v>
      </c>
      <c r="AW268" s="48">
        <f t="shared" ref="AW268:AW273" si="1547">U268-T268</f>
        <v>11</v>
      </c>
      <c r="AX268" s="48">
        <f>V268-U268</f>
        <v>11</v>
      </c>
      <c r="AY268" s="48">
        <f t="shared" ref="AY268:AY274" si="1548">W268-V268</f>
        <v>11</v>
      </c>
      <c r="AZ268" s="48">
        <f t="shared" ref="AZ268:AZ274" si="1549">X268-W268</f>
        <v>11</v>
      </c>
      <c r="BA268" s="48">
        <f>Y268</f>
        <v>13.833</v>
      </c>
      <c r="BB268" s="48">
        <f t="shared" ref="BB268:BB274" si="1550">Z268-Y268</f>
        <v>13.833</v>
      </c>
      <c r="BC268" s="48">
        <f t="shared" ref="BC268:BC274" si="1551">AA268-Z268</f>
        <v>13.833000000000002</v>
      </c>
      <c r="BD268" s="48">
        <f t="shared" ref="BD268:BD274" si="1552">AB268-AA268</f>
        <v>13.832999999999998</v>
      </c>
      <c r="BE268" s="48">
        <f t="shared" ref="BE268:BE274" si="1553">AC268-AB268</f>
        <v>13.833000000000006</v>
      </c>
      <c r="BF268" s="48">
        <f t="shared" ref="BF268:BF274" si="1554">AD268-AC268</f>
        <v>13.832999999999998</v>
      </c>
      <c r="BG268" s="48">
        <f t="shared" ref="BG268:BG274" si="1555">AE268-AD268</f>
        <v>13.832999999999998</v>
      </c>
      <c r="BH268" s="48">
        <f t="shared" ref="BH268:BH274" si="1556">AF268-AE268</f>
        <v>13.832999999999998</v>
      </c>
      <c r="BI268" s="48">
        <f t="shared" ref="BI268:BI274" si="1557">AG268-AF268</f>
        <v>13.832999999999998</v>
      </c>
      <c r="BJ268" s="48">
        <f t="shared" ref="BJ268:BL272" si="1558">AH268-AG268</f>
        <v>13.833000000000013</v>
      </c>
      <c r="BK268" s="48">
        <f t="shared" si="1558"/>
        <v>13.832999999999998</v>
      </c>
      <c r="BL268" s="48">
        <f t="shared" si="1558"/>
        <v>13.832999999999998</v>
      </c>
      <c r="BM268" s="408"/>
      <c r="BN268" s="48">
        <f>BP268</f>
        <v>36.990000000000009</v>
      </c>
      <c r="BO268" s="48">
        <f>BP268</f>
        <v>36.990000000000009</v>
      </c>
      <c r="BP268" s="48">
        <f>SUM(AL268:AN268)</f>
        <v>36.990000000000009</v>
      </c>
      <c r="BQ268" s="48">
        <f>BS268</f>
        <v>33</v>
      </c>
      <c r="BR268" s="48">
        <f>BS268</f>
        <v>33</v>
      </c>
      <c r="BS268" s="48">
        <f>SUM(AO268:AQ268)</f>
        <v>33</v>
      </c>
      <c r="BT268" s="48">
        <f>BV268</f>
        <v>33</v>
      </c>
      <c r="BU268" s="48">
        <f>BV268</f>
        <v>33</v>
      </c>
      <c r="BV268" s="48">
        <f>SUM(AR268:AT268)</f>
        <v>33</v>
      </c>
      <c r="BW268" s="48">
        <f>BY268</f>
        <v>33</v>
      </c>
      <c r="BX268" s="48">
        <f>BY268</f>
        <v>33</v>
      </c>
      <c r="BY268" s="48">
        <f>SUM(AU268:AW268)</f>
        <v>33</v>
      </c>
      <c r="BZ268" s="48">
        <f>CB268</f>
        <v>33</v>
      </c>
      <c r="CA268" s="48">
        <f>CB268</f>
        <v>33</v>
      </c>
      <c r="CB268" s="48">
        <f>SUM(AX268:AZ268)</f>
        <v>33</v>
      </c>
      <c r="CC268" s="48">
        <f>CE268</f>
        <v>41.499000000000002</v>
      </c>
      <c r="CD268" s="48">
        <f>CE268</f>
        <v>41.499000000000002</v>
      </c>
      <c r="CE268" s="48">
        <f>SUM(BA268:BC268)</f>
        <v>41.499000000000002</v>
      </c>
      <c r="CF268" s="48">
        <f>CH268</f>
        <v>41.499000000000002</v>
      </c>
      <c r="CG268" s="48">
        <f>CH268</f>
        <v>41.499000000000002</v>
      </c>
      <c r="CH268" s="48">
        <f>SUM(BD268:BF268)</f>
        <v>41.499000000000002</v>
      </c>
      <c r="CI268" s="48">
        <f>CK268</f>
        <v>41.498999999999995</v>
      </c>
      <c r="CJ268" s="48">
        <f>CK268</f>
        <v>41.498999999999995</v>
      </c>
      <c r="CK268" s="48">
        <f>SUM(BG268:BI268)</f>
        <v>41.498999999999995</v>
      </c>
      <c r="CL268" s="48">
        <f>CN268</f>
        <v>41.499000000000009</v>
      </c>
      <c r="CM268" s="48">
        <f>CN268</f>
        <v>41.499000000000009</v>
      </c>
      <c r="CN268" s="48">
        <f t="shared" ref="CN268:CN275" si="1559">SUM(BJ268:BL268)</f>
        <v>41.499000000000009</v>
      </c>
      <c r="CO268" s="406"/>
      <c r="CP268" s="48">
        <f t="shared" ref="CP268:CR272" si="1560">I268+AL268</f>
        <v>123.3</v>
      </c>
      <c r="CQ268" s="48">
        <f t="shared" si="1560"/>
        <v>135.63</v>
      </c>
      <c r="CR268" s="48">
        <f t="shared" si="1560"/>
        <v>147.96</v>
      </c>
      <c r="CS268" s="48">
        <f>AO268</f>
        <v>11</v>
      </c>
      <c r="CT268" s="48">
        <f t="shared" ref="CT268:DD272" si="1561">M268+AP268</f>
        <v>22</v>
      </c>
      <c r="CU268" s="48">
        <f t="shared" si="1561"/>
        <v>33</v>
      </c>
      <c r="CV268" s="48">
        <f t="shared" si="1561"/>
        <v>44</v>
      </c>
      <c r="CW268" s="48">
        <f t="shared" si="1561"/>
        <v>55</v>
      </c>
      <c r="CX268" s="48">
        <f t="shared" si="1561"/>
        <v>66</v>
      </c>
      <c r="CY268" s="48">
        <f t="shared" si="1561"/>
        <v>77</v>
      </c>
      <c r="CZ268" s="48">
        <f t="shared" si="1561"/>
        <v>88</v>
      </c>
      <c r="DA268" s="48">
        <f t="shared" si="1561"/>
        <v>99</v>
      </c>
      <c r="DB268" s="48">
        <f t="shared" si="1561"/>
        <v>110</v>
      </c>
      <c r="DC268" s="48">
        <f t="shared" si="1561"/>
        <v>121</v>
      </c>
      <c r="DD268" s="48">
        <f t="shared" si="1561"/>
        <v>132</v>
      </c>
      <c r="DE268" s="48">
        <f>+BA268</f>
        <v>13.833</v>
      </c>
      <c r="DF268" s="48">
        <f t="shared" ref="DF268:DP268" si="1562">Y268+BB268</f>
        <v>27.666</v>
      </c>
      <c r="DG268" s="48">
        <f t="shared" si="1562"/>
        <v>41.499000000000002</v>
      </c>
      <c r="DH268" s="48">
        <f t="shared" si="1562"/>
        <v>55.332000000000001</v>
      </c>
      <c r="DI268" s="48">
        <f t="shared" si="1562"/>
        <v>69.165000000000006</v>
      </c>
      <c r="DJ268" s="48">
        <f t="shared" si="1562"/>
        <v>82.998000000000005</v>
      </c>
      <c r="DK268" s="48">
        <f t="shared" si="1562"/>
        <v>96.831000000000003</v>
      </c>
      <c r="DL268" s="48">
        <f t="shared" si="1562"/>
        <v>110.664</v>
      </c>
      <c r="DM268" s="48">
        <f t="shared" si="1562"/>
        <v>124.497</v>
      </c>
      <c r="DN268" s="48">
        <f t="shared" si="1562"/>
        <v>138.33000000000001</v>
      </c>
      <c r="DO268" s="48">
        <f t="shared" si="1562"/>
        <v>152.16300000000001</v>
      </c>
      <c r="DP268" s="48">
        <f t="shared" si="1562"/>
        <v>165.99600000000001</v>
      </c>
      <c r="DQ268" s="48"/>
      <c r="DR268" s="48"/>
      <c r="DS268" s="48"/>
      <c r="DT268" s="48"/>
      <c r="DU268" s="48"/>
      <c r="DV268" s="48"/>
      <c r="DW268" s="48"/>
      <c r="DX268" s="48"/>
      <c r="DY268" s="48"/>
      <c r="DZ268" s="1">
        <f>'Input &amp; Calc'!L268</f>
        <v>147.96</v>
      </c>
      <c r="EA268" s="49">
        <f>DD268</f>
        <v>132</v>
      </c>
      <c r="EB268" s="50">
        <f>DP268</f>
        <v>165.99600000000001</v>
      </c>
      <c r="EC268" s="50"/>
      <c r="ED268" s="408"/>
      <c r="EE268" s="51">
        <f t="shared" ref="EE268:EE283" si="1563">HLOOKUP($I$1,Month,ROW()-1)</f>
        <v>13.832999999999998</v>
      </c>
      <c r="EF268" s="51">
        <f t="shared" ref="EF268:EF283" si="1564">HLOOKUP($I$1,Qtr,ROW()-1)</f>
        <v>41.499000000000009</v>
      </c>
      <c r="EG268" s="51">
        <f>HLOOKUP($EJ$3,Budget,ROW()-1)</f>
        <v>165.99600000000001</v>
      </c>
      <c r="EH268" s="40"/>
      <c r="EI268" s="110" t="s">
        <v>154</v>
      </c>
      <c r="EJ268" s="110">
        <f>IF(AND(I265&gt;=J266,I265&lt;=U266),2009,2010)</f>
        <v>2010</v>
      </c>
      <c r="EK268" s="675" t="s">
        <v>129</v>
      </c>
      <c r="EL268" s="37"/>
      <c r="EM268" s="37"/>
      <c r="EN268" s="37"/>
      <c r="EO268" s="49"/>
      <c r="EP268" s="49"/>
      <c r="EQ268" s="49"/>
    </row>
    <row r="269" spans="1:149" s="1" customFormat="1">
      <c r="A269" s="134" t="s">
        <v>22</v>
      </c>
      <c r="B269" s="2" t="s">
        <v>1</v>
      </c>
      <c r="C269" s="3" t="s">
        <v>36</v>
      </c>
      <c r="D269" s="3"/>
      <c r="E269" s="3" t="s">
        <v>16</v>
      </c>
      <c r="G269" s="1" t="s">
        <v>91</v>
      </c>
      <c r="I269" s="18">
        <f>2.58*9</f>
        <v>23.22</v>
      </c>
      <c r="J269" s="21">
        <f t="shared" ref="J269:L270" si="1565">I269+2.58</f>
        <v>25.799999999999997</v>
      </c>
      <c r="K269" s="21">
        <f t="shared" si="1565"/>
        <v>28.379999999999995</v>
      </c>
      <c r="L269" s="21">
        <f t="shared" si="1565"/>
        <v>30.959999999999994</v>
      </c>
      <c r="M269" s="20">
        <f>35/12</f>
        <v>2.9166666666666665</v>
      </c>
      <c r="N269" s="19">
        <f>M269+2.91666667</f>
        <v>5.8333333366666666</v>
      </c>
      <c r="O269" s="19">
        <f t="shared" ref="O269:X269" si="1566">N269+2.91666667</f>
        <v>8.7500000066666672</v>
      </c>
      <c r="P269" s="19">
        <f t="shared" si="1566"/>
        <v>11.666666676666667</v>
      </c>
      <c r="Q269" s="19">
        <f t="shared" si="1566"/>
        <v>14.583333346666667</v>
      </c>
      <c r="R269" s="19">
        <f t="shared" si="1566"/>
        <v>17.500000016666668</v>
      </c>
      <c r="S269" s="19">
        <f t="shared" si="1566"/>
        <v>20.41666668666667</v>
      </c>
      <c r="T269" s="19">
        <f t="shared" si="1566"/>
        <v>23.333333356666671</v>
      </c>
      <c r="U269" s="19">
        <f t="shared" si="1566"/>
        <v>26.250000026666672</v>
      </c>
      <c r="V269" s="19">
        <f t="shared" si="1566"/>
        <v>29.166666696666674</v>
      </c>
      <c r="W269" s="19">
        <f t="shared" si="1566"/>
        <v>32.083333366666672</v>
      </c>
      <c r="X269" s="19">
        <f t="shared" si="1566"/>
        <v>35.00000003666667</v>
      </c>
      <c r="Y269" s="219">
        <v>5.4165999999999999</v>
      </c>
      <c r="Z269" s="246">
        <f>Y269+5.4166</f>
        <v>10.8332</v>
      </c>
      <c r="AA269" s="376">
        <f t="shared" ref="AA269:AJ269" si="1567">Z269+5.4166</f>
        <v>16.2498</v>
      </c>
      <c r="AB269" s="376">
        <f t="shared" si="1567"/>
        <v>21.666399999999999</v>
      </c>
      <c r="AC269" s="376">
        <f t="shared" si="1567"/>
        <v>27.082999999999998</v>
      </c>
      <c r="AD269" s="376">
        <f t="shared" si="1567"/>
        <v>32.499600000000001</v>
      </c>
      <c r="AE269" s="376">
        <f t="shared" si="1567"/>
        <v>37.916200000000003</v>
      </c>
      <c r="AF269" s="376">
        <f t="shared" si="1567"/>
        <v>43.332800000000006</v>
      </c>
      <c r="AG269" s="376">
        <f t="shared" si="1567"/>
        <v>48.749400000000009</v>
      </c>
      <c r="AH269" s="376">
        <f t="shared" si="1567"/>
        <v>54.166000000000011</v>
      </c>
      <c r="AI269" s="376">
        <f t="shared" si="1567"/>
        <v>59.582600000000014</v>
      </c>
      <c r="AJ269" s="263">
        <f t="shared" si="1567"/>
        <v>64.999200000000016</v>
      </c>
      <c r="AK269" s="408"/>
      <c r="AL269" s="48">
        <f>J269-I269</f>
        <v>2.5799999999999983</v>
      </c>
      <c r="AM269" s="48">
        <f t="shared" si="1538"/>
        <v>2.5799999999999983</v>
      </c>
      <c r="AN269" s="48">
        <f t="shared" si="1539"/>
        <v>2.5799999999999983</v>
      </c>
      <c r="AO269" s="48">
        <f>M269</f>
        <v>2.9166666666666665</v>
      </c>
      <c r="AP269" s="48">
        <f t="shared" si="1540"/>
        <v>2.9166666700000001</v>
      </c>
      <c r="AQ269" s="48">
        <f t="shared" si="1541"/>
        <v>2.9166666700000006</v>
      </c>
      <c r="AR269" s="48">
        <f t="shared" si="1542"/>
        <v>2.9166666699999997</v>
      </c>
      <c r="AS269" s="48">
        <f t="shared" si="1543"/>
        <v>2.9166666699999997</v>
      </c>
      <c r="AT269" s="48">
        <f t="shared" si="1544"/>
        <v>2.9166666700000015</v>
      </c>
      <c r="AU269" s="48">
        <f t="shared" si="1545"/>
        <v>2.9166666700000015</v>
      </c>
      <c r="AV269" s="48">
        <f t="shared" si="1546"/>
        <v>2.9166666700000015</v>
      </c>
      <c r="AW269" s="48">
        <f t="shared" si="1547"/>
        <v>2.9166666700000015</v>
      </c>
      <c r="AX269" s="48">
        <f>V269-U269</f>
        <v>2.9166666700000015</v>
      </c>
      <c r="AY269" s="48">
        <f t="shared" si="1548"/>
        <v>2.9166666699999979</v>
      </c>
      <c r="AZ269" s="48">
        <f t="shared" si="1549"/>
        <v>2.9166666699999979</v>
      </c>
      <c r="BA269" s="48">
        <v>5.4160000000000004</v>
      </c>
      <c r="BB269" s="48">
        <v>5.4160000000000004</v>
      </c>
      <c r="BC269" s="48">
        <v>5.4160000000000004</v>
      </c>
      <c r="BD269" s="48">
        <v>5.4160000000000004</v>
      </c>
      <c r="BE269" s="48">
        <v>5.4160000000000004</v>
      </c>
      <c r="BF269" s="48">
        <v>5.4160000000000004</v>
      </c>
      <c r="BG269" s="48">
        <v>5.4160000000000004</v>
      </c>
      <c r="BH269" s="48">
        <v>5.4160000000000004</v>
      </c>
      <c r="BI269" s="48">
        <v>5.4160000000000004</v>
      </c>
      <c r="BJ269" s="48">
        <v>5.4160000000000004</v>
      </c>
      <c r="BK269" s="48">
        <v>5.4160000000000004</v>
      </c>
      <c r="BL269" s="48">
        <v>5.4160000000000004</v>
      </c>
      <c r="BM269" s="408"/>
      <c r="BN269" s="48">
        <f t="shared" ref="BN269:BN283" si="1568">BP269</f>
        <v>7.7399999999999949</v>
      </c>
      <c r="BO269" s="48">
        <f t="shared" ref="BO269:BO283" si="1569">BP269</f>
        <v>7.7399999999999949</v>
      </c>
      <c r="BP269" s="48">
        <f t="shared" ref="BP269:BP274" si="1570">SUM(AL269:AN269)</f>
        <v>7.7399999999999949</v>
      </c>
      <c r="BQ269" s="48">
        <f t="shared" ref="BQ269:BQ283" si="1571">BS269</f>
        <v>8.7500000066666672</v>
      </c>
      <c r="BR269" s="48">
        <f t="shared" ref="BR269:BR283" si="1572">BS269</f>
        <v>8.7500000066666672</v>
      </c>
      <c r="BS269" s="48">
        <f t="shared" ref="BS269:BS274" si="1573">SUM(AO269:AQ269)</f>
        <v>8.7500000066666672</v>
      </c>
      <c r="BT269" s="48">
        <f t="shared" ref="BT269:BT283" si="1574">BV269</f>
        <v>8.7500000100000008</v>
      </c>
      <c r="BU269" s="48">
        <f t="shared" ref="BU269:BU283" si="1575">BV269</f>
        <v>8.7500000100000008</v>
      </c>
      <c r="BV269" s="48">
        <f t="shared" ref="BV269:BV274" si="1576">SUM(AR269:AT269)</f>
        <v>8.7500000100000008</v>
      </c>
      <c r="BW269" s="48">
        <f t="shared" ref="BW269:BW283" si="1577">BY269</f>
        <v>8.7500000100000044</v>
      </c>
      <c r="BX269" s="48">
        <f t="shared" ref="BX269:BX283" si="1578">BY269</f>
        <v>8.7500000100000044</v>
      </c>
      <c r="BY269" s="48">
        <f t="shared" ref="BY269:BY274" si="1579">SUM(AU269:AW269)</f>
        <v>8.7500000100000044</v>
      </c>
      <c r="BZ269" s="48">
        <f t="shared" ref="BZ269:BZ283" si="1580">CB269</f>
        <v>8.7500000099999973</v>
      </c>
      <c r="CA269" s="48">
        <f t="shared" ref="CA269:CA283" si="1581">CB269</f>
        <v>8.7500000099999973</v>
      </c>
      <c r="CB269" s="48">
        <f>SUM(AX269:AZ269)</f>
        <v>8.7500000099999973</v>
      </c>
      <c r="CC269" s="48">
        <f>5.416*3</f>
        <v>16.248000000000001</v>
      </c>
      <c r="CD269" s="48">
        <f>5.416*3</f>
        <v>16.248000000000001</v>
      </c>
      <c r="CE269" s="48">
        <f t="shared" ref="CE269:CE274" si="1582">SUM(BA269:BC269)</f>
        <v>16.248000000000001</v>
      </c>
      <c r="CF269" s="48">
        <f t="shared" ref="CF269:CF279" si="1583">CH269</f>
        <v>16.248000000000001</v>
      </c>
      <c r="CG269" s="48">
        <f t="shared" ref="CG269:CG279" si="1584">CH269</f>
        <v>16.248000000000001</v>
      </c>
      <c r="CH269" s="48">
        <f t="shared" ref="CH269:CH274" si="1585">SUM(BD269:BF269)</f>
        <v>16.248000000000001</v>
      </c>
      <c r="CI269" s="48">
        <f t="shared" ref="CI269:CI279" si="1586">CK269</f>
        <v>16.248000000000001</v>
      </c>
      <c r="CJ269" s="48">
        <f t="shared" ref="CJ269:CJ279" si="1587">CK269</f>
        <v>16.248000000000001</v>
      </c>
      <c r="CK269" s="48">
        <f t="shared" ref="CK269:CK274" si="1588">SUM(BG269:BI269)</f>
        <v>16.248000000000001</v>
      </c>
      <c r="CL269" s="48">
        <f t="shared" ref="CL269:CL279" si="1589">CN269</f>
        <v>16.248000000000001</v>
      </c>
      <c r="CM269" s="48">
        <f t="shared" ref="CM269:CM279" si="1590">CN269</f>
        <v>16.248000000000001</v>
      </c>
      <c r="CN269" s="48">
        <f t="shared" si="1559"/>
        <v>16.248000000000001</v>
      </c>
      <c r="CO269" s="406"/>
      <c r="CP269" s="48">
        <f t="shared" si="1560"/>
        <v>25.799999999999997</v>
      </c>
      <c r="CQ269" s="48">
        <f t="shared" si="1560"/>
        <v>28.379999999999995</v>
      </c>
      <c r="CR269" s="48">
        <f t="shared" si="1560"/>
        <v>30.959999999999994</v>
      </c>
      <c r="CS269" s="48">
        <f>AO269</f>
        <v>2.9166666666666665</v>
      </c>
      <c r="CT269" s="48">
        <f t="shared" si="1561"/>
        <v>5.8333333366666666</v>
      </c>
      <c r="CU269" s="48">
        <f t="shared" si="1561"/>
        <v>8.7500000066666672</v>
      </c>
      <c r="CV269" s="48">
        <f t="shared" si="1561"/>
        <v>11.666666676666667</v>
      </c>
      <c r="CW269" s="48">
        <f t="shared" si="1561"/>
        <v>14.583333346666667</v>
      </c>
      <c r="CX269" s="48">
        <f t="shared" si="1561"/>
        <v>17.500000016666668</v>
      </c>
      <c r="CY269" s="48">
        <f t="shared" si="1561"/>
        <v>20.41666668666667</v>
      </c>
      <c r="CZ269" s="48">
        <f t="shared" si="1561"/>
        <v>23.333333356666671</v>
      </c>
      <c r="DA269" s="48">
        <f t="shared" si="1561"/>
        <v>26.250000026666672</v>
      </c>
      <c r="DB269" s="48">
        <f t="shared" si="1561"/>
        <v>29.166666696666674</v>
      </c>
      <c r="DC269" s="48">
        <f t="shared" si="1561"/>
        <v>32.083333366666672</v>
      </c>
      <c r="DD269" s="48">
        <f t="shared" si="1561"/>
        <v>35.00000003666667</v>
      </c>
      <c r="DE269" s="48">
        <f>65/12</f>
        <v>5.416666666666667</v>
      </c>
      <c r="DF269" s="48">
        <f>DE269+5.416</f>
        <v>10.832666666666668</v>
      </c>
      <c r="DG269" s="48">
        <f t="shared" ref="DG269:DP269" si="1591">DF269+5.416</f>
        <v>16.248666666666669</v>
      </c>
      <c r="DH269" s="48">
        <f t="shared" si="1591"/>
        <v>21.664666666666669</v>
      </c>
      <c r="DI269" s="48">
        <f t="shared" si="1591"/>
        <v>27.080666666666669</v>
      </c>
      <c r="DJ269" s="48">
        <f t="shared" si="1591"/>
        <v>32.49666666666667</v>
      </c>
      <c r="DK269" s="48">
        <f t="shared" si="1591"/>
        <v>37.912666666666667</v>
      </c>
      <c r="DL269" s="48">
        <f t="shared" si="1591"/>
        <v>43.328666666666663</v>
      </c>
      <c r="DM269" s="48">
        <f t="shared" si="1591"/>
        <v>48.74466666666666</v>
      </c>
      <c r="DN269" s="48">
        <f t="shared" si="1591"/>
        <v>54.160666666666657</v>
      </c>
      <c r="DO269" s="48">
        <f t="shared" si="1591"/>
        <v>59.576666666666654</v>
      </c>
      <c r="DP269" s="48">
        <f t="shared" si="1591"/>
        <v>64.992666666666651</v>
      </c>
      <c r="DQ269" s="48"/>
      <c r="DR269" s="48"/>
      <c r="DS269" s="48"/>
      <c r="DT269" s="48"/>
      <c r="DU269" s="48"/>
      <c r="DV269" s="48"/>
      <c r="DW269" s="48"/>
      <c r="DX269" s="48"/>
      <c r="DY269" s="48"/>
      <c r="DZ269" s="1">
        <f>'Input &amp; Calc'!L269</f>
        <v>30.959999999999994</v>
      </c>
      <c r="EA269" s="49">
        <f>DD269</f>
        <v>35.00000003666667</v>
      </c>
      <c r="EB269" s="50">
        <f>DP269</f>
        <v>64.992666666666651</v>
      </c>
      <c r="EC269" s="50"/>
      <c r="ED269" s="408"/>
      <c r="EE269" s="51">
        <f t="shared" si="1563"/>
        <v>5.4160000000000004</v>
      </c>
      <c r="EF269" s="51">
        <f t="shared" si="1564"/>
        <v>16.248000000000001</v>
      </c>
      <c r="EG269" s="51">
        <f>HLOOKUP($EJ$3,Budget,ROW()-1)</f>
        <v>64.992666666666651</v>
      </c>
      <c r="EH269" s="40"/>
      <c r="EI269" s="111" t="s">
        <v>157</v>
      </c>
      <c r="EJ269" s="113">
        <f>HLOOKUP($I$1,YTD,47)</f>
        <v>70</v>
      </c>
      <c r="EK269" s="675"/>
      <c r="EL269" s="37"/>
      <c r="EM269" s="37"/>
      <c r="EN269" s="37"/>
      <c r="EO269" s="49"/>
      <c r="EP269" s="49"/>
      <c r="EQ269" s="49"/>
    </row>
    <row r="270" spans="1:149" s="1" customFormat="1">
      <c r="A270" s="134" t="s">
        <v>22</v>
      </c>
      <c r="B270" s="2" t="s">
        <v>2</v>
      </c>
      <c r="C270" s="3" t="s">
        <v>37</v>
      </c>
      <c r="D270" s="3"/>
      <c r="E270" s="3" t="s">
        <v>16</v>
      </c>
      <c r="G270" s="1" t="s">
        <v>91</v>
      </c>
      <c r="I270" s="18">
        <f>2.58*9</f>
        <v>23.22</v>
      </c>
      <c r="J270" s="21">
        <f t="shared" si="1565"/>
        <v>25.799999999999997</v>
      </c>
      <c r="K270" s="21">
        <f t="shared" si="1565"/>
        <v>28.379999999999995</v>
      </c>
      <c r="L270" s="21">
        <f t="shared" si="1565"/>
        <v>30.959999999999994</v>
      </c>
      <c r="M270" s="20">
        <f>33/12</f>
        <v>2.75</v>
      </c>
      <c r="N270" s="19">
        <f>M270+2.75</f>
        <v>5.5</v>
      </c>
      <c r="O270" s="19">
        <f t="shared" ref="O270:X270" si="1592">N270+2.75</f>
        <v>8.25</v>
      </c>
      <c r="P270" s="19">
        <f t="shared" si="1592"/>
        <v>11</v>
      </c>
      <c r="Q270" s="19">
        <f t="shared" si="1592"/>
        <v>13.75</v>
      </c>
      <c r="R270" s="19">
        <f t="shared" si="1592"/>
        <v>16.5</v>
      </c>
      <c r="S270" s="19">
        <f t="shared" si="1592"/>
        <v>19.25</v>
      </c>
      <c r="T270" s="19">
        <f t="shared" si="1592"/>
        <v>22</v>
      </c>
      <c r="U270" s="19">
        <f t="shared" si="1592"/>
        <v>24.75</v>
      </c>
      <c r="V270" s="19">
        <f t="shared" si="1592"/>
        <v>27.5</v>
      </c>
      <c r="W270" s="19">
        <f t="shared" si="1592"/>
        <v>30.25</v>
      </c>
      <c r="X270" s="19">
        <f t="shared" si="1592"/>
        <v>33</v>
      </c>
      <c r="Y270" s="219">
        <v>3.75</v>
      </c>
      <c r="Z270" s="246">
        <f>Y270+3.75</f>
        <v>7.5</v>
      </c>
      <c r="AA270" s="376">
        <f t="shared" ref="AA270:AJ270" si="1593">Z270+3.75</f>
        <v>11.25</v>
      </c>
      <c r="AB270" s="376">
        <f t="shared" si="1593"/>
        <v>15</v>
      </c>
      <c r="AC270" s="376">
        <f t="shared" si="1593"/>
        <v>18.75</v>
      </c>
      <c r="AD270" s="376">
        <f t="shared" si="1593"/>
        <v>22.5</v>
      </c>
      <c r="AE270" s="376">
        <f t="shared" si="1593"/>
        <v>26.25</v>
      </c>
      <c r="AF270" s="376">
        <f t="shared" si="1593"/>
        <v>30</v>
      </c>
      <c r="AG270" s="376">
        <f t="shared" si="1593"/>
        <v>33.75</v>
      </c>
      <c r="AH270" s="376">
        <f t="shared" si="1593"/>
        <v>37.5</v>
      </c>
      <c r="AI270" s="376">
        <f t="shared" si="1593"/>
        <v>41.25</v>
      </c>
      <c r="AJ270" s="376">
        <f t="shared" si="1593"/>
        <v>45</v>
      </c>
      <c r="AK270" s="408"/>
      <c r="AL270" s="48">
        <f>J270-I270</f>
        <v>2.5799999999999983</v>
      </c>
      <c r="AM270" s="48">
        <f t="shared" si="1538"/>
        <v>2.5799999999999983</v>
      </c>
      <c r="AN270" s="48">
        <f t="shared" si="1539"/>
        <v>2.5799999999999983</v>
      </c>
      <c r="AO270" s="48">
        <f>M270</f>
        <v>2.75</v>
      </c>
      <c r="AP270" s="48">
        <f t="shared" si="1540"/>
        <v>2.75</v>
      </c>
      <c r="AQ270" s="48">
        <f t="shared" si="1541"/>
        <v>2.75</v>
      </c>
      <c r="AR270" s="48">
        <f t="shared" si="1542"/>
        <v>2.75</v>
      </c>
      <c r="AS270" s="48">
        <f t="shared" si="1543"/>
        <v>2.75</v>
      </c>
      <c r="AT270" s="48">
        <f t="shared" si="1544"/>
        <v>2.75</v>
      </c>
      <c r="AU270" s="48">
        <f t="shared" si="1545"/>
        <v>2.75</v>
      </c>
      <c r="AV270" s="48">
        <f t="shared" si="1546"/>
        <v>2.75</v>
      </c>
      <c r="AW270" s="48">
        <f t="shared" si="1547"/>
        <v>2.75</v>
      </c>
      <c r="AX270" s="48">
        <f>V270-U270</f>
        <v>2.75</v>
      </c>
      <c r="AY270" s="48">
        <f t="shared" si="1548"/>
        <v>2.75</v>
      </c>
      <c r="AZ270" s="48">
        <f t="shared" si="1549"/>
        <v>2.75</v>
      </c>
      <c r="BA270" s="48">
        <f>Y270</f>
        <v>3.75</v>
      </c>
      <c r="BB270" s="48">
        <f t="shared" si="1550"/>
        <v>3.75</v>
      </c>
      <c r="BC270" s="48">
        <f t="shared" si="1551"/>
        <v>3.75</v>
      </c>
      <c r="BD270" s="48">
        <f t="shared" si="1552"/>
        <v>3.75</v>
      </c>
      <c r="BE270" s="48">
        <f t="shared" si="1553"/>
        <v>3.75</v>
      </c>
      <c r="BF270" s="48">
        <f t="shared" si="1554"/>
        <v>3.75</v>
      </c>
      <c r="BG270" s="48">
        <f t="shared" si="1555"/>
        <v>3.75</v>
      </c>
      <c r="BH270" s="48">
        <f t="shared" si="1556"/>
        <v>3.75</v>
      </c>
      <c r="BI270" s="48">
        <f t="shared" si="1557"/>
        <v>3.75</v>
      </c>
      <c r="BJ270" s="48">
        <f t="shared" si="1558"/>
        <v>3.75</v>
      </c>
      <c r="BK270" s="48">
        <f t="shared" si="1558"/>
        <v>3.75</v>
      </c>
      <c r="BL270" s="48">
        <f t="shared" si="1558"/>
        <v>3.75</v>
      </c>
      <c r="BM270" s="408"/>
      <c r="BN270" s="48">
        <f t="shared" si="1568"/>
        <v>7.7399999999999949</v>
      </c>
      <c r="BO270" s="48">
        <f t="shared" si="1569"/>
        <v>7.7399999999999949</v>
      </c>
      <c r="BP270" s="48">
        <f t="shared" si="1570"/>
        <v>7.7399999999999949</v>
      </c>
      <c r="BQ270" s="48">
        <f t="shared" si="1571"/>
        <v>8.25</v>
      </c>
      <c r="BR270" s="48">
        <f t="shared" si="1572"/>
        <v>8.25</v>
      </c>
      <c r="BS270" s="48">
        <f t="shared" si="1573"/>
        <v>8.25</v>
      </c>
      <c r="BT270" s="48">
        <f t="shared" si="1574"/>
        <v>8.25</v>
      </c>
      <c r="BU270" s="48">
        <f t="shared" si="1575"/>
        <v>8.25</v>
      </c>
      <c r="BV270" s="48">
        <f t="shared" si="1576"/>
        <v>8.25</v>
      </c>
      <c r="BW270" s="48">
        <f t="shared" si="1577"/>
        <v>8.25</v>
      </c>
      <c r="BX270" s="48">
        <f t="shared" si="1578"/>
        <v>8.25</v>
      </c>
      <c r="BY270" s="48">
        <f t="shared" si="1579"/>
        <v>8.25</v>
      </c>
      <c r="BZ270" s="48">
        <f t="shared" si="1580"/>
        <v>8.25</v>
      </c>
      <c r="CA270" s="48">
        <f t="shared" si="1581"/>
        <v>8.25</v>
      </c>
      <c r="CB270" s="48">
        <f>SUM(AX270:AZ270)</f>
        <v>8.25</v>
      </c>
      <c r="CC270" s="48">
        <f t="shared" ref="CC270:CC283" si="1594">CE270</f>
        <v>11.25</v>
      </c>
      <c r="CD270" s="48">
        <f t="shared" ref="CD270:CD283" si="1595">CE270</f>
        <v>11.25</v>
      </c>
      <c r="CE270" s="48">
        <f t="shared" si="1582"/>
        <v>11.25</v>
      </c>
      <c r="CF270" s="48">
        <f t="shared" si="1583"/>
        <v>11.25</v>
      </c>
      <c r="CG270" s="48">
        <f t="shared" si="1584"/>
        <v>11.25</v>
      </c>
      <c r="CH270" s="48">
        <f t="shared" si="1585"/>
        <v>11.25</v>
      </c>
      <c r="CI270" s="48">
        <f t="shared" si="1586"/>
        <v>11.25</v>
      </c>
      <c r="CJ270" s="48">
        <f t="shared" si="1587"/>
        <v>11.25</v>
      </c>
      <c r="CK270" s="48">
        <f t="shared" si="1588"/>
        <v>11.25</v>
      </c>
      <c r="CL270" s="48">
        <f t="shared" si="1589"/>
        <v>11.25</v>
      </c>
      <c r="CM270" s="48">
        <f t="shared" si="1590"/>
        <v>11.25</v>
      </c>
      <c r="CN270" s="48">
        <f t="shared" si="1559"/>
        <v>11.25</v>
      </c>
      <c r="CO270" s="406"/>
      <c r="CP270" s="48">
        <f t="shared" si="1560"/>
        <v>25.799999999999997</v>
      </c>
      <c r="CQ270" s="48">
        <f t="shared" si="1560"/>
        <v>28.379999999999995</v>
      </c>
      <c r="CR270" s="48">
        <f t="shared" si="1560"/>
        <v>30.959999999999994</v>
      </c>
      <c r="CS270" s="48">
        <f>AO270</f>
        <v>2.75</v>
      </c>
      <c r="CT270" s="48">
        <f t="shared" si="1561"/>
        <v>5.5</v>
      </c>
      <c r="CU270" s="48">
        <f t="shared" si="1561"/>
        <v>8.25</v>
      </c>
      <c r="CV270" s="48">
        <f t="shared" si="1561"/>
        <v>11</v>
      </c>
      <c r="CW270" s="48">
        <f t="shared" si="1561"/>
        <v>13.75</v>
      </c>
      <c r="CX270" s="48">
        <f t="shared" si="1561"/>
        <v>16.5</v>
      </c>
      <c r="CY270" s="48">
        <f t="shared" si="1561"/>
        <v>19.25</v>
      </c>
      <c r="CZ270" s="48">
        <f t="shared" si="1561"/>
        <v>22</v>
      </c>
      <c r="DA270" s="48">
        <f t="shared" si="1561"/>
        <v>24.75</v>
      </c>
      <c r="DB270" s="48">
        <f t="shared" si="1561"/>
        <v>27.5</v>
      </c>
      <c r="DC270" s="48">
        <f t="shared" si="1561"/>
        <v>30.25</v>
      </c>
      <c r="DD270" s="48">
        <f t="shared" si="1561"/>
        <v>33</v>
      </c>
      <c r="DE270" s="48">
        <f>+BA270</f>
        <v>3.75</v>
      </c>
      <c r="DF270" s="48">
        <f t="shared" ref="DF270:DP272" si="1596">Y270+BB270</f>
        <v>7.5</v>
      </c>
      <c r="DG270" s="48">
        <f t="shared" si="1596"/>
        <v>11.25</v>
      </c>
      <c r="DH270" s="48">
        <f t="shared" si="1596"/>
        <v>15</v>
      </c>
      <c r="DI270" s="48">
        <f t="shared" si="1596"/>
        <v>18.75</v>
      </c>
      <c r="DJ270" s="48">
        <f t="shared" si="1596"/>
        <v>22.5</v>
      </c>
      <c r="DK270" s="48">
        <f t="shared" si="1596"/>
        <v>26.25</v>
      </c>
      <c r="DL270" s="48">
        <f t="shared" si="1596"/>
        <v>30</v>
      </c>
      <c r="DM270" s="48">
        <f t="shared" si="1596"/>
        <v>33.75</v>
      </c>
      <c r="DN270" s="48">
        <f t="shared" si="1596"/>
        <v>37.5</v>
      </c>
      <c r="DO270" s="48">
        <f t="shared" si="1596"/>
        <v>41.25</v>
      </c>
      <c r="DP270" s="48">
        <f t="shared" si="1596"/>
        <v>45</v>
      </c>
      <c r="DQ270" s="48"/>
      <c r="DR270" s="48"/>
      <c r="DS270" s="48"/>
      <c r="DT270" s="48"/>
      <c r="DU270" s="48"/>
      <c r="DV270" s="48"/>
      <c r="DW270" s="48"/>
      <c r="DX270" s="48"/>
      <c r="DY270" s="48"/>
      <c r="DZ270" s="1">
        <f>'Input &amp; Calc'!L270</f>
        <v>30.959999999999994</v>
      </c>
      <c r="EA270" s="49">
        <f>DD270</f>
        <v>33</v>
      </c>
      <c r="EB270" s="50">
        <f>DP270</f>
        <v>45</v>
      </c>
      <c r="EC270" s="50"/>
      <c r="ED270" s="408"/>
      <c r="EE270" s="51">
        <f t="shared" si="1563"/>
        <v>3.75</v>
      </c>
      <c r="EF270" s="51">
        <f t="shared" si="1564"/>
        <v>11.25</v>
      </c>
      <c r="EG270" s="51">
        <f>HLOOKUP($EJ$3,Budget,ROW()-1)</f>
        <v>45</v>
      </c>
      <c r="EH270" s="40"/>
      <c r="EI270" s="112" t="s">
        <v>156</v>
      </c>
      <c r="EJ270" s="113">
        <f>HLOOKUP($I$1,YTD,48)</f>
        <v>0</v>
      </c>
      <c r="EK270" s="675"/>
      <c r="EL270" s="37"/>
      <c r="EM270" s="37"/>
      <c r="EN270" s="37"/>
      <c r="EO270" s="49"/>
      <c r="EP270" s="49"/>
      <c r="EQ270" s="49"/>
    </row>
    <row r="271" spans="1:149" s="1" customFormat="1">
      <c r="A271" s="134" t="s">
        <v>22</v>
      </c>
      <c r="B271" s="2" t="s">
        <v>3</v>
      </c>
      <c r="C271" s="3" t="s">
        <v>38</v>
      </c>
      <c r="D271" s="3"/>
      <c r="E271" s="3" t="s">
        <v>16</v>
      </c>
      <c r="G271" s="1" t="s">
        <v>91</v>
      </c>
      <c r="I271" s="18">
        <f>1.67*9</f>
        <v>15.03</v>
      </c>
      <c r="J271" s="159">
        <f>I271+1.67</f>
        <v>16.7</v>
      </c>
      <c r="K271" s="159">
        <f>J271+1.67</f>
        <v>18.369999999999997</v>
      </c>
      <c r="L271" s="159">
        <f>K271+1.67</f>
        <v>20.04</v>
      </c>
      <c r="M271" s="20">
        <f>22/12</f>
        <v>1.8333333333333333</v>
      </c>
      <c r="N271" s="19">
        <f>M271+1.83333333</f>
        <v>3.6666666633333334</v>
      </c>
      <c r="O271" s="19">
        <f t="shared" ref="O271:X271" si="1597">N271+1.83333333</f>
        <v>5.4999999933333337</v>
      </c>
      <c r="P271" s="19">
        <f t="shared" si="1597"/>
        <v>7.333333323333334</v>
      </c>
      <c r="Q271" s="19">
        <f t="shared" si="1597"/>
        <v>9.1666666533333334</v>
      </c>
      <c r="R271" s="19">
        <f t="shared" si="1597"/>
        <v>10.999999983333334</v>
      </c>
      <c r="S271" s="19">
        <f t="shared" si="1597"/>
        <v>12.833333313333334</v>
      </c>
      <c r="T271" s="19">
        <f t="shared" si="1597"/>
        <v>14.666666643333334</v>
      </c>
      <c r="U271" s="19">
        <f t="shared" si="1597"/>
        <v>16.499999973333335</v>
      </c>
      <c r="V271" s="19">
        <f t="shared" si="1597"/>
        <v>18.333333303333333</v>
      </c>
      <c r="W271" s="19">
        <f t="shared" si="1597"/>
        <v>20.166666633333332</v>
      </c>
      <c r="X271" s="19">
        <f t="shared" si="1597"/>
        <v>21.99999996333333</v>
      </c>
      <c r="Y271" s="378">
        <v>0.91659999999999997</v>
      </c>
      <c r="Z271" s="376">
        <f>Y271+0.9166</f>
        <v>1.8331999999999999</v>
      </c>
      <c r="AA271" s="376">
        <f t="shared" ref="AA271:AJ271" si="1598">Z271+0.9166</f>
        <v>2.7498</v>
      </c>
      <c r="AB271" s="376">
        <f t="shared" si="1598"/>
        <v>3.6663999999999999</v>
      </c>
      <c r="AC271" s="376">
        <f t="shared" si="1598"/>
        <v>4.5830000000000002</v>
      </c>
      <c r="AD271" s="376">
        <f t="shared" si="1598"/>
        <v>5.4996</v>
      </c>
      <c r="AE271" s="376">
        <f t="shared" si="1598"/>
        <v>6.4161999999999999</v>
      </c>
      <c r="AF271" s="376">
        <f t="shared" si="1598"/>
        <v>7.3327999999999998</v>
      </c>
      <c r="AG271" s="376">
        <f t="shared" si="1598"/>
        <v>8.2493999999999996</v>
      </c>
      <c r="AH271" s="376">
        <f t="shared" si="1598"/>
        <v>9.1660000000000004</v>
      </c>
      <c r="AI271" s="376">
        <f t="shared" si="1598"/>
        <v>10.082600000000001</v>
      </c>
      <c r="AJ271" s="189">
        <f t="shared" si="1598"/>
        <v>10.999200000000002</v>
      </c>
      <c r="AK271" s="408"/>
      <c r="AL271" s="48">
        <f>J271-I271</f>
        <v>1.67</v>
      </c>
      <c r="AM271" s="48">
        <f t="shared" si="1538"/>
        <v>1.6699999999999982</v>
      </c>
      <c r="AN271" s="48">
        <f t="shared" si="1539"/>
        <v>1.6700000000000017</v>
      </c>
      <c r="AO271" s="48">
        <f>M271</f>
        <v>1.8333333333333333</v>
      </c>
      <c r="AP271" s="48">
        <f t="shared" si="1540"/>
        <v>1.8333333300000001</v>
      </c>
      <c r="AQ271" s="48">
        <f t="shared" si="1541"/>
        <v>1.8333333300000003</v>
      </c>
      <c r="AR271" s="48">
        <f t="shared" si="1542"/>
        <v>1.8333333300000003</v>
      </c>
      <c r="AS271" s="48">
        <f t="shared" si="1543"/>
        <v>1.8333333299999994</v>
      </c>
      <c r="AT271" s="48">
        <f t="shared" si="1544"/>
        <v>1.8333333300000003</v>
      </c>
      <c r="AU271" s="48">
        <f t="shared" si="1545"/>
        <v>1.8333333300000003</v>
      </c>
      <c r="AV271" s="48">
        <f t="shared" si="1546"/>
        <v>1.8333333300000003</v>
      </c>
      <c r="AW271" s="48">
        <f t="shared" si="1547"/>
        <v>1.8333333300000003</v>
      </c>
      <c r="AX271" s="48">
        <f>V271-U271</f>
        <v>1.8333333299999985</v>
      </c>
      <c r="AY271" s="48">
        <f t="shared" si="1548"/>
        <v>1.8333333299999985</v>
      </c>
      <c r="AZ271" s="48">
        <f t="shared" si="1549"/>
        <v>1.8333333299999985</v>
      </c>
      <c r="BA271" s="48">
        <f>Y271</f>
        <v>0.91659999999999997</v>
      </c>
      <c r="BB271" s="48">
        <f t="shared" si="1550"/>
        <v>0.91659999999999997</v>
      </c>
      <c r="BC271" s="48">
        <f t="shared" si="1551"/>
        <v>0.91660000000000008</v>
      </c>
      <c r="BD271" s="48">
        <f t="shared" si="1552"/>
        <v>0.91659999999999986</v>
      </c>
      <c r="BE271" s="48">
        <f t="shared" si="1553"/>
        <v>0.9166000000000003</v>
      </c>
      <c r="BF271" s="48">
        <f t="shared" si="1554"/>
        <v>0.91659999999999986</v>
      </c>
      <c r="BG271" s="48">
        <f t="shared" si="1555"/>
        <v>0.91659999999999986</v>
      </c>
      <c r="BH271" s="48">
        <f t="shared" si="1556"/>
        <v>0.91659999999999986</v>
      </c>
      <c r="BI271" s="48">
        <f t="shared" si="1557"/>
        <v>0.91659999999999986</v>
      </c>
      <c r="BJ271" s="48">
        <f t="shared" si="1558"/>
        <v>0.91660000000000075</v>
      </c>
      <c r="BK271" s="48">
        <f t="shared" si="1558"/>
        <v>0.91660000000000075</v>
      </c>
      <c r="BL271" s="48">
        <f t="shared" si="1558"/>
        <v>0.91660000000000075</v>
      </c>
      <c r="BM271" s="408"/>
      <c r="BN271" s="48">
        <f t="shared" si="1568"/>
        <v>5.01</v>
      </c>
      <c r="BO271" s="48">
        <f t="shared" si="1569"/>
        <v>5.01</v>
      </c>
      <c r="BP271" s="48">
        <f t="shared" si="1570"/>
        <v>5.01</v>
      </c>
      <c r="BQ271" s="48">
        <f t="shared" si="1571"/>
        <v>5.4999999933333337</v>
      </c>
      <c r="BR271" s="48">
        <f t="shared" si="1572"/>
        <v>5.4999999933333337</v>
      </c>
      <c r="BS271" s="48">
        <f t="shared" si="1573"/>
        <v>5.4999999933333337</v>
      </c>
      <c r="BT271" s="48">
        <f t="shared" si="1574"/>
        <v>5.4999999900000001</v>
      </c>
      <c r="BU271" s="48">
        <f t="shared" si="1575"/>
        <v>5.4999999900000001</v>
      </c>
      <c r="BV271" s="48">
        <f t="shared" si="1576"/>
        <v>5.4999999900000001</v>
      </c>
      <c r="BW271" s="48">
        <f t="shared" si="1577"/>
        <v>5.4999999900000009</v>
      </c>
      <c r="BX271" s="48">
        <f t="shared" si="1578"/>
        <v>5.4999999900000009</v>
      </c>
      <c r="BY271" s="48">
        <f t="shared" si="1579"/>
        <v>5.4999999900000009</v>
      </c>
      <c r="BZ271" s="48">
        <f t="shared" si="1580"/>
        <v>5.4999999899999956</v>
      </c>
      <c r="CA271" s="48">
        <f t="shared" si="1581"/>
        <v>5.4999999899999956</v>
      </c>
      <c r="CB271" s="48">
        <f>SUM(AX271:AZ271)</f>
        <v>5.4999999899999956</v>
      </c>
      <c r="CC271" s="48">
        <f t="shared" si="1594"/>
        <v>2.7498</v>
      </c>
      <c r="CD271" s="48">
        <f t="shared" si="1595"/>
        <v>2.7498</v>
      </c>
      <c r="CE271" s="48">
        <f t="shared" si="1582"/>
        <v>2.7498</v>
      </c>
      <c r="CF271" s="48">
        <f t="shared" si="1583"/>
        <v>2.7498</v>
      </c>
      <c r="CG271" s="48">
        <f t="shared" si="1584"/>
        <v>2.7498</v>
      </c>
      <c r="CH271" s="48">
        <f t="shared" si="1585"/>
        <v>2.7498</v>
      </c>
      <c r="CI271" s="48">
        <f t="shared" si="1586"/>
        <v>2.7497999999999996</v>
      </c>
      <c r="CJ271" s="48">
        <f t="shared" si="1587"/>
        <v>2.7497999999999996</v>
      </c>
      <c r="CK271" s="48">
        <f t="shared" si="1588"/>
        <v>2.7497999999999996</v>
      </c>
      <c r="CL271" s="48">
        <f t="shared" si="1589"/>
        <v>2.7498000000000022</v>
      </c>
      <c r="CM271" s="48">
        <f t="shared" si="1590"/>
        <v>2.7498000000000022</v>
      </c>
      <c r="CN271" s="48">
        <f t="shared" si="1559"/>
        <v>2.7498000000000022</v>
      </c>
      <c r="CO271" s="406"/>
      <c r="CP271" s="48">
        <f t="shared" si="1560"/>
        <v>16.7</v>
      </c>
      <c r="CQ271" s="48">
        <f t="shared" si="1560"/>
        <v>18.369999999999997</v>
      </c>
      <c r="CR271" s="48">
        <f t="shared" si="1560"/>
        <v>20.04</v>
      </c>
      <c r="CS271" s="48">
        <f>AO271</f>
        <v>1.8333333333333333</v>
      </c>
      <c r="CT271" s="48">
        <f t="shared" si="1561"/>
        <v>3.6666666633333334</v>
      </c>
      <c r="CU271" s="48">
        <f t="shared" si="1561"/>
        <v>5.4999999933333337</v>
      </c>
      <c r="CV271" s="48">
        <f t="shared" si="1561"/>
        <v>7.333333323333334</v>
      </c>
      <c r="CW271" s="48">
        <f t="shared" si="1561"/>
        <v>9.1666666533333334</v>
      </c>
      <c r="CX271" s="48">
        <f t="shared" si="1561"/>
        <v>10.999999983333334</v>
      </c>
      <c r="CY271" s="48">
        <f t="shared" si="1561"/>
        <v>12.833333313333334</v>
      </c>
      <c r="CZ271" s="48">
        <f t="shared" si="1561"/>
        <v>14.666666643333334</v>
      </c>
      <c r="DA271" s="48">
        <f t="shared" si="1561"/>
        <v>16.499999973333335</v>
      </c>
      <c r="DB271" s="48">
        <f t="shared" si="1561"/>
        <v>18.333333303333333</v>
      </c>
      <c r="DC271" s="48">
        <f t="shared" si="1561"/>
        <v>20.166666633333332</v>
      </c>
      <c r="DD271" s="48">
        <f t="shared" si="1561"/>
        <v>21.99999996333333</v>
      </c>
      <c r="DE271" s="48">
        <f>+BA271</f>
        <v>0.91659999999999997</v>
      </c>
      <c r="DF271" s="48">
        <f t="shared" si="1596"/>
        <v>1.8331999999999999</v>
      </c>
      <c r="DG271" s="48">
        <f t="shared" si="1596"/>
        <v>2.7498</v>
      </c>
      <c r="DH271" s="48">
        <f t="shared" si="1596"/>
        <v>3.6663999999999999</v>
      </c>
      <c r="DI271" s="48">
        <f t="shared" si="1596"/>
        <v>4.5830000000000002</v>
      </c>
      <c r="DJ271" s="48">
        <f t="shared" si="1596"/>
        <v>5.4996</v>
      </c>
      <c r="DK271" s="48">
        <f t="shared" si="1596"/>
        <v>6.4161999999999999</v>
      </c>
      <c r="DL271" s="48">
        <f t="shared" si="1596"/>
        <v>7.3327999999999998</v>
      </c>
      <c r="DM271" s="48">
        <f t="shared" si="1596"/>
        <v>8.2493999999999996</v>
      </c>
      <c r="DN271" s="48">
        <f t="shared" si="1596"/>
        <v>9.1660000000000004</v>
      </c>
      <c r="DO271" s="48">
        <f t="shared" si="1596"/>
        <v>10.082600000000001</v>
      </c>
      <c r="DP271" s="48">
        <f t="shared" si="1596"/>
        <v>10.999200000000002</v>
      </c>
      <c r="DQ271" s="48"/>
      <c r="DR271" s="48"/>
      <c r="DS271" s="48"/>
      <c r="DT271" s="48"/>
      <c r="DU271" s="48"/>
      <c r="DV271" s="48"/>
      <c r="DW271" s="48"/>
      <c r="DX271" s="48"/>
      <c r="DY271" s="48"/>
      <c r="DZ271" s="1">
        <f>'Input &amp; Calc'!L271</f>
        <v>20.04</v>
      </c>
      <c r="EA271" s="49">
        <f>DD271</f>
        <v>21.99999996333333</v>
      </c>
      <c r="EB271" s="50">
        <f>DP271</f>
        <v>10.999200000000002</v>
      </c>
      <c r="EC271" s="50"/>
      <c r="ED271" s="408"/>
      <c r="EE271" s="51">
        <f t="shared" si="1563"/>
        <v>0.91660000000000075</v>
      </c>
      <c r="EF271" s="51">
        <f t="shared" si="1564"/>
        <v>2.7498000000000022</v>
      </c>
      <c r="EG271" s="51">
        <f>HLOOKUP($EJ$3,Budget,ROW()-1)</f>
        <v>10.999200000000002</v>
      </c>
      <c r="EH271" s="40"/>
      <c r="EI271" s="114" t="s">
        <v>158</v>
      </c>
      <c r="EJ271" s="133">
        <f>I265</f>
        <v>40391</v>
      </c>
      <c r="EK271" s="675"/>
      <c r="EL271" s="37"/>
      <c r="EM271" s="37"/>
      <c r="EN271" s="37"/>
      <c r="EO271" s="49"/>
      <c r="EP271" s="49"/>
      <c r="EQ271" s="49"/>
    </row>
    <row r="272" spans="1:149" s="1" customFormat="1" ht="13.5" thickBot="1">
      <c r="A272" s="134" t="s">
        <v>22</v>
      </c>
      <c r="B272" s="2" t="s">
        <v>94</v>
      </c>
      <c r="C272" s="3" t="s">
        <v>39</v>
      </c>
      <c r="D272" s="3"/>
      <c r="E272" s="3" t="s">
        <v>16</v>
      </c>
      <c r="G272" s="1" t="s">
        <v>91</v>
      </c>
      <c r="I272" s="162">
        <f>0.098125*9</f>
        <v>0.88312500000000005</v>
      </c>
      <c r="J272" s="116">
        <f>I272+0.098125</f>
        <v>0.98125000000000007</v>
      </c>
      <c r="K272" s="116">
        <f>J272+0.098125</f>
        <v>1.079375</v>
      </c>
      <c r="L272" s="161">
        <f>K272+0.098125</f>
        <v>1.1775</v>
      </c>
      <c r="M272" s="163">
        <f>1.6/12</f>
        <v>0.13333333333333333</v>
      </c>
      <c r="N272" s="116">
        <f>M272+0.1333333</f>
        <v>0.26666663333333329</v>
      </c>
      <c r="O272" s="116">
        <f t="shared" ref="O272:X272" si="1599">N272+0.1333333</f>
        <v>0.39999993333333328</v>
      </c>
      <c r="P272" s="116">
        <f t="shared" si="1599"/>
        <v>0.53333323333333327</v>
      </c>
      <c r="Q272" s="116">
        <f t="shared" si="1599"/>
        <v>0.66666653333333326</v>
      </c>
      <c r="R272" s="116">
        <f t="shared" si="1599"/>
        <v>0.79999983333333324</v>
      </c>
      <c r="S272" s="116">
        <f t="shared" si="1599"/>
        <v>0.93333313333333323</v>
      </c>
      <c r="T272" s="116">
        <f t="shared" si="1599"/>
        <v>1.0666664333333333</v>
      </c>
      <c r="U272" s="116">
        <f t="shared" si="1599"/>
        <v>1.1999997333333332</v>
      </c>
      <c r="V272" s="116">
        <f t="shared" si="1599"/>
        <v>1.3333330333333331</v>
      </c>
      <c r="W272" s="116">
        <f t="shared" si="1599"/>
        <v>1.466666333333333</v>
      </c>
      <c r="X272" s="116">
        <f t="shared" si="1599"/>
        <v>1.5999996333333328</v>
      </c>
      <c r="Y272" s="364">
        <v>0.13300000000000001</v>
      </c>
      <c r="Z272" s="376">
        <f>Y272+0.133</f>
        <v>0.26600000000000001</v>
      </c>
      <c r="AA272" s="376">
        <f t="shared" ref="AA272:AJ272" si="1600">Z272+0.133</f>
        <v>0.39900000000000002</v>
      </c>
      <c r="AB272" s="376">
        <f t="shared" si="1600"/>
        <v>0.53200000000000003</v>
      </c>
      <c r="AC272" s="376">
        <f t="shared" si="1600"/>
        <v>0.66500000000000004</v>
      </c>
      <c r="AD272" s="376">
        <f t="shared" si="1600"/>
        <v>0.79800000000000004</v>
      </c>
      <c r="AE272" s="376">
        <f t="shared" si="1600"/>
        <v>0.93100000000000005</v>
      </c>
      <c r="AF272" s="376">
        <f t="shared" si="1600"/>
        <v>1.0640000000000001</v>
      </c>
      <c r="AG272" s="376">
        <f t="shared" si="1600"/>
        <v>1.1970000000000001</v>
      </c>
      <c r="AH272" s="376">
        <f t="shared" si="1600"/>
        <v>1.33</v>
      </c>
      <c r="AI272" s="376">
        <f t="shared" si="1600"/>
        <v>1.4630000000000001</v>
      </c>
      <c r="AJ272" s="254">
        <f t="shared" si="1600"/>
        <v>1.5960000000000001</v>
      </c>
      <c r="AK272" s="416"/>
      <c r="AL272" s="118">
        <f>J272-I272</f>
        <v>9.8125000000000018E-2</v>
      </c>
      <c r="AM272" s="118">
        <f t="shared" si="1538"/>
        <v>9.8124999999999907E-2</v>
      </c>
      <c r="AN272" s="118">
        <f t="shared" si="1539"/>
        <v>9.8125000000000018E-2</v>
      </c>
      <c r="AO272" s="119">
        <f>M272</f>
        <v>0.13333333333333333</v>
      </c>
      <c r="AP272" s="118">
        <f t="shared" si="1540"/>
        <v>0.13333329999999996</v>
      </c>
      <c r="AQ272" s="118">
        <f t="shared" si="1541"/>
        <v>0.13333329999999999</v>
      </c>
      <c r="AR272" s="118">
        <f t="shared" si="1542"/>
        <v>0.13333329999999999</v>
      </c>
      <c r="AS272" s="118">
        <f t="shared" si="1543"/>
        <v>0.13333329999999999</v>
      </c>
      <c r="AT272" s="118">
        <f t="shared" si="1544"/>
        <v>0.13333329999999999</v>
      </c>
      <c r="AU272" s="118">
        <f t="shared" si="1545"/>
        <v>0.13333329999999999</v>
      </c>
      <c r="AV272" s="118">
        <f t="shared" si="1546"/>
        <v>0.1333333000000001</v>
      </c>
      <c r="AW272" s="118">
        <f t="shared" si="1547"/>
        <v>0.13333329999999988</v>
      </c>
      <c r="AX272" s="118">
        <f>V272-U272</f>
        <v>0.13333329999999988</v>
      </c>
      <c r="AY272" s="118">
        <f t="shared" si="1548"/>
        <v>0.13333329999999988</v>
      </c>
      <c r="AZ272" s="118">
        <f t="shared" si="1549"/>
        <v>0.13333329999999988</v>
      </c>
      <c r="BA272" s="118">
        <f>Y272</f>
        <v>0.13300000000000001</v>
      </c>
      <c r="BB272" s="118">
        <f t="shared" si="1550"/>
        <v>0.13300000000000001</v>
      </c>
      <c r="BC272" s="118">
        <f t="shared" si="1551"/>
        <v>0.13300000000000001</v>
      </c>
      <c r="BD272" s="118">
        <f t="shared" si="1552"/>
        <v>0.13300000000000001</v>
      </c>
      <c r="BE272" s="118">
        <f t="shared" si="1553"/>
        <v>0.13300000000000001</v>
      </c>
      <c r="BF272" s="118">
        <f t="shared" si="1554"/>
        <v>0.13300000000000001</v>
      </c>
      <c r="BG272" s="118">
        <f t="shared" si="1555"/>
        <v>0.13300000000000001</v>
      </c>
      <c r="BH272" s="118">
        <f t="shared" si="1556"/>
        <v>0.13300000000000001</v>
      </c>
      <c r="BI272" s="118">
        <f t="shared" si="1557"/>
        <v>0.13300000000000001</v>
      </c>
      <c r="BJ272" s="118">
        <f t="shared" si="1558"/>
        <v>0.13300000000000001</v>
      </c>
      <c r="BK272" s="118">
        <f t="shared" si="1558"/>
        <v>0.13300000000000001</v>
      </c>
      <c r="BL272" s="118">
        <f t="shared" si="1558"/>
        <v>0.13300000000000001</v>
      </c>
      <c r="BM272" s="409"/>
      <c r="BN272" s="119">
        <f t="shared" si="1568"/>
        <v>0.29437499999999994</v>
      </c>
      <c r="BO272" s="119">
        <f t="shared" si="1569"/>
        <v>0.29437499999999994</v>
      </c>
      <c r="BP272" s="119">
        <f t="shared" si="1570"/>
        <v>0.29437499999999994</v>
      </c>
      <c r="BQ272" s="119">
        <f t="shared" si="1571"/>
        <v>0.39999993333333328</v>
      </c>
      <c r="BR272" s="119">
        <f t="shared" si="1572"/>
        <v>0.39999993333333328</v>
      </c>
      <c r="BS272" s="119">
        <f t="shared" si="1573"/>
        <v>0.39999993333333328</v>
      </c>
      <c r="BT272" s="119">
        <f t="shared" si="1574"/>
        <v>0.39999989999999996</v>
      </c>
      <c r="BU272" s="119">
        <f t="shared" si="1575"/>
        <v>0.39999989999999996</v>
      </c>
      <c r="BV272" s="119">
        <f t="shared" si="1576"/>
        <v>0.39999989999999996</v>
      </c>
      <c r="BW272" s="119">
        <f t="shared" si="1577"/>
        <v>0.39999989999999996</v>
      </c>
      <c r="BX272" s="119">
        <f t="shared" si="1578"/>
        <v>0.39999989999999996</v>
      </c>
      <c r="BY272" s="119">
        <f t="shared" si="1579"/>
        <v>0.39999989999999996</v>
      </c>
      <c r="BZ272" s="119">
        <f t="shared" si="1580"/>
        <v>0.39999989999999963</v>
      </c>
      <c r="CA272" s="119">
        <f t="shared" si="1581"/>
        <v>0.39999989999999963</v>
      </c>
      <c r="CB272" s="119">
        <f>SUM(AX272:AZ272)</f>
        <v>0.39999989999999963</v>
      </c>
      <c r="CC272" s="119">
        <f t="shared" si="1594"/>
        <v>0.39900000000000002</v>
      </c>
      <c r="CD272" s="119">
        <f t="shared" si="1595"/>
        <v>0.39900000000000002</v>
      </c>
      <c r="CE272" s="119">
        <f t="shared" si="1582"/>
        <v>0.39900000000000002</v>
      </c>
      <c r="CF272" s="119">
        <f t="shared" si="1583"/>
        <v>0.39900000000000002</v>
      </c>
      <c r="CG272" s="119">
        <f t="shared" si="1584"/>
        <v>0.39900000000000002</v>
      </c>
      <c r="CH272" s="119">
        <f t="shared" si="1585"/>
        <v>0.39900000000000002</v>
      </c>
      <c r="CI272" s="119">
        <f t="shared" si="1586"/>
        <v>0.39900000000000002</v>
      </c>
      <c r="CJ272" s="119">
        <f t="shared" si="1587"/>
        <v>0.39900000000000002</v>
      </c>
      <c r="CK272" s="119">
        <f t="shared" si="1588"/>
        <v>0.39900000000000002</v>
      </c>
      <c r="CL272" s="119">
        <f t="shared" si="1589"/>
        <v>0.39900000000000002</v>
      </c>
      <c r="CM272" s="119">
        <f t="shared" si="1590"/>
        <v>0.39900000000000002</v>
      </c>
      <c r="CN272" s="48">
        <f t="shared" si="1559"/>
        <v>0.39900000000000002</v>
      </c>
      <c r="CO272" s="421"/>
      <c r="CP272" s="118">
        <f t="shared" si="1560"/>
        <v>0.98125000000000007</v>
      </c>
      <c r="CQ272" s="118">
        <f t="shared" si="1560"/>
        <v>1.079375</v>
      </c>
      <c r="CR272" s="118">
        <f t="shared" si="1560"/>
        <v>1.1775</v>
      </c>
      <c r="CS272" s="118">
        <f>AO272</f>
        <v>0.13333333333333333</v>
      </c>
      <c r="CT272" s="118">
        <f t="shared" si="1561"/>
        <v>0.26666663333333329</v>
      </c>
      <c r="CU272" s="118">
        <f t="shared" si="1561"/>
        <v>0.39999993333333328</v>
      </c>
      <c r="CV272" s="118">
        <f t="shared" si="1561"/>
        <v>0.53333323333333327</v>
      </c>
      <c r="CW272" s="118">
        <f t="shared" si="1561"/>
        <v>0.66666653333333326</v>
      </c>
      <c r="CX272" s="118">
        <f t="shared" si="1561"/>
        <v>0.79999983333333324</v>
      </c>
      <c r="CY272" s="118">
        <f t="shared" si="1561"/>
        <v>0.93333313333333323</v>
      </c>
      <c r="CZ272" s="118">
        <f t="shared" si="1561"/>
        <v>1.0666664333333333</v>
      </c>
      <c r="DA272" s="118">
        <f t="shared" si="1561"/>
        <v>1.1999997333333332</v>
      </c>
      <c r="DB272" s="118">
        <f t="shared" si="1561"/>
        <v>1.3333330333333331</v>
      </c>
      <c r="DC272" s="118">
        <f t="shared" si="1561"/>
        <v>1.466666333333333</v>
      </c>
      <c r="DD272" s="118">
        <f t="shared" si="1561"/>
        <v>1.5999996333333328</v>
      </c>
      <c r="DE272" s="118">
        <f>+BA272</f>
        <v>0.13300000000000001</v>
      </c>
      <c r="DF272" s="118">
        <f t="shared" si="1596"/>
        <v>0.26600000000000001</v>
      </c>
      <c r="DG272" s="118">
        <f t="shared" si="1596"/>
        <v>0.39900000000000002</v>
      </c>
      <c r="DH272" s="118">
        <f t="shared" si="1596"/>
        <v>0.53200000000000003</v>
      </c>
      <c r="DI272" s="118">
        <f t="shared" si="1596"/>
        <v>0.66500000000000004</v>
      </c>
      <c r="DJ272" s="118">
        <f t="shared" si="1596"/>
        <v>0.79800000000000004</v>
      </c>
      <c r="DK272" s="118">
        <f t="shared" si="1596"/>
        <v>0.93100000000000005</v>
      </c>
      <c r="DL272" s="118">
        <f t="shared" si="1596"/>
        <v>1.0640000000000001</v>
      </c>
      <c r="DM272" s="118">
        <f t="shared" si="1596"/>
        <v>1.1970000000000001</v>
      </c>
      <c r="DN272" s="118">
        <f t="shared" si="1596"/>
        <v>1.33</v>
      </c>
      <c r="DO272" s="118">
        <f t="shared" si="1596"/>
        <v>1.4630000000000001</v>
      </c>
      <c r="DP272" s="118">
        <f t="shared" si="1596"/>
        <v>1.5960000000000001</v>
      </c>
      <c r="DQ272" s="118"/>
      <c r="DR272" s="118"/>
      <c r="DS272" s="118"/>
      <c r="DT272" s="118"/>
      <c r="DU272" s="118"/>
      <c r="DV272" s="118"/>
      <c r="DW272" s="118"/>
      <c r="DX272" s="118"/>
      <c r="DY272" s="118"/>
      <c r="DZ272" s="121">
        <f>'Input &amp; Calc'!L272</f>
        <v>1.1775</v>
      </c>
      <c r="EA272" s="122">
        <f>DD272</f>
        <v>1.5999996333333328</v>
      </c>
      <c r="EB272" s="120">
        <f>DP272</f>
        <v>1.5960000000000001</v>
      </c>
      <c r="EC272" s="120"/>
      <c r="ED272" s="409"/>
      <c r="EE272" s="118">
        <f t="shared" si="1563"/>
        <v>0.13300000000000001</v>
      </c>
      <c r="EF272" s="118">
        <f t="shared" si="1564"/>
        <v>0.39900000000000002</v>
      </c>
      <c r="EG272" s="118">
        <f>HLOOKUP($EJ$3,Budget,ROW()-1)</f>
        <v>1.5960000000000001</v>
      </c>
      <c r="EH272" s="40"/>
      <c r="EK272" s="675"/>
      <c r="EL272" s="37"/>
      <c r="EM272" s="37"/>
      <c r="EN272" s="37"/>
      <c r="EO272" s="49"/>
      <c r="EP272" s="49"/>
      <c r="EQ272" s="49"/>
    </row>
    <row r="273" spans="1:147">
      <c r="A273" s="6" t="s">
        <v>23</v>
      </c>
      <c r="B273" s="2" t="s">
        <v>5</v>
      </c>
      <c r="C273" s="3" t="s">
        <v>42</v>
      </c>
      <c r="E273" s="3" t="s">
        <v>16</v>
      </c>
      <c r="G273" s="3" t="s">
        <v>91</v>
      </c>
      <c r="I273" s="23"/>
      <c r="J273" s="19">
        <f>84/12</f>
        <v>7</v>
      </c>
      <c r="K273" s="19">
        <f>J273+7</f>
        <v>14</v>
      </c>
      <c r="L273" s="19">
        <f t="shared" ref="L273:U273" si="1601">K273+7</f>
        <v>21</v>
      </c>
      <c r="M273" s="19">
        <f t="shared" si="1601"/>
        <v>28</v>
      </c>
      <c r="N273" s="19">
        <f t="shared" si="1601"/>
        <v>35</v>
      </c>
      <c r="O273" s="19">
        <f t="shared" si="1601"/>
        <v>42</v>
      </c>
      <c r="P273" s="19">
        <f t="shared" si="1601"/>
        <v>49</v>
      </c>
      <c r="Q273" s="19">
        <f t="shared" si="1601"/>
        <v>56</v>
      </c>
      <c r="R273" s="19">
        <f t="shared" si="1601"/>
        <v>63</v>
      </c>
      <c r="S273" s="19">
        <f t="shared" si="1601"/>
        <v>70</v>
      </c>
      <c r="T273" s="19">
        <f t="shared" si="1601"/>
        <v>77</v>
      </c>
      <c r="U273" s="19">
        <f t="shared" si="1601"/>
        <v>84</v>
      </c>
      <c r="V273" s="219">
        <f>ROUND(W273/2,0)</f>
        <v>7</v>
      </c>
      <c r="W273" s="246">
        <f t="shared" ref="W273:AE273" si="1602">X273-(Y273-X273)</f>
        <v>14</v>
      </c>
      <c r="X273" s="246">
        <f t="shared" si="1602"/>
        <v>21</v>
      </c>
      <c r="Y273" s="246">
        <f t="shared" si="1602"/>
        <v>28</v>
      </c>
      <c r="Z273" s="246">
        <f t="shared" si="1602"/>
        <v>35</v>
      </c>
      <c r="AA273" s="246">
        <f t="shared" si="1602"/>
        <v>42</v>
      </c>
      <c r="AB273" s="246">
        <f t="shared" si="1602"/>
        <v>49</v>
      </c>
      <c r="AC273" s="246">
        <f t="shared" si="1602"/>
        <v>56</v>
      </c>
      <c r="AD273" s="246">
        <f t="shared" si="1602"/>
        <v>63</v>
      </c>
      <c r="AE273" s="246">
        <f t="shared" si="1602"/>
        <v>70</v>
      </c>
      <c r="AF273" s="246">
        <f>-ROUND(AG273/12,0)+AG273</f>
        <v>77</v>
      </c>
      <c r="AG273" s="246">
        <v>84</v>
      </c>
      <c r="AH273" s="31">
        <f>110/12</f>
        <v>9.1666666666666661</v>
      </c>
      <c r="AI273" s="19">
        <f>AH273+AH273</f>
        <v>18.333333333333332</v>
      </c>
      <c r="AJ273" s="19"/>
      <c r="AK273" s="408"/>
      <c r="AL273" s="40">
        <f>J273</f>
        <v>7</v>
      </c>
      <c r="AM273" s="40">
        <f t="shared" si="1538"/>
        <v>7</v>
      </c>
      <c r="AN273" s="40">
        <f t="shared" si="1539"/>
        <v>7</v>
      </c>
      <c r="AO273" s="40">
        <f>M273-L273</f>
        <v>7</v>
      </c>
      <c r="AP273" s="40">
        <f t="shared" si="1540"/>
        <v>7</v>
      </c>
      <c r="AQ273" s="40">
        <f t="shared" si="1541"/>
        <v>7</v>
      </c>
      <c r="AR273" s="40">
        <f t="shared" si="1542"/>
        <v>7</v>
      </c>
      <c r="AS273" s="40">
        <f t="shared" si="1543"/>
        <v>7</v>
      </c>
      <c r="AT273" s="40">
        <f t="shared" si="1544"/>
        <v>7</v>
      </c>
      <c r="AU273" s="40">
        <f t="shared" si="1545"/>
        <v>7</v>
      </c>
      <c r="AV273" s="40">
        <f t="shared" si="1546"/>
        <v>7</v>
      </c>
      <c r="AW273" s="40">
        <f t="shared" si="1547"/>
        <v>7</v>
      </c>
      <c r="AX273" s="40">
        <f>V273</f>
        <v>7</v>
      </c>
      <c r="AY273" s="40">
        <f t="shared" si="1548"/>
        <v>7</v>
      </c>
      <c r="AZ273" s="40">
        <f t="shared" si="1549"/>
        <v>7</v>
      </c>
      <c r="BA273" s="40">
        <f>Y273-X273</f>
        <v>7</v>
      </c>
      <c r="BB273" s="40">
        <f t="shared" si="1550"/>
        <v>7</v>
      </c>
      <c r="BC273" s="40">
        <f t="shared" si="1551"/>
        <v>7</v>
      </c>
      <c r="BD273" s="40">
        <f t="shared" si="1552"/>
        <v>7</v>
      </c>
      <c r="BE273" s="40">
        <f t="shared" si="1553"/>
        <v>7</v>
      </c>
      <c r="BF273" s="40">
        <f t="shared" si="1554"/>
        <v>7</v>
      </c>
      <c r="BG273" s="40">
        <f t="shared" si="1555"/>
        <v>7</v>
      </c>
      <c r="BH273" s="40">
        <f t="shared" si="1556"/>
        <v>7</v>
      </c>
      <c r="BI273" s="40">
        <f t="shared" si="1557"/>
        <v>7</v>
      </c>
      <c r="BJ273" s="40">
        <f>AH273</f>
        <v>9.1666666666666661</v>
      </c>
      <c r="BK273" s="40">
        <f t="shared" ref="BK273:BL274" si="1603">AI273</f>
        <v>18.333333333333332</v>
      </c>
      <c r="BL273" s="40">
        <f t="shared" si="1603"/>
        <v>0</v>
      </c>
      <c r="BM273" s="408"/>
      <c r="BN273" s="48">
        <f t="shared" si="1568"/>
        <v>21</v>
      </c>
      <c r="BO273" s="48">
        <f t="shared" si="1569"/>
        <v>21</v>
      </c>
      <c r="BP273" s="48">
        <f t="shared" si="1570"/>
        <v>21</v>
      </c>
      <c r="BQ273" s="48">
        <f t="shared" si="1571"/>
        <v>21</v>
      </c>
      <c r="BR273" s="48">
        <f t="shared" si="1572"/>
        <v>21</v>
      </c>
      <c r="BS273" s="48">
        <f t="shared" si="1573"/>
        <v>21</v>
      </c>
      <c r="BT273" s="48">
        <f t="shared" si="1574"/>
        <v>21</v>
      </c>
      <c r="BU273" s="48">
        <f t="shared" si="1575"/>
        <v>21</v>
      </c>
      <c r="BV273" s="48">
        <f t="shared" si="1576"/>
        <v>21</v>
      </c>
      <c r="BW273" s="48">
        <f t="shared" si="1577"/>
        <v>21</v>
      </c>
      <c r="BX273" s="48">
        <f t="shared" si="1578"/>
        <v>21</v>
      </c>
      <c r="BY273" s="48">
        <f t="shared" si="1579"/>
        <v>21</v>
      </c>
      <c r="BZ273" s="48">
        <f t="shared" si="1580"/>
        <v>21</v>
      </c>
      <c r="CA273" s="48">
        <f t="shared" si="1581"/>
        <v>21</v>
      </c>
      <c r="CB273" s="48">
        <f>X273</f>
        <v>21</v>
      </c>
      <c r="CC273" s="48">
        <f t="shared" si="1594"/>
        <v>21</v>
      </c>
      <c r="CD273" s="48">
        <f t="shared" si="1595"/>
        <v>21</v>
      </c>
      <c r="CE273" s="48">
        <f t="shared" si="1582"/>
        <v>21</v>
      </c>
      <c r="CF273" s="48">
        <f t="shared" si="1583"/>
        <v>21</v>
      </c>
      <c r="CG273" s="48">
        <f t="shared" si="1584"/>
        <v>21</v>
      </c>
      <c r="CH273" s="48">
        <f t="shared" si="1585"/>
        <v>21</v>
      </c>
      <c r="CI273" s="48">
        <f t="shared" si="1586"/>
        <v>21</v>
      </c>
      <c r="CJ273" s="48">
        <f t="shared" si="1587"/>
        <v>21</v>
      </c>
      <c r="CK273" s="48">
        <f t="shared" si="1588"/>
        <v>21</v>
      </c>
      <c r="CL273" s="48">
        <f t="shared" si="1589"/>
        <v>27.5</v>
      </c>
      <c r="CM273" s="48">
        <f t="shared" si="1590"/>
        <v>27.5</v>
      </c>
      <c r="CN273" s="48">
        <f>110/4</f>
        <v>27.5</v>
      </c>
      <c r="CO273" s="406"/>
      <c r="CP273" s="48">
        <f>+AL273</f>
        <v>7</v>
      </c>
      <c r="CQ273" s="48">
        <f t="shared" ref="CQ273:DA273" si="1604">+CP273+AM273</f>
        <v>14</v>
      </c>
      <c r="CR273" s="48">
        <f t="shared" si="1604"/>
        <v>21</v>
      </c>
      <c r="CS273" s="48">
        <f t="shared" si="1604"/>
        <v>28</v>
      </c>
      <c r="CT273" s="48">
        <f t="shared" si="1604"/>
        <v>35</v>
      </c>
      <c r="CU273" s="48">
        <f t="shared" si="1604"/>
        <v>42</v>
      </c>
      <c r="CV273" s="48">
        <f t="shared" si="1604"/>
        <v>49</v>
      </c>
      <c r="CW273" s="48">
        <f t="shared" si="1604"/>
        <v>56</v>
      </c>
      <c r="CX273" s="48">
        <f t="shared" si="1604"/>
        <v>63</v>
      </c>
      <c r="CY273" s="48">
        <f t="shared" si="1604"/>
        <v>70</v>
      </c>
      <c r="CZ273" s="48">
        <f t="shared" si="1604"/>
        <v>77</v>
      </c>
      <c r="DA273" s="48">
        <f t="shared" si="1604"/>
        <v>84</v>
      </c>
      <c r="DB273" s="48">
        <f>AX273</f>
        <v>7</v>
      </c>
      <c r="DC273" s="48">
        <f t="shared" ref="DC273:DM273" si="1605">+DB273+AY273</f>
        <v>14</v>
      </c>
      <c r="DD273" s="48">
        <f t="shared" si="1605"/>
        <v>21</v>
      </c>
      <c r="DE273" s="48">
        <f t="shared" si="1605"/>
        <v>28</v>
      </c>
      <c r="DF273" s="48">
        <f t="shared" si="1605"/>
        <v>35</v>
      </c>
      <c r="DG273" s="48">
        <f t="shared" si="1605"/>
        <v>42</v>
      </c>
      <c r="DH273" s="48">
        <f t="shared" si="1605"/>
        <v>49</v>
      </c>
      <c r="DI273" s="48">
        <f t="shared" si="1605"/>
        <v>56</v>
      </c>
      <c r="DJ273" s="48">
        <f t="shared" si="1605"/>
        <v>63</v>
      </c>
      <c r="DK273" s="48">
        <f t="shared" si="1605"/>
        <v>70</v>
      </c>
      <c r="DL273" s="48">
        <f t="shared" si="1605"/>
        <v>77</v>
      </c>
      <c r="DM273" s="48">
        <f t="shared" si="1605"/>
        <v>84</v>
      </c>
      <c r="DN273" s="48">
        <f>+BJ273</f>
        <v>9.1666666666666661</v>
      </c>
      <c r="DO273" s="48">
        <f>+DN273+BK273</f>
        <v>27.5</v>
      </c>
      <c r="DP273" s="48">
        <f>+DO273+BL273</f>
        <v>27.5</v>
      </c>
      <c r="DQ273" s="48"/>
      <c r="DR273" s="48"/>
      <c r="DS273" s="48"/>
      <c r="DT273" s="48"/>
      <c r="DU273" s="48"/>
      <c r="DV273" s="48"/>
      <c r="DW273" s="48"/>
      <c r="DX273" s="48"/>
      <c r="DY273" s="48"/>
      <c r="EA273" s="52">
        <f t="shared" ref="EA273:EA287" si="1606">DA273</f>
        <v>84</v>
      </c>
      <c r="EB273" s="52">
        <f t="shared" ref="EB273:EB285" si="1607">DM273</f>
        <v>84</v>
      </c>
      <c r="EC273" s="52"/>
      <c r="ED273" s="429"/>
      <c r="EE273" s="51">
        <f t="shared" si="1563"/>
        <v>18.333333333333332</v>
      </c>
      <c r="EF273" s="51">
        <f t="shared" si="1564"/>
        <v>27.5</v>
      </c>
      <c r="EG273" s="51">
        <v>110</v>
      </c>
      <c r="EH273" s="54"/>
      <c r="EI273" s="54"/>
      <c r="EJ273" s="54"/>
      <c r="EK273" s="675"/>
      <c r="EL273" s="53"/>
      <c r="EM273" s="53"/>
      <c r="EN273" s="53"/>
      <c r="EO273" s="49"/>
      <c r="EP273" s="49"/>
      <c r="EQ273" s="49"/>
    </row>
    <row r="274" spans="1:147">
      <c r="A274" s="6" t="s">
        <v>23</v>
      </c>
      <c r="B274" s="2" t="s">
        <v>4</v>
      </c>
      <c r="C274" s="3" t="s">
        <v>43</v>
      </c>
      <c r="E274" s="3" t="s">
        <v>16</v>
      </c>
      <c r="F274" s="44"/>
      <c r="G274" s="3" t="s">
        <v>91</v>
      </c>
      <c r="I274" s="23"/>
      <c r="J274" s="19">
        <f>39.48/12</f>
        <v>3.2899999999999996</v>
      </c>
      <c r="K274" s="19">
        <f t="shared" ref="K274:U274" si="1608">39.48/12</f>
        <v>3.2899999999999996</v>
      </c>
      <c r="L274" s="19">
        <f t="shared" si="1608"/>
        <v>3.2899999999999996</v>
      </c>
      <c r="M274" s="19">
        <f t="shared" si="1608"/>
        <v>3.2899999999999996</v>
      </c>
      <c r="N274" s="19">
        <f t="shared" si="1608"/>
        <v>3.2899999999999996</v>
      </c>
      <c r="O274" s="19">
        <f t="shared" si="1608"/>
        <v>3.2899999999999996</v>
      </c>
      <c r="P274" s="19">
        <f t="shared" si="1608"/>
        <v>3.2899999999999996</v>
      </c>
      <c r="Q274" s="19">
        <f t="shared" si="1608"/>
        <v>3.2899999999999996</v>
      </c>
      <c r="R274" s="19">
        <f t="shared" si="1608"/>
        <v>3.2899999999999996</v>
      </c>
      <c r="S274" s="19">
        <f t="shared" si="1608"/>
        <v>3.2899999999999996</v>
      </c>
      <c r="T274" s="19">
        <f t="shared" si="1608"/>
        <v>3.2899999999999996</v>
      </c>
      <c r="U274" s="19">
        <f t="shared" si="1608"/>
        <v>3.2899999999999996</v>
      </c>
      <c r="V274" s="219">
        <f>42/12</f>
        <v>3.5</v>
      </c>
      <c r="W274" s="246">
        <f>V274+3.5</f>
        <v>7</v>
      </c>
      <c r="X274" s="376">
        <f t="shared" ref="X274:AG274" si="1609">W274+3.5</f>
        <v>10.5</v>
      </c>
      <c r="Y274" s="376">
        <f t="shared" si="1609"/>
        <v>14</v>
      </c>
      <c r="Z274" s="376">
        <f t="shared" si="1609"/>
        <v>17.5</v>
      </c>
      <c r="AA274" s="376">
        <f t="shared" si="1609"/>
        <v>21</v>
      </c>
      <c r="AB274" s="376">
        <f t="shared" si="1609"/>
        <v>24.5</v>
      </c>
      <c r="AC274" s="376">
        <f t="shared" si="1609"/>
        <v>28</v>
      </c>
      <c r="AD274" s="376">
        <f t="shared" si="1609"/>
        <v>31.5</v>
      </c>
      <c r="AE274" s="376">
        <f t="shared" si="1609"/>
        <v>35</v>
      </c>
      <c r="AF274" s="376">
        <f t="shared" si="1609"/>
        <v>38.5</v>
      </c>
      <c r="AG274" s="376">
        <f t="shared" si="1609"/>
        <v>42</v>
      </c>
      <c r="AH274" s="31">
        <f>55/12</f>
        <v>4.583333333333333</v>
      </c>
      <c r="AI274" s="19">
        <f>AH274+AH274</f>
        <v>9.1666666666666661</v>
      </c>
      <c r="AJ274" s="19"/>
      <c r="AK274" s="408"/>
      <c r="AL274" s="40">
        <f>J274</f>
        <v>3.2899999999999996</v>
      </c>
      <c r="AM274" s="40">
        <f t="shared" ref="AM274:AW275" si="1610">K274</f>
        <v>3.2899999999999996</v>
      </c>
      <c r="AN274" s="40">
        <f t="shared" si="1610"/>
        <v>3.2899999999999996</v>
      </c>
      <c r="AO274" s="40">
        <f t="shared" si="1610"/>
        <v>3.2899999999999996</v>
      </c>
      <c r="AP274" s="40">
        <f t="shared" si="1610"/>
        <v>3.2899999999999996</v>
      </c>
      <c r="AQ274" s="40">
        <f t="shared" si="1610"/>
        <v>3.2899999999999996</v>
      </c>
      <c r="AR274" s="40">
        <f t="shared" si="1610"/>
        <v>3.2899999999999996</v>
      </c>
      <c r="AS274" s="40">
        <f t="shared" si="1610"/>
        <v>3.2899999999999996</v>
      </c>
      <c r="AT274" s="40">
        <f t="shared" si="1610"/>
        <v>3.2899999999999996</v>
      </c>
      <c r="AU274" s="40">
        <f t="shared" si="1610"/>
        <v>3.2899999999999996</v>
      </c>
      <c r="AV274" s="40">
        <f t="shared" si="1610"/>
        <v>3.2899999999999996</v>
      </c>
      <c r="AW274" s="40">
        <f t="shared" si="1610"/>
        <v>3.2899999999999996</v>
      </c>
      <c r="AX274" s="40">
        <f>V274</f>
        <v>3.5</v>
      </c>
      <c r="AY274" s="40">
        <f t="shared" si="1548"/>
        <v>3.5</v>
      </c>
      <c r="AZ274" s="40">
        <f t="shared" si="1549"/>
        <v>3.5</v>
      </c>
      <c r="BA274" s="40">
        <f>Y274-X274</f>
        <v>3.5</v>
      </c>
      <c r="BB274" s="40">
        <f t="shared" si="1550"/>
        <v>3.5</v>
      </c>
      <c r="BC274" s="40">
        <f t="shared" si="1551"/>
        <v>3.5</v>
      </c>
      <c r="BD274" s="40">
        <f t="shared" si="1552"/>
        <v>3.5</v>
      </c>
      <c r="BE274" s="40">
        <f t="shared" si="1553"/>
        <v>3.5</v>
      </c>
      <c r="BF274" s="40">
        <f t="shared" si="1554"/>
        <v>3.5</v>
      </c>
      <c r="BG274" s="40">
        <f t="shared" si="1555"/>
        <v>3.5</v>
      </c>
      <c r="BH274" s="40">
        <f t="shared" si="1556"/>
        <v>3.5</v>
      </c>
      <c r="BI274" s="40">
        <f t="shared" si="1557"/>
        <v>3.5</v>
      </c>
      <c r="BJ274" s="40">
        <f>AH274</f>
        <v>4.583333333333333</v>
      </c>
      <c r="BK274" s="40">
        <f t="shared" si="1603"/>
        <v>9.1666666666666661</v>
      </c>
      <c r="BL274" s="40">
        <f t="shared" si="1603"/>
        <v>0</v>
      </c>
      <c r="BM274" s="408"/>
      <c r="BN274" s="48">
        <f t="shared" si="1568"/>
        <v>9.8699999999999992</v>
      </c>
      <c r="BO274" s="48">
        <f t="shared" si="1569"/>
        <v>9.8699999999999992</v>
      </c>
      <c r="BP274" s="48">
        <f t="shared" si="1570"/>
        <v>9.8699999999999992</v>
      </c>
      <c r="BQ274" s="48">
        <f t="shared" si="1571"/>
        <v>9.8699999999999992</v>
      </c>
      <c r="BR274" s="48">
        <f t="shared" si="1572"/>
        <v>9.8699999999999992</v>
      </c>
      <c r="BS274" s="48">
        <f t="shared" si="1573"/>
        <v>9.8699999999999992</v>
      </c>
      <c r="BT274" s="48">
        <f t="shared" si="1574"/>
        <v>9.8699999999999992</v>
      </c>
      <c r="BU274" s="48">
        <f t="shared" si="1575"/>
        <v>9.8699999999999992</v>
      </c>
      <c r="BV274" s="48">
        <f t="shared" si="1576"/>
        <v>9.8699999999999992</v>
      </c>
      <c r="BW274" s="48">
        <f t="shared" si="1577"/>
        <v>9.8699999999999992</v>
      </c>
      <c r="BX274" s="48">
        <f t="shared" si="1578"/>
        <v>9.8699999999999992</v>
      </c>
      <c r="BY274" s="48">
        <f t="shared" si="1579"/>
        <v>9.8699999999999992</v>
      </c>
      <c r="BZ274" s="48">
        <f t="shared" si="1580"/>
        <v>10.5</v>
      </c>
      <c r="CA274" s="48">
        <f t="shared" si="1581"/>
        <v>10.5</v>
      </c>
      <c r="CB274" s="48">
        <f t="shared" ref="CB274:CB279" si="1611">X274</f>
        <v>10.5</v>
      </c>
      <c r="CC274" s="48">
        <f t="shared" si="1594"/>
        <v>10.5</v>
      </c>
      <c r="CD274" s="48">
        <f t="shared" si="1595"/>
        <v>10.5</v>
      </c>
      <c r="CE274" s="48">
        <f t="shared" si="1582"/>
        <v>10.5</v>
      </c>
      <c r="CF274" s="48">
        <f t="shared" si="1583"/>
        <v>10.5</v>
      </c>
      <c r="CG274" s="48">
        <f t="shared" si="1584"/>
        <v>10.5</v>
      </c>
      <c r="CH274" s="48">
        <f t="shared" si="1585"/>
        <v>10.5</v>
      </c>
      <c r="CI274" s="48">
        <f t="shared" si="1586"/>
        <v>10.5</v>
      </c>
      <c r="CJ274" s="48">
        <f t="shared" si="1587"/>
        <v>10.5</v>
      </c>
      <c r="CK274" s="48">
        <f t="shared" si="1588"/>
        <v>10.5</v>
      </c>
      <c r="CL274" s="48">
        <f t="shared" si="1589"/>
        <v>13.75</v>
      </c>
      <c r="CM274" s="48">
        <f t="shared" si="1590"/>
        <v>13.75</v>
      </c>
      <c r="CN274" s="48">
        <f>55/4</f>
        <v>13.75</v>
      </c>
      <c r="CO274" s="406"/>
      <c r="CP274" s="48">
        <f t="shared" ref="CP274:DA274" si="1612">I274+AL274</f>
        <v>3.2899999999999996</v>
      </c>
      <c r="CQ274" s="48">
        <f t="shared" si="1612"/>
        <v>6.5799999999999992</v>
      </c>
      <c r="CR274" s="48">
        <f t="shared" si="1612"/>
        <v>6.5799999999999992</v>
      </c>
      <c r="CS274" s="48">
        <f t="shared" si="1612"/>
        <v>6.5799999999999992</v>
      </c>
      <c r="CT274" s="48">
        <f t="shared" si="1612"/>
        <v>6.5799999999999992</v>
      </c>
      <c r="CU274" s="48">
        <f t="shared" si="1612"/>
        <v>6.5799999999999992</v>
      </c>
      <c r="CV274" s="48">
        <f t="shared" si="1612"/>
        <v>6.5799999999999992</v>
      </c>
      <c r="CW274" s="48">
        <f t="shared" si="1612"/>
        <v>6.5799999999999992</v>
      </c>
      <c r="CX274" s="48">
        <f t="shared" si="1612"/>
        <v>6.5799999999999992</v>
      </c>
      <c r="CY274" s="48">
        <f t="shared" si="1612"/>
        <v>6.5799999999999992</v>
      </c>
      <c r="CZ274" s="48">
        <f t="shared" si="1612"/>
        <v>6.5799999999999992</v>
      </c>
      <c r="DA274" s="48">
        <f t="shared" si="1612"/>
        <v>6.5799999999999992</v>
      </c>
      <c r="DB274" s="48">
        <f>AX274</f>
        <v>3.5</v>
      </c>
      <c r="DC274" s="48">
        <f t="shared" ref="DC274:DM274" si="1613">V274+AY274</f>
        <v>7</v>
      </c>
      <c r="DD274" s="48">
        <f t="shared" si="1613"/>
        <v>10.5</v>
      </c>
      <c r="DE274" s="48">
        <f t="shared" si="1613"/>
        <v>14</v>
      </c>
      <c r="DF274" s="48">
        <f t="shared" si="1613"/>
        <v>17.5</v>
      </c>
      <c r="DG274" s="48">
        <f t="shared" si="1613"/>
        <v>21</v>
      </c>
      <c r="DH274" s="48">
        <f t="shared" si="1613"/>
        <v>24.5</v>
      </c>
      <c r="DI274" s="48">
        <f t="shared" si="1613"/>
        <v>28</v>
      </c>
      <c r="DJ274" s="48">
        <f t="shared" si="1613"/>
        <v>31.5</v>
      </c>
      <c r="DK274" s="48">
        <f t="shared" si="1613"/>
        <v>35</v>
      </c>
      <c r="DL274" s="48">
        <f t="shared" si="1613"/>
        <v>38.5</v>
      </c>
      <c r="DM274" s="48">
        <f t="shared" si="1613"/>
        <v>42</v>
      </c>
      <c r="DN274" s="48">
        <f>BJ274</f>
        <v>4.583333333333333</v>
      </c>
      <c r="DO274" s="48">
        <f>AH274+BK274</f>
        <v>13.75</v>
      </c>
      <c r="DP274" s="48">
        <f>AI274+BL274</f>
        <v>9.1666666666666661</v>
      </c>
      <c r="DQ274" s="48"/>
      <c r="DR274" s="48"/>
      <c r="DS274" s="48"/>
      <c r="DT274" s="48"/>
      <c r="DU274" s="48"/>
      <c r="DV274" s="48"/>
      <c r="DW274" s="48"/>
      <c r="DX274" s="48"/>
      <c r="DY274" s="48"/>
      <c r="EA274" s="52">
        <f t="shared" si="1606"/>
        <v>6.5799999999999992</v>
      </c>
      <c r="EB274" s="52">
        <f t="shared" si="1607"/>
        <v>42</v>
      </c>
      <c r="EC274" s="52"/>
      <c r="ED274" s="429"/>
      <c r="EE274" s="51">
        <f t="shared" si="1563"/>
        <v>9.1666666666666661</v>
      </c>
      <c r="EF274" s="51">
        <f t="shared" si="1564"/>
        <v>13.75</v>
      </c>
      <c r="EG274" s="51">
        <v>55</v>
      </c>
      <c r="EH274" s="54"/>
      <c r="EI274" s="54"/>
      <c r="EJ274" s="126"/>
      <c r="EK274" s="675"/>
      <c r="EL274" s="53"/>
      <c r="EM274" s="53"/>
      <c r="EN274" s="53"/>
      <c r="EO274" s="49"/>
      <c r="EP274" s="49"/>
      <c r="EQ274" s="49"/>
    </row>
    <row r="275" spans="1:147">
      <c r="A275" s="6" t="s">
        <v>23</v>
      </c>
      <c r="B275" s="2" t="s">
        <v>6</v>
      </c>
      <c r="C275" s="3" t="s">
        <v>44</v>
      </c>
      <c r="E275" s="3" t="s">
        <v>16</v>
      </c>
      <c r="G275" s="3" t="s">
        <v>89</v>
      </c>
      <c r="I275" s="23"/>
      <c r="J275" s="19">
        <f>12.6/12</f>
        <v>1.05</v>
      </c>
      <c r="K275" s="19">
        <f>J275</f>
        <v>1.05</v>
      </c>
      <c r="L275" s="246">
        <f t="shared" ref="L275:U275" si="1614">K275</f>
        <v>1.05</v>
      </c>
      <c r="M275" s="246">
        <f t="shared" si="1614"/>
        <v>1.05</v>
      </c>
      <c r="N275" s="246">
        <f t="shared" si="1614"/>
        <v>1.05</v>
      </c>
      <c r="O275" s="246">
        <f t="shared" si="1614"/>
        <v>1.05</v>
      </c>
      <c r="P275" s="246">
        <f t="shared" si="1614"/>
        <v>1.05</v>
      </c>
      <c r="Q275" s="246">
        <f t="shared" si="1614"/>
        <v>1.05</v>
      </c>
      <c r="R275" s="246">
        <f t="shared" si="1614"/>
        <v>1.05</v>
      </c>
      <c r="S275" s="246">
        <f t="shared" si="1614"/>
        <v>1.05</v>
      </c>
      <c r="T275" s="246">
        <f t="shared" si="1614"/>
        <v>1.05</v>
      </c>
      <c r="U275" s="246">
        <f t="shared" si="1614"/>
        <v>1.05</v>
      </c>
      <c r="V275" s="246">
        <v>1.75</v>
      </c>
      <c r="W275" s="246">
        <f>V275+1.75</f>
        <v>3.5</v>
      </c>
      <c r="X275" s="376">
        <f t="shared" ref="X275:AG275" si="1615">W275+1.75</f>
        <v>5.25</v>
      </c>
      <c r="Y275" s="376">
        <f t="shared" si="1615"/>
        <v>7</v>
      </c>
      <c r="Z275" s="376">
        <f t="shared" si="1615"/>
        <v>8.75</v>
      </c>
      <c r="AA275" s="376">
        <f t="shared" si="1615"/>
        <v>10.5</v>
      </c>
      <c r="AB275" s="376">
        <f t="shared" si="1615"/>
        <v>12.25</v>
      </c>
      <c r="AC275" s="376">
        <f t="shared" si="1615"/>
        <v>14</v>
      </c>
      <c r="AD275" s="376">
        <f t="shared" si="1615"/>
        <v>15.75</v>
      </c>
      <c r="AE275" s="376">
        <f t="shared" si="1615"/>
        <v>17.5</v>
      </c>
      <c r="AF275" s="376">
        <f t="shared" si="1615"/>
        <v>19.25</v>
      </c>
      <c r="AG275" s="376">
        <f t="shared" si="1615"/>
        <v>21</v>
      </c>
      <c r="AH275" s="31"/>
      <c r="AI275" s="19"/>
      <c r="AJ275" s="19"/>
      <c r="AK275" s="408"/>
      <c r="AL275" s="40">
        <f>J275</f>
        <v>1.05</v>
      </c>
      <c r="AM275" s="40">
        <f t="shared" si="1610"/>
        <v>1.05</v>
      </c>
      <c r="AN275" s="40">
        <f t="shared" si="1610"/>
        <v>1.05</v>
      </c>
      <c r="AO275" s="40">
        <f t="shared" si="1610"/>
        <v>1.05</v>
      </c>
      <c r="AP275" s="40">
        <f t="shared" si="1610"/>
        <v>1.05</v>
      </c>
      <c r="AQ275" s="40">
        <f t="shared" si="1610"/>
        <v>1.05</v>
      </c>
      <c r="AR275" s="40">
        <f t="shared" si="1610"/>
        <v>1.05</v>
      </c>
      <c r="AS275" s="40">
        <f t="shared" si="1610"/>
        <v>1.05</v>
      </c>
      <c r="AT275" s="40">
        <f t="shared" si="1610"/>
        <v>1.05</v>
      </c>
      <c r="AU275" s="40">
        <f t="shared" si="1610"/>
        <v>1.05</v>
      </c>
      <c r="AV275" s="40">
        <f t="shared" si="1610"/>
        <v>1.05</v>
      </c>
      <c r="AW275" s="40">
        <f t="shared" si="1610"/>
        <v>1.05</v>
      </c>
      <c r="AX275" s="40">
        <f>V275</f>
        <v>1.75</v>
      </c>
      <c r="AY275" s="40">
        <f>W275-SUM($AX275:AX275)</f>
        <v>1.75</v>
      </c>
      <c r="AZ275" s="40">
        <f>X275-SUM($AX275:AY275)</f>
        <v>1.75</v>
      </c>
      <c r="BA275" s="40">
        <f>Y275-SUM($AX275:AZ275)</f>
        <v>1.75</v>
      </c>
      <c r="BB275" s="40">
        <f>Z275-SUM($AX275:BA275)</f>
        <v>1.75</v>
      </c>
      <c r="BC275" s="40">
        <f>AA275-SUM($AX275:BB275)</f>
        <v>1.75</v>
      </c>
      <c r="BD275" s="40">
        <f>AB275-SUM($AX275:BC275)</f>
        <v>1.75</v>
      </c>
      <c r="BE275" s="40">
        <f>AC275-SUM($AX275:BD275)</f>
        <v>1.75</v>
      </c>
      <c r="BF275" s="40">
        <f>AD275-SUM($AX275:BE275)</f>
        <v>1.75</v>
      </c>
      <c r="BG275" s="40">
        <f>AE275-SUM($AX275:BF275)</f>
        <v>1.75</v>
      </c>
      <c r="BH275" s="40">
        <f>AF275-SUM($AX275:BG275)</f>
        <v>1.75</v>
      </c>
      <c r="BI275" s="40">
        <f>AG275-SUM($AX275:BH275)</f>
        <v>1.75</v>
      </c>
      <c r="BJ275" s="40">
        <v>0</v>
      </c>
      <c r="BK275" s="40">
        <v>0</v>
      </c>
      <c r="BL275" s="40">
        <v>0</v>
      </c>
      <c r="BM275" s="408"/>
      <c r="BN275" s="48">
        <f t="shared" si="1568"/>
        <v>3.1500000000000004</v>
      </c>
      <c r="BO275" s="48">
        <f t="shared" si="1569"/>
        <v>3.1500000000000004</v>
      </c>
      <c r="BP275" s="48">
        <f>SUM(AL275:AN275)</f>
        <v>3.1500000000000004</v>
      </c>
      <c r="BQ275" s="48">
        <f t="shared" si="1571"/>
        <v>3.1500000000000004</v>
      </c>
      <c r="BR275" s="48">
        <f t="shared" si="1572"/>
        <v>3.1500000000000004</v>
      </c>
      <c r="BS275" s="48">
        <f>SUM(AO275:AQ275)</f>
        <v>3.1500000000000004</v>
      </c>
      <c r="BT275" s="48">
        <f t="shared" si="1574"/>
        <v>3.1500000000000004</v>
      </c>
      <c r="BU275" s="48">
        <f t="shared" si="1575"/>
        <v>3.1500000000000004</v>
      </c>
      <c r="BV275" s="48">
        <f>SUM(AR275:AT275)</f>
        <v>3.1500000000000004</v>
      </c>
      <c r="BW275" s="48">
        <f t="shared" si="1577"/>
        <v>3.1500000000000004</v>
      </c>
      <c r="BX275" s="48">
        <f t="shared" si="1578"/>
        <v>3.1500000000000004</v>
      </c>
      <c r="BY275" s="48">
        <f>SUM(AU275:AW275)</f>
        <v>3.1500000000000004</v>
      </c>
      <c r="BZ275" s="48">
        <f t="shared" si="1580"/>
        <v>5.25</v>
      </c>
      <c r="CA275" s="48">
        <f t="shared" si="1581"/>
        <v>5.25</v>
      </c>
      <c r="CB275" s="48">
        <f t="shared" si="1611"/>
        <v>5.25</v>
      </c>
      <c r="CC275" s="48">
        <f t="shared" si="1594"/>
        <v>5.25</v>
      </c>
      <c r="CD275" s="48">
        <f t="shared" si="1595"/>
        <v>5.25</v>
      </c>
      <c r="CE275" s="48">
        <f>SUM(BA275:BC275)</f>
        <v>5.25</v>
      </c>
      <c r="CF275" s="48">
        <f t="shared" si="1583"/>
        <v>5.25</v>
      </c>
      <c r="CG275" s="48">
        <f t="shared" si="1584"/>
        <v>5.25</v>
      </c>
      <c r="CH275" s="48">
        <f>SUM(BD275:BF275)</f>
        <v>5.25</v>
      </c>
      <c r="CI275" s="48">
        <f t="shared" si="1586"/>
        <v>5.25</v>
      </c>
      <c r="CJ275" s="48">
        <f t="shared" si="1587"/>
        <v>5.25</v>
      </c>
      <c r="CK275" s="48">
        <f>SUM(BG275:BI275)</f>
        <v>5.25</v>
      </c>
      <c r="CL275" s="48">
        <f t="shared" si="1589"/>
        <v>0</v>
      </c>
      <c r="CM275" s="48">
        <f t="shared" si="1590"/>
        <v>0</v>
      </c>
      <c r="CN275" s="48">
        <f t="shared" si="1559"/>
        <v>0</v>
      </c>
      <c r="CO275" s="406"/>
      <c r="CP275" s="48">
        <f>AL275</f>
        <v>1.05</v>
      </c>
      <c r="CQ275" s="48">
        <f t="shared" ref="CQ275:DA275" si="1616">CP275+AM275</f>
        <v>2.1</v>
      </c>
      <c r="CR275" s="48">
        <f t="shared" si="1616"/>
        <v>3.1500000000000004</v>
      </c>
      <c r="CS275" s="48">
        <f t="shared" si="1616"/>
        <v>4.2</v>
      </c>
      <c r="CT275" s="48">
        <f t="shared" si="1616"/>
        <v>5.25</v>
      </c>
      <c r="CU275" s="48">
        <f t="shared" si="1616"/>
        <v>6.3</v>
      </c>
      <c r="CV275" s="48">
        <f t="shared" si="1616"/>
        <v>7.35</v>
      </c>
      <c r="CW275" s="48">
        <f t="shared" si="1616"/>
        <v>8.4</v>
      </c>
      <c r="CX275" s="48">
        <f t="shared" si="1616"/>
        <v>9.4500000000000011</v>
      </c>
      <c r="CY275" s="48">
        <f t="shared" si="1616"/>
        <v>10.500000000000002</v>
      </c>
      <c r="CZ275" s="48">
        <f t="shared" si="1616"/>
        <v>11.550000000000002</v>
      </c>
      <c r="DA275" s="48">
        <f t="shared" si="1616"/>
        <v>12.600000000000003</v>
      </c>
      <c r="DB275" s="48">
        <f>AX275</f>
        <v>1.75</v>
      </c>
      <c r="DC275" s="48">
        <f t="shared" ref="DC275:DM275" si="1617">DB275+AY275</f>
        <v>3.5</v>
      </c>
      <c r="DD275" s="48">
        <f t="shared" si="1617"/>
        <v>5.25</v>
      </c>
      <c r="DE275" s="48">
        <f t="shared" si="1617"/>
        <v>7</v>
      </c>
      <c r="DF275" s="48">
        <f t="shared" si="1617"/>
        <v>8.75</v>
      </c>
      <c r="DG275" s="48">
        <f t="shared" si="1617"/>
        <v>10.5</v>
      </c>
      <c r="DH275" s="48">
        <f t="shared" si="1617"/>
        <v>12.25</v>
      </c>
      <c r="DI275" s="48">
        <f t="shared" si="1617"/>
        <v>14</v>
      </c>
      <c r="DJ275" s="48">
        <f t="shared" si="1617"/>
        <v>15.75</v>
      </c>
      <c r="DK275" s="48">
        <f t="shared" si="1617"/>
        <v>17.5</v>
      </c>
      <c r="DL275" s="48">
        <f t="shared" si="1617"/>
        <v>19.25</v>
      </c>
      <c r="DM275" s="48">
        <f t="shared" si="1617"/>
        <v>21</v>
      </c>
      <c r="DN275" s="48">
        <f>BJ275</f>
        <v>0</v>
      </c>
      <c r="DO275" s="48">
        <f>DN275+BK275</f>
        <v>0</v>
      </c>
      <c r="DP275" s="48">
        <f>DO275+BL275</f>
        <v>0</v>
      </c>
      <c r="DQ275" s="48"/>
      <c r="DR275" s="48"/>
      <c r="DS275" s="48"/>
      <c r="DT275" s="48"/>
      <c r="DU275" s="48"/>
      <c r="DV275" s="48"/>
      <c r="DW275" s="48"/>
      <c r="DX275" s="48"/>
      <c r="DY275" s="48"/>
      <c r="EA275" s="52">
        <f t="shared" si="1606"/>
        <v>12.600000000000003</v>
      </c>
      <c r="EB275" s="52">
        <f t="shared" si="1607"/>
        <v>21</v>
      </c>
      <c r="EC275" s="52"/>
      <c r="ED275" s="429"/>
      <c r="EE275" s="51">
        <f t="shared" si="1563"/>
        <v>0</v>
      </c>
      <c r="EF275" s="51">
        <f t="shared" si="1564"/>
        <v>0</v>
      </c>
      <c r="EG275" s="51">
        <f t="shared" ref="EG275:EG283" si="1618">HLOOKUP($EJ$4,Budget,ROW()-1)</f>
        <v>21</v>
      </c>
      <c r="EH275" s="54"/>
      <c r="EI275" s="54"/>
      <c r="EJ275" s="54"/>
      <c r="EK275" s="675"/>
      <c r="EL275" s="53"/>
      <c r="EM275" s="53"/>
      <c r="EN275" s="53"/>
      <c r="EO275" s="49"/>
      <c r="EP275" s="49"/>
      <c r="EQ275" s="49"/>
    </row>
    <row r="276" spans="1:147" s="14" customFormat="1">
      <c r="A276" s="15" t="s">
        <v>23</v>
      </c>
      <c r="B276" s="14" t="s">
        <v>7</v>
      </c>
      <c r="C276" s="16" t="s">
        <v>45</v>
      </c>
      <c r="D276" s="16"/>
      <c r="E276" s="16" t="s">
        <v>16</v>
      </c>
      <c r="F276" s="16"/>
      <c r="G276" s="16" t="s">
        <v>89</v>
      </c>
      <c r="H276" s="16"/>
      <c r="I276" s="24"/>
      <c r="J276" s="25">
        <v>0.95</v>
      </c>
      <c r="K276" s="25">
        <f t="shared" ref="K276:U276" si="1619">J276</f>
        <v>0.95</v>
      </c>
      <c r="L276" s="25">
        <f t="shared" si="1619"/>
        <v>0.95</v>
      </c>
      <c r="M276" s="25">
        <f t="shared" si="1619"/>
        <v>0.95</v>
      </c>
      <c r="N276" s="25">
        <f t="shared" si="1619"/>
        <v>0.95</v>
      </c>
      <c r="O276" s="25">
        <f t="shared" si="1619"/>
        <v>0.95</v>
      </c>
      <c r="P276" s="25">
        <f t="shared" si="1619"/>
        <v>0.95</v>
      </c>
      <c r="Q276" s="25">
        <f t="shared" si="1619"/>
        <v>0.95</v>
      </c>
      <c r="R276" s="25">
        <f t="shared" si="1619"/>
        <v>0.95</v>
      </c>
      <c r="S276" s="25">
        <f t="shared" si="1619"/>
        <v>0.95</v>
      </c>
      <c r="T276" s="25">
        <f t="shared" si="1619"/>
        <v>0.95</v>
      </c>
      <c r="U276" s="25">
        <f t="shared" si="1619"/>
        <v>0.95</v>
      </c>
      <c r="V276" s="220">
        <f>$AG276</f>
        <v>0.95</v>
      </c>
      <c r="W276" s="250">
        <f t="shared" ref="W276:AF276" si="1620">$AG276</f>
        <v>0.95</v>
      </c>
      <c r="X276" s="250">
        <f t="shared" si="1620"/>
        <v>0.95</v>
      </c>
      <c r="Y276" s="250">
        <f t="shared" si="1620"/>
        <v>0.95</v>
      </c>
      <c r="Z276" s="250">
        <f t="shared" si="1620"/>
        <v>0.95</v>
      </c>
      <c r="AA276" s="250">
        <f t="shared" si="1620"/>
        <v>0.95</v>
      </c>
      <c r="AB276" s="250">
        <f t="shared" si="1620"/>
        <v>0.95</v>
      </c>
      <c r="AC276" s="250">
        <f t="shared" si="1620"/>
        <v>0.95</v>
      </c>
      <c r="AD276" s="250">
        <f t="shared" si="1620"/>
        <v>0.95</v>
      </c>
      <c r="AE276" s="250">
        <f t="shared" si="1620"/>
        <v>0.95</v>
      </c>
      <c r="AF276" s="250">
        <f t="shared" si="1620"/>
        <v>0.95</v>
      </c>
      <c r="AG276" s="250">
        <v>0.95</v>
      </c>
      <c r="AH276" s="33">
        <v>0.95</v>
      </c>
      <c r="AI276" s="220">
        <v>0.95</v>
      </c>
      <c r="AJ276" s="220">
        <v>0.95</v>
      </c>
      <c r="AK276" s="412"/>
      <c r="AL276" s="55">
        <f>J276</f>
        <v>0.95</v>
      </c>
      <c r="AM276" s="55">
        <f t="shared" ref="AM276:AW276" si="1621">K276</f>
        <v>0.95</v>
      </c>
      <c r="AN276" s="55">
        <f t="shared" si="1621"/>
        <v>0.95</v>
      </c>
      <c r="AO276" s="55">
        <f t="shared" si="1621"/>
        <v>0.95</v>
      </c>
      <c r="AP276" s="55">
        <f t="shared" si="1621"/>
        <v>0.95</v>
      </c>
      <c r="AQ276" s="55">
        <f t="shared" si="1621"/>
        <v>0.95</v>
      </c>
      <c r="AR276" s="55">
        <f t="shared" si="1621"/>
        <v>0.95</v>
      </c>
      <c r="AS276" s="55">
        <f t="shared" si="1621"/>
        <v>0.95</v>
      </c>
      <c r="AT276" s="55">
        <f t="shared" si="1621"/>
        <v>0.95</v>
      </c>
      <c r="AU276" s="55">
        <f t="shared" si="1621"/>
        <v>0.95</v>
      </c>
      <c r="AV276" s="55">
        <f t="shared" si="1621"/>
        <v>0.95</v>
      </c>
      <c r="AW276" s="55">
        <f t="shared" si="1621"/>
        <v>0.95</v>
      </c>
      <c r="AX276" s="55">
        <f>V276</f>
        <v>0.95</v>
      </c>
      <c r="AY276" s="55">
        <f t="shared" ref="AY276:BI276" si="1622">W276</f>
        <v>0.95</v>
      </c>
      <c r="AZ276" s="55">
        <f t="shared" si="1622"/>
        <v>0.95</v>
      </c>
      <c r="BA276" s="55">
        <f t="shared" si="1622"/>
        <v>0.95</v>
      </c>
      <c r="BB276" s="55">
        <f t="shared" si="1622"/>
        <v>0.95</v>
      </c>
      <c r="BC276" s="55">
        <f t="shared" si="1622"/>
        <v>0.95</v>
      </c>
      <c r="BD276" s="55">
        <f t="shared" si="1622"/>
        <v>0.95</v>
      </c>
      <c r="BE276" s="55">
        <f t="shared" si="1622"/>
        <v>0.95</v>
      </c>
      <c r="BF276" s="55">
        <f t="shared" si="1622"/>
        <v>0.95</v>
      </c>
      <c r="BG276" s="55">
        <f t="shared" si="1622"/>
        <v>0.95</v>
      </c>
      <c r="BH276" s="55">
        <f t="shared" si="1622"/>
        <v>0.95</v>
      </c>
      <c r="BI276" s="55">
        <f t="shared" si="1622"/>
        <v>0.95</v>
      </c>
      <c r="BJ276" s="55">
        <f>AH276</f>
        <v>0.95</v>
      </c>
      <c r="BK276" s="55">
        <f t="shared" ref="BK276:BL276" si="1623">AI276</f>
        <v>0.95</v>
      </c>
      <c r="BL276" s="55">
        <f t="shared" si="1623"/>
        <v>0.95</v>
      </c>
      <c r="BM276" s="410"/>
      <c r="BN276" s="56">
        <f t="shared" si="1568"/>
        <v>0.94999999999999984</v>
      </c>
      <c r="BO276" s="56">
        <f t="shared" si="1569"/>
        <v>0.94999999999999984</v>
      </c>
      <c r="BP276" s="56">
        <f>(AL276*AL275+AM276*AM275+AN276*AN275)/BP275</f>
        <v>0.94999999999999984</v>
      </c>
      <c r="BQ276" s="56">
        <f t="shared" si="1571"/>
        <v>0.94999999999999984</v>
      </c>
      <c r="BR276" s="56">
        <f t="shared" si="1572"/>
        <v>0.94999999999999984</v>
      </c>
      <c r="BS276" s="56">
        <f>(AO276*AO275+AP276*AP275+AQ276*AQ275)/BS275</f>
        <v>0.94999999999999984</v>
      </c>
      <c r="BT276" s="56">
        <f t="shared" si="1574"/>
        <v>0.94999999999999984</v>
      </c>
      <c r="BU276" s="56">
        <f t="shared" si="1575"/>
        <v>0.94999999999999984</v>
      </c>
      <c r="BV276" s="56">
        <f>(AR276*AR275+AS276*AS275+AT276*AT275)/BV275</f>
        <v>0.94999999999999984</v>
      </c>
      <c r="BW276" s="56">
        <f t="shared" si="1577"/>
        <v>0.94999999999999984</v>
      </c>
      <c r="BX276" s="56">
        <f t="shared" si="1578"/>
        <v>0.94999999999999984</v>
      </c>
      <c r="BY276" s="56">
        <f>(AU276*AU275+AV276*AV275+AW276*AW275)/BY275</f>
        <v>0.94999999999999984</v>
      </c>
      <c r="BZ276" s="56">
        <f t="shared" si="1580"/>
        <v>0.95</v>
      </c>
      <c r="CA276" s="56">
        <f t="shared" si="1581"/>
        <v>0.95</v>
      </c>
      <c r="CB276" s="48">
        <f t="shared" si="1611"/>
        <v>0.95</v>
      </c>
      <c r="CC276" s="56">
        <f t="shared" si="1594"/>
        <v>2.8499999999999996</v>
      </c>
      <c r="CD276" s="56">
        <f t="shared" si="1595"/>
        <v>2.8499999999999996</v>
      </c>
      <c r="CE276" s="48">
        <f>SUM(BA276:BC276)</f>
        <v>2.8499999999999996</v>
      </c>
      <c r="CF276" s="56">
        <f t="shared" si="1583"/>
        <v>2.8499999999999996</v>
      </c>
      <c r="CG276" s="56">
        <f t="shared" si="1584"/>
        <v>2.8499999999999996</v>
      </c>
      <c r="CH276" s="48">
        <f>SUM(BD276:BF276)</f>
        <v>2.8499999999999996</v>
      </c>
      <c r="CI276" s="56">
        <f t="shared" si="1586"/>
        <v>2.8499999999999996</v>
      </c>
      <c r="CJ276" s="56">
        <f t="shared" si="1587"/>
        <v>2.8499999999999996</v>
      </c>
      <c r="CK276" s="48">
        <f>SUM(BG276:BI276)</f>
        <v>2.8499999999999996</v>
      </c>
      <c r="CL276" s="56">
        <f t="shared" si="1589"/>
        <v>0.95</v>
      </c>
      <c r="CM276" s="56">
        <f t="shared" si="1590"/>
        <v>0.95</v>
      </c>
      <c r="CN276" s="56">
        <v>0.95</v>
      </c>
      <c r="CO276" s="422"/>
      <c r="CP276" s="56">
        <f t="shared" ref="CP276:DA276" si="1624">CP289/CP275</f>
        <v>0.95</v>
      </c>
      <c r="CQ276" s="56">
        <f t="shared" si="1624"/>
        <v>0.95</v>
      </c>
      <c r="CR276" s="56">
        <f t="shared" si="1624"/>
        <v>0.94999999999999984</v>
      </c>
      <c r="CS276" s="56">
        <f t="shared" si="1624"/>
        <v>0.95</v>
      </c>
      <c r="CT276" s="56">
        <f t="shared" si="1624"/>
        <v>0.95</v>
      </c>
      <c r="CU276" s="56">
        <f t="shared" si="1624"/>
        <v>0.95</v>
      </c>
      <c r="CV276" s="56">
        <f t="shared" si="1624"/>
        <v>0.95</v>
      </c>
      <c r="CW276" s="56">
        <f t="shared" si="1624"/>
        <v>0.94999999999999984</v>
      </c>
      <c r="CX276" s="56">
        <f t="shared" si="1624"/>
        <v>0.94999999999999984</v>
      </c>
      <c r="CY276" s="56">
        <f t="shared" si="1624"/>
        <v>0.94999999999999984</v>
      </c>
      <c r="CZ276" s="56">
        <f t="shared" si="1624"/>
        <v>0.94999999999999984</v>
      </c>
      <c r="DA276" s="56">
        <f t="shared" si="1624"/>
        <v>0.94999999999999984</v>
      </c>
      <c r="DB276" s="56">
        <f t="shared" ref="DB276:DP276" si="1625">DA276</f>
        <v>0.94999999999999984</v>
      </c>
      <c r="DC276" s="56">
        <f t="shared" si="1625"/>
        <v>0.94999999999999984</v>
      </c>
      <c r="DD276" s="56">
        <f t="shared" si="1625"/>
        <v>0.94999999999999984</v>
      </c>
      <c r="DE276" s="56">
        <f t="shared" si="1625"/>
        <v>0.94999999999999984</v>
      </c>
      <c r="DF276" s="56">
        <f t="shared" si="1625"/>
        <v>0.94999999999999984</v>
      </c>
      <c r="DG276" s="56">
        <f t="shared" si="1625"/>
        <v>0.94999999999999984</v>
      </c>
      <c r="DH276" s="56">
        <f t="shared" si="1625"/>
        <v>0.94999999999999984</v>
      </c>
      <c r="DI276" s="56">
        <f t="shared" si="1625"/>
        <v>0.94999999999999984</v>
      </c>
      <c r="DJ276" s="56">
        <f t="shared" si="1625"/>
        <v>0.94999999999999984</v>
      </c>
      <c r="DK276" s="56">
        <f t="shared" si="1625"/>
        <v>0.94999999999999984</v>
      </c>
      <c r="DL276" s="56">
        <f t="shared" si="1625"/>
        <v>0.94999999999999984</v>
      </c>
      <c r="DM276" s="56">
        <f t="shared" si="1625"/>
        <v>0.94999999999999984</v>
      </c>
      <c r="DN276" s="56">
        <f t="shared" si="1625"/>
        <v>0.94999999999999984</v>
      </c>
      <c r="DO276" s="56">
        <f t="shared" si="1625"/>
        <v>0.94999999999999984</v>
      </c>
      <c r="DP276" s="56">
        <f t="shared" si="1625"/>
        <v>0.94999999999999984</v>
      </c>
      <c r="DQ276" s="56"/>
      <c r="DR276" s="56"/>
      <c r="DS276" s="56"/>
      <c r="DT276" s="56"/>
      <c r="DU276" s="56"/>
      <c r="DV276" s="56"/>
      <c r="DW276" s="56"/>
      <c r="DX276" s="56"/>
      <c r="DY276" s="56"/>
      <c r="EA276" s="55">
        <f t="shared" si="1606"/>
        <v>0.94999999999999984</v>
      </c>
      <c r="EB276" s="55">
        <f t="shared" si="1607"/>
        <v>0.94999999999999984</v>
      </c>
      <c r="EC276" s="55"/>
      <c r="ED276" s="430"/>
      <c r="EE276" s="56">
        <f t="shared" si="1563"/>
        <v>0.95</v>
      </c>
      <c r="EF276" s="56">
        <f t="shared" si="1564"/>
        <v>0.95</v>
      </c>
      <c r="EG276" s="56">
        <f t="shared" si="1618"/>
        <v>0.94999999999999984</v>
      </c>
      <c r="EH276" s="57"/>
      <c r="EI276" s="57"/>
      <c r="EJ276" s="57"/>
      <c r="EK276" s="675"/>
      <c r="EL276" s="55"/>
      <c r="EM276" s="55"/>
      <c r="EN276" s="55"/>
      <c r="EO276" s="49"/>
      <c r="EP276" s="49"/>
      <c r="EQ276" s="49"/>
    </row>
    <row r="277" spans="1:147">
      <c r="A277" s="6" t="s">
        <v>23</v>
      </c>
      <c r="B277" s="2" t="s">
        <v>8</v>
      </c>
      <c r="C277" s="3" t="s">
        <v>86</v>
      </c>
      <c r="E277" s="3" t="s">
        <v>16</v>
      </c>
      <c r="G277" s="3" t="s">
        <v>91</v>
      </c>
      <c r="I277" s="23"/>
      <c r="J277" s="19">
        <f>25/12</f>
        <v>2.0833333333333335</v>
      </c>
      <c r="K277" s="19">
        <f>J277+2.0833333</f>
        <v>4.1666666333333335</v>
      </c>
      <c r="L277" s="19">
        <f t="shared" ref="L277:U277" si="1626">K277+2.0833333</f>
        <v>6.2499999333333331</v>
      </c>
      <c r="M277" s="19">
        <f t="shared" si="1626"/>
        <v>8.3333332333333328</v>
      </c>
      <c r="N277" s="19">
        <f t="shared" si="1626"/>
        <v>10.416666533333332</v>
      </c>
      <c r="O277" s="19">
        <f t="shared" si="1626"/>
        <v>12.499999833333332</v>
      </c>
      <c r="P277" s="19">
        <f t="shared" si="1626"/>
        <v>14.583333133333332</v>
      </c>
      <c r="Q277" s="19">
        <f t="shared" si="1626"/>
        <v>16.666666433333333</v>
      </c>
      <c r="R277" s="19">
        <f t="shared" si="1626"/>
        <v>18.749999733333333</v>
      </c>
      <c r="S277" s="19">
        <f t="shared" si="1626"/>
        <v>20.833333033333332</v>
      </c>
      <c r="T277" s="19">
        <f t="shared" si="1626"/>
        <v>22.916666333333332</v>
      </c>
      <c r="U277" s="19">
        <f t="shared" si="1626"/>
        <v>24.999999633333331</v>
      </c>
      <c r="V277" s="219">
        <v>1.1659999999999999</v>
      </c>
      <c r="W277" s="246">
        <f>V277+1.166</f>
        <v>2.3319999999999999</v>
      </c>
      <c r="X277" s="376">
        <f t="shared" ref="X277:AG277" si="1627">W277+1.166</f>
        <v>3.4979999999999998</v>
      </c>
      <c r="Y277" s="376">
        <f t="shared" si="1627"/>
        <v>4.6639999999999997</v>
      </c>
      <c r="Z277" s="376">
        <f t="shared" si="1627"/>
        <v>5.83</v>
      </c>
      <c r="AA277" s="376">
        <f t="shared" si="1627"/>
        <v>6.9960000000000004</v>
      </c>
      <c r="AB277" s="376">
        <f t="shared" si="1627"/>
        <v>8.1620000000000008</v>
      </c>
      <c r="AC277" s="376">
        <f t="shared" si="1627"/>
        <v>9.3280000000000012</v>
      </c>
      <c r="AD277" s="376">
        <f t="shared" si="1627"/>
        <v>10.494000000000002</v>
      </c>
      <c r="AE277" s="376">
        <f t="shared" si="1627"/>
        <v>11.660000000000002</v>
      </c>
      <c r="AF277" s="376">
        <f t="shared" si="1627"/>
        <v>12.826000000000002</v>
      </c>
      <c r="AG277" s="189">
        <f t="shared" si="1627"/>
        <v>13.992000000000003</v>
      </c>
      <c r="AH277" s="31"/>
      <c r="AI277" s="19"/>
      <c r="AJ277" s="19"/>
      <c r="AK277" s="408"/>
      <c r="AL277" s="40">
        <f>J277</f>
        <v>2.0833333333333335</v>
      </c>
      <c r="AM277" s="40">
        <f>K277-J277</f>
        <v>2.0833333000000001</v>
      </c>
      <c r="AN277" s="40">
        <f t="shared" ref="AN277:AN283" si="1628">L277-K277</f>
        <v>2.0833332999999996</v>
      </c>
      <c r="AO277" s="40">
        <f t="shared" ref="AO277:AO283" si="1629">M277-L277</f>
        <v>2.0833332999999996</v>
      </c>
      <c r="AP277" s="40">
        <f t="shared" ref="AP277:AP283" si="1630">N277-M277</f>
        <v>2.0833332999999996</v>
      </c>
      <c r="AQ277" s="40">
        <f t="shared" ref="AQ277:AQ283" si="1631">O277-N277</f>
        <v>2.0833332999999996</v>
      </c>
      <c r="AR277" s="40">
        <f t="shared" ref="AR277:AR283" si="1632">P277-O277</f>
        <v>2.0833332999999996</v>
      </c>
      <c r="AS277" s="40">
        <f t="shared" ref="AS277:AS283" si="1633">Q277-P277</f>
        <v>2.0833333000000014</v>
      </c>
      <c r="AT277" s="40">
        <f t="shared" ref="AT277:AT283" si="1634">R277-Q277</f>
        <v>2.0833332999999996</v>
      </c>
      <c r="AU277" s="40">
        <f t="shared" ref="AU277:AU283" si="1635">S277-R277</f>
        <v>2.0833332999999996</v>
      </c>
      <c r="AV277" s="40">
        <f t="shared" ref="AV277:AV283" si="1636">T277-S277</f>
        <v>2.0833332999999996</v>
      </c>
      <c r="AW277" s="40">
        <f t="shared" ref="AW277:AW283" si="1637">U277-T277</f>
        <v>2.0833332999999996</v>
      </c>
      <c r="AX277" s="40">
        <f>V277</f>
        <v>1.1659999999999999</v>
      </c>
      <c r="AY277" s="40">
        <f t="shared" ref="AY277:AY283" si="1638">W277-V277</f>
        <v>1.1659999999999999</v>
      </c>
      <c r="AZ277" s="40">
        <f t="shared" ref="AZ277:AZ283" si="1639">X277-W277</f>
        <v>1.1659999999999999</v>
      </c>
      <c r="BA277" s="40">
        <f t="shared" ref="BA277:BA283" si="1640">Y277-X277</f>
        <v>1.1659999999999999</v>
      </c>
      <c r="BB277" s="40">
        <f t="shared" ref="BB277:BB283" si="1641">Z277-Y277</f>
        <v>1.1660000000000004</v>
      </c>
      <c r="BC277" s="40">
        <f t="shared" ref="BC277:BC283" si="1642">AA277-Z277</f>
        <v>1.1660000000000004</v>
      </c>
      <c r="BD277" s="40">
        <f t="shared" ref="BD277:BD283" si="1643">AB277-AA277</f>
        <v>1.1660000000000004</v>
      </c>
      <c r="BE277" s="40">
        <f t="shared" ref="BE277:BE283" si="1644">AC277-AB277</f>
        <v>1.1660000000000004</v>
      </c>
      <c r="BF277" s="40">
        <f t="shared" ref="BF277:BF283" si="1645">AD277-AC277</f>
        <v>1.1660000000000004</v>
      </c>
      <c r="BG277" s="40">
        <f t="shared" ref="BG277:BG283" si="1646">AE277-AD277</f>
        <v>1.1660000000000004</v>
      </c>
      <c r="BH277" s="40">
        <f t="shared" ref="BH277:BH283" si="1647">AF277-AE277</f>
        <v>1.1660000000000004</v>
      </c>
      <c r="BI277" s="40">
        <f t="shared" ref="BI277:BI283" si="1648">AG277-AF277</f>
        <v>1.1660000000000004</v>
      </c>
      <c r="BJ277" s="40">
        <f t="shared" ref="BJ277:BJ282" si="1649">AH277</f>
        <v>0</v>
      </c>
      <c r="BK277" s="40">
        <f t="shared" ref="BK277:BK283" si="1650">AI277-AH277</f>
        <v>0</v>
      </c>
      <c r="BL277" s="40">
        <f t="shared" ref="BL277:BL283" si="1651">AJ277-AI277</f>
        <v>0</v>
      </c>
      <c r="BM277" s="408"/>
      <c r="BN277" s="48">
        <f t="shared" si="1568"/>
        <v>6.2499999333333331</v>
      </c>
      <c r="BO277" s="48">
        <f t="shared" si="1569"/>
        <v>6.2499999333333331</v>
      </c>
      <c r="BP277" s="48">
        <f t="shared" ref="BP277:BP282" si="1652">SUM(AL277:AN277)</f>
        <v>6.2499999333333331</v>
      </c>
      <c r="BQ277" s="48">
        <f t="shared" si="1571"/>
        <v>6.2499998999999988</v>
      </c>
      <c r="BR277" s="48">
        <f t="shared" si="1572"/>
        <v>6.2499998999999988</v>
      </c>
      <c r="BS277" s="48">
        <f t="shared" ref="BS277:BS282" si="1653">SUM(AO277:AQ277)</f>
        <v>6.2499998999999988</v>
      </c>
      <c r="BT277" s="48">
        <f t="shared" si="1574"/>
        <v>6.2499999000000006</v>
      </c>
      <c r="BU277" s="48">
        <f t="shared" si="1575"/>
        <v>6.2499999000000006</v>
      </c>
      <c r="BV277" s="48">
        <f t="shared" ref="BV277:BV282" si="1654">SUM(AR277:AT277)</f>
        <v>6.2499999000000006</v>
      </c>
      <c r="BW277" s="48">
        <f t="shared" si="1577"/>
        <v>6.2499998999999988</v>
      </c>
      <c r="BX277" s="48">
        <f t="shared" si="1578"/>
        <v>6.2499998999999988</v>
      </c>
      <c r="BY277" s="48">
        <f t="shared" ref="BY277:BY282" si="1655">SUM(AU277:AW277)</f>
        <v>6.2499998999999988</v>
      </c>
      <c r="BZ277" s="48">
        <f t="shared" si="1580"/>
        <v>3.4979999999999998</v>
      </c>
      <c r="CA277" s="48">
        <f t="shared" si="1581"/>
        <v>3.4979999999999998</v>
      </c>
      <c r="CB277" s="48">
        <f t="shared" si="1611"/>
        <v>3.4979999999999998</v>
      </c>
      <c r="CC277" s="48">
        <f t="shared" si="1594"/>
        <v>3.4980000000000007</v>
      </c>
      <c r="CD277" s="48">
        <f t="shared" si="1595"/>
        <v>3.4980000000000007</v>
      </c>
      <c r="CE277" s="48">
        <f>SUM(BA277:BC277)</f>
        <v>3.4980000000000007</v>
      </c>
      <c r="CF277" s="48">
        <f t="shared" si="1583"/>
        <v>3.4980000000000011</v>
      </c>
      <c r="CG277" s="48">
        <f t="shared" si="1584"/>
        <v>3.4980000000000011</v>
      </c>
      <c r="CH277" s="48">
        <f>SUM(BD277:BF277)</f>
        <v>3.4980000000000011</v>
      </c>
      <c r="CI277" s="48">
        <f t="shared" si="1586"/>
        <v>3.4980000000000011</v>
      </c>
      <c r="CJ277" s="48">
        <f t="shared" si="1587"/>
        <v>3.4980000000000011</v>
      </c>
      <c r="CK277" s="48">
        <f>SUM(BG277:BI277)</f>
        <v>3.4980000000000011</v>
      </c>
      <c r="CL277" s="48">
        <f t="shared" si="1589"/>
        <v>0</v>
      </c>
      <c r="CM277" s="48">
        <f t="shared" si="1590"/>
        <v>0</v>
      </c>
      <c r="CN277" s="48">
        <f t="shared" ref="CN277:CN283" si="1656">SUM(BJ277:BL277)</f>
        <v>0</v>
      </c>
      <c r="CO277" s="406"/>
      <c r="CP277" s="48">
        <f>AL277</f>
        <v>2.0833333333333335</v>
      </c>
      <c r="CQ277" s="48">
        <f t="shared" ref="CQ277:CQ283" si="1657">CP277+AM277</f>
        <v>4.1666666333333335</v>
      </c>
      <c r="CR277" s="48">
        <f t="shared" ref="CR277:CR283" si="1658">CQ277+AN277</f>
        <v>6.2499999333333331</v>
      </c>
      <c r="CS277" s="48">
        <f t="shared" ref="CS277:CS283" si="1659">CR277+AO277</f>
        <v>8.3333332333333328</v>
      </c>
      <c r="CT277" s="48">
        <f t="shared" ref="CT277:CT283" si="1660">CS277+AP277</f>
        <v>10.416666533333332</v>
      </c>
      <c r="CU277" s="48">
        <f t="shared" ref="CU277:CU283" si="1661">CT277+AQ277</f>
        <v>12.499999833333332</v>
      </c>
      <c r="CV277" s="48">
        <f t="shared" ref="CV277:CV283" si="1662">CU277+AR277</f>
        <v>14.583333133333332</v>
      </c>
      <c r="CW277" s="48">
        <f t="shared" ref="CW277:CW283" si="1663">CV277+AS277</f>
        <v>16.666666433333333</v>
      </c>
      <c r="CX277" s="48">
        <f t="shared" ref="CX277:CX283" si="1664">CW277+AT277</f>
        <v>18.749999733333333</v>
      </c>
      <c r="CY277" s="48">
        <f t="shared" ref="CY277:CY283" si="1665">CX277+AU277</f>
        <v>20.833333033333332</v>
      </c>
      <c r="CZ277" s="48">
        <f t="shared" ref="CZ277:CZ283" si="1666">CY277+AV277</f>
        <v>22.916666333333332</v>
      </c>
      <c r="DA277" s="48">
        <f t="shared" ref="DA277:DA283" si="1667">CZ277+AW277</f>
        <v>24.999999633333331</v>
      </c>
      <c r="DB277" s="48">
        <f>AX277</f>
        <v>1.1659999999999999</v>
      </c>
      <c r="DC277" s="48">
        <f t="shared" ref="DC277:DC283" si="1668">DB277+AY277</f>
        <v>2.3319999999999999</v>
      </c>
      <c r="DD277" s="48">
        <f t="shared" ref="DD277:DD283" si="1669">DC277+AZ277</f>
        <v>3.4979999999999998</v>
      </c>
      <c r="DE277" s="48">
        <f t="shared" ref="DE277:DE283" si="1670">DD277+BA277</f>
        <v>4.6639999999999997</v>
      </c>
      <c r="DF277" s="48">
        <f t="shared" ref="DF277:DF283" si="1671">DE277+BB277</f>
        <v>5.83</v>
      </c>
      <c r="DG277" s="48">
        <f t="shared" ref="DG277:DG283" si="1672">DF277+BC277</f>
        <v>6.9960000000000004</v>
      </c>
      <c r="DH277" s="48">
        <f t="shared" ref="DH277:DH283" si="1673">DG277+BD277</f>
        <v>8.1620000000000008</v>
      </c>
      <c r="DI277" s="48">
        <f t="shared" ref="DI277:DI283" si="1674">DH277+BE277</f>
        <v>9.3280000000000012</v>
      </c>
      <c r="DJ277" s="48">
        <f t="shared" ref="DJ277:DJ283" si="1675">DI277+BF277</f>
        <v>10.494000000000002</v>
      </c>
      <c r="DK277" s="48">
        <f t="shared" ref="DK277:DK283" si="1676">DJ277+BG277</f>
        <v>11.660000000000002</v>
      </c>
      <c r="DL277" s="48">
        <f t="shared" ref="DL277:DL283" si="1677">DK277+BH277</f>
        <v>12.826000000000002</v>
      </c>
      <c r="DM277" s="48">
        <f t="shared" ref="DM277:DM283" si="1678">DL277+BI277</f>
        <v>13.992000000000003</v>
      </c>
      <c r="DN277" s="48">
        <f t="shared" ref="DN277:DN282" si="1679">BJ277</f>
        <v>0</v>
      </c>
      <c r="DO277" s="48">
        <f>DN277+BK277</f>
        <v>0</v>
      </c>
      <c r="DP277" s="48">
        <f>DO277+BL277</f>
        <v>0</v>
      </c>
      <c r="DQ277" s="48"/>
      <c r="DR277" s="48"/>
      <c r="DS277" s="48"/>
      <c r="DT277" s="48"/>
      <c r="DU277" s="48"/>
      <c r="DV277" s="48"/>
      <c r="DW277" s="48"/>
      <c r="DX277" s="48"/>
      <c r="DY277" s="48"/>
      <c r="EA277" s="52">
        <f t="shared" si="1606"/>
        <v>24.999999633333331</v>
      </c>
      <c r="EB277" s="52">
        <f t="shared" si="1607"/>
        <v>13.992000000000003</v>
      </c>
      <c r="EC277" s="52"/>
      <c r="ED277" s="429"/>
      <c r="EE277" s="40">
        <f t="shared" si="1563"/>
        <v>0</v>
      </c>
      <c r="EF277" s="40">
        <f t="shared" si="1564"/>
        <v>0</v>
      </c>
      <c r="EG277" s="51">
        <f t="shared" si="1618"/>
        <v>13.992000000000003</v>
      </c>
      <c r="EH277" s="54"/>
      <c r="EI277" s="54"/>
      <c r="EJ277" s="54"/>
      <c r="EK277" s="675"/>
      <c r="EL277" s="53"/>
      <c r="EM277" s="53"/>
      <c r="EN277" s="53"/>
      <c r="EO277" s="49"/>
      <c r="EP277" s="49"/>
      <c r="EQ277" s="49"/>
    </row>
    <row r="278" spans="1:147">
      <c r="A278" s="6" t="s">
        <v>23</v>
      </c>
      <c r="B278" s="2" t="s">
        <v>9</v>
      </c>
      <c r="C278" s="3" t="s">
        <v>46</v>
      </c>
      <c r="E278" s="3" t="s">
        <v>16</v>
      </c>
      <c r="G278" s="3" t="s">
        <v>91</v>
      </c>
      <c r="I278" s="23"/>
      <c r="J278" s="19">
        <f>792/12</f>
        <v>66</v>
      </c>
      <c r="K278" s="19">
        <f>J278+66</f>
        <v>132</v>
      </c>
      <c r="L278" s="19">
        <f t="shared" ref="L278:U278" si="1680">K278+66</f>
        <v>198</v>
      </c>
      <c r="M278" s="19">
        <f t="shared" si="1680"/>
        <v>264</v>
      </c>
      <c r="N278" s="19">
        <f t="shared" si="1680"/>
        <v>330</v>
      </c>
      <c r="O278" s="19">
        <f t="shared" si="1680"/>
        <v>396</v>
      </c>
      <c r="P278" s="19">
        <f t="shared" si="1680"/>
        <v>462</v>
      </c>
      <c r="Q278" s="19">
        <f t="shared" si="1680"/>
        <v>528</v>
      </c>
      <c r="R278" s="19">
        <f t="shared" si="1680"/>
        <v>594</v>
      </c>
      <c r="S278" s="19">
        <f t="shared" si="1680"/>
        <v>660</v>
      </c>
      <c r="T278" s="19">
        <f t="shared" si="1680"/>
        <v>726</v>
      </c>
      <c r="U278" s="19">
        <f t="shared" si="1680"/>
        <v>792</v>
      </c>
      <c r="V278" s="219">
        <v>96.416600000000003</v>
      </c>
      <c r="W278" s="246">
        <f>V278+96.4166</f>
        <v>192.83320000000001</v>
      </c>
      <c r="X278" s="376">
        <f t="shared" ref="X278:AG278" si="1681">W278+96.4166</f>
        <v>289.24979999999999</v>
      </c>
      <c r="Y278" s="376">
        <f t="shared" si="1681"/>
        <v>385.66640000000001</v>
      </c>
      <c r="Z278" s="376">
        <f t="shared" si="1681"/>
        <v>482.08300000000003</v>
      </c>
      <c r="AA278" s="376">
        <f t="shared" si="1681"/>
        <v>578.49959999999999</v>
      </c>
      <c r="AB278" s="376">
        <f t="shared" si="1681"/>
        <v>674.9162</v>
      </c>
      <c r="AC278" s="376">
        <f t="shared" si="1681"/>
        <v>771.33280000000002</v>
      </c>
      <c r="AD278" s="376">
        <f t="shared" si="1681"/>
        <v>867.74940000000004</v>
      </c>
      <c r="AE278" s="376">
        <f t="shared" si="1681"/>
        <v>964.16600000000005</v>
      </c>
      <c r="AF278" s="376">
        <f t="shared" si="1681"/>
        <v>1060.5826</v>
      </c>
      <c r="AG278" s="263">
        <f t="shared" si="1681"/>
        <v>1156.9992</v>
      </c>
      <c r="AH278" s="31">
        <f>900/12</f>
        <v>75</v>
      </c>
      <c r="AI278" s="19">
        <f>AH278+AH278</f>
        <v>150</v>
      </c>
      <c r="AJ278" s="19">
        <f>+AH278+AI278</f>
        <v>225</v>
      </c>
      <c r="AK278" s="408"/>
      <c r="AL278" s="40">
        <f t="shared" ref="AL278:AL283" si="1682">J278</f>
        <v>66</v>
      </c>
      <c r="AM278" s="40">
        <f t="shared" ref="AM278:AM283" si="1683">K278-J278</f>
        <v>66</v>
      </c>
      <c r="AN278" s="40">
        <f t="shared" si="1628"/>
        <v>66</v>
      </c>
      <c r="AO278" s="40">
        <f t="shared" si="1629"/>
        <v>66</v>
      </c>
      <c r="AP278" s="40">
        <f t="shared" si="1630"/>
        <v>66</v>
      </c>
      <c r="AQ278" s="40">
        <f t="shared" si="1631"/>
        <v>66</v>
      </c>
      <c r="AR278" s="40">
        <f t="shared" si="1632"/>
        <v>66</v>
      </c>
      <c r="AS278" s="40">
        <f t="shared" si="1633"/>
        <v>66</v>
      </c>
      <c r="AT278" s="40">
        <f t="shared" si="1634"/>
        <v>66</v>
      </c>
      <c r="AU278" s="40">
        <f t="shared" si="1635"/>
        <v>66</v>
      </c>
      <c r="AV278" s="40">
        <f t="shared" si="1636"/>
        <v>66</v>
      </c>
      <c r="AW278" s="40">
        <f t="shared" si="1637"/>
        <v>66</v>
      </c>
      <c r="AX278" s="40">
        <f t="shared" ref="AX278:AX283" si="1684">V278</f>
        <v>96.416600000000003</v>
      </c>
      <c r="AY278" s="40">
        <f t="shared" si="1638"/>
        <v>96.416600000000003</v>
      </c>
      <c r="AZ278" s="40">
        <f t="shared" si="1639"/>
        <v>96.416599999999988</v>
      </c>
      <c r="BA278" s="40">
        <f t="shared" si="1640"/>
        <v>96.416600000000017</v>
      </c>
      <c r="BB278" s="40">
        <f t="shared" si="1641"/>
        <v>96.416600000000017</v>
      </c>
      <c r="BC278" s="40">
        <f t="shared" si="1642"/>
        <v>96.41659999999996</v>
      </c>
      <c r="BD278" s="40">
        <f t="shared" si="1643"/>
        <v>96.416600000000017</v>
      </c>
      <c r="BE278" s="40">
        <f t="shared" si="1644"/>
        <v>96.416600000000017</v>
      </c>
      <c r="BF278" s="40">
        <f t="shared" si="1645"/>
        <v>96.416600000000017</v>
      </c>
      <c r="BG278" s="40">
        <f t="shared" si="1646"/>
        <v>96.416600000000017</v>
      </c>
      <c r="BH278" s="40">
        <f t="shared" si="1647"/>
        <v>96.416599999999903</v>
      </c>
      <c r="BI278" s="40">
        <f t="shared" si="1648"/>
        <v>96.416600000000017</v>
      </c>
      <c r="BJ278" s="40">
        <f t="shared" si="1649"/>
        <v>75</v>
      </c>
      <c r="BK278" s="40">
        <f t="shared" ref="BK278" si="1685">AI278</f>
        <v>150</v>
      </c>
      <c r="BL278" s="40">
        <f t="shared" ref="BL278" si="1686">AJ278</f>
        <v>225</v>
      </c>
      <c r="BM278" s="408"/>
      <c r="BN278" s="48">
        <f t="shared" si="1568"/>
        <v>198</v>
      </c>
      <c r="BO278" s="48">
        <f t="shared" si="1569"/>
        <v>198</v>
      </c>
      <c r="BP278" s="48">
        <f t="shared" si="1652"/>
        <v>198</v>
      </c>
      <c r="BQ278" s="48">
        <f t="shared" si="1571"/>
        <v>198</v>
      </c>
      <c r="BR278" s="48">
        <f t="shared" si="1572"/>
        <v>198</v>
      </c>
      <c r="BS278" s="48">
        <f t="shared" si="1653"/>
        <v>198</v>
      </c>
      <c r="BT278" s="48">
        <f t="shared" si="1574"/>
        <v>198</v>
      </c>
      <c r="BU278" s="48">
        <f t="shared" si="1575"/>
        <v>198</v>
      </c>
      <c r="BV278" s="48">
        <f t="shared" si="1654"/>
        <v>198</v>
      </c>
      <c r="BW278" s="48">
        <f t="shared" si="1577"/>
        <v>198</v>
      </c>
      <c r="BX278" s="48">
        <f t="shared" si="1578"/>
        <v>198</v>
      </c>
      <c r="BY278" s="48">
        <f t="shared" si="1655"/>
        <v>198</v>
      </c>
      <c r="BZ278" s="48">
        <f t="shared" si="1580"/>
        <v>289.24979999999999</v>
      </c>
      <c r="CA278" s="48">
        <f t="shared" si="1581"/>
        <v>289.24979999999999</v>
      </c>
      <c r="CB278" s="48">
        <f t="shared" si="1611"/>
        <v>289.24979999999999</v>
      </c>
      <c r="CC278" s="48">
        <f t="shared" si="1594"/>
        <v>96.416600000000003</v>
      </c>
      <c r="CD278" s="48">
        <f t="shared" si="1595"/>
        <v>96.416600000000003</v>
      </c>
      <c r="CE278" s="56">
        <f>IF(CE277=0,0,(BA278*BA277+BB278*BB277+BC278*BC277)/CE277)</f>
        <v>96.416600000000003</v>
      </c>
      <c r="CF278" s="48">
        <f t="shared" si="1583"/>
        <v>96.416600000000017</v>
      </c>
      <c r="CG278" s="48">
        <f t="shared" si="1584"/>
        <v>96.416600000000017</v>
      </c>
      <c r="CH278" s="56">
        <f>IF(CH277=0,0,(BD278*BD277+BE278*BE277+BF278*BF277)/CH277)</f>
        <v>96.416600000000017</v>
      </c>
      <c r="CI278" s="48">
        <f t="shared" si="1586"/>
        <v>96.416599999999974</v>
      </c>
      <c r="CJ278" s="48">
        <f t="shared" si="1587"/>
        <v>96.416599999999974</v>
      </c>
      <c r="CK278" s="56">
        <f>IF(CK277=0,0,(BG278*BG277+BH278*BH277+BI278*BI277)/CK277)</f>
        <v>96.416599999999974</v>
      </c>
      <c r="CL278" s="48">
        <f t="shared" si="1589"/>
        <v>250</v>
      </c>
      <c r="CM278" s="48">
        <f t="shared" si="1590"/>
        <v>250</v>
      </c>
      <c r="CN278" s="48">
        <f>1000/4</f>
        <v>250</v>
      </c>
      <c r="CO278" s="406"/>
      <c r="CP278" s="48">
        <f t="shared" ref="CP278:CP283" si="1687">AL278</f>
        <v>66</v>
      </c>
      <c r="CQ278" s="48">
        <f t="shared" si="1657"/>
        <v>132</v>
      </c>
      <c r="CR278" s="48">
        <f t="shared" si="1658"/>
        <v>198</v>
      </c>
      <c r="CS278" s="48">
        <f t="shared" si="1659"/>
        <v>264</v>
      </c>
      <c r="CT278" s="48">
        <f t="shared" si="1660"/>
        <v>330</v>
      </c>
      <c r="CU278" s="48">
        <f t="shared" si="1661"/>
        <v>396</v>
      </c>
      <c r="CV278" s="48">
        <f t="shared" si="1662"/>
        <v>462</v>
      </c>
      <c r="CW278" s="48">
        <f t="shared" si="1663"/>
        <v>528</v>
      </c>
      <c r="CX278" s="48">
        <f t="shared" si="1664"/>
        <v>594</v>
      </c>
      <c r="CY278" s="48">
        <f t="shared" si="1665"/>
        <v>660</v>
      </c>
      <c r="CZ278" s="48">
        <f t="shared" si="1666"/>
        <v>726</v>
      </c>
      <c r="DA278" s="48">
        <f t="shared" si="1667"/>
        <v>792</v>
      </c>
      <c r="DB278" s="48">
        <f t="shared" ref="DB278:DB283" si="1688">AX278</f>
        <v>96.416600000000003</v>
      </c>
      <c r="DC278" s="48">
        <f t="shared" si="1668"/>
        <v>192.83320000000001</v>
      </c>
      <c r="DD278" s="48">
        <f t="shared" si="1669"/>
        <v>289.24979999999999</v>
      </c>
      <c r="DE278" s="48">
        <f t="shared" si="1670"/>
        <v>385.66640000000001</v>
      </c>
      <c r="DF278" s="48">
        <f t="shared" si="1671"/>
        <v>482.08300000000003</v>
      </c>
      <c r="DG278" s="48">
        <f t="shared" si="1672"/>
        <v>578.49959999999999</v>
      </c>
      <c r="DH278" s="48">
        <f t="shared" si="1673"/>
        <v>674.9162</v>
      </c>
      <c r="DI278" s="48">
        <f t="shared" si="1674"/>
        <v>771.33280000000002</v>
      </c>
      <c r="DJ278" s="48">
        <f t="shared" si="1675"/>
        <v>867.74940000000004</v>
      </c>
      <c r="DK278" s="48">
        <f t="shared" si="1676"/>
        <v>964.16600000000005</v>
      </c>
      <c r="DL278" s="48">
        <f t="shared" si="1677"/>
        <v>1060.5826</v>
      </c>
      <c r="DM278" s="48">
        <f t="shared" si="1678"/>
        <v>1156.9992</v>
      </c>
      <c r="DN278" s="48">
        <f t="shared" si="1679"/>
        <v>75</v>
      </c>
      <c r="DO278" s="48">
        <f t="shared" ref="DO278:DO283" si="1689">DN278+BK278</f>
        <v>225</v>
      </c>
      <c r="DP278" s="48">
        <f t="shared" ref="DP278:DP283" si="1690">DO278+BL278</f>
        <v>450</v>
      </c>
      <c r="DQ278" s="48"/>
      <c r="DR278" s="48"/>
      <c r="DS278" s="48"/>
      <c r="DT278" s="48"/>
      <c r="DU278" s="48"/>
      <c r="DV278" s="48"/>
      <c r="DW278" s="48"/>
      <c r="DX278" s="48"/>
      <c r="DY278" s="48"/>
      <c r="EA278" s="52">
        <f t="shared" si="1606"/>
        <v>792</v>
      </c>
      <c r="EB278" s="52">
        <f t="shared" si="1607"/>
        <v>1156.9992</v>
      </c>
      <c r="EC278" s="52"/>
      <c r="ED278" s="429"/>
      <c r="EE278" s="40">
        <f t="shared" si="1563"/>
        <v>150</v>
      </c>
      <c r="EF278" s="40">
        <f t="shared" si="1564"/>
        <v>250</v>
      </c>
      <c r="EG278" s="51">
        <f t="shared" si="1618"/>
        <v>1156.9992</v>
      </c>
      <c r="EH278" s="54"/>
      <c r="EI278" s="54"/>
      <c r="EJ278" s="54"/>
      <c r="EK278" s="675"/>
      <c r="EL278" s="53"/>
      <c r="EM278" s="53"/>
      <c r="EN278" s="53"/>
      <c r="EO278" s="49"/>
      <c r="EP278" s="49"/>
      <c r="EQ278" s="49"/>
    </row>
    <row r="279" spans="1:147">
      <c r="A279" s="6" t="s">
        <v>23</v>
      </c>
      <c r="B279" s="2" t="s">
        <v>10</v>
      </c>
      <c r="C279" s="3" t="s">
        <v>47</v>
      </c>
      <c r="E279" s="3" t="s">
        <v>16</v>
      </c>
      <c r="G279" s="3" t="s">
        <v>91</v>
      </c>
      <c r="I279" s="23"/>
      <c r="J279" s="19">
        <f>J278*0.06</f>
        <v>3.96</v>
      </c>
      <c r="K279" s="19">
        <f t="shared" ref="K279:U279" si="1691">K278*0.06</f>
        <v>7.92</v>
      </c>
      <c r="L279" s="19">
        <f t="shared" si="1691"/>
        <v>11.879999999999999</v>
      </c>
      <c r="M279" s="19">
        <f t="shared" si="1691"/>
        <v>15.84</v>
      </c>
      <c r="N279" s="19">
        <f t="shared" si="1691"/>
        <v>19.8</v>
      </c>
      <c r="O279" s="19">
        <f t="shared" si="1691"/>
        <v>23.759999999999998</v>
      </c>
      <c r="P279" s="19">
        <f t="shared" si="1691"/>
        <v>27.72</v>
      </c>
      <c r="Q279" s="19">
        <f t="shared" si="1691"/>
        <v>31.68</v>
      </c>
      <c r="R279" s="19">
        <f t="shared" si="1691"/>
        <v>35.64</v>
      </c>
      <c r="S279" s="19">
        <f t="shared" si="1691"/>
        <v>39.6</v>
      </c>
      <c r="T279" s="19">
        <f t="shared" si="1691"/>
        <v>43.559999999999995</v>
      </c>
      <c r="U279" s="19">
        <f t="shared" si="1691"/>
        <v>47.519999999999996</v>
      </c>
      <c r="V279" s="219">
        <v>16.083300000000001</v>
      </c>
      <c r="W279" s="246">
        <f>V279+16.0833</f>
        <v>32.166600000000003</v>
      </c>
      <c r="X279" s="376">
        <f t="shared" ref="X279:AG279" si="1692">W279+16.0833</f>
        <v>48.249900000000004</v>
      </c>
      <c r="Y279" s="376">
        <f t="shared" si="1692"/>
        <v>64.333200000000005</v>
      </c>
      <c r="Z279" s="376">
        <f t="shared" si="1692"/>
        <v>80.416500000000013</v>
      </c>
      <c r="AA279" s="376">
        <f t="shared" si="1692"/>
        <v>96.499800000000022</v>
      </c>
      <c r="AB279" s="376">
        <f t="shared" si="1692"/>
        <v>112.58310000000003</v>
      </c>
      <c r="AC279" s="376">
        <f t="shared" si="1692"/>
        <v>128.66640000000004</v>
      </c>
      <c r="AD279" s="376">
        <f t="shared" si="1692"/>
        <v>144.74970000000005</v>
      </c>
      <c r="AE279" s="376">
        <f t="shared" si="1692"/>
        <v>160.83300000000006</v>
      </c>
      <c r="AF279" s="376">
        <f t="shared" si="1692"/>
        <v>176.91630000000006</v>
      </c>
      <c r="AG279" s="263">
        <f t="shared" si="1692"/>
        <v>192.99960000000007</v>
      </c>
      <c r="AH279" s="31"/>
      <c r="AI279" s="19"/>
      <c r="AJ279" s="19"/>
      <c r="AK279" s="408"/>
      <c r="AL279" s="40">
        <f t="shared" si="1682"/>
        <v>3.96</v>
      </c>
      <c r="AM279" s="40">
        <f t="shared" si="1683"/>
        <v>3.96</v>
      </c>
      <c r="AN279" s="40">
        <f t="shared" si="1628"/>
        <v>3.9599999999999991</v>
      </c>
      <c r="AO279" s="40">
        <f t="shared" si="1629"/>
        <v>3.9600000000000009</v>
      </c>
      <c r="AP279" s="40">
        <f t="shared" si="1630"/>
        <v>3.9600000000000009</v>
      </c>
      <c r="AQ279" s="40">
        <f t="shared" si="1631"/>
        <v>3.9599999999999973</v>
      </c>
      <c r="AR279" s="40">
        <f t="shared" si="1632"/>
        <v>3.9600000000000009</v>
      </c>
      <c r="AS279" s="40">
        <f t="shared" si="1633"/>
        <v>3.9600000000000009</v>
      </c>
      <c r="AT279" s="40">
        <f t="shared" si="1634"/>
        <v>3.9600000000000009</v>
      </c>
      <c r="AU279" s="40">
        <f t="shared" si="1635"/>
        <v>3.9600000000000009</v>
      </c>
      <c r="AV279" s="40">
        <f t="shared" si="1636"/>
        <v>3.9599999999999937</v>
      </c>
      <c r="AW279" s="40">
        <f t="shared" si="1637"/>
        <v>3.9600000000000009</v>
      </c>
      <c r="AX279" s="40">
        <f t="shared" si="1684"/>
        <v>16.083300000000001</v>
      </c>
      <c r="AY279" s="40">
        <f t="shared" si="1638"/>
        <v>16.083300000000001</v>
      </c>
      <c r="AZ279" s="40">
        <f t="shared" si="1639"/>
        <v>16.083300000000001</v>
      </c>
      <c r="BA279" s="40">
        <f t="shared" si="1640"/>
        <v>16.083300000000001</v>
      </c>
      <c r="BB279" s="40">
        <f t="shared" si="1641"/>
        <v>16.083300000000008</v>
      </c>
      <c r="BC279" s="40">
        <f t="shared" si="1642"/>
        <v>16.083300000000008</v>
      </c>
      <c r="BD279" s="40">
        <f t="shared" si="1643"/>
        <v>16.083300000000008</v>
      </c>
      <c r="BE279" s="40">
        <f t="shared" si="1644"/>
        <v>16.083300000000008</v>
      </c>
      <c r="BF279" s="40">
        <f t="shared" si="1645"/>
        <v>16.083300000000008</v>
      </c>
      <c r="BG279" s="40">
        <f t="shared" si="1646"/>
        <v>16.083300000000008</v>
      </c>
      <c r="BH279" s="40">
        <f t="shared" si="1647"/>
        <v>16.083300000000008</v>
      </c>
      <c r="BI279" s="40">
        <f t="shared" si="1648"/>
        <v>16.083300000000008</v>
      </c>
      <c r="BJ279" s="40">
        <f t="shared" si="1649"/>
        <v>0</v>
      </c>
      <c r="BK279" s="40">
        <f t="shared" si="1650"/>
        <v>0</v>
      </c>
      <c r="BL279" s="40">
        <f t="shared" si="1651"/>
        <v>0</v>
      </c>
      <c r="BM279" s="408"/>
      <c r="BN279" s="48">
        <f t="shared" si="1568"/>
        <v>11.879999999999999</v>
      </c>
      <c r="BO279" s="48">
        <f t="shared" si="1569"/>
        <v>11.879999999999999</v>
      </c>
      <c r="BP279" s="48">
        <f t="shared" si="1652"/>
        <v>11.879999999999999</v>
      </c>
      <c r="BQ279" s="48">
        <f t="shared" si="1571"/>
        <v>11.879999999999999</v>
      </c>
      <c r="BR279" s="48">
        <f t="shared" si="1572"/>
        <v>11.879999999999999</v>
      </c>
      <c r="BS279" s="48">
        <f t="shared" si="1653"/>
        <v>11.879999999999999</v>
      </c>
      <c r="BT279" s="48">
        <f t="shared" si="1574"/>
        <v>11.880000000000003</v>
      </c>
      <c r="BU279" s="48">
        <f t="shared" si="1575"/>
        <v>11.880000000000003</v>
      </c>
      <c r="BV279" s="48">
        <f t="shared" si="1654"/>
        <v>11.880000000000003</v>
      </c>
      <c r="BW279" s="48">
        <f t="shared" si="1577"/>
        <v>11.879999999999995</v>
      </c>
      <c r="BX279" s="48">
        <f t="shared" si="1578"/>
        <v>11.879999999999995</v>
      </c>
      <c r="BY279" s="48">
        <f t="shared" si="1655"/>
        <v>11.879999999999995</v>
      </c>
      <c r="BZ279" s="48">
        <f t="shared" si="1580"/>
        <v>48.249900000000004</v>
      </c>
      <c r="CA279" s="48">
        <f t="shared" si="1581"/>
        <v>48.249900000000004</v>
      </c>
      <c r="CB279" s="48">
        <f t="shared" si="1611"/>
        <v>48.249900000000004</v>
      </c>
      <c r="CC279" s="48">
        <f t="shared" si="1594"/>
        <v>48.249900000000018</v>
      </c>
      <c r="CD279" s="48">
        <f t="shared" si="1595"/>
        <v>48.249900000000018</v>
      </c>
      <c r="CE279" s="48">
        <f>SUM(BA279:BC279)</f>
        <v>48.249900000000018</v>
      </c>
      <c r="CF279" s="48">
        <f t="shared" si="1583"/>
        <v>48.249900000000025</v>
      </c>
      <c r="CG279" s="48">
        <f t="shared" si="1584"/>
        <v>48.249900000000025</v>
      </c>
      <c r="CH279" s="48">
        <f>SUM(BD279:BF279)</f>
        <v>48.249900000000025</v>
      </c>
      <c r="CI279" s="48">
        <f t="shared" si="1586"/>
        <v>48.249900000000025</v>
      </c>
      <c r="CJ279" s="48">
        <f t="shared" si="1587"/>
        <v>48.249900000000025</v>
      </c>
      <c r="CK279" s="48">
        <f>SUM(BG279:BI279)</f>
        <v>48.249900000000025</v>
      </c>
      <c r="CL279" s="48">
        <f t="shared" si="1589"/>
        <v>0</v>
      </c>
      <c r="CM279" s="48">
        <f t="shared" si="1590"/>
        <v>0</v>
      </c>
      <c r="CN279" s="48">
        <f t="shared" si="1656"/>
        <v>0</v>
      </c>
      <c r="CO279" s="406"/>
      <c r="CP279" s="48">
        <f t="shared" si="1687"/>
        <v>3.96</v>
      </c>
      <c r="CQ279" s="48">
        <f t="shared" si="1657"/>
        <v>7.92</v>
      </c>
      <c r="CR279" s="48">
        <f t="shared" si="1658"/>
        <v>11.879999999999999</v>
      </c>
      <c r="CS279" s="48">
        <f t="shared" si="1659"/>
        <v>15.84</v>
      </c>
      <c r="CT279" s="48">
        <f t="shared" si="1660"/>
        <v>19.8</v>
      </c>
      <c r="CU279" s="48">
        <f t="shared" si="1661"/>
        <v>23.759999999999998</v>
      </c>
      <c r="CV279" s="48">
        <f t="shared" si="1662"/>
        <v>27.72</v>
      </c>
      <c r="CW279" s="48">
        <f t="shared" si="1663"/>
        <v>31.68</v>
      </c>
      <c r="CX279" s="48">
        <f t="shared" si="1664"/>
        <v>35.64</v>
      </c>
      <c r="CY279" s="48">
        <f t="shared" si="1665"/>
        <v>39.6</v>
      </c>
      <c r="CZ279" s="48">
        <f t="shared" si="1666"/>
        <v>43.559999999999995</v>
      </c>
      <c r="DA279" s="48">
        <f t="shared" si="1667"/>
        <v>47.519999999999996</v>
      </c>
      <c r="DB279" s="48">
        <f t="shared" si="1688"/>
        <v>16.083300000000001</v>
      </c>
      <c r="DC279" s="48">
        <f t="shared" si="1668"/>
        <v>32.166600000000003</v>
      </c>
      <c r="DD279" s="48">
        <f t="shared" si="1669"/>
        <v>48.249900000000004</v>
      </c>
      <c r="DE279" s="48">
        <f t="shared" si="1670"/>
        <v>64.333200000000005</v>
      </c>
      <c r="DF279" s="48">
        <f t="shared" si="1671"/>
        <v>80.416500000000013</v>
      </c>
      <c r="DG279" s="48">
        <f t="shared" si="1672"/>
        <v>96.499800000000022</v>
      </c>
      <c r="DH279" s="48">
        <f t="shared" si="1673"/>
        <v>112.58310000000003</v>
      </c>
      <c r="DI279" s="48">
        <f t="shared" si="1674"/>
        <v>128.66640000000004</v>
      </c>
      <c r="DJ279" s="48">
        <f t="shared" si="1675"/>
        <v>144.74970000000005</v>
      </c>
      <c r="DK279" s="48">
        <f t="shared" si="1676"/>
        <v>160.83300000000006</v>
      </c>
      <c r="DL279" s="48">
        <f t="shared" si="1677"/>
        <v>176.91630000000006</v>
      </c>
      <c r="DM279" s="48">
        <f t="shared" si="1678"/>
        <v>192.99960000000007</v>
      </c>
      <c r="DN279" s="48">
        <f t="shared" si="1679"/>
        <v>0</v>
      </c>
      <c r="DO279" s="48">
        <f t="shared" si="1689"/>
        <v>0</v>
      </c>
      <c r="DP279" s="48">
        <f t="shared" si="1690"/>
        <v>0</v>
      </c>
      <c r="DQ279" s="48"/>
      <c r="DR279" s="48"/>
      <c r="DS279" s="48"/>
      <c r="DT279" s="48"/>
      <c r="DU279" s="48"/>
      <c r="DV279" s="48"/>
      <c r="DW279" s="48"/>
      <c r="DX279" s="48"/>
      <c r="DY279" s="48"/>
      <c r="EA279" s="52">
        <f t="shared" si="1606"/>
        <v>47.519999999999996</v>
      </c>
      <c r="EB279" s="52">
        <f t="shared" si="1607"/>
        <v>192.99960000000007</v>
      </c>
      <c r="EC279" s="52"/>
      <c r="ED279" s="429"/>
      <c r="EE279" s="40">
        <f t="shared" si="1563"/>
        <v>0</v>
      </c>
      <c r="EF279" s="40">
        <f t="shared" si="1564"/>
        <v>0</v>
      </c>
      <c r="EG279" s="51">
        <f t="shared" si="1618"/>
        <v>192.99960000000007</v>
      </c>
      <c r="EH279" s="54"/>
      <c r="EI279" s="54"/>
      <c r="EJ279" s="54"/>
      <c r="EK279" s="675"/>
      <c r="EL279" s="53"/>
      <c r="EM279" s="53"/>
      <c r="EN279" s="53"/>
      <c r="EO279" s="49"/>
      <c r="EP279" s="49"/>
      <c r="EQ279" s="49"/>
    </row>
    <row r="280" spans="1:147">
      <c r="A280" s="6" t="s">
        <v>23</v>
      </c>
      <c r="B280" s="2" t="s">
        <v>11</v>
      </c>
      <c r="C280" s="3" t="s">
        <v>48</v>
      </c>
      <c r="E280" s="3" t="s">
        <v>16</v>
      </c>
      <c r="G280" s="3" t="s">
        <v>91</v>
      </c>
      <c r="I280" s="23"/>
      <c r="J280" s="19">
        <f>97/12</f>
        <v>8.0833333333333339</v>
      </c>
      <c r="K280" s="19">
        <f>J280+8.0833333</f>
        <v>16.166666633333335</v>
      </c>
      <c r="L280" s="19">
        <f t="shared" ref="L280:U280" si="1693">K280+8.0833333</f>
        <v>24.249999933333335</v>
      </c>
      <c r="M280" s="19">
        <f t="shared" si="1693"/>
        <v>32.333333233333335</v>
      </c>
      <c r="N280" s="19">
        <f t="shared" si="1693"/>
        <v>40.416666533333334</v>
      </c>
      <c r="O280" s="19">
        <f t="shared" si="1693"/>
        <v>48.499999833333334</v>
      </c>
      <c r="P280" s="19">
        <f t="shared" si="1693"/>
        <v>56.583333133333333</v>
      </c>
      <c r="Q280" s="19">
        <f t="shared" si="1693"/>
        <v>64.666666433333333</v>
      </c>
      <c r="R280" s="19">
        <f t="shared" si="1693"/>
        <v>72.74999973333334</v>
      </c>
      <c r="S280" s="19">
        <f t="shared" si="1693"/>
        <v>80.833333033333332</v>
      </c>
      <c r="T280" s="19">
        <f t="shared" si="1693"/>
        <v>88.916666333333325</v>
      </c>
      <c r="U280" s="19">
        <f t="shared" si="1693"/>
        <v>96.999999633333317</v>
      </c>
      <c r="V280" s="219">
        <f>ROUND(W280/2,0)</f>
        <v>7</v>
      </c>
      <c r="W280" s="246">
        <f t="shared" ref="W280:AE281" si="1694">X280-(Y280-X280)</f>
        <v>13.000000000000028</v>
      </c>
      <c r="X280" s="246">
        <f t="shared" si="1694"/>
        <v>19.300000000000026</v>
      </c>
      <c r="Y280" s="246">
        <f t="shared" si="1694"/>
        <v>25.600000000000023</v>
      </c>
      <c r="Z280" s="246">
        <f t="shared" si="1694"/>
        <v>31.90000000000002</v>
      </c>
      <c r="AA280" s="246">
        <f t="shared" si="1694"/>
        <v>38.200000000000017</v>
      </c>
      <c r="AB280" s="246">
        <f t="shared" si="1694"/>
        <v>44.500000000000014</v>
      </c>
      <c r="AC280" s="246">
        <f t="shared" si="1694"/>
        <v>50.800000000000011</v>
      </c>
      <c r="AD280" s="246">
        <f t="shared" si="1694"/>
        <v>57.100000000000009</v>
      </c>
      <c r="AE280" s="246">
        <f t="shared" si="1694"/>
        <v>63.400000000000006</v>
      </c>
      <c r="AF280" s="246">
        <f>-ROUND(AG280/12,1)+AG280</f>
        <v>69.7</v>
      </c>
      <c r="AG280" s="246">
        <v>76</v>
      </c>
      <c r="AH280" s="31"/>
      <c r="AI280" s="19"/>
      <c r="AJ280" s="19"/>
      <c r="AK280" s="408"/>
      <c r="AL280" s="40">
        <f t="shared" si="1682"/>
        <v>8.0833333333333339</v>
      </c>
      <c r="AM280" s="40">
        <f t="shared" si="1683"/>
        <v>8.0833333000000014</v>
      </c>
      <c r="AN280" s="40">
        <f t="shared" si="1628"/>
        <v>8.0833332999999996</v>
      </c>
      <c r="AO280" s="40">
        <f t="shared" si="1629"/>
        <v>8.0833332999999996</v>
      </c>
      <c r="AP280" s="40">
        <f t="shared" si="1630"/>
        <v>8.0833332999999996</v>
      </c>
      <c r="AQ280" s="40">
        <f t="shared" si="1631"/>
        <v>8.0833332999999996</v>
      </c>
      <c r="AR280" s="40">
        <f t="shared" si="1632"/>
        <v>8.0833332999999996</v>
      </c>
      <c r="AS280" s="40">
        <f t="shared" si="1633"/>
        <v>8.0833332999999996</v>
      </c>
      <c r="AT280" s="40">
        <f t="shared" si="1634"/>
        <v>8.0833333000000067</v>
      </c>
      <c r="AU280" s="40">
        <f t="shared" si="1635"/>
        <v>8.0833332999999925</v>
      </c>
      <c r="AV280" s="40">
        <f t="shared" si="1636"/>
        <v>8.0833332999999925</v>
      </c>
      <c r="AW280" s="40">
        <f t="shared" si="1637"/>
        <v>8.0833332999999925</v>
      </c>
      <c r="AX280" s="40">
        <f t="shared" si="1684"/>
        <v>7</v>
      </c>
      <c r="AY280" s="40">
        <f t="shared" si="1638"/>
        <v>6.0000000000000284</v>
      </c>
      <c r="AZ280" s="40">
        <f t="shared" si="1639"/>
        <v>6.2999999999999972</v>
      </c>
      <c r="BA280" s="40">
        <f t="shared" si="1640"/>
        <v>6.2999999999999972</v>
      </c>
      <c r="BB280" s="40">
        <f t="shared" si="1641"/>
        <v>6.2999999999999972</v>
      </c>
      <c r="BC280" s="40">
        <f t="shared" si="1642"/>
        <v>6.2999999999999972</v>
      </c>
      <c r="BD280" s="40">
        <f t="shared" si="1643"/>
        <v>6.2999999999999972</v>
      </c>
      <c r="BE280" s="40">
        <f t="shared" si="1644"/>
        <v>6.2999999999999972</v>
      </c>
      <c r="BF280" s="40">
        <f t="shared" si="1645"/>
        <v>6.2999999999999972</v>
      </c>
      <c r="BG280" s="40">
        <f t="shared" si="1646"/>
        <v>6.2999999999999972</v>
      </c>
      <c r="BH280" s="40">
        <f t="shared" si="1647"/>
        <v>6.2999999999999972</v>
      </c>
      <c r="BI280" s="40">
        <f t="shared" si="1648"/>
        <v>6.2999999999999972</v>
      </c>
      <c r="BJ280" s="40">
        <f t="shared" si="1649"/>
        <v>0</v>
      </c>
      <c r="BK280" s="40">
        <f t="shared" si="1650"/>
        <v>0</v>
      </c>
      <c r="BL280" s="40">
        <f t="shared" si="1651"/>
        <v>0</v>
      </c>
      <c r="BM280" s="408"/>
      <c r="BN280" s="48">
        <f t="shared" si="1568"/>
        <v>24.249999933333335</v>
      </c>
      <c r="BO280" s="48">
        <f t="shared" si="1569"/>
        <v>24.249999933333335</v>
      </c>
      <c r="BP280" s="48">
        <f t="shared" si="1652"/>
        <v>24.249999933333335</v>
      </c>
      <c r="BQ280" s="48">
        <f t="shared" si="1571"/>
        <v>24.249999899999999</v>
      </c>
      <c r="BR280" s="48">
        <f t="shared" si="1572"/>
        <v>24.249999899999999</v>
      </c>
      <c r="BS280" s="48">
        <f t="shared" si="1653"/>
        <v>24.249999899999999</v>
      </c>
      <c r="BT280" s="48">
        <f t="shared" si="1574"/>
        <v>24.249999900000006</v>
      </c>
      <c r="BU280" s="48">
        <f t="shared" si="1575"/>
        <v>24.249999900000006</v>
      </c>
      <c r="BV280" s="48">
        <f t="shared" si="1654"/>
        <v>24.249999900000006</v>
      </c>
      <c r="BW280" s="48">
        <f t="shared" si="1577"/>
        <v>24.249999899999978</v>
      </c>
      <c r="BX280" s="48">
        <f t="shared" si="1578"/>
        <v>24.249999899999978</v>
      </c>
      <c r="BY280" s="48">
        <f t="shared" si="1655"/>
        <v>24.249999899999978</v>
      </c>
      <c r="BZ280" s="48">
        <f t="shared" si="1580"/>
        <v>19.300000000000026</v>
      </c>
      <c r="CA280" s="48">
        <f t="shared" si="1581"/>
        <v>19.300000000000026</v>
      </c>
      <c r="CB280" s="48">
        <f>SUM(AX280:AZ280)</f>
        <v>19.300000000000026</v>
      </c>
      <c r="CC280" s="48">
        <f t="shared" si="1594"/>
        <v>18.899999999999991</v>
      </c>
      <c r="CD280" s="48">
        <f t="shared" si="1595"/>
        <v>18.899999999999991</v>
      </c>
      <c r="CE280" s="48">
        <f>SUM(BA280:BC280)</f>
        <v>18.899999999999991</v>
      </c>
      <c r="CF280" s="48">
        <f>CH280</f>
        <v>18.899999999999991</v>
      </c>
      <c r="CG280" s="48">
        <f>CH280</f>
        <v>18.899999999999991</v>
      </c>
      <c r="CH280" s="48">
        <f>SUM(BD280:BF280)</f>
        <v>18.899999999999991</v>
      </c>
      <c r="CI280" s="48">
        <f>CK280</f>
        <v>18.899999999999991</v>
      </c>
      <c r="CJ280" s="48">
        <f>CK280</f>
        <v>18.899999999999991</v>
      </c>
      <c r="CK280" s="48">
        <f>SUM(BG280:BI280)</f>
        <v>18.899999999999991</v>
      </c>
      <c r="CL280" s="48">
        <f>CN280</f>
        <v>0</v>
      </c>
      <c r="CM280" s="48">
        <f>CN280</f>
        <v>0</v>
      </c>
      <c r="CN280" s="48">
        <f t="shared" si="1656"/>
        <v>0</v>
      </c>
      <c r="CO280" s="406"/>
      <c r="CP280" s="48">
        <f t="shared" si="1687"/>
        <v>8.0833333333333339</v>
      </c>
      <c r="CQ280" s="48">
        <f t="shared" si="1657"/>
        <v>16.166666633333335</v>
      </c>
      <c r="CR280" s="48">
        <f t="shared" si="1658"/>
        <v>24.249999933333335</v>
      </c>
      <c r="CS280" s="48">
        <f t="shared" si="1659"/>
        <v>32.333333233333335</v>
      </c>
      <c r="CT280" s="48">
        <f t="shared" si="1660"/>
        <v>40.416666533333334</v>
      </c>
      <c r="CU280" s="48">
        <f t="shared" si="1661"/>
        <v>48.499999833333334</v>
      </c>
      <c r="CV280" s="48">
        <f t="shared" si="1662"/>
        <v>56.583333133333333</v>
      </c>
      <c r="CW280" s="48">
        <f t="shared" si="1663"/>
        <v>64.666666433333333</v>
      </c>
      <c r="CX280" s="48">
        <f t="shared" si="1664"/>
        <v>72.74999973333334</v>
      </c>
      <c r="CY280" s="48">
        <f t="shared" si="1665"/>
        <v>80.833333033333332</v>
      </c>
      <c r="CZ280" s="48">
        <f t="shared" si="1666"/>
        <v>88.916666333333325</v>
      </c>
      <c r="DA280" s="48">
        <f t="shared" si="1667"/>
        <v>96.999999633333317</v>
      </c>
      <c r="DB280" s="48">
        <f t="shared" si="1688"/>
        <v>7</v>
      </c>
      <c r="DC280" s="48">
        <f t="shared" si="1668"/>
        <v>13.000000000000028</v>
      </c>
      <c r="DD280" s="48">
        <f t="shared" si="1669"/>
        <v>19.300000000000026</v>
      </c>
      <c r="DE280" s="48">
        <f t="shared" si="1670"/>
        <v>25.600000000000023</v>
      </c>
      <c r="DF280" s="48">
        <f t="shared" si="1671"/>
        <v>31.90000000000002</v>
      </c>
      <c r="DG280" s="48">
        <f t="shared" si="1672"/>
        <v>38.200000000000017</v>
      </c>
      <c r="DH280" s="48">
        <f t="shared" si="1673"/>
        <v>44.500000000000014</v>
      </c>
      <c r="DI280" s="48">
        <f t="shared" si="1674"/>
        <v>50.800000000000011</v>
      </c>
      <c r="DJ280" s="48">
        <f t="shared" si="1675"/>
        <v>57.100000000000009</v>
      </c>
      <c r="DK280" s="48">
        <f t="shared" si="1676"/>
        <v>63.400000000000006</v>
      </c>
      <c r="DL280" s="48">
        <f t="shared" si="1677"/>
        <v>69.7</v>
      </c>
      <c r="DM280" s="48">
        <f t="shared" si="1678"/>
        <v>76</v>
      </c>
      <c r="DN280" s="48">
        <f t="shared" si="1679"/>
        <v>0</v>
      </c>
      <c r="DO280" s="48">
        <f t="shared" si="1689"/>
        <v>0</v>
      </c>
      <c r="DP280" s="48">
        <f t="shared" si="1690"/>
        <v>0</v>
      </c>
      <c r="DQ280" s="48"/>
      <c r="DR280" s="48"/>
      <c r="DS280" s="48"/>
      <c r="DT280" s="48"/>
      <c r="DU280" s="48"/>
      <c r="DV280" s="48"/>
      <c r="DW280" s="48"/>
      <c r="DX280" s="48"/>
      <c r="DY280" s="48"/>
      <c r="EA280" s="52">
        <f t="shared" si="1606"/>
        <v>96.999999633333317</v>
      </c>
      <c r="EB280" s="52">
        <f t="shared" si="1607"/>
        <v>76</v>
      </c>
      <c r="EC280" s="52"/>
      <c r="ED280" s="429"/>
      <c r="EE280" s="40">
        <f t="shared" si="1563"/>
        <v>0</v>
      </c>
      <c r="EF280" s="40">
        <f t="shared" si="1564"/>
        <v>0</v>
      </c>
      <c r="EG280" s="51">
        <f t="shared" si="1618"/>
        <v>76</v>
      </c>
      <c r="EH280" s="54"/>
      <c r="EI280" s="54"/>
      <c r="EJ280" s="54"/>
      <c r="EK280" s="675"/>
      <c r="EL280" s="53"/>
      <c r="EM280" s="53"/>
      <c r="EN280" s="53"/>
      <c r="EO280" s="49"/>
      <c r="EP280" s="49"/>
      <c r="EQ280" s="49"/>
    </row>
    <row r="281" spans="1:147">
      <c r="A281" s="6" t="s">
        <v>23</v>
      </c>
      <c r="B281" s="2" t="s">
        <v>12</v>
      </c>
      <c r="C281" s="3" t="s">
        <v>49</v>
      </c>
      <c r="E281" s="3" t="s">
        <v>16</v>
      </c>
      <c r="G281" s="3" t="s">
        <v>91</v>
      </c>
      <c r="I281" s="23"/>
      <c r="J281" s="19">
        <f>75/12</f>
        <v>6.25</v>
      </c>
      <c r="K281" s="19">
        <f>J281+6.25</f>
        <v>12.5</v>
      </c>
      <c r="L281" s="19">
        <f t="shared" ref="L281:U281" si="1695">K281+6.25</f>
        <v>18.75</v>
      </c>
      <c r="M281" s="19">
        <f t="shared" si="1695"/>
        <v>25</v>
      </c>
      <c r="N281" s="19">
        <f t="shared" si="1695"/>
        <v>31.25</v>
      </c>
      <c r="O281" s="19">
        <f t="shared" si="1695"/>
        <v>37.5</v>
      </c>
      <c r="P281" s="19">
        <f t="shared" si="1695"/>
        <v>43.75</v>
      </c>
      <c r="Q281" s="19">
        <f t="shared" si="1695"/>
        <v>50</v>
      </c>
      <c r="R281" s="19">
        <f t="shared" si="1695"/>
        <v>56.25</v>
      </c>
      <c r="S281" s="19">
        <f t="shared" si="1695"/>
        <v>62.5</v>
      </c>
      <c r="T281" s="19">
        <f t="shared" si="1695"/>
        <v>68.75</v>
      </c>
      <c r="U281" s="19">
        <f t="shared" si="1695"/>
        <v>75</v>
      </c>
      <c r="V281" s="219">
        <f>ROUND(W281/2,0)</f>
        <v>9</v>
      </c>
      <c r="W281" s="246">
        <f t="shared" si="1694"/>
        <v>17.000000000000057</v>
      </c>
      <c r="X281" s="246">
        <f t="shared" si="1694"/>
        <v>25.600000000000051</v>
      </c>
      <c r="Y281" s="246">
        <f t="shared" si="1694"/>
        <v>34.200000000000045</v>
      </c>
      <c r="Z281" s="246">
        <f t="shared" si="1694"/>
        <v>42.80000000000004</v>
      </c>
      <c r="AA281" s="246">
        <f t="shared" si="1694"/>
        <v>51.400000000000034</v>
      </c>
      <c r="AB281" s="246">
        <f t="shared" si="1694"/>
        <v>60.000000000000028</v>
      </c>
      <c r="AC281" s="246">
        <f t="shared" si="1694"/>
        <v>68.600000000000023</v>
      </c>
      <c r="AD281" s="246">
        <f t="shared" si="1694"/>
        <v>77.200000000000017</v>
      </c>
      <c r="AE281" s="246">
        <f t="shared" si="1694"/>
        <v>85.800000000000011</v>
      </c>
      <c r="AF281" s="246">
        <f>-ROUND(AG281/12,1)+AG281</f>
        <v>94.4</v>
      </c>
      <c r="AG281" s="246">
        <v>103</v>
      </c>
      <c r="AH281" s="31"/>
      <c r="AI281" s="19"/>
      <c r="AJ281" s="19"/>
      <c r="AK281" s="408"/>
      <c r="AL281" s="40">
        <f t="shared" si="1682"/>
        <v>6.25</v>
      </c>
      <c r="AM281" s="40">
        <f t="shared" si="1683"/>
        <v>6.25</v>
      </c>
      <c r="AN281" s="40">
        <f t="shared" si="1628"/>
        <v>6.25</v>
      </c>
      <c r="AO281" s="40">
        <f t="shared" si="1629"/>
        <v>6.25</v>
      </c>
      <c r="AP281" s="40">
        <f t="shared" si="1630"/>
        <v>6.25</v>
      </c>
      <c r="AQ281" s="40">
        <f t="shared" si="1631"/>
        <v>6.25</v>
      </c>
      <c r="AR281" s="40">
        <f t="shared" si="1632"/>
        <v>6.25</v>
      </c>
      <c r="AS281" s="40">
        <f t="shared" si="1633"/>
        <v>6.25</v>
      </c>
      <c r="AT281" s="40">
        <f t="shared" si="1634"/>
        <v>6.25</v>
      </c>
      <c r="AU281" s="40">
        <f t="shared" si="1635"/>
        <v>6.25</v>
      </c>
      <c r="AV281" s="40">
        <f t="shared" si="1636"/>
        <v>6.25</v>
      </c>
      <c r="AW281" s="40">
        <f t="shared" si="1637"/>
        <v>6.25</v>
      </c>
      <c r="AX281" s="40">
        <f t="shared" si="1684"/>
        <v>9</v>
      </c>
      <c r="AY281" s="40">
        <f t="shared" si="1638"/>
        <v>8.0000000000000568</v>
      </c>
      <c r="AZ281" s="40">
        <f t="shared" si="1639"/>
        <v>8.5999999999999943</v>
      </c>
      <c r="BA281" s="40">
        <f t="shared" si="1640"/>
        <v>8.5999999999999943</v>
      </c>
      <c r="BB281" s="40">
        <f t="shared" si="1641"/>
        <v>8.5999999999999943</v>
      </c>
      <c r="BC281" s="40">
        <f t="shared" si="1642"/>
        <v>8.5999999999999943</v>
      </c>
      <c r="BD281" s="40">
        <f t="shared" si="1643"/>
        <v>8.5999999999999943</v>
      </c>
      <c r="BE281" s="40">
        <f t="shared" si="1644"/>
        <v>8.5999999999999943</v>
      </c>
      <c r="BF281" s="40">
        <f t="shared" si="1645"/>
        <v>8.5999999999999943</v>
      </c>
      <c r="BG281" s="40">
        <f t="shared" si="1646"/>
        <v>8.5999999999999943</v>
      </c>
      <c r="BH281" s="40">
        <f t="shared" si="1647"/>
        <v>8.5999999999999943</v>
      </c>
      <c r="BI281" s="40">
        <f t="shared" si="1648"/>
        <v>8.5999999999999943</v>
      </c>
      <c r="BJ281" s="40">
        <f t="shared" si="1649"/>
        <v>0</v>
      </c>
      <c r="BK281" s="40">
        <f t="shared" si="1650"/>
        <v>0</v>
      </c>
      <c r="BL281" s="40">
        <f t="shared" si="1651"/>
        <v>0</v>
      </c>
      <c r="BM281" s="408"/>
      <c r="BN281" s="48">
        <f t="shared" si="1568"/>
        <v>18.75</v>
      </c>
      <c r="BO281" s="48">
        <f t="shared" si="1569"/>
        <v>18.75</v>
      </c>
      <c r="BP281" s="48">
        <f t="shared" si="1652"/>
        <v>18.75</v>
      </c>
      <c r="BQ281" s="48">
        <f t="shared" si="1571"/>
        <v>18.75</v>
      </c>
      <c r="BR281" s="48">
        <f t="shared" si="1572"/>
        <v>18.75</v>
      </c>
      <c r="BS281" s="48">
        <f t="shared" si="1653"/>
        <v>18.75</v>
      </c>
      <c r="BT281" s="48">
        <f t="shared" si="1574"/>
        <v>18.75</v>
      </c>
      <c r="BU281" s="48">
        <f t="shared" si="1575"/>
        <v>18.75</v>
      </c>
      <c r="BV281" s="48">
        <f t="shared" si="1654"/>
        <v>18.75</v>
      </c>
      <c r="BW281" s="48">
        <f t="shared" si="1577"/>
        <v>18.75</v>
      </c>
      <c r="BX281" s="48">
        <f t="shared" si="1578"/>
        <v>18.75</v>
      </c>
      <c r="BY281" s="48">
        <f t="shared" si="1655"/>
        <v>18.75</v>
      </c>
      <c r="BZ281" s="48">
        <f t="shared" si="1580"/>
        <v>25.600000000000051</v>
      </c>
      <c r="CA281" s="48">
        <f t="shared" si="1581"/>
        <v>25.600000000000051</v>
      </c>
      <c r="CB281" s="48">
        <f>SUM(AX281:AZ281)</f>
        <v>25.600000000000051</v>
      </c>
      <c r="CC281" s="48">
        <f t="shared" si="1594"/>
        <v>25.799999999999983</v>
      </c>
      <c r="CD281" s="48">
        <f t="shared" si="1595"/>
        <v>25.799999999999983</v>
      </c>
      <c r="CE281" s="48">
        <f>SUM(BA281:BC281)</f>
        <v>25.799999999999983</v>
      </c>
      <c r="CF281" s="48">
        <f>CH281</f>
        <v>25.799999999999983</v>
      </c>
      <c r="CG281" s="48">
        <f>CH281</f>
        <v>25.799999999999983</v>
      </c>
      <c r="CH281" s="48">
        <f>SUM(BD281:BF281)</f>
        <v>25.799999999999983</v>
      </c>
      <c r="CI281" s="48">
        <f>CK281</f>
        <v>25.799999999999983</v>
      </c>
      <c r="CJ281" s="48">
        <f>CK281</f>
        <v>25.799999999999983</v>
      </c>
      <c r="CK281" s="48">
        <f>SUM(BG281:BI281)</f>
        <v>25.799999999999983</v>
      </c>
      <c r="CL281" s="48">
        <f>CN281</f>
        <v>0</v>
      </c>
      <c r="CM281" s="48">
        <f>CN281</f>
        <v>0</v>
      </c>
      <c r="CN281" s="48">
        <f t="shared" si="1656"/>
        <v>0</v>
      </c>
      <c r="CO281" s="406"/>
      <c r="CP281" s="48">
        <f t="shared" si="1687"/>
        <v>6.25</v>
      </c>
      <c r="CQ281" s="48">
        <f t="shared" si="1657"/>
        <v>12.5</v>
      </c>
      <c r="CR281" s="48">
        <f t="shared" si="1658"/>
        <v>18.75</v>
      </c>
      <c r="CS281" s="48">
        <f t="shared" si="1659"/>
        <v>25</v>
      </c>
      <c r="CT281" s="48">
        <f t="shared" si="1660"/>
        <v>31.25</v>
      </c>
      <c r="CU281" s="48">
        <f t="shared" si="1661"/>
        <v>37.5</v>
      </c>
      <c r="CV281" s="48">
        <f t="shared" si="1662"/>
        <v>43.75</v>
      </c>
      <c r="CW281" s="48">
        <f t="shared" si="1663"/>
        <v>50</v>
      </c>
      <c r="CX281" s="48">
        <f t="shared" si="1664"/>
        <v>56.25</v>
      </c>
      <c r="CY281" s="48">
        <f t="shared" si="1665"/>
        <v>62.5</v>
      </c>
      <c r="CZ281" s="48">
        <f t="shared" si="1666"/>
        <v>68.75</v>
      </c>
      <c r="DA281" s="48">
        <f t="shared" si="1667"/>
        <v>75</v>
      </c>
      <c r="DB281" s="48">
        <f t="shared" si="1688"/>
        <v>9</v>
      </c>
      <c r="DC281" s="48">
        <f t="shared" si="1668"/>
        <v>17.000000000000057</v>
      </c>
      <c r="DD281" s="48">
        <f t="shared" si="1669"/>
        <v>25.600000000000051</v>
      </c>
      <c r="DE281" s="48">
        <f t="shared" si="1670"/>
        <v>34.200000000000045</v>
      </c>
      <c r="DF281" s="48">
        <f t="shared" si="1671"/>
        <v>42.80000000000004</v>
      </c>
      <c r="DG281" s="48">
        <f t="shared" si="1672"/>
        <v>51.400000000000034</v>
      </c>
      <c r="DH281" s="48">
        <f t="shared" si="1673"/>
        <v>60.000000000000028</v>
      </c>
      <c r="DI281" s="48">
        <f t="shared" si="1674"/>
        <v>68.600000000000023</v>
      </c>
      <c r="DJ281" s="48">
        <f t="shared" si="1675"/>
        <v>77.200000000000017</v>
      </c>
      <c r="DK281" s="48">
        <f t="shared" si="1676"/>
        <v>85.800000000000011</v>
      </c>
      <c r="DL281" s="48">
        <f t="shared" si="1677"/>
        <v>94.4</v>
      </c>
      <c r="DM281" s="48">
        <f t="shared" si="1678"/>
        <v>103</v>
      </c>
      <c r="DN281" s="48">
        <f t="shared" si="1679"/>
        <v>0</v>
      </c>
      <c r="DO281" s="48">
        <f t="shared" si="1689"/>
        <v>0</v>
      </c>
      <c r="DP281" s="48">
        <f t="shared" si="1690"/>
        <v>0</v>
      </c>
      <c r="DQ281" s="48"/>
      <c r="DR281" s="48"/>
      <c r="DS281" s="48"/>
      <c r="DT281" s="48"/>
      <c r="DU281" s="48"/>
      <c r="DV281" s="48"/>
      <c r="DW281" s="48"/>
      <c r="DX281" s="48"/>
      <c r="DY281" s="48"/>
      <c r="EA281" s="52">
        <f t="shared" si="1606"/>
        <v>75</v>
      </c>
      <c r="EB281" s="52">
        <f t="shared" si="1607"/>
        <v>103</v>
      </c>
      <c r="EC281" s="52"/>
      <c r="ED281" s="429"/>
      <c r="EE281" s="40">
        <f t="shared" si="1563"/>
        <v>0</v>
      </c>
      <c r="EF281" s="40">
        <f t="shared" si="1564"/>
        <v>0</v>
      </c>
      <c r="EG281" s="51">
        <f t="shared" si="1618"/>
        <v>103</v>
      </c>
      <c r="EH281" s="54"/>
      <c r="EI281" s="54"/>
      <c r="EJ281" s="54"/>
      <c r="EK281" s="675"/>
      <c r="EL281" s="53"/>
      <c r="EM281" s="53"/>
      <c r="EN281" s="53"/>
      <c r="EO281" s="49"/>
      <c r="EP281" s="49"/>
      <c r="EQ281" s="49"/>
    </row>
    <row r="282" spans="1:147">
      <c r="A282" s="6" t="s">
        <v>23</v>
      </c>
      <c r="B282" s="2" t="s">
        <v>143</v>
      </c>
      <c r="C282" s="3" t="s">
        <v>50</v>
      </c>
      <c r="E282" s="3" t="s">
        <v>16</v>
      </c>
      <c r="G282" s="3" t="s">
        <v>91</v>
      </c>
      <c r="I282" s="23"/>
      <c r="J282" s="19">
        <v>0</v>
      </c>
      <c r="K282" s="19">
        <v>0</v>
      </c>
      <c r="L282" s="19">
        <v>2</v>
      </c>
      <c r="M282" s="19">
        <v>2</v>
      </c>
      <c r="N282" s="19">
        <v>2</v>
      </c>
      <c r="O282" s="19">
        <v>2</v>
      </c>
      <c r="P282" s="19">
        <v>4</v>
      </c>
      <c r="Q282" s="19">
        <v>4</v>
      </c>
      <c r="R282" s="19">
        <f>Q282</f>
        <v>4</v>
      </c>
      <c r="S282" s="19">
        <f>R282</f>
        <v>4</v>
      </c>
      <c r="T282" s="19">
        <v>6</v>
      </c>
      <c r="U282" s="19">
        <f>+T282</f>
        <v>6</v>
      </c>
      <c r="V282" s="219">
        <v>0</v>
      </c>
      <c r="W282" s="246">
        <v>2</v>
      </c>
      <c r="X282" s="246">
        <v>2</v>
      </c>
      <c r="Y282" s="246">
        <v>2</v>
      </c>
      <c r="Z282" s="246">
        <v>2</v>
      </c>
      <c r="AA282" s="246">
        <v>2</v>
      </c>
      <c r="AB282" s="246">
        <v>4</v>
      </c>
      <c r="AC282" s="246">
        <v>4</v>
      </c>
      <c r="AD282" s="246">
        <v>4</v>
      </c>
      <c r="AE282" s="246">
        <v>4</v>
      </c>
      <c r="AF282" s="246">
        <v>6</v>
      </c>
      <c r="AG282" s="246">
        <v>6</v>
      </c>
      <c r="AH282" s="31"/>
      <c r="AI282" s="19"/>
      <c r="AJ282" s="19"/>
      <c r="AK282" s="408"/>
      <c r="AL282" s="40">
        <f t="shared" si="1682"/>
        <v>0</v>
      </c>
      <c r="AM282" s="40">
        <f t="shared" si="1683"/>
        <v>0</v>
      </c>
      <c r="AN282" s="40">
        <f t="shared" si="1628"/>
        <v>2</v>
      </c>
      <c r="AO282" s="40">
        <f t="shared" si="1629"/>
        <v>0</v>
      </c>
      <c r="AP282" s="40">
        <f t="shared" si="1630"/>
        <v>0</v>
      </c>
      <c r="AQ282" s="40">
        <f t="shared" si="1631"/>
        <v>0</v>
      </c>
      <c r="AR282" s="40">
        <f t="shared" si="1632"/>
        <v>2</v>
      </c>
      <c r="AS282" s="40">
        <f t="shared" si="1633"/>
        <v>0</v>
      </c>
      <c r="AT282" s="40">
        <f t="shared" si="1634"/>
        <v>0</v>
      </c>
      <c r="AU282" s="40">
        <f t="shared" si="1635"/>
        <v>0</v>
      </c>
      <c r="AV282" s="40">
        <f t="shared" si="1636"/>
        <v>2</v>
      </c>
      <c r="AW282" s="40">
        <f t="shared" si="1637"/>
        <v>0</v>
      </c>
      <c r="AX282" s="40">
        <f t="shared" si="1684"/>
        <v>0</v>
      </c>
      <c r="AY282" s="40">
        <f t="shared" si="1638"/>
        <v>2</v>
      </c>
      <c r="AZ282" s="40">
        <f t="shared" si="1639"/>
        <v>0</v>
      </c>
      <c r="BA282" s="40">
        <f t="shared" si="1640"/>
        <v>0</v>
      </c>
      <c r="BB282" s="40">
        <f t="shared" si="1641"/>
        <v>0</v>
      </c>
      <c r="BC282" s="40">
        <f t="shared" si="1642"/>
        <v>0</v>
      </c>
      <c r="BD282" s="40">
        <f t="shared" si="1643"/>
        <v>2</v>
      </c>
      <c r="BE282" s="40">
        <f t="shared" si="1644"/>
        <v>0</v>
      </c>
      <c r="BF282" s="40">
        <f t="shared" si="1645"/>
        <v>0</v>
      </c>
      <c r="BG282" s="40">
        <f t="shared" si="1646"/>
        <v>0</v>
      </c>
      <c r="BH282" s="40">
        <f t="shared" si="1647"/>
        <v>2</v>
      </c>
      <c r="BI282" s="40">
        <f t="shared" si="1648"/>
        <v>0</v>
      </c>
      <c r="BJ282" s="40">
        <f t="shared" si="1649"/>
        <v>0</v>
      </c>
      <c r="BK282" s="40">
        <f t="shared" si="1650"/>
        <v>0</v>
      </c>
      <c r="BL282" s="40">
        <f t="shared" si="1651"/>
        <v>0</v>
      </c>
      <c r="BM282" s="408"/>
      <c r="BN282" s="48">
        <f t="shared" si="1568"/>
        <v>2</v>
      </c>
      <c r="BO282" s="48">
        <f t="shared" si="1569"/>
        <v>2</v>
      </c>
      <c r="BP282" s="48">
        <f t="shared" si="1652"/>
        <v>2</v>
      </c>
      <c r="BQ282" s="48">
        <f t="shared" si="1571"/>
        <v>0</v>
      </c>
      <c r="BR282" s="48">
        <f t="shared" si="1572"/>
        <v>0</v>
      </c>
      <c r="BS282" s="48">
        <f t="shared" si="1653"/>
        <v>0</v>
      </c>
      <c r="BT282" s="48">
        <f t="shared" si="1574"/>
        <v>2</v>
      </c>
      <c r="BU282" s="48">
        <f t="shared" si="1575"/>
        <v>2</v>
      </c>
      <c r="BV282" s="48">
        <f t="shared" si="1654"/>
        <v>2</v>
      </c>
      <c r="BW282" s="48">
        <f t="shared" si="1577"/>
        <v>2</v>
      </c>
      <c r="BX282" s="48">
        <f t="shared" si="1578"/>
        <v>2</v>
      </c>
      <c r="BY282" s="48">
        <f t="shared" si="1655"/>
        <v>2</v>
      </c>
      <c r="BZ282" s="48">
        <f t="shared" si="1580"/>
        <v>2</v>
      </c>
      <c r="CA282" s="48">
        <f t="shared" si="1581"/>
        <v>2</v>
      </c>
      <c r="CB282" s="48">
        <f>SUM(AX282:AZ282)</f>
        <v>2</v>
      </c>
      <c r="CC282" s="48">
        <f t="shared" si="1594"/>
        <v>0</v>
      </c>
      <c r="CD282" s="48">
        <f t="shared" si="1595"/>
        <v>0</v>
      </c>
      <c r="CE282" s="48">
        <f>SUM(BA282:BC282)</f>
        <v>0</v>
      </c>
      <c r="CF282" s="48">
        <f>CH282</f>
        <v>2</v>
      </c>
      <c r="CG282" s="48">
        <f>CH282</f>
        <v>2</v>
      </c>
      <c r="CH282" s="48">
        <f>SUM(BD282:BF282)</f>
        <v>2</v>
      </c>
      <c r="CI282" s="48">
        <f>CK282</f>
        <v>2</v>
      </c>
      <c r="CJ282" s="48">
        <f>CK282</f>
        <v>2</v>
      </c>
      <c r="CK282" s="48">
        <f>SUM(BG282:BI282)</f>
        <v>2</v>
      </c>
      <c r="CL282" s="48">
        <f>CN282</f>
        <v>0</v>
      </c>
      <c r="CM282" s="48">
        <f>CN282</f>
        <v>0</v>
      </c>
      <c r="CN282" s="48">
        <f t="shared" si="1656"/>
        <v>0</v>
      </c>
      <c r="CO282" s="406"/>
      <c r="CP282" s="48">
        <f t="shared" si="1687"/>
        <v>0</v>
      </c>
      <c r="CQ282" s="48">
        <f t="shared" si="1657"/>
        <v>0</v>
      </c>
      <c r="CR282" s="48">
        <f t="shared" si="1658"/>
        <v>2</v>
      </c>
      <c r="CS282" s="48">
        <f t="shared" si="1659"/>
        <v>2</v>
      </c>
      <c r="CT282" s="48">
        <f t="shared" si="1660"/>
        <v>2</v>
      </c>
      <c r="CU282" s="48">
        <f t="shared" si="1661"/>
        <v>2</v>
      </c>
      <c r="CV282" s="48">
        <f t="shared" si="1662"/>
        <v>4</v>
      </c>
      <c r="CW282" s="48">
        <f t="shared" si="1663"/>
        <v>4</v>
      </c>
      <c r="CX282" s="48">
        <f t="shared" si="1664"/>
        <v>4</v>
      </c>
      <c r="CY282" s="48">
        <f t="shared" si="1665"/>
        <v>4</v>
      </c>
      <c r="CZ282" s="48">
        <f t="shared" si="1666"/>
        <v>6</v>
      </c>
      <c r="DA282" s="48">
        <f t="shared" si="1667"/>
        <v>6</v>
      </c>
      <c r="DB282" s="48">
        <f t="shared" si="1688"/>
        <v>0</v>
      </c>
      <c r="DC282" s="48">
        <f t="shared" si="1668"/>
        <v>2</v>
      </c>
      <c r="DD282" s="48">
        <f t="shared" si="1669"/>
        <v>2</v>
      </c>
      <c r="DE282" s="48">
        <f t="shared" si="1670"/>
        <v>2</v>
      </c>
      <c r="DF282" s="48">
        <f t="shared" si="1671"/>
        <v>2</v>
      </c>
      <c r="DG282" s="48">
        <f t="shared" si="1672"/>
        <v>2</v>
      </c>
      <c r="DH282" s="48">
        <f t="shared" si="1673"/>
        <v>4</v>
      </c>
      <c r="DI282" s="48">
        <f t="shared" si="1674"/>
        <v>4</v>
      </c>
      <c r="DJ282" s="48">
        <f t="shared" si="1675"/>
        <v>4</v>
      </c>
      <c r="DK282" s="48">
        <f t="shared" si="1676"/>
        <v>4</v>
      </c>
      <c r="DL282" s="48">
        <f t="shared" si="1677"/>
        <v>6</v>
      </c>
      <c r="DM282" s="48">
        <f t="shared" si="1678"/>
        <v>6</v>
      </c>
      <c r="DN282" s="48">
        <f t="shared" si="1679"/>
        <v>0</v>
      </c>
      <c r="DO282" s="48">
        <f t="shared" si="1689"/>
        <v>0</v>
      </c>
      <c r="DP282" s="48">
        <f t="shared" si="1690"/>
        <v>0</v>
      </c>
      <c r="DQ282" s="48"/>
      <c r="DR282" s="48"/>
      <c r="DS282" s="48"/>
      <c r="DT282" s="48"/>
      <c r="DU282" s="48"/>
      <c r="DV282" s="48"/>
      <c r="DW282" s="48"/>
      <c r="DX282" s="48"/>
      <c r="DY282" s="48"/>
      <c r="EA282" s="52">
        <f t="shared" si="1606"/>
        <v>6</v>
      </c>
      <c r="EB282" s="52">
        <f t="shared" si="1607"/>
        <v>6</v>
      </c>
      <c r="EC282" s="52"/>
      <c r="ED282" s="429"/>
      <c r="EE282" s="40">
        <f t="shared" si="1563"/>
        <v>0</v>
      </c>
      <c r="EF282" s="40">
        <f t="shared" si="1564"/>
        <v>0</v>
      </c>
      <c r="EG282" s="51">
        <f t="shared" si="1618"/>
        <v>6</v>
      </c>
      <c r="EH282" s="54"/>
      <c r="EI282" s="54"/>
      <c r="EJ282" s="54"/>
      <c r="EK282" s="675"/>
      <c r="EL282" s="53"/>
      <c r="EM282" s="53"/>
      <c r="EN282" s="53"/>
      <c r="EO282" s="49"/>
      <c r="EP282" s="49"/>
      <c r="EQ282" s="49"/>
    </row>
    <row r="283" spans="1:147">
      <c r="A283" s="6" t="s">
        <v>23</v>
      </c>
      <c r="B283" s="324" t="s">
        <v>202</v>
      </c>
      <c r="C283" s="3" t="s">
        <v>51</v>
      </c>
      <c r="E283" s="3" t="s">
        <v>15</v>
      </c>
      <c r="G283" s="3" t="s">
        <v>91</v>
      </c>
      <c r="I283" s="23"/>
      <c r="J283" s="19">
        <v>0</v>
      </c>
      <c r="K283" s="19">
        <v>0</v>
      </c>
      <c r="L283" s="19">
        <v>0</v>
      </c>
      <c r="M283" s="19">
        <v>0</v>
      </c>
      <c r="N283" s="19">
        <v>0</v>
      </c>
      <c r="O283" s="19">
        <v>2</v>
      </c>
      <c r="P283" s="19">
        <f>O283</f>
        <v>2</v>
      </c>
      <c r="Q283" s="19">
        <f>P283</f>
        <v>2</v>
      </c>
      <c r="R283" s="19">
        <f>Q283</f>
        <v>2</v>
      </c>
      <c r="S283" s="19">
        <f>R283</f>
        <v>2</v>
      </c>
      <c r="T283" s="19">
        <f>S283</f>
        <v>2</v>
      </c>
      <c r="U283" s="19">
        <v>4</v>
      </c>
      <c r="V283" s="219">
        <v>0</v>
      </c>
      <c r="W283" s="246">
        <v>0</v>
      </c>
      <c r="X283" s="246">
        <v>0</v>
      </c>
      <c r="Y283" s="246">
        <f>X283</f>
        <v>0</v>
      </c>
      <c r="Z283" s="246">
        <v>0</v>
      </c>
      <c r="AA283" s="246">
        <v>0</v>
      </c>
      <c r="AB283" s="246">
        <v>2</v>
      </c>
      <c r="AC283" s="246">
        <f>AB283</f>
        <v>2</v>
      </c>
      <c r="AD283" s="246">
        <f>AC283</f>
        <v>2</v>
      </c>
      <c r="AE283" s="246">
        <f>AD283</f>
        <v>2</v>
      </c>
      <c r="AF283" s="246">
        <f>AE283</f>
        <v>2</v>
      </c>
      <c r="AG283" s="246">
        <v>4</v>
      </c>
      <c r="AH283" s="31"/>
      <c r="AI283" s="19"/>
      <c r="AJ283" s="19"/>
      <c r="AK283" s="408"/>
      <c r="AL283" s="40">
        <f t="shared" si="1682"/>
        <v>0</v>
      </c>
      <c r="AM283" s="40">
        <f t="shared" si="1683"/>
        <v>0</v>
      </c>
      <c r="AN283" s="40">
        <f t="shared" si="1628"/>
        <v>0</v>
      </c>
      <c r="AO283" s="40">
        <f t="shared" si="1629"/>
        <v>0</v>
      </c>
      <c r="AP283" s="40">
        <f t="shared" si="1630"/>
        <v>0</v>
      </c>
      <c r="AQ283" s="40">
        <f t="shared" si="1631"/>
        <v>2</v>
      </c>
      <c r="AR283" s="40">
        <f t="shared" si="1632"/>
        <v>0</v>
      </c>
      <c r="AS283" s="40">
        <f t="shared" si="1633"/>
        <v>0</v>
      </c>
      <c r="AT283" s="40">
        <f t="shared" si="1634"/>
        <v>0</v>
      </c>
      <c r="AU283" s="40">
        <f t="shared" si="1635"/>
        <v>0</v>
      </c>
      <c r="AV283" s="40">
        <f t="shared" si="1636"/>
        <v>0</v>
      </c>
      <c r="AW283" s="40">
        <f t="shared" si="1637"/>
        <v>2</v>
      </c>
      <c r="AX283" s="40">
        <f t="shared" si="1684"/>
        <v>0</v>
      </c>
      <c r="AY283" s="40">
        <f t="shared" si="1638"/>
        <v>0</v>
      </c>
      <c r="AZ283" s="40">
        <f t="shared" si="1639"/>
        <v>0</v>
      </c>
      <c r="BA283" s="40">
        <f t="shared" si="1640"/>
        <v>0</v>
      </c>
      <c r="BB283" s="40">
        <f t="shared" si="1641"/>
        <v>0</v>
      </c>
      <c r="BC283" s="40">
        <f t="shared" si="1642"/>
        <v>0</v>
      </c>
      <c r="BD283" s="40">
        <f t="shared" si="1643"/>
        <v>2</v>
      </c>
      <c r="BE283" s="40">
        <f t="shared" si="1644"/>
        <v>0</v>
      </c>
      <c r="BF283" s="40">
        <f t="shared" si="1645"/>
        <v>0</v>
      </c>
      <c r="BG283" s="40">
        <f t="shared" si="1646"/>
        <v>0</v>
      </c>
      <c r="BH283" s="40">
        <f t="shared" si="1647"/>
        <v>0</v>
      </c>
      <c r="BI283" s="40">
        <f t="shared" si="1648"/>
        <v>2</v>
      </c>
      <c r="BJ283" s="40">
        <f>AH283-AG283</f>
        <v>-4</v>
      </c>
      <c r="BK283" s="40">
        <f t="shared" si="1650"/>
        <v>0</v>
      </c>
      <c r="BL283" s="40">
        <f t="shared" si="1651"/>
        <v>0</v>
      </c>
      <c r="BM283" s="408"/>
      <c r="BN283" s="48">
        <f t="shared" si="1568"/>
        <v>0</v>
      </c>
      <c r="BO283" s="48">
        <f t="shared" si="1569"/>
        <v>0</v>
      </c>
      <c r="BP283" s="48">
        <f>SUM(AL283:AN283)</f>
        <v>0</v>
      </c>
      <c r="BQ283" s="48">
        <f t="shared" si="1571"/>
        <v>2</v>
      </c>
      <c r="BR283" s="48">
        <f t="shared" si="1572"/>
        <v>2</v>
      </c>
      <c r="BS283" s="48">
        <f>SUM(AO283:AQ283)</f>
        <v>2</v>
      </c>
      <c r="BT283" s="48">
        <f t="shared" si="1574"/>
        <v>0</v>
      </c>
      <c r="BU283" s="48">
        <f t="shared" si="1575"/>
        <v>0</v>
      </c>
      <c r="BV283" s="48">
        <f>SUM(AR283:AT283)</f>
        <v>0</v>
      </c>
      <c r="BW283" s="48">
        <f t="shared" si="1577"/>
        <v>2</v>
      </c>
      <c r="BX283" s="48">
        <f t="shared" si="1578"/>
        <v>2</v>
      </c>
      <c r="BY283" s="48">
        <f>SUM(AU283:AW283)</f>
        <v>2</v>
      </c>
      <c r="BZ283" s="48">
        <f t="shared" si="1580"/>
        <v>0</v>
      </c>
      <c r="CA283" s="48">
        <f t="shared" si="1581"/>
        <v>0</v>
      </c>
      <c r="CB283" s="48">
        <f>SUM(AX283:AZ283)</f>
        <v>0</v>
      </c>
      <c r="CC283" s="48">
        <f t="shared" si="1594"/>
        <v>0</v>
      </c>
      <c r="CD283" s="48">
        <f t="shared" si="1595"/>
        <v>0</v>
      </c>
      <c r="CE283" s="48">
        <f>SUM(BA283:BC283)</f>
        <v>0</v>
      </c>
      <c r="CF283" s="48">
        <f>CH283</f>
        <v>2</v>
      </c>
      <c r="CG283" s="48">
        <f>CH283</f>
        <v>2</v>
      </c>
      <c r="CH283" s="48">
        <f>SUM(BD283:BF283)</f>
        <v>2</v>
      </c>
      <c r="CI283" s="48">
        <f>CK283</f>
        <v>2</v>
      </c>
      <c r="CJ283" s="48">
        <f>CK283</f>
        <v>2</v>
      </c>
      <c r="CK283" s="48">
        <f>SUM(BG283:BI283)</f>
        <v>2</v>
      </c>
      <c r="CL283" s="48">
        <f>CN283</f>
        <v>-4</v>
      </c>
      <c r="CM283" s="48">
        <f>CN283</f>
        <v>-4</v>
      </c>
      <c r="CN283" s="48">
        <f t="shared" si="1656"/>
        <v>-4</v>
      </c>
      <c r="CO283" s="406"/>
      <c r="CP283" s="48">
        <f t="shared" si="1687"/>
        <v>0</v>
      </c>
      <c r="CQ283" s="48">
        <f t="shared" si="1657"/>
        <v>0</v>
      </c>
      <c r="CR283" s="48">
        <f t="shared" si="1658"/>
        <v>0</v>
      </c>
      <c r="CS283" s="48">
        <f t="shared" si="1659"/>
        <v>0</v>
      </c>
      <c r="CT283" s="48">
        <f t="shared" si="1660"/>
        <v>0</v>
      </c>
      <c r="CU283" s="48">
        <f t="shared" si="1661"/>
        <v>2</v>
      </c>
      <c r="CV283" s="48">
        <f t="shared" si="1662"/>
        <v>2</v>
      </c>
      <c r="CW283" s="48">
        <f t="shared" si="1663"/>
        <v>2</v>
      </c>
      <c r="CX283" s="48">
        <f t="shared" si="1664"/>
        <v>2</v>
      </c>
      <c r="CY283" s="48">
        <f t="shared" si="1665"/>
        <v>2</v>
      </c>
      <c r="CZ283" s="48">
        <f t="shared" si="1666"/>
        <v>2</v>
      </c>
      <c r="DA283" s="48">
        <f t="shared" si="1667"/>
        <v>4</v>
      </c>
      <c r="DB283" s="48">
        <f t="shared" si="1688"/>
        <v>0</v>
      </c>
      <c r="DC283" s="48">
        <f t="shared" si="1668"/>
        <v>0</v>
      </c>
      <c r="DD283" s="48">
        <f t="shared" si="1669"/>
        <v>0</v>
      </c>
      <c r="DE283" s="48">
        <f t="shared" si="1670"/>
        <v>0</v>
      </c>
      <c r="DF283" s="48">
        <f t="shared" si="1671"/>
        <v>0</v>
      </c>
      <c r="DG283" s="48">
        <f t="shared" si="1672"/>
        <v>0</v>
      </c>
      <c r="DH283" s="48">
        <f t="shared" si="1673"/>
        <v>2</v>
      </c>
      <c r="DI283" s="48">
        <f t="shared" si="1674"/>
        <v>2</v>
      </c>
      <c r="DJ283" s="48">
        <f t="shared" si="1675"/>
        <v>2</v>
      </c>
      <c r="DK283" s="48">
        <f t="shared" si="1676"/>
        <v>2</v>
      </c>
      <c r="DL283" s="48">
        <f t="shared" si="1677"/>
        <v>2</v>
      </c>
      <c r="DM283" s="48">
        <f t="shared" si="1678"/>
        <v>4</v>
      </c>
      <c r="DN283" s="48">
        <f>DM283+BJ283</f>
        <v>0</v>
      </c>
      <c r="DO283" s="48">
        <f t="shared" si="1689"/>
        <v>0</v>
      </c>
      <c r="DP283" s="48">
        <f t="shared" si="1690"/>
        <v>0</v>
      </c>
      <c r="DQ283" s="48"/>
      <c r="DR283" s="48"/>
      <c r="DS283" s="48"/>
      <c r="DT283" s="48"/>
      <c r="DU283" s="48"/>
      <c r="DV283" s="48"/>
      <c r="DW283" s="48"/>
      <c r="DX283" s="48"/>
      <c r="DY283" s="48"/>
      <c r="EA283" s="52">
        <f t="shared" si="1606"/>
        <v>4</v>
      </c>
      <c r="EB283" s="52">
        <f t="shared" si="1607"/>
        <v>4</v>
      </c>
      <c r="EC283" s="52"/>
      <c r="ED283" s="429"/>
      <c r="EE283" s="40">
        <f t="shared" si="1563"/>
        <v>0</v>
      </c>
      <c r="EF283" s="40">
        <f t="shared" si="1564"/>
        <v>-4</v>
      </c>
      <c r="EG283" s="51">
        <f t="shared" si="1618"/>
        <v>4</v>
      </c>
      <c r="EH283" s="54"/>
      <c r="EI283" s="54"/>
      <c r="EJ283" s="54"/>
      <c r="EK283" s="675"/>
      <c r="EL283" s="53"/>
      <c r="EM283" s="53"/>
      <c r="EN283" s="53"/>
      <c r="EO283" s="49"/>
      <c r="EP283" s="49"/>
      <c r="EQ283" s="49"/>
    </row>
    <row r="284" spans="1:147">
      <c r="A284" s="6" t="s">
        <v>23</v>
      </c>
      <c r="B284" s="2" t="s">
        <v>13</v>
      </c>
      <c r="C284" s="3" t="s">
        <v>52</v>
      </c>
      <c r="E284" s="3" t="s">
        <v>15</v>
      </c>
      <c r="G284" s="3" t="s">
        <v>91</v>
      </c>
      <c r="I284" s="23"/>
      <c r="J284" s="19"/>
      <c r="K284" s="19"/>
      <c r="L284" s="19">
        <v>10500</v>
      </c>
      <c r="M284" s="19">
        <f>L284</f>
        <v>10500</v>
      </c>
      <c r="N284" s="19">
        <f>M284</f>
        <v>10500</v>
      </c>
      <c r="O284" s="19">
        <v>21000</v>
      </c>
      <c r="P284" s="19">
        <f>+O284</f>
        <v>21000</v>
      </c>
      <c r="Q284" s="19">
        <f>+P284</f>
        <v>21000</v>
      </c>
      <c r="R284" s="19">
        <v>31500</v>
      </c>
      <c r="S284" s="19">
        <f>+R284</f>
        <v>31500</v>
      </c>
      <c r="T284" s="19">
        <f>+S284</f>
        <v>31500</v>
      </c>
      <c r="U284" s="19">
        <v>42000</v>
      </c>
      <c r="V284" s="219">
        <v>0</v>
      </c>
      <c r="W284" s="246">
        <v>0</v>
      </c>
      <c r="X284" s="246">
        <v>0</v>
      </c>
      <c r="Y284" s="246">
        <f>X284</f>
        <v>0</v>
      </c>
      <c r="Z284" s="246">
        <v>0</v>
      </c>
      <c r="AA284" s="246">
        <f>ROUND(AG284/2,)</f>
        <v>21000</v>
      </c>
      <c r="AB284" s="246">
        <f t="shared" ref="AB284:AF285" si="1696">+AA284</f>
        <v>21000</v>
      </c>
      <c r="AC284" s="246">
        <f t="shared" si="1696"/>
        <v>21000</v>
      </c>
      <c r="AD284" s="246">
        <f t="shared" si="1696"/>
        <v>21000</v>
      </c>
      <c r="AE284" s="246">
        <f t="shared" si="1696"/>
        <v>21000</v>
      </c>
      <c r="AF284" s="246">
        <f t="shared" si="1696"/>
        <v>21000</v>
      </c>
      <c r="AG284" s="246">
        <v>42000</v>
      </c>
      <c r="AH284" s="31"/>
      <c r="AI284" s="19"/>
      <c r="AJ284" s="19"/>
      <c r="AK284" s="408"/>
      <c r="AL284" s="40" t="s">
        <v>97</v>
      </c>
      <c r="AM284" s="40" t="s">
        <v>97</v>
      </c>
      <c r="AN284" s="40" t="s">
        <v>97</v>
      </c>
      <c r="AO284" s="40" t="s">
        <v>97</v>
      </c>
      <c r="AP284" s="40" t="s">
        <v>97</v>
      </c>
      <c r="AQ284" s="40" t="s">
        <v>97</v>
      </c>
      <c r="AR284" s="40" t="s">
        <v>97</v>
      </c>
      <c r="AS284" s="40" t="s">
        <v>97</v>
      </c>
      <c r="AT284" s="40" t="s">
        <v>97</v>
      </c>
      <c r="AU284" s="40" t="s">
        <v>97</v>
      </c>
      <c r="AV284" s="40" t="s">
        <v>97</v>
      </c>
      <c r="AW284" s="40" t="s">
        <v>97</v>
      </c>
      <c r="AX284" s="40" t="s">
        <v>97</v>
      </c>
      <c r="AY284" s="40" t="s">
        <v>97</v>
      </c>
      <c r="AZ284" s="40" t="s">
        <v>97</v>
      </c>
      <c r="BA284" s="40" t="s">
        <v>97</v>
      </c>
      <c r="BB284" s="40" t="s">
        <v>97</v>
      </c>
      <c r="BC284" s="40" t="s">
        <v>97</v>
      </c>
      <c r="BD284" s="40" t="s">
        <v>97</v>
      </c>
      <c r="BE284" s="40" t="s">
        <v>97</v>
      </c>
      <c r="BF284" s="40" t="s">
        <v>97</v>
      </c>
      <c r="BG284" s="40" t="s">
        <v>97</v>
      </c>
      <c r="BH284" s="40" t="s">
        <v>97</v>
      </c>
      <c r="BI284" s="40" t="s">
        <v>97</v>
      </c>
      <c r="BJ284" s="40" t="s">
        <v>97</v>
      </c>
      <c r="BK284" s="40" t="s">
        <v>97</v>
      </c>
      <c r="BL284" s="40" t="s">
        <v>97</v>
      </c>
      <c r="BM284" s="408"/>
      <c r="BN284" s="40" t="s">
        <v>97</v>
      </c>
      <c r="BO284" s="40" t="s">
        <v>97</v>
      </c>
      <c r="BP284" s="40" t="s">
        <v>97</v>
      </c>
      <c r="BQ284" s="40" t="s">
        <v>97</v>
      </c>
      <c r="BR284" s="40" t="s">
        <v>97</v>
      </c>
      <c r="BS284" s="40" t="s">
        <v>97</v>
      </c>
      <c r="BT284" s="40" t="s">
        <v>97</v>
      </c>
      <c r="BU284" s="40" t="s">
        <v>97</v>
      </c>
      <c r="BV284" s="40" t="s">
        <v>97</v>
      </c>
      <c r="BW284" s="40" t="s">
        <v>97</v>
      </c>
      <c r="BX284" s="40" t="s">
        <v>97</v>
      </c>
      <c r="BY284" s="40" t="s">
        <v>97</v>
      </c>
      <c r="BZ284" s="40" t="s">
        <v>97</v>
      </c>
      <c r="CA284" s="40" t="s">
        <v>97</v>
      </c>
      <c r="CB284" s="40" t="s">
        <v>97</v>
      </c>
      <c r="CC284" s="40" t="s">
        <v>97</v>
      </c>
      <c r="CD284" s="40" t="s">
        <v>97</v>
      </c>
      <c r="CE284" s="40" t="s">
        <v>97</v>
      </c>
      <c r="CF284" s="40" t="s">
        <v>97</v>
      </c>
      <c r="CG284" s="40" t="s">
        <v>97</v>
      </c>
      <c r="CH284" s="40" t="s">
        <v>97</v>
      </c>
      <c r="CI284" s="40" t="s">
        <v>97</v>
      </c>
      <c r="CJ284" s="40" t="s">
        <v>97</v>
      </c>
      <c r="CK284" s="40" t="s">
        <v>97</v>
      </c>
      <c r="CL284" s="40" t="s">
        <v>97</v>
      </c>
      <c r="CM284" s="40" t="s">
        <v>97</v>
      </c>
      <c r="CN284" s="40" t="s">
        <v>97</v>
      </c>
      <c r="CO284" s="406"/>
      <c r="CP284" s="48">
        <f t="shared" ref="CP284:CY285" si="1697">J284</f>
        <v>0</v>
      </c>
      <c r="CQ284" s="48">
        <f t="shared" si="1697"/>
        <v>0</v>
      </c>
      <c r="CR284" s="48">
        <f t="shared" si="1697"/>
        <v>10500</v>
      </c>
      <c r="CS284" s="48">
        <f t="shared" si="1697"/>
        <v>10500</v>
      </c>
      <c r="CT284" s="48">
        <f t="shared" si="1697"/>
        <v>10500</v>
      </c>
      <c r="CU284" s="48">
        <f t="shared" si="1697"/>
        <v>21000</v>
      </c>
      <c r="CV284" s="48">
        <f t="shared" si="1697"/>
        <v>21000</v>
      </c>
      <c r="CW284" s="48">
        <f t="shared" si="1697"/>
        <v>21000</v>
      </c>
      <c r="CX284" s="48">
        <f t="shared" si="1697"/>
        <v>31500</v>
      </c>
      <c r="CY284" s="48">
        <f t="shared" si="1697"/>
        <v>31500</v>
      </c>
      <c r="CZ284" s="48">
        <f t="shared" ref="CZ284:DI285" si="1698">T284</f>
        <v>31500</v>
      </c>
      <c r="DA284" s="48">
        <f t="shared" si="1698"/>
        <v>42000</v>
      </c>
      <c r="DB284" s="48">
        <f t="shared" si="1698"/>
        <v>0</v>
      </c>
      <c r="DC284" s="48">
        <f t="shared" si="1698"/>
        <v>0</v>
      </c>
      <c r="DD284" s="48">
        <f t="shared" si="1698"/>
        <v>0</v>
      </c>
      <c r="DE284" s="48">
        <f t="shared" si="1698"/>
        <v>0</v>
      </c>
      <c r="DF284" s="48">
        <f t="shared" si="1698"/>
        <v>0</v>
      </c>
      <c r="DG284" s="48">
        <f t="shared" si="1698"/>
        <v>21000</v>
      </c>
      <c r="DH284" s="48">
        <f t="shared" si="1698"/>
        <v>21000</v>
      </c>
      <c r="DI284" s="48">
        <f t="shared" si="1698"/>
        <v>21000</v>
      </c>
      <c r="DJ284" s="48">
        <f t="shared" ref="DJ284:DP285" si="1699">AD284</f>
        <v>21000</v>
      </c>
      <c r="DK284" s="48">
        <f t="shared" si="1699"/>
        <v>21000</v>
      </c>
      <c r="DL284" s="48">
        <f t="shared" si="1699"/>
        <v>21000</v>
      </c>
      <c r="DM284" s="48">
        <f t="shared" si="1699"/>
        <v>42000</v>
      </c>
      <c r="DN284" s="48">
        <f t="shared" si="1699"/>
        <v>0</v>
      </c>
      <c r="DO284" s="48">
        <f t="shared" si="1699"/>
        <v>0</v>
      </c>
      <c r="DP284" s="48">
        <f t="shared" si="1699"/>
        <v>0</v>
      </c>
      <c r="DQ284" s="48"/>
      <c r="DR284" s="48"/>
      <c r="DS284" s="48"/>
      <c r="DT284" s="48"/>
      <c r="DU284" s="48"/>
      <c r="DV284" s="48"/>
      <c r="DW284" s="48"/>
      <c r="DX284" s="48"/>
      <c r="DY284" s="48"/>
      <c r="EA284" s="52">
        <f t="shared" si="1606"/>
        <v>42000</v>
      </c>
      <c r="EB284" s="52">
        <f t="shared" si="1607"/>
        <v>42000</v>
      </c>
      <c r="EC284" s="52"/>
      <c r="ED284" s="429"/>
      <c r="EE284" s="40" t="str">
        <f>HLOOKUP($I$1,Month,19)</f>
        <v>N/A</v>
      </c>
      <c r="EF284" s="40" t="str">
        <f>HLOOKUP($I$1,Qtr,19)</f>
        <v>N/A</v>
      </c>
      <c r="EG284" s="51">
        <f>HLOOKUP($EJ$4,Budget,19)</f>
        <v>41153</v>
      </c>
      <c r="EH284" s="54"/>
      <c r="EI284" s="54"/>
      <c r="EJ284" s="54"/>
      <c r="EK284" s="675"/>
      <c r="EL284" s="53"/>
      <c r="EM284" s="53"/>
      <c r="EN284" s="53"/>
      <c r="EO284" s="49"/>
      <c r="EP284" s="49"/>
      <c r="EQ284" s="49"/>
    </row>
    <row r="285" spans="1:147" ht="13.5" thickBot="1">
      <c r="A285" s="6" t="s">
        <v>23</v>
      </c>
      <c r="B285" s="2" t="s">
        <v>14</v>
      </c>
      <c r="C285" s="3" t="s">
        <v>53</v>
      </c>
      <c r="E285" s="3" t="s">
        <v>15</v>
      </c>
      <c r="G285" s="3" t="s">
        <v>91</v>
      </c>
      <c r="I285" s="23"/>
      <c r="J285" s="19"/>
      <c r="K285" s="19"/>
      <c r="L285" s="19">
        <v>21000</v>
      </c>
      <c r="M285" s="19">
        <f>L285</f>
        <v>21000</v>
      </c>
      <c r="N285" s="19">
        <f>M285</f>
        <v>21000</v>
      </c>
      <c r="O285" s="19">
        <v>42000</v>
      </c>
      <c r="P285" s="19">
        <f>+O285</f>
        <v>42000</v>
      </c>
      <c r="Q285" s="19">
        <f>+P285</f>
        <v>42000</v>
      </c>
      <c r="R285" s="19">
        <v>63000</v>
      </c>
      <c r="S285" s="19">
        <f>+R285</f>
        <v>63000</v>
      </c>
      <c r="T285" s="19">
        <f>+S285</f>
        <v>63000</v>
      </c>
      <c r="U285" s="19">
        <v>84000</v>
      </c>
      <c r="V285" s="221">
        <v>0</v>
      </c>
      <c r="W285" s="246">
        <v>0</v>
      </c>
      <c r="X285" s="246">
        <v>0</v>
      </c>
      <c r="Y285" s="246">
        <f>X285</f>
        <v>0</v>
      </c>
      <c r="Z285" s="246">
        <v>0</v>
      </c>
      <c r="AA285" s="246">
        <f>ROUND(AG285/2,0)</f>
        <v>42000</v>
      </c>
      <c r="AB285" s="246">
        <f t="shared" si="1696"/>
        <v>42000</v>
      </c>
      <c r="AC285" s="246">
        <f t="shared" si="1696"/>
        <v>42000</v>
      </c>
      <c r="AD285" s="246">
        <f t="shared" si="1696"/>
        <v>42000</v>
      </c>
      <c r="AE285" s="246">
        <f t="shared" si="1696"/>
        <v>42000</v>
      </c>
      <c r="AF285" s="246">
        <f t="shared" si="1696"/>
        <v>42000</v>
      </c>
      <c r="AG285" s="246">
        <v>84000</v>
      </c>
      <c r="AH285" s="34"/>
      <c r="AI285" s="19"/>
      <c r="AJ285" s="19"/>
      <c r="AK285" s="408"/>
      <c r="AL285" s="40" t="s">
        <v>97</v>
      </c>
      <c r="AM285" s="40" t="s">
        <v>97</v>
      </c>
      <c r="AN285" s="40" t="s">
        <v>97</v>
      </c>
      <c r="AO285" s="40" t="s">
        <v>97</v>
      </c>
      <c r="AP285" s="40" t="s">
        <v>97</v>
      </c>
      <c r="AQ285" s="40" t="s">
        <v>97</v>
      </c>
      <c r="AR285" s="40" t="s">
        <v>97</v>
      </c>
      <c r="AS285" s="40" t="s">
        <v>97</v>
      </c>
      <c r="AT285" s="40" t="s">
        <v>97</v>
      </c>
      <c r="AU285" s="40" t="s">
        <v>97</v>
      </c>
      <c r="AV285" s="40" t="s">
        <v>97</v>
      </c>
      <c r="AW285" s="40" t="s">
        <v>97</v>
      </c>
      <c r="AX285" s="40" t="s">
        <v>97</v>
      </c>
      <c r="AY285" s="40" t="s">
        <v>97</v>
      </c>
      <c r="AZ285" s="40" t="s">
        <v>97</v>
      </c>
      <c r="BA285" s="40" t="s">
        <v>97</v>
      </c>
      <c r="BB285" s="40" t="s">
        <v>97</v>
      </c>
      <c r="BC285" s="40" t="s">
        <v>97</v>
      </c>
      <c r="BD285" s="40" t="s">
        <v>97</v>
      </c>
      <c r="BE285" s="40" t="s">
        <v>97</v>
      </c>
      <c r="BF285" s="40" t="s">
        <v>97</v>
      </c>
      <c r="BG285" s="40" t="s">
        <v>97</v>
      </c>
      <c r="BH285" s="40" t="s">
        <v>97</v>
      </c>
      <c r="BI285" s="40" t="s">
        <v>97</v>
      </c>
      <c r="BJ285" s="40" t="s">
        <v>97</v>
      </c>
      <c r="BK285" s="40" t="s">
        <v>97</v>
      </c>
      <c r="BL285" s="40" t="s">
        <v>97</v>
      </c>
      <c r="BM285" s="408"/>
      <c r="BN285" s="40" t="s">
        <v>97</v>
      </c>
      <c r="BO285" s="40" t="s">
        <v>97</v>
      </c>
      <c r="BP285" s="40" t="s">
        <v>97</v>
      </c>
      <c r="BQ285" s="40" t="s">
        <v>97</v>
      </c>
      <c r="BR285" s="40" t="s">
        <v>97</v>
      </c>
      <c r="BS285" s="40" t="s">
        <v>97</v>
      </c>
      <c r="BT285" s="40" t="s">
        <v>97</v>
      </c>
      <c r="BU285" s="40" t="s">
        <v>97</v>
      </c>
      <c r="BV285" s="40" t="s">
        <v>97</v>
      </c>
      <c r="BW285" s="40" t="s">
        <v>97</v>
      </c>
      <c r="BX285" s="40" t="s">
        <v>97</v>
      </c>
      <c r="BY285" s="40" t="s">
        <v>97</v>
      </c>
      <c r="BZ285" s="40" t="s">
        <v>97</v>
      </c>
      <c r="CA285" s="40" t="s">
        <v>97</v>
      </c>
      <c r="CB285" s="40" t="s">
        <v>97</v>
      </c>
      <c r="CC285" s="40" t="s">
        <v>97</v>
      </c>
      <c r="CD285" s="40" t="s">
        <v>97</v>
      </c>
      <c r="CE285" s="40" t="s">
        <v>97</v>
      </c>
      <c r="CF285" s="40" t="s">
        <v>97</v>
      </c>
      <c r="CG285" s="40" t="s">
        <v>97</v>
      </c>
      <c r="CH285" s="40" t="s">
        <v>97</v>
      </c>
      <c r="CI285" s="40" t="s">
        <v>97</v>
      </c>
      <c r="CJ285" s="40" t="s">
        <v>97</v>
      </c>
      <c r="CK285" s="40" t="s">
        <v>97</v>
      </c>
      <c r="CL285" s="40" t="s">
        <v>97</v>
      </c>
      <c r="CM285" s="40" t="s">
        <v>97</v>
      </c>
      <c r="CN285" s="40" t="s">
        <v>97</v>
      </c>
      <c r="CO285" s="406"/>
      <c r="CP285" s="48">
        <f t="shared" si="1697"/>
        <v>0</v>
      </c>
      <c r="CQ285" s="48">
        <f t="shared" si="1697"/>
        <v>0</v>
      </c>
      <c r="CR285" s="48">
        <f t="shared" si="1697"/>
        <v>21000</v>
      </c>
      <c r="CS285" s="48">
        <f t="shared" si="1697"/>
        <v>21000</v>
      </c>
      <c r="CT285" s="48">
        <f t="shared" si="1697"/>
        <v>21000</v>
      </c>
      <c r="CU285" s="48">
        <f t="shared" si="1697"/>
        <v>42000</v>
      </c>
      <c r="CV285" s="48">
        <f t="shared" si="1697"/>
        <v>42000</v>
      </c>
      <c r="CW285" s="48">
        <f t="shared" si="1697"/>
        <v>42000</v>
      </c>
      <c r="CX285" s="48">
        <f t="shared" si="1697"/>
        <v>63000</v>
      </c>
      <c r="CY285" s="48">
        <f t="shared" si="1697"/>
        <v>63000</v>
      </c>
      <c r="CZ285" s="48">
        <f t="shared" si="1698"/>
        <v>63000</v>
      </c>
      <c r="DA285" s="48">
        <f t="shared" si="1698"/>
        <v>84000</v>
      </c>
      <c r="DB285" s="48">
        <f t="shared" si="1698"/>
        <v>0</v>
      </c>
      <c r="DC285" s="48">
        <f t="shared" si="1698"/>
        <v>0</v>
      </c>
      <c r="DD285" s="48">
        <f t="shared" si="1698"/>
        <v>0</v>
      </c>
      <c r="DE285" s="48">
        <f t="shared" si="1698"/>
        <v>0</v>
      </c>
      <c r="DF285" s="48">
        <f t="shared" si="1698"/>
        <v>0</v>
      </c>
      <c r="DG285" s="48">
        <f t="shared" si="1698"/>
        <v>42000</v>
      </c>
      <c r="DH285" s="48">
        <f t="shared" si="1698"/>
        <v>42000</v>
      </c>
      <c r="DI285" s="48">
        <f t="shared" si="1698"/>
        <v>42000</v>
      </c>
      <c r="DJ285" s="48">
        <f t="shared" si="1699"/>
        <v>42000</v>
      </c>
      <c r="DK285" s="48">
        <f t="shared" si="1699"/>
        <v>42000</v>
      </c>
      <c r="DL285" s="48">
        <f t="shared" si="1699"/>
        <v>42000</v>
      </c>
      <c r="DM285" s="48">
        <f t="shared" si="1699"/>
        <v>84000</v>
      </c>
      <c r="DN285" s="48">
        <f t="shared" si="1699"/>
        <v>0</v>
      </c>
      <c r="DO285" s="48">
        <f t="shared" si="1699"/>
        <v>0</v>
      </c>
      <c r="DP285" s="48">
        <f t="shared" si="1699"/>
        <v>0</v>
      </c>
      <c r="DQ285" s="48"/>
      <c r="DR285" s="48"/>
      <c r="DS285" s="48"/>
      <c r="DT285" s="48"/>
      <c r="DU285" s="48"/>
      <c r="DV285" s="48"/>
      <c r="DW285" s="48"/>
      <c r="DX285" s="48"/>
      <c r="DY285" s="48"/>
      <c r="EA285" s="52">
        <f t="shared" si="1606"/>
        <v>84000</v>
      </c>
      <c r="EB285" s="52">
        <f t="shared" si="1607"/>
        <v>84000</v>
      </c>
      <c r="EC285" s="52"/>
      <c r="ED285" s="429"/>
      <c r="EE285" s="40" t="str">
        <f>HLOOKUP($I$1,Month,20)</f>
        <v>N/A</v>
      </c>
      <c r="EF285" s="40" t="str">
        <f>HLOOKUP($I$1,Qtr,20)</f>
        <v>N/A</v>
      </c>
      <c r="EG285" s="51">
        <f>HLOOKUP($EJ$4,Budget,20)</f>
        <v>81520</v>
      </c>
      <c r="EH285" s="54"/>
      <c r="EI285" s="54"/>
      <c r="EJ285" s="54"/>
      <c r="EK285" s="675"/>
      <c r="EL285" s="53"/>
      <c r="EM285" s="53"/>
      <c r="EN285" s="53"/>
      <c r="EO285" s="49"/>
      <c r="EP285" s="49"/>
      <c r="EQ285" s="49"/>
    </row>
    <row r="286" spans="1:147">
      <c r="A286" s="6" t="s">
        <v>23</v>
      </c>
      <c r="B286" s="2" t="s">
        <v>0</v>
      </c>
      <c r="C286" s="3" t="s">
        <v>40</v>
      </c>
      <c r="G286" s="43" t="s">
        <v>113</v>
      </c>
      <c r="H286" s="28"/>
      <c r="I286" s="29"/>
      <c r="J286" s="30">
        <f t="shared" ref="J286:L287" si="1700">+J268-I268</f>
        <v>12.329999999999998</v>
      </c>
      <c r="K286" s="30">
        <f t="shared" si="1700"/>
        <v>12.329999999999998</v>
      </c>
      <c r="L286" s="30">
        <f t="shared" si="1700"/>
        <v>12.330000000000013</v>
      </c>
      <c r="M286" s="30">
        <f>+M268</f>
        <v>11</v>
      </c>
      <c r="N286" s="30">
        <f t="shared" ref="N286:U286" si="1701">+N268-M268</f>
        <v>11</v>
      </c>
      <c r="O286" s="30">
        <f t="shared" si="1701"/>
        <v>11</v>
      </c>
      <c r="P286" s="30">
        <f t="shared" si="1701"/>
        <v>11</v>
      </c>
      <c r="Q286" s="30">
        <f t="shared" si="1701"/>
        <v>11</v>
      </c>
      <c r="R286" s="30">
        <f t="shared" si="1701"/>
        <v>11</v>
      </c>
      <c r="S286" s="30">
        <f t="shared" si="1701"/>
        <v>11</v>
      </c>
      <c r="T286" s="30">
        <f t="shared" si="1701"/>
        <v>11</v>
      </c>
      <c r="U286" s="30">
        <f t="shared" si="1701"/>
        <v>11</v>
      </c>
      <c r="V286" s="30">
        <v>13.833</v>
      </c>
      <c r="W286" s="30">
        <f>V286+13.833</f>
        <v>27.666</v>
      </c>
      <c r="X286" s="226">
        <f t="shared" ref="X286:AG286" si="1702">W286+13.833</f>
        <v>41.499000000000002</v>
      </c>
      <c r="Y286" s="226">
        <f t="shared" si="1702"/>
        <v>55.332000000000001</v>
      </c>
      <c r="Z286" s="226">
        <f t="shared" si="1702"/>
        <v>69.165000000000006</v>
      </c>
      <c r="AA286" s="226">
        <f t="shared" si="1702"/>
        <v>82.998000000000005</v>
      </c>
      <c r="AB286" s="226">
        <f t="shared" si="1702"/>
        <v>96.831000000000003</v>
      </c>
      <c r="AC286" s="226">
        <f t="shared" si="1702"/>
        <v>110.664</v>
      </c>
      <c r="AD286" s="226">
        <f t="shared" si="1702"/>
        <v>124.497</v>
      </c>
      <c r="AE286" s="226">
        <f t="shared" si="1702"/>
        <v>138.33000000000001</v>
      </c>
      <c r="AF286" s="226">
        <f t="shared" si="1702"/>
        <v>152.16300000000001</v>
      </c>
      <c r="AG286" s="226">
        <f t="shared" si="1702"/>
        <v>165.99600000000001</v>
      </c>
      <c r="AH286" s="30">
        <f>+AH268-AG268</f>
        <v>13.833000000000013</v>
      </c>
      <c r="AI286" s="30">
        <f>+AI268-AH268</f>
        <v>13.832999999999998</v>
      </c>
      <c r="AJ286" s="30">
        <f>+AJ268-AI268</f>
        <v>13.832999999999998</v>
      </c>
      <c r="AK286" s="408"/>
      <c r="AL286" s="48">
        <f t="shared" ref="AL286:AU288" si="1703">J286</f>
        <v>12.329999999999998</v>
      </c>
      <c r="AM286" s="48">
        <f t="shared" si="1703"/>
        <v>12.329999999999998</v>
      </c>
      <c r="AN286" s="48">
        <f t="shared" si="1703"/>
        <v>12.330000000000013</v>
      </c>
      <c r="AO286" s="48">
        <f t="shared" si="1703"/>
        <v>11</v>
      </c>
      <c r="AP286" s="48">
        <f t="shared" si="1703"/>
        <v>11</v>
      </c>
      <c r="AQ286" s="48">
        <f t="shared" si="1703"/>
        <v>11</v>
      </c>
      <c r="AR286" s="48">
        <f t="shared" si="1703"/>
        <v>11</v>
      </c>
      <c r="AS286" s="48">
        <f t="shared" si="1703"/>
        <v>11</v>
      </c>
      <c r="AT286" s="48">
        <f t="shared" si="1703"/>
        <v>11</v>
      </c>
      <c r="AU286" s="48">
        <f t="shared" si="1703"/>
        <v>11</v>
      </c>
      <c r="AV286" s="48">
        <f t="shared" ref="AV286:BE288" si="1704">T286</f>
        <v>11</v>
      </c>
      <c r="AW286" s="48">
        <f t="shared" si="1704"/>
        <v>11</v>
      </c>
      <c r="AX286" s="48">
        <v>13.833</v>
      </c>
      <c r="AY286" s="48">
        <v>13.833</v>
      </c>
      <c r="AZ286" s="48">
        <v>13.833</v>
      </c>
      <c r="BA286" s="48">
        <v>13.833</v>
      </c>
      <c r="BB286" s="48">
        <v>13.833</v>
      </c>
      <c r="BC286" s="48">
        <v>13.833</v>
      </c>
      <c r="BD286" s="48">
        <v>13.833</v>
      </c>
      <c r="BE286" s="48">
        <v>13.833</v>
      </c>
      <c r="BF286" s="48">
        <v>13.833</v>
      </c>
      <c r="BG286" s="48">
        <v>13.833</v>
      </c>
      <c r="BH286" s="48">
        <v>13.833</v>
      </c>
      <c r="BI286" s="48">
        <v>13.833</v>
      </c>
      <c r="BJ286" s="48">
        <v>13.833</v>
      </c>
      <c r="BK286" s="48">
        <f t="shared" ref="BF286:BL288" si="1705">AI286</f>
        <v>13.832999999999998</v>
      </c>
      <c r="BL286" s="48">
        <f t="shared" si="1705"/>
        <v>13.832999999999998</v>
      </c>
      <c r="BM286" s="408"/>
      <c r="BN286" s="48">
        <f>+AL286</f>
        <v>12.329999999999998</v>
      </c>
      <c r="BO286" s="48">
        <f>+BN286+AM286</f>
        <v>24.659999999999997</v>
      </c>
      <c r="BP286" s="48">
        <f>+BO286+AN286</f>
        <v>36.990000000000009</v>
      </c>
      <c r="BQ286" s="48">
        <f>AO286</f>
        <v>11</v>
      </c>
      <c r="BR286" s="48">
        <f>+BQ286+AP286</f>
        <v>22</v>
      </c>
      <c r="BS286" s="48">
        <f>+BR286+AQ286</f>
        <v>33</v>
      </c>
      <c r="BT286" s="48">
        <f>AR286</f>
        <v>11</v>
      </c>
      <c r="BU286" s="48">
        <f>+BT286+AS286</f>
        <v>22</v>
      </c>
      <c r="BV286" s="48">
        <f>+BU286+AT286</f>
        <v>33</v>
      </c>
      <c r="BW286" s="48">
        <f>AU286</f>
        <v>11</v>
      </c>
      <c r="BX286" s="48">
        <f>+BW286+AV286</f>
        <v>22</v>
      </c>
      <c r="BY286" s="48">
        <f>+BX286+AW286</f>
        <v>33</v>
      </c>
      <c r="BZ286" s="48">
        <v>41.49</v>
      </c>
      <c r="CA286" s="48">
        <v>41.49</v>
      </c>
      <c r="CB286" s="48">
        <v>41.49</v>
      </c>
      <c r="CC286" s="48">
        <v>82.99</v>
      </c>
      <c r="CD286" s="48">
        <v>82.99</v>
      </c>
      <c r="CE286" s="48">
        <v>82.99</v>
      </c>
      <c r="CF286" s="48">
        <v>124.49</v>
      </c>
      <c r="CG286" s="48">
        <v>124.49</v>
      </c>
      <c r="CH286" s="48">
        <v>124.49</v>
      </c>
      <c r="CI286" s="48">
        <v>166</v>
      </c>
      <c r="CJ286" s="48">
        <v>166</v>
      </c>
      <c r="CK286" s="48">
        <v>166</v>
      </c>
      <c r="CL286" s="48">
        <f>CN286</f>
        <v>36.75</v>
      </c>
      <c r="CM286" s="48">
        <f>CN286</f>
        <v>36.75</v>
      </c>
      <c r="CN286" s="48">
        <f>147/4</f>
        <v>36.75</v>
      </c>
      <c r="CO286" s="406"/>
      <c r="CP286" s="40">
        <f>AL286</f>
        <v>12.329999999999998</v>
      </c>
      <c r="CQ286" s="40">
        <f t="shared" ref="CQ286:DA287" si="1706">CP286+AM286</f>
        <v>24.659999999999997</v>
      </c>
      <c r="CR286" s="40">
        <f t="shared" si="1706"/>
        <v>36.990000000000009</v>
      </c>
      <c r="CS286" s="40">
        <f t="shared" si="1706"/>
        <v>47.990000000000009</v>
      </c>
      <c r="CT286" s="40">
        <f t="shared" si="1706"/>
        <v>58.990000000000009</v>
      </c>
      <c r="CU286" s="40">
        <f t="shared" si="1706"/>
        <v>69.990000000000009</v>
      </c>
      <c r="CV286" s="40">
        <f t="shared" si="1706"/>
        <v>80.990000000000009</v>
      </c>
      <c r="CW286" s="40">
        <f t="shared" si="1706"/>
        <v>91.990000000000009</v>
      </c>
      <c r="CX286" s="40">
        <f t="shared" si="1706"/>
        <v>102.99000000000001</v>
      </c>
      <c r="CY286" s="40">
        <f t="shared" si="1706"/>
        <v>113.99000000000001</v>
      </c>
      <c r="CZ286" s="40">
        <f t="shared" si="1706"/>
        <v>124.99000000000001</v>
      </c>
      <c r="DA286" s="40">
        <f t="shared" si="1706"/>
        <v>135.99</v>
      </c>
      <c r="DB286" s="40">
        <f>AX286</f>
        <v>13.833</v>
      </c>
      <c r="DC286" s="396">
        <f>DB286+13.833</f>
        <v>27.666</v>
      </c>
      <c r="DD286" s="396">
        <f t="shared" ref="DD286:DM286" si="1707">DC286+13.833</f>
        <v>41.499000000000002</v>
      </c>
      <c r="DE286" s="396">
        <f t="shared" si="1707"/>
        <v>55.332000000000001</v>
      </c>
      <c r="DF286" s="396">
        <f t="shared" si="1707"/>
        <v>69.165000000000006</v>
      </c>
      <c r="DG286" s="396">
        <f t="shared" si="1707"/>
        <v>82.998000000000005</v>
      </c>
      <c r="DH286" s="396">
        <f t="shared" si="1707"/>
        <v>96.831000000000003</v>
      </c>
      <c r="DI286" s="396">
        <f t="shared" si="1707"/>
        <v>110.664</v>
      </c>
      <c r="DJ286" s="396">
        <f t="shared" si="1707"/>
        <v>124.497</v>
      </c>
      <c r="DK286" s="396">
        <f t="shared" si="1707"/>
        <v>138.33000000000001</v>
      </c>
      <c r="DL286" s="396">
        <f t="shared" si="1707"/>
        <v>152.16300000000001</v>
      </c>
      <c r="DM286" s="396">
        <f t="shared" si="1707"/>
        <v>165.99600000000001</v>
      </c>
      <c r="DN286" s="40">
        <f>BJ286</f>
        <v>13.833</v>
      </c>
      <c r="DO286" s="40">
        <f>DN286+BK286</f>
        <v>27.665999999999997</v>
      </c>
      <c r="DP286" s="40">
        <f>DO286+BL286</f>
        <v>41.498999999999995</v>
      </c>
      <c r="DQ286" s="40"/>
      <c r="DR286" s="40"/>
      <c r="DS286" s="40"/>
      <c r="DT286" s="40"/>
      <c r="DU286" s="40"/>
      <c r="DV286" s="40"/>
      <c r="DW286" s="40"/>
      <c r="DX286" s="40"/>
      <c r="DY286" s="40"/>
      <c r="EA286" s="58">
        <f t="shared" si="1606"/>
        <v>135.99</v>
      </c>
      <c r="EB286" s="58">
        <v>147</v>
      </c>
      <c r="EC286" s="58"/>
      <c r="ED286" s="429"/>
      <c r="EE286" s="40">
        <f>HLOOKUP($I$1,Month,ROW()-1)</f>
        <v>13.832999999999998</v>
      </c>
      <c r="EF286" s="40">
        <f>HLOOKUP($I$1,Qtr,ROW()-1)</f>
        <v>36.75</v>
      </c>
      <c r="EG286" s="40">
        <f>HLOOKUP($EJ$4,Budget,ROW()-1)</f>
        <v>147</v>
      </c>
      <c r="EH286" s="54"/>
      <c r="EI286" s="54"/>
      <c r="EJ286" s="54"/>
      <c r="EK286" s="675"/>
      <c r="EL286" s="53"/>
      <c r="EM286" s="53"/>
      <c r="EN286" s="53"/>
      <c r="EO286" s="49"/>
      <c r="EP286" s="49"/>
      <c r="EQ286" s="49"/>
    </row>
    <row r="287" spans="1:147">
      <c r="A287" s="6" t="s">
        <v>23</v>
      </c>
      <c r="B287" s="2" t="s">
        <v>1</v>
      </c>
      <c r="C287" s="3" t="s">
        <v>41</v>
      </c>
      <c r="G287" s="43" t="s">
        <v>113</v>
      </c>
      <c r="H287" s="28"/>
      <c r="I287" s="29"/>
      <c r="J287" s="30">
        <f t="shared" si="1700"/>
        <v>2.5799999999999983</v>
      </c>
      <c r="K287" s="30">
        <f t="shared" si="1700"/>
        <v>2.5799999999999983</v>
      </c>
      <c r="L287" s="30">
        <f t="shared" si="1700"/>
        <v>2.5799999999999983</v>
      </c>
      <c r="M287" s="30">
        <f>+M269</f>
        <v>2.9166666666666665</v>
      </c>
      <c r="N287" s="30">
        <f t="shared" ref="N287:X287" si="1708">+N269-M269</f>
        <v>2.9166666700000001</v>
      </c>
      <c r="O287" s="30">
        <f t="shared" si="1708"/>
        <v>2.9166666700000006</v>
      </c>
      <c r="P287" s="30">
        <f t="shared" si="1708"/>
        <v>2.9166666699999997</v>
      </c>
      <c r="Q287" s="30">
        <f t="shared" si="1708"/>
        <v>2.9166666699999997</v>
      </c>
      <c r="R287" s="30">
        <f t="shared" si="1708"/>
        <v>2.9166666700000015</v>
      </c>
      <c r="S287" s="30">
        <f t="shared" si="1708"/>
        <v>2.9166666700000015</v>
      </c>
      <c r="T287" s="30">
        <f t="shared" si="1708"/>
        <v>2.9166666700000015</v>
      </c>
      <c r="U287" s="30">
        <f t="shared" si="1708"/>
        <v>2.9166666700000015</v>
      </c>
      <c r="V287" s="30">
        <f t="shared" si="1708"/>
        <v>2.9166666700000015</v>
      </c>
      <c r="W287" s="30">
        <f t="shared" si="1708"/>
        <v>2.9166666699999979</v>
      </c>
      <c r="X287" s="30">
        <f t="shared" si="1708"/>
        <v>2.9166666699999979</v>
      </c>
      <c r="Y287" s="30">
        <f>+Y269</f>
        <v>5.4165999999999999</v>
      </c>
      <c r="Z287" s="30">
        <f t="shared" ref="Z287:AJ287" si="1709">+Z269-Y269</f>
        <v>5.4165999999999999</v>
      </c>
      <c r="AA287" s="30">
        <f t="shared" si="1709"/>
        <v>5.4166000000000007</v>
      </c>
      <c r="AB287" s="30">
        <f t="shared" si="1709"/>
        <v>5.416599999999999</v>
      </c>
      <c r="AC287" s="30">
        <f t="shared" si="1709"/>
        <v>5.416599999999999</v>
      </c>
      <c r="AD287" s="30">
        <f t="shared" si="1709"/>
        <v>5.4166000000000025</v>
      </c>
      <c r="AE287" s="30">
        <f t="shared" si="1709"/>
        <v>5.4166000000000025</v>
      </c>
      <c r="AF287" s="30">
        <f t="shared" si="1709"/>
        <v>5.4166000000000025</v>
      </c>
      <c r="AG287" s="30">
        <f t="shared" si="1709"/>
        <v>5.4166000000000025</v>
      </c>
      <c r="AH287" s="30">
        <f t="shared" si="1709"/>
        <v>5.4166000000000025</v>
      </c>
      <c r="AI287" s="30">
        <f t="shared" si="1709"/>
        <v>5.4166000000000025</v>
      </c>
      <c r="AJ287" s="30">
        <f t="shared" si="1709"/>
        <v>5.4166000000000025</v>
      </c>
      <c r="AK287" s="408"/>
      <c r="AL287" s="48">
        <f t="shared" si="1703"/>
        <v>2.5799999999999983</v>
      </c>
      <c r="AM287" s="48">
        <f t="shared" si="1703"/>
        <v>2.5799999999999983</v>
      </c>
      <c r="AN287" s="48">
        <f t="shared" si="1703"/>
        <v>2.5799999999999983</v>
      </c>
      <c r="AO287" s="48">
        <f t="shared" si="1703"/>
        <v>2.9166666666666665</v>
      </c>
      <c r="AP287" s="48">
        <f t="shared" si="1703"/>
        <v>2.9166666700000001</v>
      </c>
      <c r="AQ287" s="48">
        <f t="shared" si="1703"/>
        <v>2.9166666700000006</v>
      </c>
      <c r="AR287" s="48">
        <f t="shared" si="1703"/>
        <v>2.9166666699999997</v>
      </c>
      <c r="AS287" s="48">
        <f t="shared" si="1703"/>
        <v>2.9166666699999997</v>
      </c>
      <c r="AT287" s="48">
        <f t="shared" si="1703"/>
        <v>2.9166666700000015</v>
      </c>
      <c r="AU287" s="48">
        <f t="shared" si="1703"/>
        <v>2.9166666700000015</v>
      </c>
      <c r="AV287" s="48">
        <f t="shared" si="1704"/>
        <v>2.9166666700000015</v>
      </c>
      <c r="AW287" s="48">
        <f t="shared" si="1704"/>
        <v>2.9166666700000015</v>
      </c>
      <c r="AX287" s="48">
        <f t="shared" si="1704"/>
        <v>2.9166666700000015</v>
      </c>
      <c r="AY287" s="48">
        <f t="shared" si="1704"/>
        <v>2.9166666699999979</v>
      </c>
      <c r="AZ287" s="48">
        <f t="shared" si="1704"/>
        <v>2.9166666699999979</v>
      </c>
      <c r="BA287" s="48">
        <f t="shared" si="1704"/>
        <v>5.4165999999999999</v>
      </c>
      <c r="BB287" s="48">
        <f t="shared" si="1704"/>
        <v>5.4165999999999999</v>
      </c>
      <c r="BC287" s="48">
        <f t="shared" si="1704"/>
        <v>5.4166000000000007</v>
      </c>
      <c r="BD287" s="48">
        <f t="shared" si="1704"/>
        <v>5.416599999999999</v>
      </c>
      <c r="BE287" s="48">
        <f t="shared" si="1704"/>
        <v>5.416599999999999</v>
      </c>
      <c r="BF287" s="48">
        <f t="shared" si="1705"/>
        <v>5.4166000000000025</v>
      </c>
      <c r="BG287" s="48">
        <f t="shared" si="1705"/>
        <v>5.4166000000000025</v>
      </c>
      <c r="BH287" s="48">
        <f t="shared" si="1705"/>
        <v>5.4166000000000025</v>
      </c>
      <c r="BI287" s="48">
        <f t="shared" si="1705"/>
        <v>5.4166000000000025</v>
      </c>
      <c r="BJ287" s="48">
        <f t="shared" si="1705"/>
        <v>5.4166000000000025</v>
      </c>
      <c r="BK287" s="48">
        <f t="shared" si="1705"/>
        <v>5.4166000000000025</v>
      </c>
      <c r="BL287" s="48">
        <f t="shared" si="1705"/>
        <v>5.4166000000000025</v>
      </c>
      <c r="BM287" s="408"/>
      <c r="BN287" s="48">
        <f>+AL287</f>
        <v>2.5799999999999983</v>
      </c>
      <c r="BO287" s="48">
        <f>+BN287+AM287</f>
        <v>5.1599999999999966</v>
      </c>
      <c r="BP287" s="48">
        <f>+BO287+AN287</f>
        <v>7.7399999999999949</v>
      </c>
      <c r="BQ287" s="48">
        <f>AO287</f>
        <v>2.9166666666666665</v>
      </c>
      <c r="BR287" s="48">
        <f>+BQ287+AP287</f>
        <v>5.8333333366666666</v>
      </c>
      <c r="BS287" s="48">
        <f>+BR287+AQ287</f>
        <v>8.7500000066666672</v>
      </c>
      <c r="BT287" s="48">
        <f>AR287</f>
        <v>2.9166666699999997</v>
      </c>
      <c r="BU287" s="48">
        <f>+BT287+AS287</f>
        <v>5.8333333399999994</v>
      </c>
      <c r="BV287" s="48">
        <f>+BU287+AT287</f>
        <v>8.7500000100000008</v>
      </c>
      <c r="BW287" s="48">
        <f>AU287</f>
        <v>2.9166666700000015</v>
      </c>
      <c r="BX287" s="48">
        <f>+BW287+AV287</f>
        <v>5.8333333400000029</v>
      </c>
      <c r="BY287" s="48">
        <f>+BX287+AW287</f>
        <v>8.7500000100000044</v>
      </c>
      <c r="BZ287" s="48">
        <f>AX287</f>
        <v>2.9166666700000015</v>
      </c>
      <c r="CA287" s="48">
        <f>+BZ287+AY287</f>
        <v>5.8333333399999994</v>
      </c>
      <c r="CB287" s="48">
        <f>+CA287+AZ287</f>
        <v>8.7500000099999973</v>
      </c>
      <c r="CC287" s="48">
        <f>BA287</f>
        <v>5.4165999999999999</v>
      </c>
      <c r="CD287" s="48">
        <f>+CC287+BB287</f>
        <v>10.8332</v>
      </c>
      <c r="CE287" s="48">
        <f>+CD287+BC287</f>
        <v>16.2498</v>
      </c>
      <c r="CF287" s="48">
        <f>BD287</f>
        <v>5.416599999999999</v>
      </c>
      <c r="CG287" s="48">
        <f>+CF287+BE287</f>
        <v>10.833199999999998</v>
      </c>
      <c r="CH287" s="48">
        <f>+CG287+BF287</f>
        <v>16.2498</v>
      </c>
      <c r="CI287" s="48">
        <f>BG287</f>
        <v>5.4166000000000025</v>
      </c>
      <c r="CJ287" s="48">
        <f>+CI287+BH287</f>
        <v>10.833200000000005</v>
      </c>
      <c r="CK287" s="48">
        <f>+CJ287+BI287</f>
        <v>16.249800000000008</v>
      </c>
      <c r="CL287" s="48">
        <f>BJ287</f>
        <v>5.4166000000000025</v>
      </c>
      <c r="CM287" s="48">
        <f>+CL287+BK287</f>
        <v>10.833200000000005</v>
      </c>
      <c r="CN287" s="48">
        <f>+CM287+BL287</f>
        <v>16.249800000000008</v>
      </c>
      <c r="CO287" s="406"/>
      <c r="CP287" s="40">
        <f>AL287</f>
        <v>2.5799999999999983</v>
      </c>
      <c r="CQ287" s="40">
        <f t="shared" si="1706"/>
        <v>5.1599999999999966</v>
      </c>
      <c r="CR287" s="40">
        <f t="shared" si="1706"/>
        <v>7.7399999999999949</v>
      </c>
      <c r="CS287" s="40">
        <f t="shared" si="1706"/>
        <v>10.656666666666661</v>
      </c>
      <c r="CT287" s="40">
        <f t="shared" si="1706"/>
        <v>13.573333336666661</v>
      </c>
      <c r="CU287" s="40">
        <f t="shared" si="1706"/>
        <v>16.490000006666662</v>
      </c>
      <c r="CV287" s="40">
        <f t="shared" si="1706"/>
        <v>19.40666667666666</v>
      </c>
      <c r="CW287" s="40">
        <f t="shared" si="1706"/>
        <v>22.323333346666658</v>
      </c>
      <c r="CX287" s="40">
        <f t="shared" si="1706"/>
        <v>25.240000016666659</v>
      </c>
      <c r="CY287" s="40">
        <f t="shared" si="1706"/>
        <v>28.156666686666661</v>
      </c>
      <c r="CZ287" s="40">
        <f t="shared" si="1706"/>
        <v>31.073333356666662</v>
      </c>
      <c r="DA287" s="40">
        <f t="shared" si="1706"/>
        <v>33.990000026666664</v>
      </c>
      <c r="DB287" s="40">
        <f>AX287</f>
        <v>2.9166666700000015</v>
      </c>
      <c r="DC287" s="40">
        <f t="shared" ref="DC287:DM287" si="1710">DB287+AY287</f>
        <v>5.8333333399999994</v>
      </c>
      <c r="DD287" s="40">
        <f t="shared" si="1710"/>
        <v>8.7500000099999973</v>
      </c>
      <c r="DE287" s="40">
        <f t="shared" si="1710"/>
        <v>14.166600009999996</v>
      </c>
      <c r="DF287" s="40">
        <f t="shared" si="1710"/>
        <v>19.583200009999995</v>
      </c>
      <c r="DG287" s="40">
        <f t="shared" si="1710"/>
        <v>24.999800009999994</v>
      </c>
      <c r="DH287" s="40">
        <f t="shared" si="1710"/>
        <v>30.416400009999993</v>
      </c>
      <c r="DI287" s="40">
        <f t="shared" si="1710"/>
        <v>35.833000009999992</v>
      </c>
      <c r="DJ287" s="40">
        <f t="shared" si="1710"/>
        <v>41.249600009999995</v>
      </c>
      <c r="DK287" s="40">
        <f t="shared" si="1710"/>
        <v>46.666200009999997</v>
      </c>
      <c r="DL287" s="40">
        <f t="shared" si="1710"/>
        <v>52.08280001</v>
      </c>
      <c r="DM287" s="40">
        <f t="shared" si="1710"/>
        <v>57.499400010000002</v>
      </c>
      <c r="DN287" s="40">
        <f>BJ287</f>
        <v>5.4166000000000025</v>
      </c>
      <c r="DO287" s="40">
        <f>DN287+BK287</f>
        <v>10.833200000000005</v>
      </c>
      <c r="DP287" s="40">
        <f>DO287+BL287</f>
        <v>16.249800000000008</v>
      </c>
      <c r="DQ287" s="40"/>
      <c r="DR287" s="40"/>
      <c r="DS287" s="40"/>
      <c r="DT287" s="40"/>
      <c r="DU287" s="40"/>
      <c r="DV287" s="40"/>
      <c r="DW287" s="40"/>
      <c r="DX287" s="40"/>
      <c r="DY287" s="40"/>
      <c r="EA287" s="59">
        <f t="shared" si="1606"/>
        <v>33.990000026666664</v>
      </c>
      <c r="EB287" s="59">
        <f>IF(I265&gt;6/30/10,DM287,"")</f>
        <v>57.499400010000002</v>
      </c>
      <c r="EC287" s="59"/>
      <c r="ED287" s="429"/>
      <c r="EE287" s="40">
        <f>HLOOKUP($I$1,Month,ROW()-1)</f>
        <v>5.4166000000000025</v>
      </c>
      <c r="EF287" s="40">
        <f>HLOOKUP($I$1,Qtr,ROW()-1)</f>
        <v>10.833200000000005</v>
      </c>
      <c r="EG287" s="40">
        <f>HLOOKUP($EJ$4,Budget,ROW()-1)</f>
        <v>57.499400010000002</v>
      </c>
      <c r="EH287" s="54"/>
      <c r="EI287" s="54"/>
      <c r="EJ287" s="54"/>
      <c r="EK287" s="675"/>
      <c r="EL287" s="53"/>
      <c r="EM287" s="53"/>
      <c r="EN287" s="53"/>
      <c r="EO287" s="49"/>
      <c r="EP287" s="49"/>
      <c r="EQ287" s="49"/>
    </row>
    <row r="288" spans="1:147">
      <c r="A288" s="6" t="s">
        <v>23</v>
      </c>
      <c r="B288" s="101" t="s">
        <v>144</v>
      </c>
      <c r="G288" s="43"/>
      <c r="H288" s="28"/>
      <c r="I288" s="29"/>
      <c r="J288" s="102">
        <f>J282/$DA$18</f>
        <v>0</v>
      </c>
      <c r="K288" s="102">
        <f t="shared" ref="K288:U288" si="1711">K282/$DA$18</f>
        <v>0</v>
      </c>
      <c r="L288" s="102">
        <f t="shared" si="1711"/>
        <v>0.16666666666666666</v>
      </c>
      <c r="M288" s="102">
        <f t="shared" si="1711"/>
        <v>0.16666666666666666</v>
      </c>
      <c r="N288" s="102">
        <f t="shared" si="1711"/>
        <v>0.16666666666666666</v>
      </c>
      <c r="O288" s="102">
        <f t="shared" si="1711"/>
        <v>0.16666666666666666</v>
      </c>
      <c r="P288" s="102">
        <f t="shared" si="1711"/>
        <v>0.33333333333333331</v>
      </c>
      <c r="Q288" s="102">
        <f t="shared" si="1711"/>
        <v>0.33333333333333331</v>
      </c>
      <c r="R288" s="102">
        <f t="shared" si="1711"/>
        <v>0.33333333333333331</v>
      </c>
      <c r="S288" s="102">
        <f t="shared" si="1711"/>
        <v>0.33333333333333331</v>
      </c>
      <c r="T288" s="102">
        <f t="shared" si="1711"/>
        <v>0.5</v>
      </c>
      <c r="U288" s="102">
        <f t="shared" si="1711"/>
        <v>0.5</v>
      </c>
      <c r="V288" s="102">
        <f>V282/$DK$18</f>
        <v>0</v>
      </c>
      <c r="W288" s="102">
        <f>W282/$DK$18</f>
        <v>0.25</v>
      </c>
      <c r="X288" s="102">
        <f>X282/$AG$18</f>
        <v>0.16666666666666666</v>
      </c>
      <c r="Y288" s="102">
        <f t="shared" ref="Y288:AH288" si="1712">Y282/$AG$18</f>
        <v>0.16666666666666666</v>
      </c>
      <c r="Z288" s="102">
        <f t="shared" si="1712"/>
        <v>0.16666666666666666</v>
      </c>
      <c r="AA288" s="102">
        <f t="shared" si="1712"/>
        <v>0.16666666666666666</v>
      </c>
      <c r="AB288" s="102">
        <f t="shared" si="1712"/>
        <v>0.33333333333333331</v>
      </c>
      <c r="AC288" s="102">
        <f t="shared" si="1712"/>
        <v>0.33333333333333331</v>
      </c>
      <c r="AD288" s="102">
        <f t="shared" si="1712"/>
        <v>0.33333333333333331</v>
      </c>
      <c r="AE288" s="102">
        <f t="shared" si="1712"/>
        <v>0.33333333333333331</v>
      </c>
      <c r="AF288" s="102">
        <f t="shared" si="1712"/>
        <v>0.5</v>
      </c>
      <c r="AG288" s="102">
        <f t="shared" si="1712"/>
        <v>0.5</v>
      </c>
      <c r="AH288" s="102">
        <f t="shared" si="1712"/>
        <v>0</v>
      </c>
      <c r="AI288" s="102">
        <f>AI282/$DK$18</f>
        <v>0</v>
      </c>
      <c r="AJ288" s="102">
        <f>AJ282/$DK$18</f>
        <v>0</v>
      </c>
      <c r="AK288" s="411"/>
      <c r="AL288" s="99">
        <f t="shared" si="1703"/>
        <v>0</v>
      </c>
      <c r="AM288" s="99">
        <f t="shared" si="1703"/>
        <v>0</v>
      </c>
      <c r="AN288" s="99">
        <f t="shared" si="1703"/>
        <v>0.16666666666666666</v>
      </c>
      <c r="AO288" s="99">
        <f t="shared" si="1703"/>
        <v>0.16666666666666666</v>
      </c>
      <c r="AP288" s="99">
        <f t="shared" si="1703"/>
        <v>0.16666666666666666</v>
      </c>
      <c r="AQ288" s="99">
        <f t="shared" si="1703"/>
        <v>0.16666666666666666</v>
      </c>
      <c r="AR288" s="99">
        <f t="shared" si="1703"/>
        <v>0.33333333333333331</v>
      </c>
      <c r="AS288" s="99">
        <f t="shared" si="1703"/>
        <v>0.33333333333333331</v>
      </c>
      <c r="AT288" s="99">
        <f t="shared" si="1703"/>
        <v>0.33333333333333331</v>
      </c>
      <c r="AU288" s="99">
        <f t="shared" si="1703"/>
        <v>0.33333333333333331</v>
      </c>
      <c r="AV288" s="99">
        <f t="shared" si="1704"/>
        <v>0.5</v>
      </c>
      <c r="AW288" s="99">
        <f t="shared" si="1704"/>
        <v>0.5</v>
      </c>
      <c r="AX288" s="99">
        <f t="shared" si="1704"/>
        <v>0</v>
      </c>
      <c r="AY288" s="99">
        <f t="shared" si="1704"/>
        <v>0.25</v>
      </c>
      <c r="AZ288" s="99">
        <f t="shared" si="1704"/>
        <v>0.16666666666666666</v>
      </c>
      <c r="BA288" s="99">
        <f t="shared" si="1704"/>
        <v>0.16666666666666666</v>
      </c>
      <c r="BB288" s="99">
        <f t="shared" si="1704"/>
        <v>0.16666666666666666</v>
      </c>
      <c r="BC288" s="99">
        <f t="shared" si="1704"/>
        <v>0.16666666666666666</v>
      </c>
      <c r="BD288" s="99">
        <f t="shared" si="1704"/>
        <v>0.33333333333333331</v>
      </c>
      <c r="BE288" s="99">
        <f t="shared" si="1704"/>
        <v>0.33333333333333331</v>
      </c>
      <c r="BF288" s="99">
        <f t="shared" si="1705"/>
        <v>0.33333333333333331</v>
      </c>
      <c r="BG288" s="99">
        <f t="shared" si="1705"/>
        <v>0.33333333333333331</v>
      </c>
      <c r="BH288" s="99">
        <f t="shared" si="1705"/>
        <v>0.5</v>
      </c>
      <c r="BI288" s="99">
        <f t="shared" si="1705"/>
        <v>0.5</v>
      </c>
      <c r="BJ288" s="99">
        <f t="shared" si="1705"/>
        <v>0</v>
      </c>
      <c r="BK288" s="99">
        <f t="shared" si="1705"/>
        <v>0</v>
      </c>
      <c r="BL288" s="99">
        <f t="shared" si="1705"/>
        <v>0</v>
      </c>
      <c r="BM288" s="411"/>
      <c r="BN288" s="99">
        <f>AL288</f>
        <v>0</v>
      </c>
      <c r="BO288" s="99">
        <f>AM288</f>
        <v>0</v>
      </c>
      <c r="BP288" s="99">
        <f>AN288</f>
        <v>0.16666666666666666</v>
      </c>
      <c r="BQ288" s="99">
        <f>AO288</f>
        <v>0.16666666666666666</v>
      </c>
      <c r="BR288" s="99">
        <f>AP288</f>
        <v>0.16666666666666666</v>
      </c>
      <c r="BS288" s="99">
        <f>AQ288</f>
        <v>0.16666666666666666</v>
      </c>
      <c r="BT288" s="99">
        <f>AR288</f>
        <v>0.33333333333333331</v>
      </c>
      <c r="BU288" s="99">
        <f>AS288</f>
        <v>0.33333333333333331</v>
      </c>
      <c r="BV288" s="99">
        <f>AT288</f>
        <v>0.33333333333333331</v>
      </c>
      <c r="BW288" s="99">
        <f>AU288</f>
        <v>0.33333333333333331</v>
      </c>
      <c r="BX288" s="99">
        <f>AV288</f>
        <v>0.5</v>
      </c>
      <c r="BY288" s="99">
        <f>AW288</f>
        <v>0.5</v>
      </c>
      <c r="BZ288" s="99">
        <f>AX288</f>
        <v>0</v>
      </c>
      <c r="CA288" s="99">
        <f>AY288</f>
        <v>0.25</v>
      </c>
      <c r="CB288" s="99">
        <f>AZ288</f>
        <v>0.16666666666666666</v>
      </c>
      <c r="CC288" s="99">
        <f>BA288</f>
        <v>0.16666666666666666</v>
      </c>
      <c r="CD288" s="99">
        <f>BB288</f>
        <v>0.16666666666666666</v>
      </c>
      <c r="CE288" s="99">
        <f>BC288</f>
        <v>0.16666666666666666</v>
      </c>
      <c r="CF288" s="99">
        <f>BD288</f>
        <v>0.33333333333333331</v>
      </c>
      <c r="CG288" s="99">
        <f>BE288</f>
        <v>0.33333333333333331</v>
      </c>
      <c r="CH288" s="99">
        <f>BF288</f>
        <v>0.33333333333333331</v>
      </c>
      <c r="CI288" s="99">
        <f>BG288</f>
        <v>0.33333333333333331</v>
      </c>
      <c r="CJ288" s="99">
        <f>BH288</f>
        <v>0.5</v>
      </c>
      <c r="CK288" s="99">
        <f>BI288</f>
        <v>0.5</v>
      </c>
      <c r="CL288" s="99">
        <f>BJ288</f>
        <v>0</v>
      </c>
      <c r="CM288" s="99">
        <f>BK288</f>
        <v>0</v>
      </c>
      <c r="CN288" s="99">
        <f>BL288</f>
        <v>0</v>
      </c>
      <c r="CO288" s="423"/>
      <c r="CP288" s="99">
        <f t="shared" ref="CP288:DP288" si="1713">BN288</f>
        <v>0</v>
      </c>
      <c r="CQ288" s="99">
        <f t="shared" si="1713"/>
        <v>0</v>
      </c>
      <c r="CR288" s="99">
        <f t="shared" si="1713"/>
        <v>0.16666666666666666</v>
      </c>
      <c r="CS288" s="99">
        <f t="shared" si="1713"/>
        <v>0.16666666666666666</v>
      </c>
      <c r="CT288" s="99">
        <f t="shared" si="1713"/>
        <v>0.16666666666666666</v>
      </c>
      <c r="CU288" s="99">
        <f t="shared" si="1713"/>
        <v>0.16666666666666666</v>
      </c>
      <c r="CV288" s="99">
        <f t="shared" si="1713"/>
        <v>0.33333333333333331</v>
      </c>
      <c r="CW288" s="99">
        <f t="shared" si="1713"/>
        <v>0.33333333333333331</v>
      </c>
      <c r="CX288" s="99">
        <f t="shared" si="1713"/>
        <v>0.33333333333333331</v>
      </c>
      <c r="CY288" s="99">
        <f t="shared" si="1713"/>
        <v>0.33333333333333331</v>
      </c>
      <c r="CZ288" s="99">
        <f t="shared" si="1713"/>
        <v>0.5</v>
      </c>
      <c r="DA288" s="99">
        <f t="shared" si="1713"/>
        <v>0.5</v>
      </c>
      <c r="DB288" s="99">
        <f t="shared" si="1713"/>
        <v>0</v>
      </c>
      <c r="DC288" s="99">
        <f t="shared" si="1713"/>
        <v>0.25</v>
      </c>
      <c r="DD288" s="99">
        <f t="shared" si="1713"/>
        <v>0.16666666666666666</v>
      </c>
      <c r="DE288" s="99">
        <f t="shared" si="1713"/>
        <v>0.16666666666666666</v>
      </c>
      <c r="DF288" s="99">
        <f t="shared" si="1713"/>
        <v>0.16666666666666666</v>
      </c>
      <c r="DG288" s="99">
        <f t="shared" si="1713"/>
        <v>0.16666666666666666</v>
      </c>
      <c r="DH288" s="99">
        <f t="shared" si="1713"/>
        <v>0.33333333333333331</v>
      </c>
      <c r="DI288" s="99">
        <f t="shared" si="1713"/>
        <v>0.33333333333333331</v>
      </c>
      <c r="DJ288" s="99">
        <f t="shared" si="1713"/>
        <v>0.33333333333333331</v>
      </c>
      <c r="DK288" s="99">
        <f t="shared" si="1713"/>
        <v>0.33333333333333331</v>
      </c>
      <c r="DL288" s="99">
        <f t="shared" si="1713"/>
        <v>0.5</v>
      </c>
      <c r="DM288" s="99">
        <f t="shared" si="1713"/>
        <v>0.5</v>
      </c>
      <c r="DN288" s="99">
        <f t="shared" si="1713"/>
        <v>0</v>
      </c>
      <c r="DO288" s="99">
        <f t="shared" si="1713"/>
        <v>0</v>
      </c>
      <c r="DP288" s="99">
        <f t="shared" si="1713"/>
        <v>0</v>
      </c>
      <c r="DQ288" s="99"/>
      <c r="DR288" s="99"/>
      <c r="DS288" s="99"/>
      <c r="DT288" s="99"/>
      <c r="DU288" s="99"/>
      <c r="DV288" s="99"/>
      <c r="DW288" s="99"/>
      <c r="DX288" s="99"/>
      <c r="DY288" s="99"/>
      <c r="EA288" s="40" t="str">
        <f>HLOOKUP($I$1,Month,19)</f>
        <v>N/A</v>
      </c>
      <c r="EB288" s="40" t="str">
        <f>HLOOKUP($I$1,Qtr,19)</f>
        <v>N/A</v>
      </c>
      <c r="EC288" s="40"/>
      <c r="ED288" s="429"/>
      <c r="EE288" s="99">
        <f>HLOOKUP($I$1,Month,ROW()-1)</f>
        <v>0</v>
      </c>
      <c r="EF288" s="99">
        <f>HLOOKUP($I$1,Qtr,ROW()-1)</f>
        <v>0</v>
      </c>
      <c r="EG288" s="127">
        <v>1</v>
      </c>
      <c r="EH288" s="54"/>
      <c r="EI288" s="54"/>
      <c r="EJ288" s="54"/>
      <c r="EK288" s="675"/>
      <c r="EL288" s="136"/>
      <c r="EM288" s="136"/>
      <c r="EN288" s="136"/>
      <c r="EO288" s="49"/>
      <c r="EP288" s="49"/>
      <c r="EQ288" s="49"/>
    </row>
    <row r="289" spans="1:149">
      <c r="A289" s="6" t="s">
        <v>23</v>
      </c>
      <c r="B289" s="2" t="s">
        <v>98</v>
      </c>
      <c r="G289" s="41" t="s">
        <v>92</v>
      </c>
      <c r="H289" s="28"/>
      <c r="I289" s="29"/>
      <c r="J289" s="32">
        <f>J275*J276</f>
        <v>0.99749999999999994</v>
      </c>
      <c r="K289" s="32">
        <f t="shared" ref="K289:AJ289" si="1714">K275*K276</f>
        <v>0.99749999999999994</v>
      </c>
      <c r="L289" s="32">
        <f t="shared" si="1714"/>
        <v>0.99749999999999994</v>
      </c>
      <c r="M289" s="32">
        <f t="shared" si="1714"/>
        <v>0.99749999999999994</v>
      </c>
      <c r="N289" s="32">
        <f t="shared" si="1714"/>
        <v>0.99749999999999994</v>
      </c>
      <c r="O289" s="32">
        <f t="shared" si="1714"/>
        <v>0.99749999999999994</v>
      </c>
      <c r="P289" s="32">
        <f t="shared" si="1714"/>
        <v>0.99749999999999994</v>
      </c>
      <c r="Q289" s="32">
        <f t="shared" si="1714"/>
        <v>0.99749999999999994</v>
      </c>
      <c r="R289" s="32">
        <f t="shared" si="1714"/>
        <v>0.99749999999999994</v>
      </c>
      <c r="S289" s="32">
        <f t="shared" si="1714"/>
        <v>0.99749999999999994</v>
      </c>
      <c r="T289" s="32">
        <f t="shared" si="1714"/>
        <v>0.99749999999999994</v>
      </c>
      <c r="U289" s="32">
        <f t="shared" si="1714"/>
        <v>0.99749999999999994</v>
      </c>
      <c r="V289" s="32">
        <f t="shared" si="1714"/>
        <v>1.6624999999999999</v>
      </c>
      <c r="W289" s="32">
        <f t="shared" si="1714"/>
        <v>3.3249999999999997</v>
      </c>
      <c r="X289" s="32">
        <f t="shared" si="1714"/>
        <v>4.9874999999999998</v>
      </c>
      <c r="Y289" s="32">
        <f t="shared" si="1714"/>
        <v>6.6499999999999995</v>
      </c>
      <c r="Z289" s="32">
        <f t="shared" si="1714"/>
        <v>8.3125</v>
      </c>
      <c r="AA289" s="32">
        <f t="shared" si="1714"/>
        <v>9.9749999999999996</v>
      </c>
      <c r="AB289" s="32">
        <f t="shared" si="1714"/>
        <v>11.637499999999999</v>
      </c>
      <c r="AC289" s="32">
        <f t="shared" si="1714"/>
        <v>13.299999999999999</v>
      </c>
      <c r="AD289" s="32">
        <f t="shared" si="1714"/>
        <v>14.962499999999999</v>
      </c>
      <c r="AE289" s="32">
        <f t="shared" si="1714"/>
        <v>16.625</v>
      </c>
      <c r="AF289" s="32">
        <f t="shared" si="1714"/>
        <v>18.287499999999998</v>
      </c>
      <c r="AG289" s="32">
        <f t="shared" si="1714"/>
        <v>19.95</v>
      </c>
      <c r="AH289" s="32">
        <f t="shared" si="1714"/>
        <v>0</v>
      </c>
      <c r="AI289" s="32">
        <f t="shared" si="1714"/>
        <v>0</v>
      </c>
      <c r="AJ289" s="32">
        <f t="shared" si="1714"/>
        <v>0</v>
      </c>
      <c r="AK289" s="408"/>
      <c r="AL289" s="56">
        <f>AL275*AL276</f>
        <v>0.99749999999999994</v>
      </c>
      <c r="AM289" s="56">
        <f>AM275*AM276</f>
        <v>0.99749999999999994</v>
      </c>
      <c r="AN289" s="56">
        <f>AN275*AN276</f>
        <v>0.99749999999999994</v>
      </c>
      <c r="AO289" s="56">
        <f>AO275*AO276</f>
        <v>0.99749999999999994</v>
      </c>
      <c r="AP289" s="56">
        <f t="shared" ref="AP289:BL289" si="1715">AP275*AP276</f>
        <v>0.99749999999999994</v>
      </c>
      <c r="AQ289" s="56">
        <f t="shared" si="1715"/>
        <v>0.99749999999999994</v>
      </c>
      <c r="AR289" s="56">
        <f t="shared" si="1715"/>
        <v>0.99749999999999994</v>
      </c>
      <c r="AS289" s="56">
        <f t="shared" si="1715"/>
        <v>0.99749999999999994</v>
      </c>
      <c r="AT289" s="56">
        <f t="shared" si="1715"/>
        <v>0.99749999999999994</v>
      </c>
      <c r="AU289" s="56">
        <f t="shared" si="1715"/>
        <v>0.99749999999999994</v>
      </c>
      <c r="AV289" s="56">
        <f t="shared" si="1715"/>
        <v>0.99749999999999994</v>
      </c>
      <c r="AW289" s="56">
        <f t="shared" si="1715"/>
        <v>0.99749999999999994</v>
      </c>
      <c r="AX289" s="56">
        <f t="shared" si="1715"/>
        <v>1.6624999999999999</v>
      </c>
      <c r="AY289" s="56">
        <f t="shared" si="1715"/>
        <v>1.6624999999999999</v>
      </c>
      <c r="AZ289" s="56">
        <f t="shared" si="1715"/>
        <v>1.6624999999999999</v>
      </c>
      <c r="BA289" s="56">
        <f t="shared" si="1715"/>
        <v>1.6624999999999999</v>
      </c>
      <c r="BB289" s="56">
        <f t="shared" si="1715"/>
        <v>1.6624999999999999</v>
      </c>
      <c r="BC289" s="56">
        <f t="shared" si="1715"/>
        <v>1.6624999999999999</v>
      </c>
      <c r="BD289" s="56">
        <f t="shared" si="1715"/>
        <v>1.6624999999999999</v>
      </c>
      <c r="BE289" s="56">
        <f t="shared" si="1715"/>
        <v>1.6624999999999999</v>
      </c>
      <c r="BF289" s="56">
        <f t="shared" si="1715"/>
        <v>1.6624999999999999</v>
      </c>
      <c r="BG289" s="56">
        <f t="shared" si="1715"/>
        <v>1.6624999999999999</v>
      </c>
      <c r="BH289" s="56">
        <f t="shared" si="1715"/>
        <v>1.6624999999999999</v>
      </c>
      <c r="BI289" s="56">
        <f t="shared" si="1715"/>
        <v>1.6624999999999999</v>
      </c>
      <c r="BJ289" s="56">
        <f t="shared" si="1715"/>
        <v>0</v>
      </c>
      <c r="BK289" s="56">
        <f t="shared" si="1715"/>
        <v>0</v>
      </c>
      <c r="BL289" s="56">
        <f t="shared" si="1715"/>
        <v>0</v>
      </c>
      <c r="BM289" s="408"/>
      <c r="BN289" s="56">
        <f>+AL289</f>
        <v>0.99749999999999994</v>
      </c>
      <c r="BO289" s="56">
        <f>+BN289+AM289</f>
        <v>1.9949999999999999</v>
      </c>
      <c r="BP289" s="56">
        <f>+BO289+AN289</f>
        <v>2.9924999999999997</v>
      </c>
      <c r="BQ289" s="56">
        <f>M289</f>
        <v>0.99749999999999994</v>
      </c>
      <c r="BR289" s="56">
        <f>+BQ289+AP289</f>
        <v>1.9949999999999999</v>
      </c>
      <c r="BS289" s="56">
        <f>+BR289+AQ289</f>
        <v>2.9924999999999997</v>
      </c>
      <c r="BT289" s="56">
        <f>P289</f>
        <v>0.99749999999999994</v>
      </c>
      <c r="BU289" s="56">
        <f>+BT289+AS289</f>
        <v>1.9949999999999999</v>
      </c>
      <c r="BV289" s="56">
        <f>+BU289+AT289</f>
        <v>2.9924999999999997</v>
      </c>
      <c r="BW289" s="56">
        <f>S289</f>
        <v>0.99749999999999994</v>
      </c>
      <c r="BX289" s="56">
        <f>+BW289+AV289</f>
        <v>1.9949999999999999</v>
      </c>
      <c r="BY289" s="56">
        <f>+BX289+AW289</f>
        <v>2.9924999999999997</v>
      </c>
      <c r="BZ289" s="56">
        <f>V289</f>
        <v>1.6624999999999999</v>
      </c>
      <c r="CA289" s="56">
        <f>+BZ289+AY289</f>
        <v>3.3249999999999997</v>
      </c>
      <c r="CB289" s="56">
        <f>+CA289+AZ289</f>
        <v>4.9874999999999998</v>
      </c>
      <c r="CC289" s="56">
        <f>Y289</f>
        <v>6.6499999999999995</v>
      </c>
      <c r="CD289" s="56">
        <f>+CC289+BB289</f>
        <v>8.3125</v>
      </c>
      <c r="CE289" s="56">
        <f>+CD289+BC289</f>
        <v>9.9749999999999996</v>
      </c>
      <c r="CF289" s="56">
        <f>AB289</f>
        <v>11.637499999999999</v>
      </c>
      <c r="CG289" s="56">
        <f>+CF289+BE289</f>
        <v>13.299999999999999</v>
      </c>
      <c r="CH289" s="56">
        <f>+CG289+BF289</f>
        <v>14.962499999999999</v>
      </c>
      <c r="CI289" s="56">
        <f>AE289</f>
        <v>16.625</v>
      </c>
      <c r="CJ289" s="56">
        <f>+CI289+BH289</f>
        <v>18.287500000000001</v>
      </c>
      <c r="CK289" s="56">
        <f>+CJ289+BI289</f>
        <v>19.950000000000003</v>
      </c>
      <c r="CL289" s="56">
        <f>AH289</f>
        <v>0</v>
      </c>
      <c r="CM289" s="56">
        <f>+CL289+BK289</f>
        <v>0</v>
      </c>
      <c r="CN289" s="56">
        <f>+CM289+BL289</f>
        <v>0</v>
      </c>
      <c r="CO289" s="406"/>
      <c r="CP289" s="60">
        <f>J289</f>
        <v>0.99749999999999994</v>
      </c>
      <c r="CQ289" s="60">
        <f t="shared" ref="CQ289:DA289" si="1716">CP289+K289</f>
        <v>1.9949999999999999</v>
      </c>
      <c r="CR289" s="60">
        <f t="shared" si="1716"/>
        <v>2.9924999999999997</v>
      </c>
      <c r="CS289" s="60">
        <f t="shared" si="1716"/>
        <v>3.9899999999999998</v>
      </c>
      <c r="CT289" s="60">
        <f t="shared" si="1716"/>
        <v>4.9874999999999998</v>
      </c>
      <c r="CU289" s="60">
        <f t="shared" si="1716"/>
        <v>5.9849999999999994</v>
      </c>
      <c r="CV289" s="60">
        <f t="shared" si="1716"/>
        <v>6.982499999999999</v>
      </c>
      <c r="CW289" s="60">
        <f t="shared" si="1716"/>
        <v>7.9799999999999986</v>
      </c>
      <c r="CX289" s="60">
        <f t="shared" si="1716"/>
        <v>8.9774999999999991</v>
      </c>
      <c r="CY289" s="60">
        <f t="shared" si="1716"/>
        <v>9.9749999999999996</v>
      </c>
      <c r="CZ289" s="60">
        <f t="shared" si="1716"/>
        <v>10.9725</v>
      </c>
      <c r="DA289" s="60">
        <f t="shared" si="1716"/>
        <v>11.97</v>
      </c>
      <c r="DB289" s="60">
        <f>V289</f>
        <v>1.6624999999999999</v>
      </c>
      <c r="DC289" s="60">
        <f t="shared" ref="DC289:DM289" si="1717">DB289+W289</f>
        <v>4.9874999999999998</v>
      </c>
      <c r="DD289" s="60">
        <f t="shared" si="1717"/>
        <v>9.9749999999999996</v>
      </c>
      <c r="DE289" s="60">
        <f t="shared" si="1717"/>
        <v>16.625</v>
      </c>
      <c r="DF289" s="60">
        <f t="shared" si="1717"/>
        <v>24.9375</v>
      </c>
      <c r="DG289" s="60">
        <f t="shared" si="1717"/>
        <v>34.912500000000001</v>
      </c>
      <c r="DH289" s="60">
        <f t="shared" si="1717"/>
        <v>46.55</v>
      </c>
      <c r="DI289" s="60">
        <f t="shared" si="1717"/>
        <v>59.849999999999994</v>
      </c>
      <c r="DJ289" s="60">
        <f t="shared" si="1717"/>
        <v>74.8125</v>
      </c>
      <c r="DK289" s="60">
        <f t="shared" si="1717"/>
        <v>91.4375</v>
      </c>
      <c r="DL289" s="60">
        <f t="shared" si="1717"/>
        <v>109.72499999999999</v>
      </c>
      <c r="DM289" s="60">
        <f t="shared" si="1717"/>
        <v>129.67499999999998</v>
      </c>
      <c r="DN289" s="60">
        <f>AH289</f>
        <v>0</v>
      </c>
      <c r="DO289" s="60">
        <f>DN289+AI289</f>
        <v>0</v>
      </c>
      <c r="DP289" s="60">
        <f>DO289+AJ289</f>
        <v>0</v>
      </c>
      <c r="DQ289" s="60"/>
      <c r="DR289" s="60"/>
      <c r="DS289" s="60"/>
      <c r="DT289" s="60"/>
      <c r="DU289" s="60"/>
      <c r="DV289" s="60"/>
      <c r="DW289" s="60"/>
      <c r="DX289" s="60"/>
      <c r="DY289" s="60"/>
      <c r="EA289" s="98">
        <v>0.95</v>
      </c>
      <c r="EB289" s="98">
        <v>0.95</v>
      </c>
      <c r="EC289" s="98"/>
      <c r="ED289" s="429"/>
      <c r="EE289" s="61">
        <f>HLOOKUP($I$1,Month,ROW()-1)</f>
        <v>0</v>
      </c>
      <c r="EF289" s="61">
        <f>HLOOKUP($I$1,Qtr,ROW()-1)</f>
        <v>0</v>
      </c>
      <c r="EG289" s="99">
        <f>HLOOKUP($EJ$4,Budget,ROW()-1)</f>
        <v>0.95</v>
      </c>
      <c r="EH289" s="54"/>
      <c r="EK289" s="675"/>
      <c r="EL289" s="136"/>
      <c r="EM289" s="136"/>
      <c r="EN289" s="136"/>
      <c r="EO289" s="49"/>
      <c r="EP289" s="49"/>
      <c r="EQ289" s="49"/>
    </row>
    <row r="290" spans="1:149">
      <c r="A290" s="6" t="s">
        <v>21</v>
      </c>
      <c r="I290" s="1"/>
      <c r="J290" s="1"/>
      <c r="K290" s="42" t="s">
        <v>114</v>
      </c>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406"/>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406"/>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406"/>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245"/>
      <c r="DR290" s="245"/>
      <c r="DS290" s="245"/>
      <c r="DT290" s="245"/>
      <c r="DU290" s="245"/>
      <c r="DV290" s="245"/>
      <c r="DW290" s="245"/>
      <c r="DX290" s="245"/>
      <c r="DY290" s="245"/>
      <c r="ED290" s="429"/>
      <c r="EE290" s="23"/>
      <c r="EF290" s="23"/>
      <c r="EG290" s="23"/>
      <c r="EH290" s="23"/>
      <c r="EK290" s="23"/>
    </row>
    <row r="291" spans="1:149" ht="12.75" customHeight="1">
      <c r="A291" s="6" t="s">
        <v>22</v>
      </c>
      <c r="B291" s="2" t="s">
        <v>0</v>
      </c>
      <c r="C291" s="3" t="s">
        <v>54</v>
      </c>
      <c r="E291" s="3" t="s">
        <v>16</v>
      </c>
      <c r="G291" s="1" t="s">
        <v>91</v>
      </c>
      <c r="I291" s="18">
        <v>128</v>
      </c>
      <c r="J291" s="21">
        <v>138</v>
      </c>
      <c r="K291" s="19">
        <v>147</v>
      </c>
      <c r="L291" s="19">
        <v>156</v>
      </c>
      <c r="M291" s="20">
        <v>28</v>
      </c>
      <c r="N291" s="19">
        <v>44</v>
      </c>
      <c r="O291" s="19">
        <v>55</v>
      </c>
      <c r="P291" s="19">
        <v>78</v>
      </c>
      <c r="Q291" s="19">
        <v>91</v>
      </c>
      <c r="R291" s="19">
        <v>108</v>
      </c>
      <c r="S291" s="19">
        <v>123</v>
      </c>
      <c r="T291" s="19">
        <v>131</v>
      </c>
      <c r="U291" s="19">
        <v>137</v>
      </c>
      <c r="V291" s="26">
        <v>151</v>
      </c>
      <c r="W291" s="19">
        <v>158</v>
      </c>
      <c r="X291" s="19">
        <v>163</v>
      </c>
      <c r="Y291" s="348">
        <v>27</v>
      </c>
      <c r="Z291" s="19">
        <v>45</v>
      </c>
      <c r="AA291" s="19">
        <v>58</v>
      </c>
      <c r="AB291" s="19">
        <v>75</v>
      </c>
      <c r="AC291" s="19">
        <v>89</v>
      </c>
      <c r="AD291" s="19">
        <v>106</v>
      </c>
      <c r="AE291" s="19">
        <v>120</v>
      </c>
      <c r="AF291" s="19">
        <v>137</v>
      </c>
      <c r="AG291" s="19">
        <v>153</v>
      </c>
      <c r="AH291" s="19">
        <v>167</v>
      </c>
      <c r="AI291" s="19">
        <v>173</v>
      </c>
      <c r="AJ291" s="19"/>
      <c r="AK291" s="408"/>
      <c r="AL291" s="21">
        <f t="shared" ref="AL291:AM295" si="1718">J291-I291</f>
        <v>10</v>
      </c>
      <c r="AM291" s="21">
        <f t="shared" si="1718"/>
        <v>9</v>
      </c>
      <c r="AN291" s="21">
        <f t="shared" ref="AN291:AN299" si="1719">L291-K291</f>
        <v>9</v>
      </c>
      <c r="AO291" s="21">
        <f>M291</f>
        <v>28</v>
      </c>
      <c r="AP291" s="129">
        <f t="shared" ref="AP291:AP299" si="1720">IF(N291&lt;&gt;"",N291-M291,0)</f>
        <v>16</v>
      </c>
      <c r="AQ291" s="131">
        <f t="shared" ref="AQ291:AQ299" si="1721">IF(O291&lt;&gt;"",O291-N291,0)</f>
        <v>11</v>
      </c>
      <c r="AR291" s="131">
        <f t="shared" ref="AR291:AR310" si="1722">IF(P291&lt;&gt;"",P291-O291,0)</f>
        <v>23</v>
      </c>
      <c r="AS291" s="131">
        <f t="shared" ref="AS291:AS310" si="1723">IF(Q291&lt;&gt;"",Q291-P291,0)</f>
        <v>13</v>
      </c>
      <c r="AT291" s="131">
        <f t="shared" ref="AT291:AT307" si="1724">IF(R291&lt;&gt;"",R291-Q291,0)</f>
        <v>17</v>
      </c>
      <c r="AU291" s="131">
        <f t="shared" ref="AU291:AU307" si="1725">IF(S291&lt;&gt;"",S291-R291,0)</f>
        <v>15</v>
      </c>
      <c r="AV291" s="131">
        <f t="shared" ref="AV291:AV310" si="1726">IF(T291&lt;&gt;"",T291-S291,0)</f>
        <v>8</v>
      </c>
      <c r="AW291" s="131">
        <f t="shared" ref="AW291:BL295" si="1727">IF(U291&lt;&gt;"",U291-T291,0)</f>
        <v>6</v>
      </c>
      <c r="AX291" s="131">
        <f t="shared" si="1727"/>
        <v>14</v>
      </c>
      <c r="AY291" s="131">
        <f t="shared" si="1727"/>
        <v>7</v>
      </c>
      <c r="AZ291" s="131">
        <f t="shared" si="1727"/>
        <v>5</v>
      </c>
      <c r="BA291" s="131">
        <f>IF(Y291&lt;&gt;"",Y291,0)</f>
        <v>27</v>
      </c>
      <c r="BB291" s="131">
        <f t="shared" si="1727"/>
        <v>18</v>
      </c>
      <c r="BC291" s="131">
        <f t="shared" si="1727"/>
        <v>13</v>
      </c>
      <c r="BD291" s="131">
        <f t="shared" si="1727"/>
        <v>17</v>
      </c>
      <c r="BE291" s="131">
        <f t="shared" si="1727"/>
        <v>14</v>
      </c>
      <c r="BF291" s="131">
        <f t="shared" si="1727"/>
        <v>17</v>
      </c>
      <c r="BG291" s="131">
        <f t="shared" si="1727"/>
        <v>14</v>
      </c>
      <c r="BH291" s="131">
        <f t="shared" si="1727"/>
        <v>17</v>
      </c>
      <c r="BI291" s="131">
        <f t="shared" si="1727"/>
        <v>16</v>
      </c>
      <c r="BJ291" s="131">
        <f t="shared" si="1727"/>
        <v>14</v>
      </c>
      <c r="BK291" s="131">
        <f t="shared" si="1727"/>
        <v>6</v>
      </c>
      <c r="BL291" s="131">
        <f t="shared" si="1727"/>
        <v>0</v>
      </c>
      <c r="BM291" s="408"/>
      <c r="BN291" s="48">
        <f>BP291</f>
        <v>28</v>
      </c>
      <c r="BO291" s="48">
        <f>BP291</f>
        <v>28</v>
      </c>
      <c r="BP291" s="48">
        <f>SUM(AL291:AN291)</f>
        <v>28</v>
      </c>
      <c r="BQ291" s="48">
        <f>BS291</f>
        <v>55</v>
      </c>
      <c r="BR291" s="48">
        <f>BS291</f>
        <v>55</v>
      </c>
      <c r="BS291" s="48">
        <f>SUM(AO291:AQ291)</f>
        <v>55</v>
      </c>
      <c r="BT291" s="48">
        <f>BV291</f>
        <v>53</v>
      </c>
      <c r="BU291" s="48">
        <f>BV291</f>
        <v>53</v>
      </c>
      <c r="BV291" s="48">
        <f>SUM(AR291:AT291)</f>
        <v>53</v>
      </c>
      <c r="BW291" s="48">
        <f>BY291</f>
        <v>29</v>
      </c>
      <c r="BX291" s="48">
        <f>BY291</f>
        <v>29</v>
      </c>
      <c r="BY291" s="48">
        <f>SUM(AU291:AW291)</f>
        <v>29</v>
      </c>
      <c r="BZ291" s="48">
        <f>CB291</f>
        <v>26</v>
      </c>
      <c r="CA291" s="48">
        <f>CB291</f>
        <v>26</v>
      </c>
      <c r="CB291" s="48">
        <f>SUM(AX291:AZ291)</f>
        <v>26</v>
      </c>
      <c r="CC291" s="48">
        <f>CE291</f>
        <v>58</v>
      </c>
      <c r="CD291" s="48">
        <f>CE291</f>
        <v>58</v>
      </c>
      <c r="CE291" s="48">
        <f>SUM(BA291:BC291)</f>
        <v>58</v>
      </c>
      <c r="CF291" s="48">
        <f>CH291</f>
        <v>48</v>
      </c>
      <c r="CG291" s="48">
        <f>CH291</f>
        <v>48</v>
      </c>
      <c r="CH291" s="48">
        <f>SUM(BD291:BF291)</f>
        <v>48</v>
      </c>
      <c r="CI291" s="48">
        <f>CK291</f>
        <v>47</v>
      </c>
      <c r="CJ291" s="48">
        <f>CK291</f>
        <v>47</v>
      </c>
      <c r="CK291" s="48">
        <f>SUM(BG291:BI291)</f>
        <v>47</v>
      </c>
      <c r="CL291" s="48">
        <f>CN291</f>
        <v>20</v>
      </c>
      <c r="CM291" s="48">
        <f>CN291</f>
        <v>20</v>
      </c>
      <c r="CN291" s="48">
        <f>SUM(BJ291:BL291)</f>
        <v>20</v>
      </c>
      <c r="CO291" s="406"/>
      <c r="CP291" s="21">
        <f t="shared" ref="CP291:CR295" si="1728">I291+AL291</f>
        <v>138</v>
      </c>
      <c r="CQ291" s="21">
        <f t="shared" si="1728"/>
        <v>147</v>
      </c>
      <c r="CR291" s="21">
        <f t="shared" si="1728"/>
        <v>156</v>
      </c>
      <c r="CS291" s="21">
        <f>AO291</f>
        <v>28</v>
      </c>
      <c r="CT291" s="21">
        <f t="shared" ref="CT291:DD295" si="1729">M291+AP291</f>
        <v>44</v>
      </c>
      <c r="CU291" s="21">
        <f t="shared" si="1729"/>
        <v>55</v>
      </c>
      <c r="CV291" s="21">
        <f t="shared" si="1729"/>
        <v>78</v>
      </c>
      <c r="CW291" s="21">
        <f t="shared" si="1729"/>
        <v>91</v>
      </c>
      <c r="CX291" s="21">
        <f t="shared" si="1729"/>
        <v>108</v>
      </c>
      <c r="CY291" s="21">
        <f t="shared" si="1729"/>
        <v>123</v>
      </c>
      <c r="CZ291" s="21">
        <f t="shared" si="1729"/>
        <v>131</v>
      </c>
      <c r="DA291" s="21">
        <f t="shared" si="1729"/>
        <v>137</v>
      </c>
      <c r="DB291" s="21">
        <f t="shared" si="1729"/>
        <v>151</v>
      </c>
      <c r="DC291" s="21">
        <f t="shared" si="1729"/>
        <v>158</v>
      </c>
      <c r="DD291" s="21">
        <f t="shared" si="1729"/>
        <v>163</v>
      </c>
      <c r="DE291" s="21">
        <f>+BA291</f>
        <v>27</v>
      </c>
      <c r="DF291" s="21">
        <f t="shared" ref="DF291:DP295" si="1730">Y291+BB291</f>
        <v>45</v>
      </c>
      <c r="DG291" s="21">
        <f t="shared" si="1730"/>
        <v>58</v>
      </c>
      <c r="DH291" s="21">
        <f t="shared" si="1730"/>
        <v>75</v>
      </c>
      <c r="DI291" s="21">
        <f t="shared" si="1730"/>
        <v>89</v>
      </c>
      <c r="DJ291" s="21">
        <f t="shared" si="1730"/>
        <v>106</v>
      </c>
      <c r="DK291" s="21">
        <f t="shared" si="1730"/>
        <v>120</v>
      </c>
      <c r="DL291" s="21">
        <f t="shared" si="1730"/>
        <v>137</v>
      </c>
      <c r="DM291" s="21">
        <f t="shared" si="1730"/>
        <v>153</v>
      </c>
      <c r="DN291" s="21">
        <f t="shared" si="1730"/>
        <v>167</v>
      </c>
      <c r="DO291" s="21">
        <f t="shared" si="1730"/>
        <v>173</v>
      </c>
      <c r="DP291" s="21">
        <f t="shared" si="1730"/>
        <v>173</v>
      </c>
      <c r="DQ291" s="248"/>
      <c r="DR291" s="248"/>
      <c r="DS291" s="248"/>
      <c r="DT291" s="248"/>
      <c r="DU291" s="248"/>
      <c r="DV291" s="248"/>
      <c r="DW291" s="248"/>
      <c r="DX291" s="248"/>
      <c r="DY291" s="248"/>
      <c r="ED291" s="429"/>
      <c r="EE291" s="23"/>
      <c r="EF291" s="23"/>
      <c r="EG291" s="23"/>
      <c r="EH291" s="18">
        <f t="shared" ref="EH291:EH308" si="1731">HLOOKUP($I$1,Month,ROW()-1)</f>
        <v>6</v>
      </c>
      <c r="EI291" s="18">
        <f t="shared" ref="EI291:EI308" si="1732">HLOOKUP($I$1,Qtr,ROW()-1)</f>
        <v>20</v>
      </c>
      <c r="EJ291" s="18">
        <f t="shared" ref="EJ291:EJ313" si="1733">HLOOKUP($I$1,YTD,ROW()-1)</f>
        <v>173</v>
      </c>
      <c r="EK291" s="24">
        <f>$EK$1/12</f>
        <v>0.91666666666666663</v>
      </c>
      <c r="EL291" s="14">
        <f t="shared" ref="EL291:EM297" si="1734">EH291/EE268</f>
        <v>0.43374539145521585</v>
      </c>
      <c r="EM291" s="14">
        <f t="shared" si="1734"/>
        <v>0.48193932383912852</v>
      </c>
      <c r="EN291" s="14">
        <f>EJ291/EG268</f>
        <v>1.0421937878021157</v>
      </c>
      <c r="EO291" s="46" t="str">
        <f t="shared" ref="EO291:EP297" si="1735">IF(EH291&lt;0,,IF(EH291&lt;EE268,"È",IF(EH291=EE268,"Æ","Ç")))</f>
        <v>È</v>
      </c>
      <c r="EP291" s="46" t="str">
        <f t="shared" si="1735"/>
        <v>È</v>
      </c>
      <c r="EQ291" s="2">
        <f t="shared" ref="EQ291:EQ306" si="1736">IF(EL291&gt;=0.9,1,IF(EL291&lt;0.75,3,2))</f>
        <v>3</v>
      </c>
      <c r="ER291" s="2">
        <f t="shared" ref="ER291:ER306" si="1737">IF(EM291&gt;=0.9,1,IF(EM291&lt;0.75,3,2))</f>
        <v>3</v>
      </c>
      <c r="ES291" s="2">
        <f t="shared" ref="ES291:ES306" si="1738">IF(EN291&gt;=0.9,1,IF(EN291&lt;0.75,3,2))</f>
        <v>1</v>
      </c>
    </row>
    <row r="292" spans="1:149" ht="12.75" customHeight="1">
      <c r="A292" s="6" t="s">
        <v>22</v>
      </c>
      <c r="B292" s="2" t="s">
        <v>1</v>
      </c>
      <c r="C292" s="3" t="s">
        <v>55</v>
      </c>
      <c r="E292" s="3" t="s">
        <v>16</v>
      </c>
      <c r="G292" s="1" t="s">
        <v>91</v>
      </c>
      <c r="I292" s="18">
        <v>28</v>
      </c>
      <c r="J292" s="19">
        <v>32</v>
      </c>
      <c r="K292" s="19">
        <v>39</v>
      </c>
      <c r="L292" s="19">
        <v>42</v>
      </c>
      <c r="M292" s="20">
        <v>19</v>
      </c>
      <c r="N292" s="19">
        <v>25</v>
      </c>
      <c r="O292" s="19">
        <v>28</v>
      </c>
      <c r="P292" s="19">
        <v>38</v>
      </c>
      <c r="Q292" s="19">
        <v>43</v>
      </c>
      <c r="R292" s="19">
        <v>49</v>
      </c>
      <c r="S292" s="19">
        <v>52</v>
      </c>
      <c r="T292" s="19">
        <v>53</v>
      </c>
      <c r="U292" s="19">
        <v>56</v>
      </c>
      <c r="V292" s="26">
        <v>58</v>
      </c>
      <c r="W292" s="19">
        <v>60</v>
      </c>
      <c r="X292" s="19">
        <v>64</v>
      </c>
      <c r="Y292" s="348">
        <v>10</v>
      </c>
      <c r="Z292" s="19">
        <v>13</v>
      </c>
      <c r="AA292" s="19">
        <v>20</v>
      </c>
      <c r="AB292" s="19">
        <v>23</v>
      </c>
      <c r="AC292" s="19">
        <v>26</v>
      </c>
      <c r="AD292" s="19">
        <v>27</v>
      </c>
      <c r="AE292" s="19">
        <v>30</v>
      </c>
      <c r="AF292" s="19">
        <v>36</v>
      </c>
      <c r="AG292" s="19">
        <v>37</v>
      </c>
      <c r="AH292" s="19">
        <v>44</v>
      </c>
      <c r="AI292" s="19">
        <v>45</v>
      </c>
      <c r="AJ292" s="19"/>
      <c r="AK292" s="408"/>
      <c r="AL292" s="21">
        <f t="shared" si="1718"/>
        <v>4</v>
      </c>
      <c r="AM292" s="21">
        <f t="shared" si="1718"/>
        <v>7</v>
      </c>
      <c r="AN292" s="21">
        <f t="shared" si="1719"/>
        <v>3</v>
      </c>
      <c r="AO292" s="21">
        <f>M292</f>
        <v>19</v>
      </c>
      <c r="AP292" s="129">
        <f t="shared" si="1720"/>
        <v>6</v>
      </c>
      <c r="AQ292" s="129">
        <f t="shared" si="1721"/>
        <v>3</v>
      </c>
      <c r="AR292" s="129">
        <f t="shared" si="1722"/>
        <v>10</v>
      </c>
      <c r="AS292" s="129">
        <f t="shared" si="1723"/>
        <v>5</v>
      </c>
      <c r="AT292" s="129">
        <f t="shared" si="1724"/>
        <v>6</v>
      </c>
      <c r="AU292" s="129">
        <f t="shared" si="1725"/>
        <v>3</v>
      </c>
      <c r="AV292" s="129">
        <f t="shared" si="1726"/>
        <v>1</v>
      </c>
      <c r="AW292" s="129">
        <f t="shared" si="1727"/>
        <v>3</v>
      </c>
      <c r="AX292" s="129">
        <f t="shared" si="1727"/>
        <v>2</v>
      </c>
      <c r="AY292" s="129">
        <f t="shared" si="1727"/>
        <v>2</v>
      </c>
      <c r="AZ292" s="129">
        <f t="shared" si="1727"/>
        <v>4</v>
      </c>
      <c r="BA292" s="129">
        <f>IF(Y292&lt;&gt;"",Y292,0)</f>
        <v>10</v>
      </c>
      <c r="BB292" s="129">
        <f t="shared" si="1727"/>
        <v>3</v>
      </c>
      <c r="BC292" s="129">
        <f t="shared" si="1727"/>
        <v>7</v>
      </c>
      <c r="BD292" s="129">
        <f t="shared" si="1727"/>
        <v>3</v>
      </c>
      <c r="BE292" s="129">
        <f t="shared" si="1727"/>
        <v>3</v>
      </c>
      <c r="BF292" s="129">
        <f t="shared" si="1727"/>
        <v>1</v>
      </c>
      <c r="BG292" s="129">
        <f t="shared" si="1727"/>
        <v>3</v>
      </c>
      <c r="BH292" s="129">
        <f t="shared" si="1727"/>
        <v>6</v>
      </c>
      <c r="BI292" s="129">
        <f t="shared" si="1727"/>
        <v>1</v>
      </c>
      <c r="BJ292" s="129">
        <f t="shared" si="1727"/>
        <v>7</v>
      </c>
      <c r="BK292" s="129">
        <f t="shared" si="1727"/>
        <v>1</v>
      </c>
      <c r="BL292" s="129">
        <f t="shared" si="1727"/>
        <v>0</v>
      </c>
      <c r="BM292" s="408"/>
      <c r="BN292" s="48">
        <f t="shared" ref="BN292:BN308" si="1739">BP292</f>
        <v>14</v>
      </c>
      <c r="BO292" s="48">
        <f t="shared" ref="BO292:BO308" si="1740">BP292</f>
        <v>14</v>
      </c>
      <c r="BP292" s="48">
        <f t="shared" ref="BP292:BP297" si="1741">SUM(AL292:AN292)</f>
        <v>14</v>
      </c>
      <c r="BQ292" s="48">
        <f t="shared" ref="BQ292:BQ308" si="1742">BS292</f>
        <v>28</v>
      </c>
      <c r="BR292" s="48">
        <f t="shared" ref="BR292:BR308" si="1743">BS292</f>
        <v>28</v>
      </c>
      <c r="BS292" s="48">
        <f t="shared" ref="BS292:BS297" si="1744">SUM(AO292:AQ292)</f>
        <v>28</v>
      </c>
      <c r="BT292" s="48">
        <f t="shared" ref="BT292:BT308" si="1745">BV292</f>
        <v>21</v>
      </c>
      <c r="BU292" s="48">
        <f t="shared" ref="BU292:BU308" si="1746">BV292</f>
        <v>21</v>
      </c>
      <c r="BV292" s="48">
        <f t="shared" ref="BV292:BV297" si="1747">SUM(AR292:AT292)</f>
        <v>21</v>
      </c>
      <c r="BW292" s="48">
        <f t="shared" ref="BW292:BW308" si="1748">BY292</f>
        <v>7</v>
      </c>
      <c r="BX292" s="48">
        <f t="shared" ref="BX292:BX308" si="1749">BY292</f>
        <v>7</v>
      </c>
      <c r="BY292" s="48">
        <f t="shared" ref="BY292:BY297" si="1750">SUM(AU292:AW292)</f>
        <v>7</v>
      </c>
      <c r="BZ292" s="48">
        <f t="shared" ref="BZ292:BZ308" si="1751">CB292</f>
        <v>8</v>
      </c>
      <c r="CA292" s="48">
        <f t="shared" ref="CA292:CA308" si="1752">CB292</f>
        <v>8</v>
      </c>
      <c r="CB292" s="48">
        <f t="shared" ref="CB292:CB297" si="1753">SUM(AX292:AZ292)</f>
        <v>8</v>
      </c>
      <c r="CC292" s="48">
        <f t="shared" ref="CC292:CC308" si="1754">CE292</f>
        <v>20</v>
      </c>
      <c r="CD292" s="48">
        <f t="shared" ref="CD292:CD308" si="1755">CE292</f>
        <v>20</v>
      </c>
      <c r="CE292" s="48">
        <f t="shared" ref="CE292:CE297" si="1756">SUM(BA292:BC292)</f>
        <v>20</v>
      </c>
      <c r="CF292" s="48">
        <f t="shared" ref="CF292:CF308" si="1757">CH292</f>
        <v>7</v>
      </c>
      <c r="CG292" s="48">
        <f t="shared" ref="CG292:CG308" si="1758">CH292</f>
        <v>7</v>
      </c>
      <c r="CH292" s="48">
        <f t="shared" ref="CH292:CH297" si="1759">SUM(BD292:BF292)</f>
        <v>7</v>
      </c>
      <c r="CI292" s="48">
        <f t="shared" ref="CI292:CI308" si="1760">CK292</f>
        <v>10</v>
      </c>
      <c r="CJ292" s="48">
        <f t="shared" ref="CJ292:CJ308" si="1761">CK292</f>
        <v>10</v>
      </c>
      <c r="CK292" s="48">
        <f t="shared" ref="CK292:CK297" si="1762">SUM(BG292:BI292)</f>
        <v>10</v>
      </c>
      <c r="CL292" s="48">
        <f t="shared" ref="CL292:CL308" si="1763">CN292</f>
        <v>8</v>
      </c>
      <c r="CM292" s="48">
        <f t="shared" ref="CM292:CM308" si="1764">CN292</f>
        <v>8</v>
      </c>
      <c r="CN292" s="48">
        <f t="shared" ref="CN292:CN297" si="1765">SUM(BJ292:BL292)</f>
        <v>8</v>
      </c>
      <c r="CO292" s="406"/>
      <c r="CP292" s="21">
        <f t="shared" si="1728"/>
        <v>32</v>
      </c>
      <c r="CQ292" s="21">
        <f t="shared" si="1728"/>
        <v>39</v>
      </c>
      <c r="CR292" s="21">
        <f t="shared" si="1728"/>
        <v>42</v>
      </c>
      <c r="CS292" s="21">
        <f>AO292</f>
        <v>19</v>
      </c>
      <c r="CT292" s="21">
        <f t="shared" si="1729"/>
        <v>25</v>
      </c>
      <c r="CU292" s="21">
        <f t="shared" si="1729"/>
        <v>28</v>
      </c>
      <c r="CV292" s="21">
        <f t="shared" si="1729"/>
        <v>38</v>
      </c>
      <c r="CW292" s="21">
        <f t="shared" si="1729"/>
        <v>43</v>
      </c>
      <c r="CX292" s="21">
        <f t="shared" si="1729"/>
        <v>49</v>
      </c>
      <c r="CY292" s="21">
        <f t="shared" si="1729"/>
        <v>52</v>
      </c>
      <c r="CZ292" s="21">
        <f t="shared" si="1729"/>
        <v>53</v>
      </c>
      <c r="DA292" s="21">
        <f t="shared" si="1729"/>
        <v>56</v>
      </c>
      <c r="DB292" s="21">
        <f t="shared" si="1729"/>
        <v>58</v>
      </c>
      <c r="DC292" s="21">
        <f t="shared" si="1729"/>
        <v>60</v>
      </c>
      <c r="DD292" s="21">
        <f t="shared" si="1729"/>
        <v>64</v>
      </c>
      <c r="DE292" s="21">
        <f>+BA292</f>
        <v>10</v>
      </c>
      <c r="DF292" s="21">
        <f t="shared" si="1730"/>
        <v>13</v>
      </c>
      <c r="DG292" s="21">
        <f t="shared" si="1730"/>
        <v>20</v>
      </c>
      <c r="DH292" s="21">
        <f t="shared" si="1730"/>
        <v>23</v>
      </c>
      <c r="DI292" s="21">
        <f t="shared" si="1730"/>
        <v>26</v>
      </c>
      <c r="DJ292" s="21">
        <f t="shared" si="1730"/>
        <v>27</v>
      </c>
      <c r="DK292" s="21">
        <f t="shared" si="1730"/>
        <v>30</v>
      </c>
      <c r="DL292" s="21">
        <f t="shared" si="1730"/>
        <v>36</v>
      </c>
      <c r="DM292" s="21">
        <f t="shared" si="1730"/>
        <v>37</v>
      </c>
      <c r="DN292" s="21">
        <f t="shared" si="1730"/>
        <v>44</v>
      </c>
      <c r="DO292" s="21">
        <f t="shared" si="1730"/>
        <v>45</v>
      </c>
      <c r="DP292" s="21">
        <f t="shared" si="1730"/>
        <v>45</v>
      </c>
      <c r="DQ292" s="248"/>
      <c r="DR292" s="248"/>
      <c r="DS292" s="248"/>
      <c r="DT292" s="248"/>
      <c r="DU292" s="248"/>
      <c r="DV292" s="248"/>
      <c r="DW292" s="248"/>
      <c r="DX292" s="248"/>
      <c r="DY292" s="248"/>
      <c r="ED292" s="429"/>
      <c r="EE292" s="23"/>
      <c r="EF292" s="23"/>
      <c r="EG292" s="23"/>
      <c r="EH292" s="18">
        <f t="shared" si="1731"/>
        <v>1</v>
      </c>
      <c r="EI292" s="18">
        <f t="shared" si="1732"/>
        <v>8</v>
      </c>
      <c r="EJ292" s="18">
        <f t="shared" si="1733"/>
        <v>45</v>
      </c>
      <c r="EK292" s="24">
        <f>$EK$1/12</f>
        <v>0.91666666666666663</v>
      </c>
      <c r="EL292" s="14">
        <f t="shared" si="1734"/>
        <v>0.18463810930576069</v>
      </c>
      <c r="EM292" s="14">
        <f t="shared" si="1734"/>
        <v>0.49236829148202854</v>
      </c>
      <c r="EN292" s="14">
        <f>EJ292/EG269</f>
        <v>0.69238580762957891</v>
      </c>
      <c r="EO292" s="46" t="str">
        <f t="shared" si="1735"/>
        <v>È</v>
      </c>
      <c r="EP292" s="46" t="str">
        <f t="shared" si="1735"/>
        <v>È</v>
      </c>
      <c r="EQ292" s="2">
        <f t="shared" si="1736"/>
        <v>3</v>
      </c>
      <c r="ER292" s="2">
        <f t="shared" si="1737"/>
        <v>3</v>
      </c>
      <c r="ES292" s="2">
        <f t="shared" si="1738"/>
        <v>3</v>
      </c>
    </row>
    <row r="293" spans="1:149" ht="12.75" customHeight="1">
      <c r="A293" s="6" t="s">
        <v>22</v>
      </c>
      <c r="B293" s="2" t="s">
        <v>2</v>
      </c>
      <c r="C293" s="3" t="s">
        <v>56</v>
      </c>
      <c r="E293" s="3" t="s">
        <v>16</v>
      </c>
      <c r="G293" s="1" t="s">
        <v>91</v>
      </c>
      <c r="I293" s="18">
        <v>27</v>
      </c>
      <c r="J293" s="19">
        <v>32</v>
      </c>
      <c r="K293" s="19">
        <v>42</v>
      </c>
      <c r="L293" s="19">
        <v>44</v>
      </c>
      <c r="M293" s="20">
        <v>4</v>
      </c>
      <c r="N293" s="19">
        <v>9</v>
      </c>
      <c r="O293" s="19">
        <v>13</v>
      </c>
      <c r="P293" s="19">
        <v>20</v>
      </c>
      <c r="Q293" s="19">
        <v>24</v>
      </c>
      <c r="R293" s="19">
        <v>29</v>
      </c>
      <c r="S293" s="19">
        <v>32</v>
      </c>
      <c r="T293" s="19">
        <v>33</v>
      </c>
      <c r="U293" s="19">
        <v>36</v>
      </c>
      <c r="V293" s="26">
        <v>40</v>
      </c>
      <c r="W293" s="19">
        <v>42</v>
      </c>
      <c r="X293" s="19">
        <v>45</v>
      </c>
      <c r="Y293" s="348">
        <v>8</v>
      </c>
      <c r="Z293" s="19">
        <v>10</v>
      </c>
      <c r="AA293" s="19">
        <v>16</v>
      </c>
      <c r="AB293" s="19">
        <v>20</v>
      </c>
      <c r="AC293" s="19">
        <v>25</v>
      </c>
      <c r="AD293" s="19">
        <v>33</v>
      </c>
      <c r="AE293" s="19">
        <v>37</v>
      </c>
      <c r="AF293" s="19">
        <v>37</v>
      </c>
      <c r="AG293" s="19">
        <v>49</v>
      </c>
      <c r="AH293" s="19">
        <v>53</v>
      </c>
      <c r="AI293" s="19">
        <v>57</v>
      </c>
      <c r="AJ293" s="19"/>
      <c r="AK293" s="408"/>
      <c r="AL293" s="21">
        <f t="shared" si="1718"/>
        <v>5</v>
      </c>
      <c r="AM293" s="21">
        <f t="shared" si="1718"/>
        <v>10</v>
      </c>
      <c r="AN293" s="21">
        <f t="shared" si="1719"/>
        <v>2</v>
      </c>
      <c r="AO293" s="21">
        <f>M293</f>
        <v>4</v>
      </c>
      <c r="AP293" s="129">
        <f t="shared" si="1720"/>
        <v>5</v>
      </c>
      <c r="AQ293" s="129">
        <f t="shared" si="1721"/>
        <v>4</v>
      </c>
      <c r="AR293" s="129">
        <f t="shared" si="1722"/>
        <v>7</v>
      </c>
      <c r="AS293" s="129">
        <f t="shared" si="1723"/>
        <v>4</v>
      </c>
      <c r="AT293" s="129">
        <f t="shared" si="1724"/>
        <v>5</v>
      </c>
      <c r="AU293" s="129">
        <f t="shared" si="1725"/>
        <v>3</v>
      </c>
      <c r="AV293" s="129">
        <f t="shared" si="1726"/>
        <v>1</v>
      </c>
      <c r="AW293" s="129">
        <f t="shared" si="1727"/>
        <v>3</v>
      </c>
      <c r="AX293" s="129">
        <f t="shared" si="1727"/>
        <v>4</v>
      </c>
      <c r="AY293" s="129">
        <f t="shared" si="1727"/>
        <v>2</v>
      </c>
      <c r="AZ293" s="129">
        <f t="shared" si="1727"/>
        <v>3</v>
      </c>
      <c r="BA293" s="129">
        <f>IF(Y293&lt;&gt;"",Y293,0)</f>
        <v>8</v>
      </c>
      <c r="BB293" s="129">
        <f t="shared" si="1727"/>
        <v>2</v>
      </c>
      <c r="BC293" s="129">
        <f t="shared" si="1727"/>
        <v>6</v>
      </c>
      <c r="BD293" s="129">
        <f t="shared" si="1727"/>
        <v>4</v>
      </c>
      <c r="BE293" s="129">
        <f t="shared" si="1727"/>
        <v>5</v>
      </c>
      <c r="BF293" s="129">
        <f t="shared" si="1727"/>
        <v>8</v>
      </c>
      <c r="BG293" s="129">
        <f t="shared" si="1727"/>
        <v>4</v>
      </c>
      <c r="BH293" s="129">
        <f t="shared" si="1727"/>
        <v>0</v>
      </c>
      <c r="BI293" s="129">
        <f t="shared" si="1727"/>
        <v>12</v>
      </c>
      <c r="BJ293" s="129">
        <f t="shared" si="1727"/>
        <v>4</v>
      </c>
      <c r="BK293" s="129">
        <f t="shared" si="1727"/>
        <v>4</v>
      </c>
      <c r="BL293" s="129">
        <f t="shared" si="1727"/>
        <v>0</v>
      </c>
      <c r="BM293" s="408"/>
      <c r="BN293" s="48">
        <f t="shared" si="1739"/>
        <v>17</v>
      </c>
      <c r="BO293" s="48">
        <f t="shared" si="1740"/>
        <v>17</v>
      </c>
      <c r="BP293" s="48">
        <f t="shared" si="1741"/>
        <v>17</v>
      </c>
      <c r="BQ293" s="48">
        <f t="shared" si="1742"/>
        <v>13</v>
      </c>
      <c r="BR293" s="48">
        <f t="shared" si="1743"/>
        <v>13</v>
      </c>
      <c r="BS293" s="48">
        <f t="shared" si="1744"/>
        <v>13</v>
      </c>
      <c r="BT293" s="48">
        <f t="shared" si="1745"/>
        <v>16</v>
      </c>
      <c r="BU293" s="48">
        <f t="shared" si="1746"/>
        <v>16</v>
      </c>
      <c r="BV293" s="48">
        <f t="shared" si="1747"/>
        <v>16</v>
      </c>
      <c r="BW293" s="48">
        <f t="shared" si="1748"/>
        <v>7</v>
      </c>
      <c r="BX293" s="48">
        <f t="shared" si="1749"/>
        <v>7</v>
      </c>
      <c r="BY293" s="48">
        <f t="shared" si="1750"/>
        <v>7</v>
      </c>
      <c r="BZ293" s="48">
        <f t="shared" si="1751"/>
        <v>9</v>
      </c>
      <c r="CA293" s="48">
        <f t="shared" si="1752"/>
        <v>9</v>
      </c>
      <c r="CB293" s="48">
        <f t="shared" si="1753"/>
        <v>9</v>
      </c>
      <c r="CC293" s="48">
        <f t="shared" si="1754"/>
        <v>16</v>
      </c>
      <c r="CD293" s="48">
        <f t="shared" si="1755"/>
        <v>16</v>
      </c>
      <c r="CE293" s="48">
        <f t="shared" si="1756"/>
        <v>16</v>
      </c>
      <c r="CF293" s="48">
        <f t="shared" si="1757"/>
        <v>17</v>
      </c>
      <c r="CG293" s="48">
        <f t="shared" si="1758"/>
        <v>17</v>
      </c>
      <c r="CH293" s="48">
        <f t="shared" si="1759"/>
        <v>17</v>
      </c>
      <c r="CI293" s="48">
        <f t="shared" si="1760"/>
        <v>16</v>
      </c>
      <c r="CJ293" s="48">
        <f t="shared" si="1761"/>
        <v>16</v>
      </c>
      <c r="CK293" s="48">
        <f t="shared" si="1762"/>
        <v>16</v>
      </c>
      <c r="CL293" s="48">
        <f t="shared" si="1763"/>
        <v>8</v>
      </c>
      <c r="CM293" s="48">
        <f t="shared" si="1764"/>
        <v>8</v>
      </c>
      <c r="CN293" s="48">
        <f t="shared" si="1765"/>
        <v>8</v>
      </c>
      <c r="CO293" s="406"/>
      <c r="CP293" s="21">
        <f t="shared" si="1728"/>
        <v>32</v>
      </c>
      <c r="CQ293" s="21">
        <f t="shared" si="1728"/>
        <v>42</v>
      </c>
      <c r="CR293" s="21">
        <f t="shared" si="1728"/>
        <v>44</v>
      </c>
      <c r="CS293" s="21">
        <f>AO293</f>
        <v>4</v>
      </c>
      <c r="CT293" s="21">
        <f t="shared" si="1729"/>
        <v>9</v>
      </c>
      <c r="CU293" s="21">
        <f t="shared" si="1729"/>
        <v>13</v>
      </c>
      <c r="CV293" s="21">
        <f t="shared" si="1729"/>
        <v>20</v>
      </c>
      <c r="CW293" s="21">
        <f t="shared" si="1729"/>
        <v>24</v>
      </c>
      <c r="CX293" s="21">
        <f t="shared" si="1729"/>
        <v>29</v>
      </c>
      <c r="CY293" s="21">
        <f t="shared" si="1729"/>
        <v>32</v>
      </c>
      <c r="CZ293" s="21">
        <f t="shared" si="1729"/>
        <v>33</v>
      </c>
      <c r="DA293" s="21">
        <f t="shared" si="1729"/>
        <v>36</v>
      </c>
      <c r="DB293" s="21">
        <f t="shared" si="1729"/>
        <v>40</v>
      </c>
      <c r="DC293" s="21">
        <f t="shared" si="1729"/>
        <v>42</v>
      </c>
      <c r="DD293" s="21">
        <f t="shared" si="1729"/>
        <v>45</v>
      </c>
      <c r="DE293" s="21">
        <f>+BA293</f>
        <v>8</v>
      </c>
      <c r="DF293" s="21">
        <f t="shared" si="1730"/>
        <v>10</v>
      </c>
      <c r="DG293" s="21">
        <f t="shared" si="1730"/>
        <v>16</v>
      </c>
      <c r="DH293" s="21">
        <f t="shared" si="1730"/>
        <v>20</v>
      </c>
      <c r="DI293" s="21">
        <f t="shared" si="1730"/>
        <v>25</v>
      </c>
      <c r="DJ293" s="21">
        <f t="shared" si="1730"/>
        <v>33</v>
      </c>
      <c r="DK293" s="21">
        <f t="shared" si="1730"/>
        <v>37</v>
      </c>
      <c r="DL293" s="21">
        <f t="shared" si="1730"/>
        <v>37</v>
      </c>
      <c r="DM293" s="21">
        <f t="shared" si="1730"/>
        <v>49</v>
      </c>
      <c r="DN293" s="21">
        <f t="shared" si="1730"/>
        <v>53</v>
      </c>
      <c r="DO293" s="21">
        <f t="shared" si="1730"/>
        <v>57</v>
      </c>
      <c r="DP293" s="21">
        <f t="shared" si="1730"/>
        <v>57</v>
      </c>
      <c r="DQ293" s="248"/>
      <c r="DR293" s="248"/>
      <c r="DS293" s="248"/>
      <c r="DT293" s="248"/>
      <c r="DU293" s="248"/>
      <c r="DV293" s="248"/>
      <c r="DW293" s="248"/>
      <c r="DX293" s="248"/>
      <c r="DY293" s="248"/>
      <c r="ED293" s="429"/>
      <c r="EE293" s="23"/>
      <c r="EF293" s="23"/>
      <c r="EG293" s="23"/>
      <c r="EH293" s="18">
        <f t="shared" si="1731"/>
        <v>4</v>
      </c>
      <c r="EI293" s="18">
        <f t="shared" si="1732"/>
        <v>8</v>
      </c>
      <c r="EJ293" s="18">
        <f t="shared" si="1733"/>
        <v>57</v>
      </c>
      <c r="EK293" s="24">
        <f>$EK$1/12</f>
        <v>0.91666666666666663</v>
      </c>
      <c r="EL293" s="14">
        <f t="shared" si="1734"/>
        <v>1.0666666666666667</v>
      </c>
      <c r="EM293" s="14">
        <f t="shared" si="1734"/>
        <v>0.71111111111111114</v>
      </c>
      <c r="EN293" s="14">
        <f>EJ293/EG270</f>
        <v>1.2666666666666666</v>
      </c>
      <c r="EO293" s="46" t="str">
        <f t="shared" si="1735"/>
        <v>Ç</v>
      </c>
      <c r="EP293" s="46" t="str">
        <f>IF(EI293&lt;0,,IF(EI293&gt;EF270,"È",IF(EI293=EF270,"Æ","Ç")))</f>
        <v>Ç</v>
      </c>
      <c r="EQ293" s="2">
        <f t="shared" si="1736"/>
        <v>1</v>
      </c>
      <c r="ER293" s="2">
        <f t="shared" si="1737"/>
        <v>3</v>
      </c>
      <c r="ES293" s="2">
        <f t="shared" si="1738"/>
        <v>1</v>
      </c>
    </row>
    <row r="294" spans="1:149" ht="12.75" customHeight="1">
      <c r="A294" s="6" t="s">
        <v>22</v>
      </c>
      <c r="B294" s="2" t="s">
        <v>3</v>
      </c>
      <c r="C294" s="3" t="s">
        <v>57</v>
      </c>
      <c r="E294" s="3" t="s">
        <v>16</v>
      </c>
      <c r="G294" s="1" t="s">
        <v>91</v>
      </c>
      <c r="I294" s="18">
        <v>21</v>
      </c>
      <c r="J294" s="21">
        <v>21</v>
      </c>
      <c r="K294" s="21">
        <v>22</v>
      </c>
      <c r="L294" s="21">
        <v>23</v>
      </c>
      <c r="M294" s="22">
        <v>0</v>
      </c>
      <c r="N294" s="21">
        <v>3</v>
      </c>
      <c r="O294" s="21">
        <v>4</v>
      </c>
      <c r="P294" s="21">
        <v>9</v>
      </c>
      <c r="Q294" s="21">
        <v>13</v>
      </c>
      <c r="R294" s="21">
        <v>15</v>
      </c>
      <c r="S294" s="21">
        <v>16</v>
      </c>
      <c r="T294" s="21">
        <v>18</v>
      </c>
      <c r="U294" s="21">
        <v>19</v>
      </c>
      <c r="V294" s="27">
        <v>25</v>
      </c>
      <c r="W294" s="21">
        <v>28</v>
      </c>
      <c r="X294" s="21">
        <v>28</v>
      </c>
      <c r="Y294" s="349">
        <v>4</v>
      </c>
      <c r="Z294" s="21">
        <v>5</v>
      </c>
      <c r="AA294" s="21">
        <v>11</v>
      </c>
      <c r="AB294" s="21">
        <v>13</v>
      </c>
      <c r="AC294" s="21">
        <v>13</v>
      </c>
      <c r="AD294" s="21">
        <v>19</v>
      </c>
      <c r="AE294" s="21">
        <v>23</v>
      </c>
      <c r="AF294" s="21">
        <v>25</v>
      </c>
      <c r="AG294" s="21">
        <v>30</v>
      </c>
      <c r="AH294" s="21">
        <v>34</v>
      </c>
      <c r="AI294" s="21">
        <v>35</v>
      </c>
      <c r="AJ294" s="21"/>
      <c r="AK294" s="408"/>
      <c r="AL294" s="21">
        <f t="shared" si="1718"/>
        <v>0</v>
      </c>
      <c r="AM294" s="21">
        <f t="shared" si="1718"/>
        <v>1</v>
      </c>
      <c r="AN294" s="21">
        <f t="shared" si="1719"/>
        <v>1</v>
      </c>
      <c r="AO294" s="21">
        <f>M294</f>
        <v>0</v>
      </c>
      <c r="AP294" s="129">
        <f t="shared" si="1720"/>
        <v>3</v>
      </c>
      <c r="AQ294" s="129">
        <f t="shared" si="1721"/>
        <v>1</v>
      </c>
      <c r="AR294" s="129">
        <f t="shared" si="1722"/>
        <v>5</v>
      </c>
      <c r="AS294" s="129">
        <f t="shared" si="1723"/>
        <v>4</v>
      </c>
      <c r="AT294" s="129">
        <f t="shared" si="1724"/>
        <v>2</v>
      </c>
      <c r="AU294" s="129">
        <f t="shared" si="1725"/>
        <v>1</v>
      </c>
      <c r="AV294" s="129">
        <f t="shared" si="1726"/>
        <v>2</v>
      </c>
      <c r="AW294" s="129">
        <f t="shared" si="1727"/>
        <v>1</v>
      </c>
      <c r="AX294" s="129">
        <f t="shared" si="1727"/>
        <v>6</v>
      </c>
      <c r="AY294" s="129">
        <f t="shared" si="1727"/>
        <v>3</v>
      </c>
      <c r="AZ294" s="129">
        <f t="shared" si="1727"/>
        <v>0</v>
      </c>
      <c r="BA294" s="129">
        <f>IF(Y294&lt;&gt;"",Y294,0)</f>
        <v>4</v>
      </c>
      <c r="BB294" s="129">
        <f t="shared" si="1727"/>
        <v>1</v>
      </c>
      <c r="BC294" s="129">
        <f t="shared" si="1727"/>
        <v>6</v>
      </c>
      <c r="BD294" s="129">
        <f t="shared" si="1727"/>
        <v>2</v>
      </c>
      <c r="BE294" s="129">
        <f t="shared" si="1727"/>
        <v>0</v>
      </c>
      <c r="BF294" s="129">
        <f t="shared" si="1727"/>
        <v>6</v>
      </c>
      <c r="BG294" s="129">
        <f t="shared" si="1727"/>
        <v>4</v>
      </c>
      <c r="BH294" s="129">
        <f t="shared" si="1727"/>
        <v>2</v>
      </c>
      <c r="BI294" s="129">
        <f t="shared" si="1727"/>
        <v>5</v>
      </c>
      <c r="BJ294" s="129">
        <f t="shared" si="1727"/>
        <v>4</v>
      </c>
      <c r="BK294" s="129">
        <f t="shared" si="1727"/>
        <v>1</v>
      </c>
      <c r="BL294" s="129">
        <f t="shared" si="1727"/>
        <v>0</v>
      </c>
      <c r="BM294" s="408"/>
      <c r="BN294" s="48">
        <f t="shared" si="1739"/>
        <v>2</v>
      </c>
      <c r="BO294" s="48">
        <f t="shared" si="1740"/>
        <v>2</v>
      </c>
      <c r="BP294" s="48">
        <f t="shared" si="1741"/>
        <v>2</v>
      </c>
      <c r="BQ294" s="48">
        <f t="shared" si="1742"/>
        <v>4</v>
      </c>
      <c r="BR294" s="48">
        <f t="shared" si="1743"/>
        <v>4</v>
      </c>
      <c r="BS294" s="48">
        <f t="shared" si="1744"/>
        <v>4</v>
      </c>
      <c r="BT294" s="48">
        <f t="shared" si="1745"/>
        <v>11</v>
      </c>
      <c r="BU294" s="48">
        <f t="shared" si="1746"/>
        <v>11</v>
      </c>
      <c r="BV294" s="48">
        <f t="shared" si="1747"/>
        <v>11</v>
      </c>
      <c r="BW294" s="48">
        <f t="shared" si="1748"/>
        <v>4</v>
      </c>
      <c r="BX294" s="48">
        <f t="shared" si="1749"/>
        <v>4</v>
      </c>
      <c r="BY294" s="48">
        <f t="shared" si="1750"/>
        <v>4</v>
      </c>
      <c r="BZ294" s="48">
        <f t="shared" si="1751"/>
        <v>9</v>
      </c>
      <c r="CA294" s="48">
        <f t="shared" si="1752"/>
        <v>9</v>
      </c>
      <c r="CB294" s="48">
        <f t="shared" si="1753"/>
        <v>9</v>
      </c>
      <c r="CC294" s="48">
        <f t="shared" si="1754"/>
        <v>11</v>
      </c>
      <c r="CD294" s="48">
        <f t="shared" si="1755"/>
        <v>11</v>
      </c>
      <c r="CE294" s="48">
        <f t="shared" si="1756"/>
        <v>11</v>
      </c>
      <c r="CF294" s="48">
        <f t="shared" si="1757"/>
        <v>8</v>
      </c>
      <c r="CG294" s="48">
        <f t="shared" si="1758"/>
        <v>8</v>
      </c>
      <c r="CH294" s="48">
        <f t="shared" si="1759"/>
        <v>8</v>
      </c>
      <c r="CI294" s="48">
        <f t="shared" si="1760"/>
        <v>11</v>
      </c>
      <c r="CJ294" s="48">
        <f t="shared" si="1761"/>
        <v>11</v>
      </c>
      <c r="CK294" s="48">
        <f t="shared" si="1762"/>
        <v>11</v>
      </c>
      <c r="CL294" s="48">
        <f t="shared" si="1763"/>
        <v>5</v>
      </c>
      <c r="CM294" s="48">
        <f t="shared" si="1764"/>
        <v>5</v>
      </c>
      <c r="CN294" s="48">
        <f t="shared" si="1765"/>
        <v>5</v>
      </c>
      <c r="CO294" s="406"/>
      <c r="CP294" s="21">
        <f t="shared" si="1728"/>
        <v>21</v>
      </c>
      <c r="CQ294" s="21">
        <f t="shared" si="1728"/>
        <v>22</v>
      </c>
      <c r="CR294" s="21">
        <f t="shared" si="1728"/>
        <v>23</v>
      </c>
      <c r="CS294" s="21">
        <f>AO294</f>
        <v>0</v>
      </c>
      <c r="CT294" s="21">
        <f t="shared" si="1729"/>
        <v>3</v>
      </c>
      <c r="CU294" s="21">
        <f t="shared" si="1729"/>
        <v>4</v>
      </c>
      <c r="CV294" s="21">
        <f t="shared" si="1729"/>
        <v>9</v>
      </c>
      <c r="CW294" s="21">
        <f t="shared" si="1729"/>
        <v>13</v>
      </c>
      <c r="CX294" s="21">
        <f t="shared" si="1729"/>
        <v>15</v>
      </c>
      <c r="CY294" s="21">
        <f t="shared" si="1729"/>
        <v>16</v>
      </c>
      <c r="CZ294" s="21">
        <f t="shared" si="1729"/>
        <v>18</v>
      </c>
      <c r="DA294" s="21">
        <f t="shared" si="1729"/>
        <v>19</v>
      </c>
      <c r="DB294" s="21">
        <f t="shared" si="1729"/>
        <v>25</v>
      </c>
      <c r="DC294" s="21">
        <f t="shared" si="1729"/>
        <v>28</v>
      </c>
      <c r="DD294" s="21">
        <f t="shared" si="1729"/>
        <v>28</v>
      </c>
      <c r="DE294" s="21">
        <f>+BA294</f>
        <v>4</v>
      </c>
      <c r="DF294" s="21">
        <f t="shared" si="1730"/>
        <v>5</v>
      </c>
      <c r="DG294" s="21">
        <f t="shared" si="1730"/>
        <v>11</v>
      </c>
      <c r="DH294" s="21">
        <f t="shared" si="1730"/>
        <v>13</v>
      </c>
      <c r="DI294" s="21">
        <f t="shared" si="1730"/>
        <v>13</v>
      </c>
      <c r="DJ294" s="21">
        <f t="shared" si="1730"/>
        <v>19</v>
      </c>
      <c r="DK294" s="21">
        <f t="shared" si="1730"/>
        <v>23</v>
      </c>
      <c r="DL294" s="21">
        <f t="shared" si="1730"/>
        <v>25</v>
      </c>
      <c r="DM294" s="21">
        <f t="shared" si="1730"/>
        <v>30</v>
      </c>
      <c r="DN294" s="21">
        <v>30</v>
      </c>
      <c r="DO294" s="21">
        <f t="shared" si="1730"/>
        <v>35</v>
      </c>
      <c r="DP294" s="21">
        <f t="shared" si="1730"/>
        <v>35</v>
      </c>
      <c r="DQ294" s="248"/>
      <c r="DR294" s="248"/>
      <c r="DS294" s="248"/>
      <c r="DT294" s="248"/>
      <c r="DU294" s="248"/>
      <c r="DV294" s="248"/>
      <c r="DW294" s="248"/>
      <c r="DX294" s="248"/>
      <c r="DY294" s="248"/>
      <c r="ED294" s="429"/>
      <c r="EE294" s="23"/>
      <c r="EF294" s="23"/>
      <c r="EG294" s="23"/>
      <c r="EH294" s="18">
        <f t="shared" si="1731"/>
        <v>1</v>
      </c>
      <c r="EI294" s="18">
        <f t="shared" si="1732"/>
        <v>5</v>
      </c>
      <c r="EJ294" s="18">
        <f t="shared" si="1733"/>
        <v>35</v>
      </c>
      <c r="EK294" s="24">
        <f>$EK$1/12</f>
        <v>0.91666666666666663</v>
      </c>
      <c r="EL294" s="14">
        <f t="shared" si="1734"/>
        <v>1.0909884355225825</v>
      </c>
      <c r="EM294" s="14">
        <f t="shared" si="1734"/>
        <v>1.8183140592043043</v>
      </c>
      <c r="EN294" s="14">
        <f>EJ294/EG271</f>
        <v>3.1820496036075347</v>
      </c>
      <c r="EO294" s="46" t="str">
        <f t="shared" si="1735"/>
        <v>Ç</v>
      </c>
      <c r="EP294" s="46" t="str">
        <f>IF(EI294&lt;0,,IF(EI294&lt;EF271,"È",IF(EI294=EF271,"Æ","Ç")))</f>
        <v>Ç</v>
      </c>
      <c r="EQ294" s="2">
        <f t="shared" si="1736"/>
        <v>1</v>
      </c>
      <c r="ER294" s="2">
        <f t="shared" si="1737"/>
        <v>1</v>
      </c>
      <c r="ES294" s="2">
        <f t="shared" si="1738"/>
        <v>1</v>
      </c>
    </row>
    <row r="295" spans="1:149" ht="12.75" customHeight="1" thickBot="1">
      <c r="A295" s="6" t="s">
        <v>22</v>
      </c>
      <c r="B295" s="2" t="s">
        <v>94</v>
      </c>
      <c r="C295" s="3" t="s">
        <v>58</v>
      </c>
      <c r="E295" s="3" t="s">
        <v>16</v>
      </c>
      <c r="G295" s="1" t="s">
        <v>91</v>
      </c>
      <c r="I295" s="116">
        <v>1.4032960000000001</v>
      </c>
      <c r="J295" s="116">
        <v>1.4032960000000001</v>
      </c>
      <c r="K295" s="116">
        <v>1.4572959999999999</v>
      </c>
      <c r="L295" s="116">
        <v>1.462296</v>
      </c>
      <c r="M295" s="117">
        <v>0</v>
      </c>
      <c r="N295" s="116">
        <v>4.4999999999999998E-2</v>
      </c>
      <c r="O295" s="116">
        <v>0.30199999999999999</v>
      </c>
      <c r="P295" s="116">
        <v>0.47399999999999998</v>
      </c>
      <c r="Q295" s="116">
        <v>0.59899999999999998</v>
      </c>
      <c r="R295" s="116">
        <v>0.59899999999999998</v>
      </c>
      <c r="S295" s="116">
        <v>0.59899999999999998</v>
      </c>
      <c r="T295" s="116">
        <v>0.59899999999999998</v>
      </c>
      <c r="U295" s="116">
        <v>0.629</v>
      </c>
      <c r="V295" s="123">
        <v>0.66</v>
      </c>
      <c r="W295" s="116">
        <v>0.78700000000000003</v>
      </c>
      <c r="X295" s="116">
        <v>0.78700000000000003</v>
      </c>
      <c r="Y295" s="350">
        <v>0.185</v>
      </c>
      <c r="Z295" s="116">
        <v>1.3939999999999999</v>
      </c>
      <c r="AA295" s="116">
        <v>1.5149999999999999</v>
      </c>
      <c r="AB295" s="116">
        <v>1.7350000000000001</v>
      </c>
      <c r="AC295" s="116">
        <v>1.855</v>
      </c>
      <c r="AD295" s="116">
        <v>2.5881379999999998</v>
      </c>
      <c r="AE295" s="116">
        <v>2.5931380000000002</v>
      </c>
      <c r="AF295" s="243">
        <v>2.5931380000000002</v>
      </c>
      <c r="AG295" s="116">
        <v>2.8201830000000001</v>
      </c>
      <c r="AH295" s="116">
        <v>2.9169999999999998</v>
      </c>
      <c r="AI295" s="116">
        <v>2.917138</v>
      </c>
      <c r="AJ295" s="116"/>
      <c r="AK295" s="416"/>
      <c r="AL295" s="116">
        <f t="shared" si="1718"/>
        <v>0</v>
      </c>
      <c r="AM295" s="116">
        <f t="shared" si="1718"/>
        <v>5.3999999999999826E-2</v>
      </c>
      <c r="AN295" s="116">
        <f t="shared" si="1719"/>
        <v>5.0000000000001155E-3</v>
      </c>
      <c r="AO295" s="116">
        <f>M295</f>
        <v>0</v>
      </c>
      <c r="AP295" s="129">
        <f t="shared" si="1720"/>
        <v>4.4999999999999998E-2</v>
      </c>
      <c r="AQ295" s="129">
        <f t="shared" si="1721"/>
        <v>0.25700000000000001</v>
      </c>
      <c r="AR295" s="129">
        <f t="shared" si="1722"/>
        <v>0.17199999999999999</v>
      </c>
      <c r="AS295" s="129">
        <f t="shared" si="1723"/>
        <v>0.125</v>
      </c>
      <c r="AT295" s="129">
        <f t="shared" si="1724"/>
        <v>0</v>
      </c>
      <c r="AU295" s="129">
        <f t="shared" si="1725"/>
        <v>0</v>
      </c>
      <c r="AV295" s="129">
        <f t="shared" si="1726"/>
        <v>0</v>
      </c>
      <c r="AW295" s="129">
        <f t="shared" si="1727"/>
        <v>3.0000000000000027E-2</v>
      </c>
      <c r="AX295" s="129">
        <f t="shared" si="1727"/>
        <v>3.1000000000000028E-2</v>
      </c>
      <c r="AY295" s="129">
        <f t="shared" si="1727"/>
        <v>0.127</v>
      </c>
      <c r="AZ295" s="129">
        <f t="shared" si="1727"/>
        <v>0</v>
      </c>
      <c r="BA295" s="129">
        <f>IF(Y295&lt;&gt;"",Y295,0)</f>
        <v>0.185</v>
      </c>
      <c r="BB295" s="129">
        <f t="shared" si="1727"/>
        <v>1.2089999999999999</v>
      </c>
      <c r="BC295" s="129">
        <f t="shared" si="1727"/>
        <v>0.121</v>
      </c>
      <c r="BD295" s="129">
        <f t="shared" si="1727"/>
        <v>0.2200000000000002</v>
      </c>
      <c r="BE295" s="129">
        <f t="shared" si="1727"/>
        <v>0.11999999999999988</v>
      </c>
      <c r="BF295" s="129">
        <f t="shared" si="1727"/>
        <v>0.73313799999999985</v>
      </c>
      <c r="BG295" s="129">
        <f t="shared" si="1727"/>
        <v>5.0000000000003375E-3</v>
      </c>
      <c r="BH295" s="129">
        <f t="shared" si="1727"/>
        <v>0</v>
      </c>
      <c r="BI295" s="129">
        <f t="shared" si="1727"/>
        <v>0.22704499999999994</v>
      </c>
      <c r="BJ295" s="129">
        <f t="shared" si="1727"/>
        <v>9.6816999999999709E-2</v>
      </c>
      <c r="BK295" s="129">
        <f t="shared" si="1727"/>
        <v>1.3800000000019352E-4</v>
      </c>
      <c r="BL295" s="129">
        <f t="shared" si="1727"/>
        <v>0</v>
      </c>
      <c r="BM295" s="409"/>
      <c r="BN295" s="119">
        <f t="shared" si="1739"/>
        <v>5.8999999999999941E-2</v>
      </c>
      <c r="BO295" s="119">
        <f t="shared" si="1740"/>
        <v>5.8999999999999941E-2</v>
      </c>
      <c r="BP295" s="119">
        <f t="shared" si="1741"/>
        <v>5.8999999999999941E-2</v>
      </c>
      <c r="BQ295" s="119">
        <f t="shared" si="1742"/>
        <v>0.30199999999999999</v>
      </c>
      <c r="BR295" s="119">
        <f t="shared" si="1743"/>
        <v>0.30199999999999999</v>
      </c>
      <c r="BS295" s="119">
        <f t="shared" si="1744"/>
        <v>0.30199999999999999</v>
      </c>
      <c r="BT295" s="119">
        <f t="shared" si="1745"/>
        <v>0.29699999999999999</v>
      </c>
      <c r="BU295" s="119">
        <f t="shared" si="1746"/>
        <v>0.29699999999999999</v>
      </c>
      <c r="BV295" s="119">
        <f t="shared" si="1747"/>
        <v>0.29699999999999999</v>
      </c>
      <c r="BW295" s="119">
        <f t="shared" si="1748"/>
        <v>3.0000000000000027E-2</v>
      </c>
      <c r="BX295" s="119">
        <f t="shared" si="1749"/>
        <v>3.0000000000000027E-2</v>
      </c>
      <c r="BY295" s="119">
        <f t="shared" si="1750"/>
        <v>3.0000000000000027E-2</v>
      </c>
      <c r="BZ295" s="119">
        <f t="shared" si="1751"/>
        <v>0.15800000000000003</v>
      </c>
      <c r="CA295" s="119">
        <f t="shared" si="1752"/>
        <v>0.15800000000000003</v>
      </c>
      <c r="CB295" s="119">
        <f t="shared" si="1753"/>
        <v>0.15800000000000003</v>
      </c>
      <c r="CC295" s="119">
        <f t="shared" si="1754"/>
        <v>1.5149999999999999</v>
      </c>
      <c r="CD295" s="119">
        <f t="shared" si="1755"/>
        <v>1.5149999999999999</v>
      </c>
      <c r="CE295" s="119">
        <f t="shared" si="1756"/>
        <v>1.5149999999999999</v>
      </c>
      <c r="CF295" s="119">
        <f t="shared" si="1757"/>
        <v>1.0731379999999999</v>
      </c>
      <c r="CG295" s="119">
        <f t="shared" si="1758"/>
        <v>1.0731379999999999</v>
      </c>
      <c r="CH295" s="119">
        <f t="shared" si="1759"/>
        <v>1.0731379999999999</v>
      </c>
      <c r="CI295" s="119">
        <f t="shared" si="1760"/>
        <v>0.23204500000000028</v>
      </c>
      <c r="CJ295" s="119">
        <f t="shared" si="1761"/>
        <v>0.23204500000000028</v>
      </c>
      <c r="CK295" s="119">
        <f t="shared" si="1762"/>
        <v>0.23204500000000028</v>
      </c>
      <c r="CL295" s="119">
        <f t="shared" si="1763"/>
        <v>9.6954999999999902E-2</v>
      </c>
      <c r="CM295" s="119">
        <f t="shared" si="1764"/>
        <v>9.6954999999999902E-2</v>
      </c>
      <c r="CN295" s="119">
        <f t="shared" si="1765"/>
        <v>9.6954999999999902E-2</v>
      </c>
      <c r="CO295" s="421"/>
      <c r="CP295" s="116">
        <f t="shared" si="1728"/>
        <v>1.4032960000000001</v>
      </c>
      <c r="CQ295" s="116">
        <f t="shared" si="1728"/>
        <v>1.4572959999999999</v>
      </c>
      <c r="CR295" s="116">
        <f t="shared" si="1728"/>
        <v>1.462296</v>
      </c>
      <c r="CS295" s="116">
        <f>AO295</f>
        <v>0</v>
      </c>
      <c r="CT295" s="116">
        <f t="shared" si="1729"/>
        <v>4.4999999999999998E-2</v>
      </c>
      <c r="CU295" s="116">
        <f t="shared" si="1729"/>
        <v>0.30199999999999999</v>
      </c>
      <c r="CV295" s="116">
        <f t="shared" si="1729"/>
        <v>0.47399999999999998</v>
      </c>
      <c r="CW295" s="116">
        <f t="shared" si="1729"/>
        <v>0.59899999999999998</v>
      </c>
      <c r="CX295" s="116">
        <f t="shared" si="1729"/>
        <v>0.59899999999999998</v>
      </c>
      <c r="CY295" s="116">
        <f t="shared" si="1729"/>
        <v>0.59899999999999998</v>
      </c>
      <c r="CZ295" s="116">
        <f t="shared" si="1729"/>
        <v>0.59899999999999998</v>
      </c>
      <c r="DA295" s="116">
        <f t="shared" si="1729"/>
        <v>0.629</v>
      </c>
      <c r="DB295" s="116">
        <f t="shared" si="1729"/>
        <v>0.66</v>
      </c>
      <c r="DC295" s="116">
        <f t="shared" si="1729"/>
        <v>0.78700000000000003</v>
      </c>
      <c r="DD295" s="116">
        <f t="shared" si="1729"/>
        <v>0.78700000000000003</v>
      </c>
      <c r="DE295" s="116">
        <f>+BA295</f>
        <v>0.185</v>
      </c>
      <c r="DF295" s="116">
        <f t="shared" si="1730"/>
        <v>1.3939999999999999</v>
      </c>
      <c r="DG295" s="116">
        <f t="shared" si="1730"/>
        <v>1.5149999999999999</v>
      </c>
      <c r="DH295" s="116">
        <f t="shared" si="1730"/>
        <v>1.7350000000000001</v>
      </c>
      <c r="DI295" s="116">
        <f t="shared" si="1730"/>
        <v>1.855</v>
      </c>
      <c r="DJ295" s="116">
        <f t="shared" si="1730"/>
        <v>2.5881379999999998</v>
      </c>
      <c r="DK295" s="116">
        <f t="shared" si="1730"/>
        <v>2.5931380000000002</v>
      </c>
      <c r="DL295" s="116">
        <f t="shared" si="1730"/>
        <v>2.5931380000000002</v>
      </c>
      <c r="DM295" s="116">
        <f t="shared" si="1730"/>
        <v>2.8201830000000001</v>
      </c>
      <c r="DN295" s="116">
        <v>2.82</v>
      </c>
      <c r="DO295" s="116">
        <f t="shared" si="1730"/>
        <v>2.917138</v>
      </c>
      <c r="DP295" s="116">
        <f t="shared" si="1730"/>
        <v>2.917138</v>
      </c>
      <c r="DQ295" s="243"/>
      <c r="DR295" s="243"/>
      <c r="DS295" s="243"/>
      <c r="DT295" s="243"/>
      <c r="DU295" s="243"/>
      <c r="DV295" s="243"/>
      <c r="DW295" s="243"/>
      <c r="DX295" s="243"/>
      <c r="DY295" s="243"/>
      <c r="DZ295" s="124"/>
      <c r="EA295" s="124"/>
      <c r="EB295" s="124"/>
      <c r="EC295" s="124"/>
      <c r="ED295" s="431"/>
      <c r="EE295" s="125"/>
      <c r="EF295" s="125"/>
      <c r="EG295" s="125"/>
      <c r="EH295" s="116">
        <f t="shared" si="1731"/>
        <v>1.3800000000019352E-4</v>
      </c>
      <c r="EI295" s="116">
        <f t="shared" si="1732"/>
        <v>9.6954999999999902E-2</v>
      </c>
      <c r="EJ295" s="116">
        <f t="shared" si="1733"/>
        <v>2.917138</v>
      </c>
      <c r="EK295" s="24">
        <f>$EK$1/12</f>
        <v>0.91666666666666663</v>
      </c>
      <c r="EL295" s="14">
        <f t="shared" si="1734"/>
        <v>1.037593984963861E-3</v>
      </c>
      <c r="EM295" s="14">
        <f t="shared" si="1734"/>
        <v>0.24299498746867143</v>
      </c>
      <c r="EN295" s="14">
        <f>EJ295/EG272</f>
        <v>1.8277807017543859</v>
      </c>
      <c r="EO295" s="46" t="str">
        <f>IF(EH295&lt;0,,IF(EH295&lt;EE272,"È",IF(EH295=EE272,"Æ","Ç")))</f>
        <v>È</v>
      </c>
      <c r="EP295" s="46" t="str">
        <f t="shared" si="1735"/>
        <v>È</v>
      </c>
      <c r="EQ295" s="2">
        <f t="shared" si="1736"/>
        <v>3</v>
      </c>
      <c r="ER295" s="2">
        <f t="shared" si="1737"/>
        <v>3</v>
      </c>
      <c r="ES295" s="2">
        <f t="shared" si="1738"/>
        <v>1</v>
      </c>
    </row>
    <row r="296" spans="1:149" ht="12.75" customHeight="1">
      <c r="A296" s="6" t="s">
        <v>23</v>
      </c>
      <c r="B296" s="2" t="s">
        <v>5</v>
      </c>
      <c r="C296" s="3" t="s">
        <v>61</v>
      </c>
      <c r="E296" s="3" t="s">
        <v>16</v>
      </c>
      <c r="G296" s="3" t="s">
        <v>91</v>
      </c>
      <c r="I296" s="23"/>
      <c r="J296" s="19">
        <v>7</v>
      </c>
      <c r="K296" s="19">
        <v>14</v>
      </c>
      <c r="L296" s="19">
        <v>21</v>
      </c>
      <c r="M296" s="19">
        <v>29</v>
      </c>
      <c r="N296" s="19">
        <v>41</v>
      </c>
      <c r="O296" s="19">
        <v>48</v>
      </c>
      <c r="P296" s="19">
        <v>64</v>
      </c>
      <c r="Q296" s="19">
        <v>75</v>
      </c>
      <c r="R296" s="19">
        <v>89</v>
      </c>
      <c r="S296" s="19">
        <v>101</v>
      </c>
      <c r="T296" s="19">
        <v>109</v>
      </c>
      <c r="U296" s="19">
        <v>114</v>
      </c>
      <c r="V296" s="31">
        <v>12</v>
      </c>
      <c r="W296" s="19">
        <v>19</v>
      </c>
      <c r="X296" s="19">
        <v>23</v>
      </c>
      <c r="Y296" s="346">
        <v>40</v>
      </c>
      <c r="Z296" s="19">
        <v>48</v>
      </c>
      <c r="AA296" s="19">
        <v>56</v>
      </c>
      <c r="AB296" s="19">
        <v>70</v>
      </c>
      <c r="AC296" s="19">
        <v>81</v>
      </c>
      <c r="AD296" s="19">
        <v>96</v>
      </c>
      <c r="AE296" s="19">
        <v>109</v>
      </c>
      <c r="AF296" s="19">
        <v>124</v>
      </c>
      <c r="AG296" s="19">
        <v>138</v>
      </c>
      <c r="AH296" s="31">
        <v>13</v>
      </c>
      <c r="AI296" s="19">
        <v>18</v>
      </c>
      <c r="AJ296" s="19"/>
      <c r="AK296" s="408"/>
      <c r="AL296" s="19">
        <f t="shared" ref="AL296:AL312" si="1766">J296</f>
        <v>7</v>
      </c>
      <c r="AM296" s="19">
        <f>K296-J296</f>
        <v>7</v>
      </c>
      <c r="AN296" s="19">
        <f t="shared" si="1719"/>
        <v>7</v>
      </c>
      <c r="AO296" s="19">
        <f>M296-L296</f>
        <v>8</v>
      </c>
      <c r="AP296" s="129">
        <f t="shared" si="1720"/>
        <v>12</v>
      </c>
      <c r="AQ296" s="129">
        <f t="shared" si="1721"/>
        <v>7</v>
      </c>
      <c r="AR296" s="129">
        <f t="shared" si="1722"/>
        <v>16</v>
      </c>
      <c r="AS296" s="129">
        <f t="shared" si="1723"/>
        <v>11</v>
      </c>
      <c r="AT296" s="129">
        <f t="shared" si="1724"/>
        <v>14</v>
      </c>
      <c r="AU296" s="129">
        <f t="shared" si="1725"/>
        <v>12</v>
      </c>
      <c r="AV296" s="129">
        <f t="shared" si="1726"/>
        <v>8</v>
      </c>
      <c r="AW296" s="129">
        <f>IF(U296&lt;&gt;"",U296-T296,0)</f>
        <v>5</v>
      </c>
      <c r="AX296" s="129">
        <f>IF(V296&lt;&gt;"",V296,0)</f>
        <v>12</v>
      </c>
      <c r="AY296" s="129">
        <f t="shared" ref="AY296:BL299" si="1767">IF(W296&lt;&gt;"",W296-V296,0)</f>
        <v>7</v>
      </c>
      <c r="AZ296" s="129">
        <f t="shared" si="1767"/>
        <v>4</v>
      </c>
      <c r="BA296" s="129">
        <f t="shared" si="1767"/>
        <v>17</v>
      </c>
      <c r="BB296" s="129">
        <f t="shared" si="1767"/>
        <v>8</v>
      </c>
      <c r="BC296" s="129">
        <f t="shared" si="1767"/>
        <v>8</v>
      </c>
      <c r="BD296" s="129">
        <f t="shared" si="1767"/>
        <v>14</v>
      </c>
      <c r="BE296" s="129">
        <f t="shared" si="1767"/>
        <v>11</v>
      </c>
      <c r="BF296" s="129">
        <f t="shared" si="1767"/>
        <v>15</v>
      </c>
      <c r="BG296" s="129">
        <f t="shared" si="1767"/>
        <v>13</v>
      </c>
      <c r="BH296" s="129">
        <f t="shared" si="1767"/>
        <v>15</v>
      </c>
      <c r="BI296" s="129">
        <f t="shared" si="1767"/>
        <v>14</v>
      </c>
      <c r="BJ296" s="129">
        <f>AH296</f>
        <v>13</v>
      </c>
      <c r="BK296" s="129">
        <f t="shared" si="1767"/>
        <v>5</v>
      </c>
      <c r="BL296" s="129">
        <f t="shared" si="1767"/>
        <v>0</v>
      </c>
      <c r="BM296" s="408"/>
      <c r="BN296" s="48">
        <f t="shared" si="1739"/>
        <v>21</v>
      </c>
      <c r="BO296" s="48">
        <f t="shared" si="1740"/>
        <v>21</v>
      </c>
      <c r="BP296" s="48">
        <f t="shared" si="1741"/>
        <v>21</v>
      </c>
      <c r="BQ296" s="48">
        <f t="shared" si="1742"/>
        <v>27</v>
      </c>
      <c r="BR296" s="48">
        <f t="shared" si="1743"/>
        <v>27</v>
      </c>
      <c r="BS296" s="48">
        <f t="shared" si="1744"/>
        <v>27</v>
      </c>
      <c r="BT296" s="48">
        <f t="shared" si="1745"/>
        <v>41</v>
      </c>
      <c r="BU296" s="48">
        <f t="shared" si="1746"/>
        <v>41</v>
      </c>
      <c r="BV296" s="48">
        <f t="shared" si="1747"/>
        <v>41</v>
      </c>
      <c r="BW296" s="48">
        <f t="shared" si="1748"/>
        <v>25</v>
      </c>
      <c r="BX296" s="48">
        <f t="shared" si="1749"/>
        <v>25</v>
      </c>
      <c r="BY296" s="48">
        <f t="shared" si="1750"/>
        <v>25</v>
      </c>
      <c r="BZ296" s="48">
        <f t="shared" si="1751"/>
        <v>23</v>
      </c>
      <c r="CA296" s="48">
        <f t="shared" si="1752"/>
        <v>23</v>
      </c>
      <c r="CB296" s="48">
        <f t="shared" si="1753"/>
        <v>23</v>
      </c>
      <c r="CC296" s="48">
        <f t="shared" si="1754"/>
        <v>33</v>
      </c>
      <c r="CD296" s="48">
        <f t="shared" si="1755"/>
        <v>33</v>
      </c>
      <c r="CE296" s="48">
        <f t="shared" si="1756"/>
        <v>33</v>
      </c>
      <c r="CF296" s="48">
        <f t="shared" si="1757"/>
        <v>40</v>
      </c>
      <c r="CG296" s="48">
        <f t="shared" si="1758"/>
        <v>40</v>
      </c>
      <c r="CH296" s="48">
        <f t="shared" si="1759"/>
        <v>40</v>
      </c>
      <c r="CI296" s="48">
        <f t="shared" si="1760"/>
        <v>42</v>
      </c>
      <c r="CJ296" s="48">
        <f t="shared" si="1761"/>
        <v>42</v>
      </c>
      <c r="CK296" s="48">
        <f t="shared" si="1762"/>
        <v>42</v>
      </c>
      <c r="CL296" s="48">
        <f t="shared" si="1763"/>
        <v>18</v>
      </c>
      <c r="CM296" s="48">
        <f t="shared" si="1764"/>
        <v>18</v>
      </c>
      <c r="CN296" s="48">
        <f t="shared" si="1765"/>
        <v>18</v>
      </c>
      <c r="CO296" s="406"/>
      <c r="CP296" s="21">
        <f>+AL296</f>
        <v>7</v>
      </c>
      <c r="CQ296" s="21">
        <f t="shared" ref="CQ296:DA296" si="1768">+CP296+AM296</f>
        <v>14</v>
      </c>
      <c r="CR296" s="21">
        <f t="shared" si="1768"/>
        <v>21</v>
      </c>
      <c r="CS296" s="21">
        <f t="shared" si="1768"/>
        <v>29</v>
      </c>
      <c r="CT296" s="21">
        <f t="shared" si="1768"/>
        <v>41</v>
      </c>
      <c r="CU296" s="21">
        <f t="shared" si="1768"/>
        <v>48</v>
      </c>
      <c r="CV296" s="21">
        <f t="shared" si="1768"/>
        <v>64</v>
      </c>
      <c r="CW296" s="21">
        <f t="shared" si="1768"/>
        <v>75</v>
      </c>
      <c r="CX296" s="21">
        <f t="shared" si="1768"/>
        <v>89</v>
      </c>
      <c r="CY296" s="21">
        <f t="shared" si="1768"/>
        <v>101</v>
      </c>
      <c r="CZ296" s="21">
        <f t="shared" si="1768"/>
        <v>109</v>
      </c>
      <c r="DA296" s="21">
        <f t="shared" si="1768"/>
        <v>114</v>
      </c>
      <c r="DB296" s="21">
        <f>AX296</f>
        <v>12</v>
      </c>
      <c r="DC296" s="21">
        <f t="shared" ref="DC296:DM296" si="1769">+DB296+AY296</f>
        <v>19</v>
      </c>
      <c r="DD296" s="21">
        <f t="shared" si="1769"/>
        <v>23</v>
      </c>
      <c r="DE296" s="21">
        <f t="shared" si="1769"/>
        <v>40</v>
      </c>
      <c r="DF296" s="21">
        <f t="shared" si="1769"/>
        <v>48</v>
      </c>
      <c r="DG296" s="21">
        <f t="shared" si="1769"/>
        <v>56</v>
      </c>
      <c r="DH296" s="21">
        <f t="shared" si="1769"/>
        <v>70</v>
      </c>
      <c r="DI296" s="21">
        <f t="shared" si="1769"/>
        <v>81</v>
      </c>
      <c r="DJ296" s="21">
        <f t="shared" si="1769"/>
        <v>96</v>
      </c>
      <c r="DK296" s="21">
        <f t="shared" si="1769"/>
        <v>109</v>
      </c>
      <c r="DL296" s="21">
        <f t="shared" si="1769"/>
        <v>124</v>
      </c>
      <c r="DM296" s="21">
        <f t="shared" si="1769"/>
        <v>138</v>
      </c>
      <c r="DN296" s="21">
        <f>+BJ296</f>
        <v>13</v>
      </c>
      <c r="DO296" s="21">
        <f>+DN296+BK296</f>
        <v>18</v>
      </c>
      <c r="DP296" s="21">
        <f>+DO296+BL296</f>
        <v>18</v>
      </c>
      <c r="DQ296" s="248"/>
      <c r="DR296" s="248"/>
      <c r="DS296" s="248"/>
      <c r="DT296" s="248"/>
      <c r="DU296" s="248"/>
      <c r="DV296" s="248"/>
      <c r="DW296" s="248"/>
      <c r="DX296" s="248"/>
      <c r="DY296" s="248"/>
      <c r="ED296" s="429"/>
      <c r="EE296" s="23"/>
      <c r="EF296" s="23"/>
      <c r="EG296" s="23"/>
      <c r="EH296" s="18">
        <f t="shared" si="1731"/>
        <v>5</v>
      </c>
      <c r="EI296" s="18">
        <f t="shared" si="1732"/>
        <v>18</v>
      </c>
      <c r="EJ296" s="18">
        <f t="shared" si="1733"/>
        <v>18</v>
      </c>
      <c r="EK296" s="24">
        <f>$EK$2/12</f>
        <v>0.16666666666666666</v>
      </c>
      <c r="EL296" s="14">
        <f t="shared" si="1734"/>
        <v>0.27272727272727276</v>
      </c>
      <c r="EM296" s="14">
        <f t="shared" si="1734"/>
        <v>0.65454545454545454</v>
      </c>
      <c r="EN296" s="14">
        <f>EJ296/EK296/EG273</f>
        <v>0.98181818181818181</v>
      </c>
      <c r="EO296" s="46" t="str">
        <f t="shared" si="1735"/>
        <v>È</v>
      </c>
      <c r="EP296" s="46" t="str">
        <f t="shared" si="1735"/>
        <v>È</v>
      </c>
      <c r="EQ296" s="2">
        <f t="shared" si="1736"/>
        <v>3</v>
      </c>
      <c r="ER296" s="2">
        <f t="shared" si="1737"/>
        <v>3</v>
      </c>
      <c r="ES296" s="2">
        <f t="shared" si="1738"/>
        <v>1</v>
      </c>
    </row>
    <row r="297" spans="1:149" ht="12.75" customHeight="1">
      <c r="A297" s="6" t="s">
        <v>23</v>
      </c>
      <c r="B297" s="2" t="s">
        <v>4</v>
      </c>
      <c r="C297" s="3" t="s">
        <v>62</v>
      </c>
      <c r="E297" s="3" t="s">
        <v>16</v>
      </c>
      <c r="G297" s="3" t="s">
        <v>91</v>
      </c>
      <c r="I297" s="23"/>
      <c r="J297" s="19">
        <v>3</v>
      </c>
      <c r="K297" s="19">
        <v>5</v>
      </c>
      <c r="L297" s="19">
        <v>8</v>
      </c>
      <c r="M297" s="19">
        <v>11</v>
      </c>
      <c r="N297" s="19">
        <v>19</v>
      </c>
      <c r="O297" s="19">
        <v>24</v>
      </c>
      <c r="P297" s="19">
        <v>34</v>
      </c>
      <c r="Q297" s="19">
        <v>41</v>
      </c>
      <c r="R297" s="19">
        <v>48</v>
      </c>
      <c r="S297" s="19">
        <v>49</v>
      </c>
      <c r="T297" s="19">
        <v>54</v>
      </c>
      <c r="U297" s="19">
        <v>55</v>
      </c>
      <c r="V297" s="31">
        <v>7</v>
      </c>
      <c r="W297" s="19">
        <v>10</v>
      </c>
      <c r="X297" s="19">
        <v>12</v>
      </c>
      <c r="Y297" s="346">
        <v>18</v>
      </c>
      <c r="Z297" s="19">
        <v>24</v>
      </c>
      <c r="AA297" s="19">
        <v>27</v>
      </c>
      <c r="AB297" s="19">
        <v>32</v>
      </c>
      <c r="AC297" s="19">
        <v>35</v>
      </c>
      <c r="AD297" s="19">
        <v>44</v>
      </c>
      <c r="AE297" s="19">
        <v>47</v>
      </c>
      <c r="AF297" s="19">
        <v>54</v>
      </c>
      <c r="AG297" s="19">
        <v>64</v>
      </c>
      <c r="AH297" s="31">
        <v>7</v>
      </c>
      <c r="AI297" s="19">
        <v>8</v>
      </c>
      <c r="AJ297" s="19"/>
      <c r="AK297" s="408"/>
      <c r="AL297" s="19">
        <f t="shared" si="1766"/>
        <v>3</v>
      </c>
      <c r="AM297" s="19">
        <f>K297-J297</f>
        <v>2</v>
      </c>
      <c r="AN297" s="19">
        <f t="shared" si="1719"/>
        <v>3</v>
      </c>
      <c r="AO297" s="19">
        <f>M297-L297</f>
        <v>3</v>
      </c>
      <c r="AP297" s="129">
        <f t="shared" si="1720"/>
        <v>8</v>
      </c>
      <c r="AQ297" s="129">
        <f t="shared" si="1721"/>
        <v>5</v>
      </c>
      <c r="AR297" s="129">
        <f t="shared" si="1722"/>
        <v>10</v>
      </c>
      <c r="AS297" s="129">
        <f t="shared" si="1723"/>
        <v>7</v>
      </c>
      <c r="AT297" s="129">
        <f t="shared" si="1724"/>
        <v>7</v>
      </c>
      <c r="AU297" s="129">
        <f t="shared" si="1725"/>
        <v>1</v>
      </c>
      <c r="AV297" s="129">
        <f t="shared" si="1726"/>
        <v>5</v>
      </c>
      <c r="AW297" s="129">
        <f>IF(U297&lt;&gt;"",U297-T297,0)</f>
        <v>1</v>
      </c>
      <c r="AX297" s="129">
        <f>IF(V297&lt;&gt;"",V297,0)</f>
        <v>7</v>
      </c>
      <c r="AY297" s="129">
        <f t="shared" si="1767"/>
        <v>3</v>
      </c>
      <c r="AZ297" s="129">
        <f t="shared" si="1767"/>
        <v>2</v>
      </c>
      <c r="BA297" s="129">
        <f t="shared" si="1767"/>
        <v>6</v>
      </c>
      <c r="BB297" s="129">
        <f t="shared" si="1767"/>
        <v>6</v>
      </c>
      <c r="BC297" s="129">
        <f t="shared" si="1767"/>
        <v>3</v>
      </c>
      <c r="BD297" s="129">
        <f t="shared" si="1767"/>
        <v>5</v>
      </c>
      <c r="BE297" s="129">
        <f t="shared" si="1767"/>
        <v>3</v>
      </c>
      <c r="BF297" s="129">
        <f t="shared" si="1767"/>
        <v>9</v>
      </c>
      <c r="BG297" s="129">
        <f t="shared" si="1767"/>
        <v>3</v>
      </c>
      <c r="BH297" s="129">
        <f t="shared" si="1767"/>
        <v>7</v>
      </c>
      <c r="BI297" s="129">
        <f t="shared" si="1767"/>
        <v>10</v>
      </c>
      <c r="BJ297" s="129">
        <f>AH297</f>
        <v>7</v>
      </c>
      <c r="BK297" s="129">
        <f t="shared" si="1767"/>
        <v>1</v>
      </c>
      <c r="BL297" s="129">
        <f t="shared" si="1767"/>
        <v>0</v>
      </c>
      <c r="BM297" s="408"/>
      <c r="BN297" s="48">
        <f t="shared" si="1739"/>
        <v>8</v>
      </c>
      <c r="BO297" s="48">
        <f t="shared" si="1740"/>
        <v>8</v>
      </c>
      <c r="BP297" s="48">
        <f t="shared" si="1741"/>
        <v>8</v>
      </c>
      <c r="BQ297" s="48">
        <f t="shared" si="1742"/>
        <v>16</v>
      </c>
      <c r="BR297" s="48">
        <f t="shared" si="1743"/>
        <v>16</v>
      </c>
      <c r="BS297" s="48">
        <f t="shared" si="1744"/>
        <v>16</v>
      </c>
      <c r="BT297" s="48">
        <f t="shared" si="1745"/>
        <v>24</v>
      </c>
      <c r="BU297" s="48">
        <f t="shared" si="1746"/>
        <v>24</v>
      </c>
      <c r="BV297" s="48">
        <f t="shared" si="1747"/>
        <v>24</v>
      </c>
      <c r="BW297" s="48">
        <f t="shared" si="1748"/>
        <v>7</v>
      </c>
      <c r="BX297" s="48">
        <f t="shared" si="1749"/>
        <v>7</v>
      </c>
      <c r="BY297" s="48">
        <f t="shared" si="1750"/>
        <v>7</v>
      </c>
      <c r="BZ297" s="48">
        <f t="shared" si="1751"/>
        <v>12</v>
      </c>
      <c r="CA297" s="48">
        <f t="shared" si="1752"/>
        <v>12</v>
      </c>
      <c r="CB297" s="48">
        <f t="shared" si="1753"/>
        <v>12</v>
      </c>
      <c r="CC297" s="48">
        <f t="shared" si="1754"/>
        <v>15</v>
      </c>
      <c r="CD297" s="48">
        <f t="shared" si="1755"/>
        <v>15</v>
      </c>
      <c r="CE297" s="48">
        <f t="shared" si="1756"/>
        <v>15</v>
      </c>
      <c r="CF297" s="48">
        <f t="shared" si="1757"/>
        <v>17</v>
      </c>
      <c r="CG297" s="48">
        <f t="shared" si="1758"/>
        <v>17</v>
      </c>
      <c r="CH297" s="48">
        <f t="shared" si="1759"/>
        <v>17</v>
      </c>
      <c r="CI297" s="48">
        <f t="shared" si="1760"/>
        <v>20</v>
      </c>
      <c r="CJ297" s="48">
        <f t="shared" si="1761"/>
        <v>20</v>
      </c>
      <c r="CK297" s="48">
        <f t="shared" si="1762"/>
        <v>20</v>
      </c>
      <c r="CL297" s="48">
        <f t="shared" si="1763"/>
        <v>8</v>
      </c>
      <c r="CM297" s="48">
        <f t="shared" si="1764"/>
        <v>8</v>
      </c>
      <c r="CN297" s="48">
        <f t="shared" si="1765"/>
        <v>8</v>
      </c>
      <c r="CO297" s="406"/>
      <c r="CP297" s="21">
        <f>+AL297</f>
        <v>3</v>
      </c>
      <c r="CQ297" s="21">
        <f t="shared" ref="CQ297:CR299" si="1770">+CP297+AM297</f>
        <v>5</v>
      </c>
      <c r="CR297" s="21">
        <f t="shared" si="1770"/>
        <v>8</v>
      </c>
      <c r="CS297" s="21">
        <f t="shared" ref="CS297:DA299" si="1771">L297+AO297</f>
        <v>11</v>
      </c>
      <c r="CT297" s="21">
        <f t="shared" si="1771"/>
        <v>19</v>
      </c>
      <c r="CU297" s="21">
        <f t="shared" si="1771"/>
        <v>24</v>
      </c>
      <c r="CV297" s="21">
        <f t="shared" si="1771"/>
        <v>34</v>
      </c>
      <c r="CW297" s="21">
        <f t="shared" si="1771"/>
        <v>41</v>
      </c>
      <c r="CX297" s="21">
        <f t="shared" si="1771"/>
        <v>48</v>
      </c>
      <c r="CY297" s="21">
        <f t="shared" si="1771"/>
        <v>49</v>
      </c>
      <c r="CZ297" s="21">
        <f t="shared" si="1771"/>
        <v>54</v>
      </c>
      <c r="DA297" s="21">
        <f t="shared" si="1771"/>
        <v>55</v>
      </c>
      <c r="DB297" s="21">
        <f>AX297</f>
        <v>7</v>
      </c>
      <c r="DC297" s="21">
        <f t="shared" ref="DC297:DM299" si="1772">V297+AY297</f>
        <v>10</v>
      </c>
      <c r="DD297" s="21">
        <f t="shared" si="1772"/>
        <v>12</v>
      </c>
      <c r="DE297" s="21">
        <f t="shared" si="1772"/>
        <v>18</v>
      </c>
      <c r="DF297" s="21">
        <f t="shared" si="1772"/>
        <v>24</v>
      </c>
      <c r="DG297" s="21">
        <f t="shared" si="1772"/>
        <v>27</v>
      </c>
      <c r="DH297" s="21">
        <f t="shared" si="1772"/>
        <v>32</v>
      </c>
      <c r="DI297" s="21">
        <f t="shared" si="1772"/>
        <v>35</v>
      </c>
      <c r="DJ297" s="21">
        <f t="shared" si="1772"/>
        <v>44</v>
      </c>
      <c r="DK297" s="21">
        <f t="shared" si="1772"/>
        <v>47</v>
      </c>
      <c r="DL297" s="21">
        <f t="shared" si="1772"/>
        <v>54</v>
      </c>
      <c r="DM297" s="21">
        <f t="shared" si="1772"/>
        <v>64</v>
      </c>
      <c r="DN297" s="21">
        <f>BJ297</f>
        <v>7</v>
      </c>
      <c r="DO297" s="21">
        <f t="shared" ref="DO297:DP299" si="1773">AH297+BK297</f>
        <v>8</v>
      </c>
      <c r="DP297" s="21">
        <f t="shared" si="1773"/>
        <v>8</v>
      </c>
      <c r="DQ297" s="248"/>
      <c r="DR297" s="248"/>
      <c r="DS297" s="248"/>
      <c r="DT297" s="248"/>
      <c r="DU297" s="248"/>
      <c r="DV297" s="248"/>
      <c r="DW297" s="248"/>
      <c r="DX297" s="248"/>
      <c r="DY297" s="248"/>
      <c r="ED297" s="429"/>
      <c r="EE297" s="23"/>
      <c r="EF297" s="23"/>
      <c r="EG297" s="23"/>
      <c r="EH297" s="18">
        <f t="shared" si="1731"/>
        <v>1</v>
      </c>
      <c r="EI297" s="18">
        <f t="shared" si="1732"/>
        <v>8</v>
      </c>
      <c r="EJ297" s="18">
        <f t="shared" si="1733"/>
        <v>8</v>
      </c>
      <c r="EK297" s="24">
        <f t="shared" ref="EK297:EK313" si="1774">$EK$2/12</f>
        <v>0.16666666666666666</v>
      </c>
      <c r="EL297" s="14">
        <f t="shared" si="1734"/>
        <v>0.1090909090909091</v>
      </c>
      <c r="EM297" s="14">
        <f t="shared" si="1734"/>
        <v>0.58181818181818179</v>
      </c>
      <c r="EN297" s="14">
        <f>EJ297/EK297/EG274</f>
        <v>0.87272727272727268</v>
      </c>
      <c r="EO297" s="46" t="str">
        <f t="shared" si="1735"/>
        <v>È</v>
      </c>
      <c r="EP297" s="46" t="str">
        <f t="shared" si="1735"/>
        <v>È</v>
      </c>
      <c r="EQ297" s="2">
        <f t="shared" si="1736"/>
        <v>3</v>
      </c>
      <c r="ER297" s="2">
        <f t="shared" si="1737"/>
        <v>3</v>
      </c>
      <c r="ES297" s="2">
        <f t="shared" si="1738"/>
        <v>2</v>
      </c>
    </row>
    <row r="298" spans="1:149" ht="12" customHeight="1">
      <c r="A298" s="6" t="s">
        <v>23</v>
      </c>
      <c r="B298" s="2" t="s">
        <v>162</v>
      </c>
      <c r="C298" s="3" t="s">
        <v>62</v>
      </c>
      <c r="E298" s="3" t="s">
        <v>16</v>
      </c>
      <c r="G298" s="3" t="s">
        <v>91</v>
      </c>
      <c r="I298" s="23"/>
      <c r="J298" s="19">
        <v>25</v>
      </c>
      <c r="K298" s="19">
        <v>38</v>
      </c>
      <c r="L298" s="19">
        <v>49</v>
      </c>
      <c r="M298" s="19">
        <v>64</v>
      </c>
      <c r="N298" s="19">
        <v>77</v>
      </c>
      <c r="O298" s="19">
        <v>85</v>
      </c>
      <c r="P298" s="19">
        <v>105</v>
      </c>
      <c r="Q298" s="19">
        <v>117</v>
      </c>
      <c r="R298" s="19">
        <v>134</v>
      </c>
      <c r="S298" s="19">
        <v>149</v>
      </c>
      <c r="T298" s="19">
        <v>157</v>
      </c>
      <c r="U298" s="19">
        <v>163</v>
      </c>
      <c r="V298" s="31">
        <v>21</v>
      </c>
      <c r="W298" s="19">
        <v>31</v>
      </c>
      <c r="X298" s="19">
        <v>40</v>
      </c>
      <c r="Y298" s="346">
        <v>60</v>
      </c>
      <c r="Z298" s="19">
        <v>73</v>
      </c>
      <c r="AA298" s="19">
        <v>82</v>
      </c>
      <c r="AB298" s="19">
        <v>97</v>
      </c>
      <c r="AC298" s="19">
        <v>110</v>
      </c>
      <c r="AD298" s="19">
        <v>127</v>
      </c>
      <c r="AE298" s="19">
        <v>141</v>
      </c>
      <c r="AF298" s="19">
        <v>158</v>
      </c>
      <c r="AG298" s="19">
        <v>174</v>
      </c>
      <c r="AH298" s="31">
        <v>26</v>
      </c>
      <c r="AI298" s="19">
        <v>36</v>
      </c>
      <c r="AJ298" s="19"/>
      <c r="AK298" s="408"/>
      <c r="AL298" s="19">
        <f t="shared" si="1766"/>
        <v>25</v>
      </c>
      <c r="AM298" s="19">
        <f>K298-J298</f>
        <v>13</v>
      </c>
      <c r="AN298" s="19">
        <f t="shared" si="1719"/>
        <v>11</v>
      </c>
      <c r="AO298" s="19">
        <f>M298-L298</f>
        <v>15</v>
      </c>
      <c r="AP298" s="129">
        <f t="shared" si="1720"/>
        <v>13</v>
      </c>
      <c r="AQ298" s="129">
        <f t="shared" si="1721"/>
        <v>8</v>
      </c>
      <c r="AR298" s="129">
        <f t="shared" si="1722"/>
        <v>20</v>
      </c>
      <c r="AS298" s="129">
        <f t="shared" si="1723"/>
        <v>12</v>
      </c>
      <c r="AT298" s="129">
        <f t="shared" si="1724"/>
        <v>17</v>
      </c>
      <c r="AU298" s="129">
        <f t="shared" si="1725"/>
        <v>15</v>
      </c>
      <c r="AV298" s="129">
        <f t="shared" si="1726"/>
        <v>8</v>
      </c>
      <c r="AW298" s="129">
        <f>IF(U298&lt;&gt;"",U298-T298,0)</f>
        <v>6</v>
      </c>
      <c r="AX298" s="129">
        <f>IF(V298&lt;&gt;"",V298,0)</f>
        <v>21</v>
      </c>
      <c r="AY298" s="129">
        <f t="shared" si="1767"/>
        <v>10</v>
      </c>
      <c r="AZ298" s="129">
        <f t="shared" si="1767"/>
        <v>9</v>
      </c>
      <c r="BA298" s="129">
        <f t="shared" si="1767"/>
        <v>20</v>
      </c>
      <c r="BB298" s="129">
        <f t="shared" si="1767"/>
        <v>13</v>
      </c>
      <c r="BC298" s="129">
        <f t="shared" si="1767"/>
        <v>9</v>
      </c>
      <c r="BD298" s="129">
        <f t="shared" si="1767"/>
        <v>15</v>
      </c>
      <c r="BE298" s="129">
        <f t="shared" si="1767"/>
        <v>13</v>
      </c>
      <c r="BF298" s="129">
        <f t="shared" si="1767"/>
        <v>17</v>
      </c>
      <c r="BG298" s="129">
        <f t="shared" si="1767"/>
        <v>14</v>
      </c>
      <c r="BH298" s="129">
        <f t="shared" si="1767"/>
        <v>17</v>
      </c>
      <c r="BI298" s="129">
        <f t="shared" si="1767"/>
        <v>16</v>
      </c>
      <c r="BJ298" s="129">
        <f>AH298</f>
        <v>26</v>
      </c>
      <c r="BK298" s="129">
        <f t="shared" si="1767"/>
        <v>10</v>
      </c>
      <c r="BL298" s="129">
        <f t="shared" si="1767"/>
        <v>0</v>
      </c>
      <c r="BM298" s="408"/>
      <c r="BN298" s="48">
        <f t="shared" si="1739"/>
        <v>49</v>
      </c>
      <c r="BO298" s="48">
        <f t="shared" si="1740"/>
        <v>49</v>
      </c>
      <c r="BP298" s="48">
        <f>SUM(AL298:AN298)</f>
        <v>49</v>
      </c>
      <c r="BQ298" s="48">
        <f t="shared" si="1742"/>
        <v>36</v>
      </c>
      <c r="BR298" s="48">
        <f t="shared" si="1743"/>
        <v>36</v>
      </c>
      <c r="BS298" s="48">
        <f>SUM(AO298:AQ298)</f>
        <v>36</v>
      </c>
      <c r="BT298" s="48">
        <f t="shared" si="1745"/>
        <v>49</v>
      </c>
      <c r="BU298" s="48">
        <f t="shared" si="1746"/>
        <v>49</v>
      </c>
      <c r="BV298" s="48">
        <f>SUM(AR298:AT298)</f>
        <v>49</v>
      </c>
      <c r="BW298" s="48">
        <f t="shared" si="1748"/>
        <v>29</v>
      </c>
      <c r="BX298" s="48">
        <f t="shared" si="1749"/>
        <v>29</v>
      </c>
      <c r="BY298" s="48">
        <f>SUM(AU298:AW298)</f>
        <v>29</v>
      </c>
      <c r="BZ298" s="48">
        <f t="shared" si="1751"/>
        <v>40</v>
      </c>
      <c r="CA298" s="48">
        <f t="shared" si="1752"/>
        <v>40</v>
      </c>
      <c r="CB298" s="48">
        <f>SUM(AX298:AZ298)</f>
        <v>40</v>
      </c>
      <c r="CC298" s="48">
        <f t="shared" si="1754"/>
        <v>42</v>
      </c>
      <c r="CD298" s="48">
        <f t="shared" si="1755"/>
        <v>42</v>
      </c>
      <c r="CE298" s="48">
        <f>SUM(BA298:BC298)</f>
        <v>42</v>
      </c>
      <c r="CF298" s="48">
        <f t="shared" si="1757"/>
        <v>45</v>
      </c>
      <c r="CG298" s="48">
        <f t="shared" si="1758"/>
        <v>45</v>
      </c>
      <c r="CH298" s="48">
        <f>SUM(BD298:BF298)</f>
        <v>45</v>
      </c>
      <c r="CI298" s="48">
        <f t="shared" si="1760"/>
        <v>47</v>
      </c>
      <c r="CJ298" s="48">
        <f t="shared" si="1761"/>
        <v>47</v>
      </c>
      <c r="CK298" s="48">
        <f>SUM(BG298:BI298)</f>
        <v>47</v>
      </c>
      <c r="CL298" s="48">
        <f t="shared" si="1763"/>
        <v>36</v>
      </c>
      <c r="CM298" s="48">
        <f t="shared" si="1764"/>
        <v>36</v>
      </c>
      <c r="CN298" s="48">
        <f>SUM(BJ298:BL298)</f>
        <v>36</v>
      </c>
      <c r="CO298" s="406"/>
      <c r="CP298" s="21">
        <f>+AL298</f>
        <v>25</v>
      </c>
      <c r="CQ298" s="21">
        <f t="shared" si="1770"/>
        <v>38</v>
      </c>
      <c r="CR298" s="21">
        <f t="shared" si="1770"/>
        <v>49</v>
      </c>
      <c r="CS298" s="21">
        <f t="shared" si="1771"/>
        <v>64</v>
      </c>
      <c r="CT298" s="21">
        <f t="shared" si="1771"/>
        <v>77</v>
      </c>
      <c r="CU298" s="21">
        <f t="shared" si="1771"/>
        <v>85</v>
      </c>
      <c r="CV298" s="21">
        <f t="shared" si="1771"/>
        <v>105</v>
      </c>
      <c r="CW298" s="21">
        <f t="shared" si="1771"/>
        <v>117</v>
      </c>
      <c r="CX298" s="21">
        <f t="shared" si="1771"/>
        <v>134</v>
      </c>
      <c r="CY298" s="21">
        <f t="shared" si="1771"/>
        <v>149</v>
      </c>
      <c r="CZ298" s="21">
        <f t="shared" si="1771"/>
        <v>157</v>
      </c>
      <c r="DA298" s="21">
        <f t="shared" si="1771"/>
        <v>163</v>
      </c>
      <c r="DB298" s="21">
        <f>AX298</f>
        <v>21</v>
      </c>
      <c r="DC298" s="21">
        <f t="shared" si="1772"/>
        <v>31</v>
      </c>
      <c r="DD298" s="21">
        <f t="shared" si="1772"/>
        <v>40</v>
      </c>
      <c r="DE298" s="21">
        <f t="shared" si="1772"/>
        <v>60</v>
      </c>
      <c r="DF298" s="21">
        <f t="shared" si="1772"/>
        <v>73</v>
      </c>
      <c r="DG298" s="21">
        <f t="shared" si="1772"/>
        <v>82</v>
      </c>
      <c r="DH298" s="21">
        <f t="shared" si="1772"/>
        <v>97</v>
      </c>
      <c r="DI298" s="21">
        <f t="shared" si="1772"/>
        <v>110</v>
      </c>
      <c r="DJ298" s="21">
        <f t="shared" si="1772"/>
        <v>127</v>
      </c>
      <c r="DK298" s="21">
        <f t="shared" si="1772"/>
        <v>141</v>
      </c>
      <c r="DL298" s="21">
        <f t="shared" si="1772"/>
        <v>158</v>
      </c>
      <c r="DM298" s="21">
        <f t="shared" si="1772"/>
        <v>174</v>
      </c>
      <c r="DN298" s="21">
        <f>BJ298</f>
        <v>26</v>
      </c>
      <c r="DO298" s="21">
        <f t="shared" si="1773"/>
        <v>36</v>
      </c>
      <c r="DP298" s="21">
        <f t="shared" si="1773"/>
        <v>36</v>
      </c>
      <c r="DQ298" s="248"/>
      <c r="DR298" s="248"/>
      <c r="DS298" s="248"/>
      <c r="DT298" s="248"/>
      <c r="DU298" s="248"/>
      <c r="DV298" s="248"/>
      <c r="DW298" s="248"/>
      <c r="DX298" s="248"/>
      <c r="DY298" s="248"/>
      <c r="ED298" s="429"/>
      <c r="EE298" s="23"/>
      <c r="EF298" s="23"/>
      <c r="EG298" s="23"/>
      <c r="EH298" s="18">
        <f t="shared" si="1731"/>
        <v>10</v>
      </c>
      <c r="EI298" s="18">
        <f t="shared" si="1732"/>
        <v>36</v>
      </c>
      <c r="EJ298" s="18">
        <f t="shared" si="1733"/>
        <v>36</v>
      </c>
      <c r="EK298" s="24">
        <f t="shared" si="1774"/>
        <v>0.16666666666666666</v>
      </c>
      <c r="EL298" s="14"/>
      <c r="EM298" s="14"/>
      <c r="EN298" s="14"/>
      <c r="EO298" s="46" t="str">
        <f>IF(EH298&lt;0,,IF(EH298&lt;EE276,"È",IF(EH298=EE276,"Æ","Ç")))</f>
        <v>Ç</v>
      </c>
      <c r="EP298" s="46" t="str">
        <f>IF(EI298&lt;0,,IF(EI298&lt;EF276,"È",IF(EI298=EF276,"Æ","Ç")))</f>
        <v>Ç</v>
      </c>
      <c r="EQ298" s="2">
        <f t="shared" si="1736"/>
        <v>3</v>
      </c>
      <c r="ER298" s="2">
        <f t="shared" si="1737"/>
        <v>3</v>
      </c>
      <c r="ES298" s="2">
        <f t="shared" si="1738"/>
        <v>3</v>
      </c>
    </row>
    <row r="299" spans="1:149" ht="12.75" customHeight="1">
      <c r="A299" s="6" t="s">
        <v>23</v>
      </c>
      <c r="B299" s="2" t="s">
        <v>163</v>
      </c>
      <c r="C299" s="3" t="s">
        <v>62</v>
      </c>
      <c r="E299" s="3" t="s">
        <v>16</v>
      </c>
      <c r="G299" s="3" t="s">
        <v>91</v>
      </c>
      <c r="I299" s="23"/>
      <c r="J299" s="19">
        <v>10</v>
      </c>
      <c r="K299" s="19">
        <v>20</v>
      </c>
      <c r="L299" s="19">
        <v>23</v>
      </c>
      <c r="M299" s="19">
        <v>33</v>
      </c>
      <c r="N299" s="19">
        <v>36</v>
      </c>
      <c r="O299" s="19">
        <v>38</v>
      </c>
      <c r="P299" s="19">
        <v>47</v>
      </c>
      <c r="Q299" s="19">
        <v>51</v>
      </c>
      <c r="R299" s="19">
        <v>57</v>
      </c>
      <c r="S299" s="19">
        <v>60</v>
      </c>
      <c r="T299" s="19">
        <v>61</v>
      </c>
      <c r="U299" s="19">
        <v>64</v>
      </c>
      <c r="V299" s="31">
        <v>7</v>
      </c>
      <c r="W299" s="19">
        <v>11</v>
      </c>
      <c r="X299" s="19">
        <v>18</v>
      </c>
      <c r="Y299" s="346">
        <v>21</v>
      </c>
      <c r="Z299" s="19">
        <v>24</v>
      </c>
      <c r="AA299" s="19">
        <v>27</v>
      </c>
      <c r="AB299" s="19">
        <v>29</v>
      </c>
      <c r="AC299" s="19">
        <v>31</v>
      </c>
      <c r="AD299" s="19">
        <v>32</v>
      </c>
      <c r="AE299" s="19">
        <v>35</v>
      </c>
      <c r="AF299" s="19">
        <v>41</v>
      </c>
      <c r="AG299" s="19">
        <v>42</v>
      </c>
      <c r="AH299" s="31">
        <v>13</v>
      </c>
      <c r="AI299" s="19">
        <v>17</v>
      </c>
      <c r="AJ299" s="19"/>
      <c r="AK299" s="408"/>
      <c r="AL299" s="19">
        <f t="shared" si="1766"/>
        <v>10</v>
      </c>
      <c r="AM299" s="19">
        <f>K299-J299</f>
        <v>10</v>
      </c>
      <c r="AN299" s="19">
        <f t="shared" si="1719"/>
        <v>3</v>
      </c>
      <c r="AO299" s="19">
        <f>M299-L299</f>
        <v>10</v>
      </c>
      <c r="AP299" s="129">
        <f t="shared" si="1720"/>
        <v>3</v>
      </c>
      <c r="AQ299" s="129">
        <f t="shared" si="1721"/>
        <v>2</v>
      </c>
      <c r="AR299" s="129">
        <f t="shared" si="1722"/>
        <v>9</v>
      </c>
      <c r="AS299" s="129">
        <f t="shared" si="1723"/>
        <v>4</v>
      </c>
      <c r="AT299" s="129">
        <f t="shared" si="1724"/>
        <v>6</v>
      </c>
      <c r="AU299" s="129">
        <f t="shared" si="1725"/>
        <v>3</v>
      </c>
      <c r="AV299" s="129">
        <f t="shared" si="1726"/>
        <v>1</v>
      </c>
      <c r="AW299" s="129">
        <f>IF(U299&lt;&gt;"",U299-T299,0)</f>
        <v>3</v>
      </c>
      <c r="AX299" s="129">
        <f>IF(V299&lt;&gt;"",V299,0)</f>
        <v>7</v>
      </c>
      <c r="AY299" s="129">
        <f t="shared" si="1767"/>
        <v>4</v>
      </c>
      <c r="AZ299" s="129">
        <f t="shared" si="1767"/>
        <v>7</v>
      </c>
      <c r="BA299" s="129">
        <f t="shared" si="1767"/>
        <v>3</v>
      </c>
      <c r="BB299" s="129">
        <f t="shared" si="1767"/>
        <v>3</v>
      </c>
      <c r="BC299" s="129">
        <f t="shared" si="1767"/>
        <v>3</v>
      </c>
      <c r="BD299" s="129">
        <f t="shared" si="1767"/>
        <v>2</v>
      </c>
      <c r="BE299" s="129">
        <f t="shared" si="1767"/>
        <v>2</v>
      </c>
      <c r="BF299" s="129">
        <f t="shared" si="1767"/>
        <v>1</v>
      </c>
      <c r="BG299" s="129">
        <f t="shared" si="1767"/>
        <v>3</v>
      </c>
      <c r="BH299" s="129">
        <f t="shared" si="1767"/>
        <v>6</v>
      </c>
      <c r="BI299" s="129">
        <f t="shared" si="1767"/>
        <v>1</v>
      </c>
      <c r="BJ299" s="129">
        <f>IF(AH299&lt;&gt;"",AH299-AG299,0)</f>
        <v>-29</v>
      </c>
      <c r="BK299" s="129">
        <f t="shared" si="1767"/>
        <v>4</v>
      </c>
      <c r="BL299" s="129">
        <f t="shared" si="1767"/>
        <v>0</v>
      </c>
      <c r="BM299" s="408"/>
      <c r="BN299" s="48">
        <f t="shared" si="1739"/>
        <v>23</v>
      </c>
      <c r="BO299" s="48">
        <f t="shared" si="1740"/>
        <v>23</v>
      </c>
      <c r="BP299" s="48">
        <f>SUM(AL299:AN299)</f>
        <v>23</v>
      </c>
      <c r="BQ299" s="48">
        <f t="shared" si="1742"/>
        <v>15</v>
      </c>
      <c r="BR299" s="48">
        <f t="shared" si="1743"/>
        <v>15</v>
      </c>
      <c r="BS299" s="48">
        <f>SUM(AO299:AQ299)</f>
        <v>15</v>
      </c>
      <c r="BT299" s="48">
        <f t="shared" si="1745"/>
        <v>19</v>
      </c>
      <c r="BU299" s="48">
        <f t="shared" si="1746"/>
        <v>19</v>
      </c>
      <c r="BV299" s="48">
        <f>SUM(AR299:AT299)</f>
        <v>19</v>
      </c>
      <c r="BW299" s="48">
        <f t="shared" si="1748"/>
        <v>7</v>
      </c>
      <c r="BX299" s="48">
        <f t="shared" si="1749"/>
        <v>7</v>
      </c>
      <c r="BY299" s="48">
        <f>SUM(AU299:AW299)</f>
        <v>7</v>
      </c>
      <c r="BZ299" s="48">
        <f t="shared" si="1751"/>
        <v>18</v>
      </c>
      <c r="CA299" s="48">
        <f t="shared" si="1752"/>
        <v>18</v>
      </c>
      <c r="CB299" s="48">
        <f>SUM(AX299:AZ299)</f>
        <v>18</v>
      </c>
      <c r="CC299" s="48">
        <f t="shared" si="1754"/>
        <v>9</v>
      </c>
      <c r="CD299" s="48">
        <f t="shared" si="1755"/>
        <v>9</v>
      </c>
      <c r="CE299" s="48">
        <f>SUM(BA299:BC299)</f>
        <v>9</v>
      </c>
      <c r="CF299" s="48">
        <f t="shared" si="1757"/>
        <v>5</v>
      </c>
      <c r="CG299" s="48">
        <f t="shared" si="1758"/>
        <v>5</v>
      </c>
      <c r="CH299" s="48">
        <f>SUM(BD299:BF299)</f>
        <v>5</v>
      </c>
      <c r="CI299" s="48">
        <f t="shared" si="1760"/>
        <v>10</v>
      </c>
      <c r="CJ299" s="48">
        <f t="shared" si="1761"/>
        <v>10</v>
      </c>
      <c r="CK299" s="48">
        <f>SUM(BG299:BI299)</f>
        <v>10</v>
      </c>
      <c r="CL299" s="48">
        <f t="shared" si="1763"/>
        <v>-25</v>
      </c>
      <c r="CM299" s="48">
        <f t="shared" si="1764"/>
        <v>-25</v>
      </c>
      <c r="CN299" s="48">
        <f>SUM(BJ299:BL299)</f>
        <v>-25</v>
      </c>
      <c r="CO299" s="406"/>
      <c r="CP299" s="21">
        <f>+AL299</f>
        <v>10</v>
      </c>
      <c r="CQ299" s="21">
        <f t="shared" si="1770"/>
        <v>20</v>
      </c>
      <c r="CR299" s="21">
        <f t="shared" si="1770"/>
        <v>23</v>
      </c>
      <c r="CS299" s="21">
        <f t="shared" si="1771"/>
        <v>33</v>
      </c>
      <c r="CT299" s="21">
        <f t="shared" si="1771"/>
        <v>36</v>
      </c>
      <c r="CU299" s="21">
        <f t="shared" si="1771"/>
        <v>38</v>
      </c>
      <c r="CV299" s="21">
        <f t="shared" si="1771"/>
        <v>47</v>
      </c>
      <c r="CW299" s="21">
        <f t="shared" si="1771"/>
        <v>51</v>
      </c>
      <c r="CX299" s="21">
        <f t="shared" si="1771"/>
        <v>57</v>
      </c>
      <c r="CY299" s="21">
        <f t="shared" si="1771"/>
        <v>60</v>
      </c>
      <c r="CZ299" s="21">
        <f t="shared" si="1771"/>
        <v>61</v>
      </c>
      <c r="DA299" s="21">
        <f t="shared" si="1771"/>
        <v>64</v>
      </c>
      <c r="DB299" s="21">
        <f>AX299</f>
        <v>7</v>
      </c>
      <c r="DC299" s="21">
        <f t="shared" si="1772"/>
        <v>11</v>
      </c>
      <c r="DD299" s="21">
        <f t="shared" si="1772"/>
        <v>18</v>
      </c>
      <c r="DE299" s="21">
        <f t="shared" si="1772"/>
        <v>21</v>
      </c>
      <c r="DF299" s="21">
        <f t="shared" si="1772"/>
        <v>24</v>
      </c>
      <c r="DG299" s="21">
        <f t="shared" si="1772"/>
        <v>27</v>
      </c>
      <c r="DH299" s="21">
        <f t="shared" si="1772"/>
        <v>29</v>
      </c>
      <c r="DI299" s="21">
        <f t="shared" si="1772"/>
        <v>31</v>
      </c>
      <c r="DJ299" s="21">
        <f t="shared" si="1772"/>
        <v>32</v>
      </c>
      <c r="DK299" s="21">
        <f t="shared" si="1772"/>
        <v>35</v>
      </c>
      <c r="DL299" s="21">
        <f t="shared" si="1772"/>
        <v>41</v>
      </c>
      <c r="DM299" s="21">
        <f t="shared" si="1772"/>
        <v>42</v>
      </c>
      <c r="DN299" s="21">
        <f>BJ299</f>
        <v>-29</v>
      </c>
      <c r="DO299" s="21">
        <f t="shared" si="1773"/>
        <v>17</v>
      </c>
      <c r="DP299" s="21">
        <f t="shared" si="1773"/>
        <v>17</v>
      </c>
      <c r="DQ299" s="248"/>
      <c r="DR299" s="248"/>
      <c r="DS299" s="248"/>
      <c r="DT299" s="248"/>
      <c r="DU299" s="248"/>
      <c r="DV299" s="248"/>
      <c r="DW299" s="248"/>
      <c r="DX299" s="248"/>
      <c r="DY299" s="248"/>
      <c r="ED299" s="429"/>
      <c r="EE299" s="23"/>
      <c r="EF299" s="23"/>
      <c r="EG299" s="23"/>
      <c r="EH299" s="18">
        <f t="shared" si="1731"/>
        <v>4</v>
      </c>
      <c r="EI299" s="18">
        <f t="shared" si="1732"/>
        <v>-25</v>
      </c>
      <c r="EJ299" s="18">
        <f t="shared" si="1733"/>
        <v>17</v>
      </c>
      <c r="EK299" s="24">
        <f t="shared" si="1774"/>
        <v>0.16666666666666666</v>
      </c>
      <c r="EL299" s="14"/>
      <c r="EM299" s="14"/>
      <c r="EN299" s="14"/>
      <c r="EO299" s="46" t="str">
        <f>IF(EH299&lt;0,,IF(EH299&lt;EE275,"È",IF(EH299=EE275,"Æ","Ç")))</f>
        <v>Ç</v>
      </c>
      <c r="EP299" s="46">
        <f>IF(EI299&lt;0,,IF(EI299&lt;EF275,"È",IF(EI299=EF275,"Æ","Ç")))</f>
        <v>0</v>
      </c>
      <c r="EQ299" s="2">
        <f t="shared" si="1736"/>
        <v>3</v>
      </c>
      <c r="ER299" s="2">
        <f t="shared" si="1737"/>
        <v>3</v>
      </c>
      <c r="ES299" s="2">
        <f t="shared" si="1738"/>
        <v>3</v>
      </c>
    </row>
    <row r="300" spans="1:149" ht="12.75" customHeight="1">
      <c r="A300" s="6" t="s">
        <v>23</v>
      </c>
      <c r="B300" s="2" t="s">
        <v>6</v>
      </c>
      <c r="C300" s="3" t="s">
        <v>63</v>
      </c>
      <c r="E300" s="3" t="s">
        <v>16</v>
      </c>
      <c r="G300" s="3" t="s">
        <v>89</v>
      </c>
      <c r="I300" s="23"/>
      <c r="J300" s="19">
        <v>1</v>
      </c>
      <c r="K300" s="19">
        <v>1</v>
      </c>
      <c r="L300" s="19">
        <v>0</v>
      </c>
      <c r="M300" s="19">
        <v>2</v>
      </c>
      <c r="N300" s="19">
        <v>1</v>
      </c>
      <c r="O300" s="19">
        <v>8</v>
      </c>
      <c r="P300" s="19">
        <v>3</v>
      </c>
      <c r="Q300" s="19">
        <v>5</v>
      </c>
      <c r="R300" s="19">
        <v>5</v>
      </c>
      <c r="S300" s="19">
        <v>5</v>
      </c>
      <c r="T300" s="19">
        <v>5</v>
      </c>
      <c r="U300" s="19">
        <v>2</v>
      </c>
      <c r="V300" s="31">
        <v>2</v>
      </c>
      <c r="W300" s="19">
        <v>6</v>
      </c>
      <c r="X300" s="19">
        <v>1</v>
      </c>
      <c r="Y300" s="346">
        <v>0</v>
      </c>
      <c r="Z300" s="19">
        <v>8</v>
      </c>
      <c r="AA300" s="19">
        <v>3</v>
      </c>
      <c r="AB300" s="19">
        <v>3</v>
      </c>
      <c r="AC300" s="19">
        <v>6</v>
      </c>
      <c r="AD300" s="19">
        <v>3</v>
      </c>
      <c r="AE300" s="19">
        <v>6</v>
      </c>
      <c r="AF300" s="19">
        <v>3</v>
      </c>
      <c r="AG300" s="19">
        <v>2</v>
      </c>
      <c r="AH300" s="31">
        <v>4</v>
      </c>
      <c r="AI300" s="19">
        <v>4</v>
      </c>
      <c r="AJ300" s="19"/>
      <c r="AK300" s="408"/>
      <c r="AL300" s="19">
        <f t="shared" si="1766"/>
        <v>1</v>
      </c>
      <c r="AM300" s="246">
        <f t="shared" ref="AM300:AV300" si="1775">K300</f>
        <v>1</v>
      </c>
      <c r="AN300" s="246">
        <f t="shared" si="1775"/>
        <v>0</v>
      </c>
      <c r="AO300" s="246">
        <f t="shared" si="1775"/>
        <v>2</v>
      </c>
      <c r="AP300" s="246">
        <f t="shared" si="1775"/>
        <v>1</v>
      </c>
      <c r="AQ300" s="246">
        <f t="shared" si="1775"/>
        <v>8</v>
      </c>
      <c r="AR300" s="246">
        <f t="shared" si="1775"/>
        <v>3</v>
      </c>
      <c r="AS300" s="246">
        <f t="shared" si="1775"/>
        <v>5</v>
      </c>
      <c r="AT300" s="246">
        <f t="shared" si="1775"/>
        <v>5</v>
      </c>
      <c r="AU300" s="246">
        <f t="shared" si="1775"/>
        <v>5</v>
      </c>
      <c r="AV300" s="246">
        <f t="shared" si="1775"/>
        <v>5</v>
      </c>
      <c r="AW300" s="376">
        <f t="shared" ref="AW300:BL300" si="1776">U300</f>
        <v>2</v>
      </c>
      <c r="AX300" s="376">
        <f t="shared" si="1776"/>
        <v>2</v>
      </c>
      <c r="AY300" s="376">
        <f t="shared" si="1776"/>
        <v>6</v>
      </c>
      <c r="AZ300" s="376">
        <f t="shared" si="1776"/>
        <v>1</v>
      </c>
      <c r="BA300" s="376">
        <f t="shared" si="1776"/>
        <v>0</v>
      </c>
      <c r="BB300" s="376">
        <f t="shared" si="1776"/>
        <v>8</v>
      </c>
      <c r="BC300" s="376">
        <f t="shared" si="1776"/>
        <v>3</v>
      </c>
      <c r="BD300" s="376">
        <f t="shared" si="1776"/>
        <v>3</v>
      </c>
      <c r="BE300" s="376">
        <f t="shared" si="1776"/>
        <v>6</v>
      </c>
      <c r="BF300" s="376">
        <f t="shared" si="1776"/>
        <v>3</v>
      </c>
      <c r="BG300" s="376">
        <f t="shared" si="1776"/>
        <v>6</v>
      </c>
      <c r="BH300" s="376">
        <f t="shared" si="1776"/>
        <v>3</v>
      </c>
      <c r="BI300" s="376">
        <f t="shared" si="1776"/>
        <v>2</v>
      </c>
      <c r="BJ300" s="376">
        <f t="shared" si="1776"/>
        <v>4</v>
      </c>
      <c r="BK300" s="376">
        <f t="shared" si="1776"/>
        <v>4</v>
      </c>
      <c r="BL300" s="376">
        <f t="shared" si="1776"/>
        <v>0</v>
      </c>
      <c r="BM300" s="408"/>
      <c r="BN300" s="48">
        <f t="shared" si="1739"/>
        <v>2</v>
      </c>
      <c r="BO300" s="48">
        <f t="shared" si="1740"/>
        <v>2</v>
      </c>
      <c r="BP300" s="48">
        <f>SUM(AL300:AN300)</f>
        <v>2</v>
      </c>
      <c r="BQ300" s="48">
        <f t="shared" si="1742"/>
        <v>11</v>
      </c>
      <c r="BR300" s="48">
        <f t="shared" si="1743"/>
        <v>11</v>
      </c>
      <c r="BS300" s="48">
        <f>SUM(AO300:AQ300)</f>
        <v>11</v>
      </c>
      <c r="BT300" s="48">
        <f t="shared" si="1745"/>
        <v>13</v>
      </c>
      <c r="BU300" s="48">
        <f t="shared" si="1746"/>
        <v>13</v>
      </c>
      <c r="BV300" s="48">
        <f>SUM(AR300:AT300)</f>
        <v>13</v>
      </c>
      <c r="BW300" s="48">
        <f t="shared" si="1748"/>
        <v>12</v>
      </c>
      <c r="BX300" s="48">
        <f t="shared" si="1749"/>
        <v>12</v>
      </c>
      <c r="BY300" s="48">
        <f>SUM(AU300:AW300)</f>
        <v>12</v>
      </c>
      <c r="BZ300" s="48">
        <f t="shared" si="1751"/>
        <v>9</v>
      </c>
      <c r="CA300" s="48">
        <f t="shared" si="1752"/>
        <v>9</v>
      </c>
      <c r="CB300" s="48">
        <f>SUM(AX300:AZ300)</f>
        <v>9</v>
      </c>
      <c r="CC300" s="48">
        <f t="shared" si="1754"/>
        <v>11</v>
      </c>
      <c r="CD300" s="48">
        <f t="shared" si="1755"/>
        <v>11</v>
      </c>
      <c r="CE300" s="48">
        <f>SUM(BA300:BC300)</f>
        <v>11</v>
      </c>
      <c r="CF300" s="48">
        <f t="shared" si="1757"/>
        <v>12</v>
      </c>
      <c r="CG300" s="48">
        <f t="shared" si="1758"/>
        <v>12</v>
      </c>
      <c r="CH300" s="48">
        <f>SUM(BD300:BF300)</f>
        <v>12</v>
      </c>
      <c r="CI300" s="48">
        <f t="shared" si="1760"/>
        <v>11</v>
      </c>
      <c r="CJ300" s="48">
        <f t="shared" si="1761"/>
        <v>11</v>
      </c>
      <c r="CK300" s="48">
        <f>SUM(BG300:BI300)</f>
        <v>11</v>
      </c>
      <c r="CL300" s="48">
        <f t="shared" si="1763"/>
        <v>8</v>
      </c>
      <c r="CM300" s="48">
        <f t="shared" si="1764"/>
        <v>8</v>
      </c>
      <c r="CN300" s="48">
        <f>SUM(BJ300:BL300)</f>
        <v>8</v>
      </c>
      <c r="CO300" s="406"/>
      <c r="CP300" s="21">
        <f>+J300</f>
        <v>1</v>
      </c>
      <c r="CQ300" s="21">
        <f t="shared" ref="CQ300:DA300" si="1777">+CP300+K300</f>
        <v>2</v>
      </c>
      <c r="CR300" s="21">
        <f t="shared" si="1777"/>
        <v>2</v>
      </c>
      <c r="CS300" s="21">
        <f t="shared" si="1777"/>
        <v>4</v>
      </c>
      <c r="CT300" s="21">
        <f t="shared" si="1777"/>
        <v>5</v>
      </c>
      <c r="CU300" s="21">
        <f t="shared" si="1777"/>
        <v>13</v>
      </c>
      <c r="CV300" s="21">
        <f t="shared" si="1777"/>
        <v>16</v>
      </c>
      <c r="CW300" s="21">
        <f t="shared" si="1777"/>
        <v>21</v>
      </c>
      <c r="CX300" s="21">
        <f t="shared" si="1777"/>
        <v>26</v>
      </c>
      <c r="CY300" s="21">
        <f t="shared" si="1777"/>
        <v>31</v>
      </c>
      <c r="CZ300" s="21">
        <f t="shared" si="1777"/>
        <v>36</v>
      </c>
      <c r="DA300" s="21">
        <f t="shared" si="1777"/>
        <v>38</v>
      </c>
      <c r="DB300" s="21">
        <f>+V300</f>
        <v>2</v>
      </c>
      <c r="DC300" s="21">
        <f t="shared" ref="DC300:DM300" si="1778">+DB300+W300</f>
        <v>8</v>
      </c>
      <c r="DD300" s="21">
        <f t="shared" si="1778"/>
        <v>9</v>
      </c>
      <c r="DE300" s="21">
        <f t="shared" si="1778"/>
        <v>9</v>
      </c>
      <c r="DF300" s="21">
        <f t="shared" si="1778"/>
        <v>17</v>
      </c>
      <c r="DG300" s="21">
        <f t="shared" si="1778"/>
        <v>20</v>
      </c>
      <c r="DH300" s="21">
        <f t="shared" si="1778"/>
        <v>23</v>
      </c>
      <c r="DI300" s="21">
        <f t="shared" si="1778"/>
        <v>29</v>
      </c>
      <c r="DJ300" s="21">
        <f t="shared" si="1778"/>
        <v>32</v>
      </c>
      <c r="DK300" s="21">
        <f t="shared" si="1778"/>
        <v>38</v>
      </c>
      <c r="DL300" s="21">
        <f t="shared" si="1778"/>
        <v>41</v>
      </c>
      <c r="DM300" s="21">
        <f t="shared" si="1778"/>
        <v>43</v>
      </c>
      <c r="DN300" s="21">
        <f>BJ300</f>
        <v>4</v>
      </c>
      <c r="DO300" s="21">
        <f>DN300+BK300</f>
        <v>8</v>
      </c>
      <c r="DP300" s="21">
        <f>DO300+BL300</f>
        <v>8</v>
      </c>
      <c r="DQ300" s="248"/>
      <c r="DR300" s="248"/>
      <c r="DS300" s="248"/>
      <c r="DT300" s="248"/>
      <c r="DU300" s="248"/>
      <c r="DV300" s="248"/>
      <c r="DW300" s="248"/>
      <c r="DX300" s="248"/>
      <c r="DY300" s="248"/>
      <c r="ED300" s="429"/>
      <c r="EE300" s="23"/>
      <c r="EF300" s="23"/>
      <c r="EG300" s="23"/>
      <c r="EH300" s="18">
        <f t="shared" si="1731"/>
        <v>4</v>
      </c>
      <c r="EI300" s="18">
        <f t="shared" si="1732"/>
        <v>8</v>
      </c>
      <c r="EJ300" s="18">
        <f t="shared" si="1733"/>
        <v>8</v>
      </c>
      <c r="EK300" s="24">
        <f t="shared" si="1774"/>
        <v>0.16666666666666666</v>
      </c>
      <c r="EL300" s="14" t="e">
        <f t="shared" ref="EL300:EN307" si="1779">EH300/EE275</f>
        <v>#DIV/0!</v>
      </c>
      <c r="EM300" s="14" t="e">
        <f t="shared" si="1779"/>
        <v>#DIV/0!</v>
      </c>
      <c r="EN300" s="14">
        <f>EJ300/EK300/EG275</f>
        <v>2.2857142857142856</v>
      </c>
      <c r="EO300" s="46" t="str">
        <f t="shared" ref="EO300:EO312" si="1780">IF(EH300&lt;0,,IF(EH300&lt;EE275,"È",IF(EH300=EE275,"Æ","Ç")))</f>
        <v>Ç</v>
      </c>
      <c r="EP300" s="46" t="str">
        <f t="shared" ref="EP300:EP312" si="1781">IF(EI300&lt;0,,IF(EI300&lt;EF275,"È",IF(EI300=EF275,"Æ","Ç")))</f>
        <v>Ç</v>
      </c>
      <c r="EQ300" s="2" t="e">
        <f t="shared" si="1736"/>
        <v>#DIV/0!</v>
      </c>
      <c r="ER300" s="2" t="e">
        <f t="shared" si="1737"/>
        <v>#DIV/0!</v>
      </c>
      <c r="ES300" s="2">
        <f t="shared" si="1738"/>
        <v>1</v>
      </c>
    </row>
    <row r="301" spans="1:149" s="14" customFormat="1" ht="12.75" customHeight="1">
      <c r="A301" s="15" t="s">
        <v>23</v>
      </c>
      <c r="B301" s="14" t="s">
        <v>7</v>
      </c>
      <c r="C301" s="16" t="s">
        <v>64</v>
      </c>
      <c r="D301" s="16"/>
      <c r="E301" s="16" t="s">
        <v>16</v>
      </c>
      <c r="F301" s="16"/>
      <c r="G301" s="16" t="s">
        <v>89</v>
      </c>
      <c r="H301" s="16"/>
      <c r="I301" s="24"/>
      <c r="J301" s="25">
        <v>1</v>
      </c>
      <c r="K301" s="25">
        <v>1</v>
      </c>
      <c r="L301" s="25">
        <v>0</v>
      </c>
      <c r="M301" s="25">
        <v>1</v>
      </c>
      <c r="N301" s="25">
        <v>1</v>
      </c>
      <c r="O301" s="25">
        <v>1</v>
      </c>
      <c r="P301" s="25">
        <v>1</v>
      </c>
      <c r="Q301" s="25">
        <v>1</v>
      </c>
      <c r="R301" s="25">
        <v>1</v>
      </c>
      <c r="S301" s="25">
        <v>1</v>
      </c>
      <c r="T301" s="25">
        <v>1</v>
      </c>
      <c r="U301" s="25">
        <v>1</v>
      </c>
      <c r="V301" s="33">
        <v>1</v>
      </c>
      <c r="W301" s="25">
        <v>0.87</v>
      </c>
      <c r="X301" s="25">
        <v>1</v>
      </c>
      <c r="Y301" s="347">
        <v>0</v>
      </c>
      <c r="Z301" s="25">
        <v>1</v>
      </c>
      <c r="AA301" s="25">
        <v>1</v>
      </c>
      <c r="AB301" s="25">
        <v>1</v>
      </c>
      <c r="AC301" s="25">
        <v>0.9</v>
      </c>
      <c r="AD301" s="25">
        <v>1</v>
      </c>
      <c r="AE301" s="25">
        <v>1</v>
      </c>
      <c r="AF301" s="25">
        <v>0.8</v>
      </c>
      <c r="AG301" s="25">
        <v>1</v>
      </c>
      <c r="AH301" s="33">
        <v>0.8</v>
      </c>
      <c r="AI301" s="25">
        <v>1</v>
      </c>
      <c r="AJ301" s="25"/>
      <c r="AK301" s="412"/>
      <c r="AL301" s="14">
        <f t="shared" si="1766"/>
        <v>1</v>
      </c>
      <c r="AM301" s="14">
        <f>K301</f>
        <v>1</v>
      </c>
      <c r="AN301" s="14">
        <f>L301</f>
        <v>0</v>
      </c>
      <c r="AO301" s="14">
        <f>M301</f>
        <v>1</v>
      </c>
      <c r="AP301" s="129">
        <f t="shared" ref="AP301:AW301" si="1782">IF(N301&lt;&gt;"",N301,0)</f>
        <v>1</v>
      </c>
      <c r="AQ301" s="129">
        <f t="shared" si="1782"/>
        <v>1</v>
      </c>
      <c r="AR301" s="129">
        <f t="shared" si="1782"/>
        <v>1</v>
      </c>
      <c r="AS301" s="129">
        <f t="shared" si="1782"/>
        <v>1</v>
      </c>
      <c r="AT301" s="129">
        <f t="shared" si="1782"/>
        <v>1</v>
      </c>
      <c r="AU301" s="129">
        <f t="shared" si="1782"/>
        <v>1</v>
      </c>
      <c r="AV301" s="129">
        <f t="shared" si="1782"/>
        <v>1</v>
      </c>
      <c r="AW301" s="129">
        <f t="shared" si="1782"/>
        <v>1</v>
      </c>
      <c r="AX301" s="129">
        <f t="shared" ref="AX301:AX310" si="1783">IF(V301&lt;&gt;"",V301,0)</f>
        <v>1</v>
      </c>
      <c r="AY301" s="129">
        <f t="shared" ref="AY301:BL301" si="1784">IF(W301&lt;&gt;"",W301,0)</f>
        <v>0.87</v>
      </c>
      <c r="AZ301" s="129">
        <f t="shared" si="1784"/>
        <v>1</v>
      </c>
      <c r="BA301" s="129">
        <f t="shared" si="1784"/>
        <v>0</v>
      </c>
      <c r="BB301" s="129">
        <f t="shared" si="1784"/>
        <v>1</v>
      </c>
      <c r="BC301" s="129">
        <f t="shared" si="1784"/>
        <v>1</v>
      </c>
      <c r="BD301" s="129">
        <f t="shared" si="1784"/>
        <v>1</v>
      </c>
      <c r="BE301" s="129">
        <f t="shared" si="1784"/>
        <v>0.9</v>
      </c>
      <c r="BF301" s="129">
        <f t="shared" si="1784"/>
        <v>1</v>
      </c>
      <c r="BG301" s="129">
        <f t="shared" si="1784"/>
        <v>1</v>
      </c>
      <c r="BH301" s="129">
        <f t="shared" si="1784"/>
        <v>0.8</v>
      </c>
      <c r="BI301" s="129">
        <f t="shared" si="1784"/>
        <v>1</v>
      </c>
      <c r="BJ301" s="129">
        <f t="shared" si="1784"/>
        <v>0.8</v>
      </c>
      <c r="BK301" s="129">
        <f t="shared" si="1784"/>
        <v>1</v>
      </c>
      <c r="BL301" s="129">
        <f t="shared" si="1784"/>
        <v>0</v>
      </c>
      <c r="BM301" s="410"/>
      <c r="BN301" s="56">
        <f t="shared" si="1739"/>
        <v>1</v>
      </c>
      <c r="BO301" s="56">
        <f t="shared" si="1740"/>
        <v>1</v>
      </c>
      <c r="BP301" s="56">
        <f>(AL301*AL300+AM301*AM300+AN301*AN300)/BP300</f>
        <v>1</v>
      </c>
      <c r="BQ301" s="56">
        <f t="shared" si="1742"/>
        <v>1</v>
      </c>
      <c r="BR301" s="56">
        <f t="shared" si="1743"/>
        <v>1</v>
      </c>
      <c r="BS301" s="56">
        <f>(AO301*AO300+AP301*AP300+AQ301*AQ300)/BS300</f>
        <v>1</v>
      </c>
      <c r="BT301" s="56">
        <f t="shared" si="1745"/>
        <v>1</v>
      </c>
      <c r="BU301" s="56">
        <f t="shared" si="1746"/>
        <v>1</v>
      </c>
      <c r="BV301" s="56">
        <f>(AR301*AR300+AS301*AS300+AT301*AT300)/BV300</f>
        <v>1</v>
      </c>
      <c r="BW301" s="56">
        <f t="shared" si="1748"/>
        <v>1</v>
      </c>
      <c r="BX301" s="56">
        <f t="shared" si="1749"/>
        <v>1</v>
      </c>
      <c r="BY301" s="56">
        <f>(AU301*AU300+AV301*AV300+AW301*AW300)/BY300</f>
        <v>1</v>
      </c>
      <c r="BZ301" s="56">
        <f t="shared" si="1751"/>
        <v>0.91333333333333322</v>
      </c>
      <c r="CA301" s="56">
        <f t="shared" si="1752"/>
        <v>0.91333333333333322</v>
      </c>
      <c r="CB301" s="56">
        <f>(AX301*AX300+AY301*AY300+AZ301*AZ300)/CB300</f>
        <v>0.91333333333333322</v>
      </c>
      <c r="CC301" s="56">
        <f t="shared" si="1754"/>
        <v>1</v>
      </c>
      <c r="CD301" s="56">
        <f t="shared" si="1755"/>
        <v>1</v>
      </c>
      <c r="CE301" s="56">
        <f>IF(CE300&lt;&gt;0,(BA301*BA300+BB301*BB300+BC301*BC300)/CE300,0)</f>
        <v>1</v>
      </c>
      <c r="CF301" s="56">
        <f t="shared" si="1757"/>
        <v>0.95000000000000007</v>
      </c>
      <c r="CG301" s="56">
        <f t="shared" si="1758"/>
        <v>0.95000000000000007</v>
      </c>
      <c r="CH301" s="56">
        <f>(BD301*BD300+BE301*BE300+BF301*BF300)/CH300</f>
        <v>0.95000000000000007</v>
      </c>
      <c r="CI301" s="56">
        <f t="shared" si="1760"/>
        <v>0.94545454545454544</v>
      </c>
      <c r="CJ301" s="56">
        <f t="shared" si="1761"/>
        <v>0.94545454545454544</v>
      </c>
      <c r="CK301" s="56">
        <f>(BG301*BG300+BH301*BH300+BI301*BI300)/CK300</f>
        <v>0.94545454545454544</v>
      </c>
      <c r="CL301" s="56">
        <f t="shared" si="1763"/>
        <v>0.9</v>
      </c>
      <c r="CM301" s="56">
        <f t="shared" si="1764"/>
        <v>0.9</v>
      </c>
      <c r="CN301" s="56">
        <f>(BJ301*BJ300+BK301*BK300+BL301*BL300)/CN300</f>
        <v>0.9</v>
      </c>
      <c r="CO301" s="422"/>
      <c r="CP301" s="25">
        <f>J301</f>
        <v>1</v>
      </c>
      <c r="CQ301" s="25">
        <f t="shared" ref="CQ301:DP301" si="1785">CQ313/CQ300</f>
        <v>1</v>
      </c>
      <c r="CR301" s="25">
        <f t="shared" si="1785"/>
        <v>1</v>
      </c>
      <c r="CS301" s="25">
        <f t="shared" si="1785"/>
        <v>1</v>
      </c>
      <c r="CT301" s="25">
        <f t="shared" si="1785"/>
        <v>1</v>
      </c>
      <c r="CU301" s="25">
        <f t="shared" si="1785"/>
        <v>1</v>
      </c>
      <c r="CV301" s="25">
        <f t="shared" si="1785"/>
        <v>1</v>
      </c>
      <c r="CW301" s="25">
        <f t="shared" si="1785"/>
        <v>1</v>
      </c>
      <c r="CX301" s="25">
        <f t="shared" si="1785"/>
        <v>1</v>
      </c>
      <c r="CY301" s="25">
        <f t="shared" si="1785"/>
        <v>1</v>
      </c>
      <c r="CZ301" s="25">
        <f t="shared" si="1785"/>
        <v>1</v>
      </c>
      <c r="DA301" s="25">
        <f t="shared" si="1785"/>
        <v>1</v>
      </c>
      <c r="DB301" s="25">
        <f t="shared" si="1785"/>
        <v>1</v>
      </c>
      <c r="DC301" s="25">
        <f t="shared" si="1785"/>
        <v>0.90249999999999997</v>
      </c>
      <c r="DD301" s="25">
        <f t="shared" si="1785"/>
        <v>0.91333333333333322</v>
      </c>
      <c r="DE301" s="25">
        <f t="shared" si="1785"/>
        <v>0.91333333333333322</v>
      </c>
      <c r="DF301" s="25">
        <f t="shared" si="1785"/>
        <v>0.95411764705882351</v>
      </c>
      <c r="DG301" s="25">
        <f t="shared" si="1785"/>
        <v>0.96099999999999997</v>
      </c>
      <c r="DH301" s="25">
        <f t="shared" si="1785"/>
        <v>0.96608695652173904</v>
      </c>
      <c r="DI301" s="25">
        <f t="shared" si="1785"/>
        <v>0.9524137931034482</v>
      </c>
      <c r="DJ301" s="25">
        <f t="shared" si="1785"/>
        <v>0.95687499999999992</v>
      </c>
      <c r="DK301" s="25">
        <f t="shared" si="1785"/>
        <v>0.9636842105263157</v>
      </c>
      <c r="DL301" s="25">
        <f t="shared" si="1785"/>
        <v>0.95170731707317069</v>
      </c>
      <c r="DM301" s="25">
        <f t="shared" si="1785"/>
        <v>0.95395348837209293</v>
      </c>
      <c r="DN301" s="25">
        <f t="shared" si="1785"/>
        <v>0.8</v>
      </c>
      <c r="DO301" s="25">
        <f t="shared" si="1785"/>
        <v>0.9</v>
      </c>
      <c r="DP301" s="25">
        <f t="shared" si="1785"/>
        <v>0.9</v>
      </c>
      <c r="DQ301" s="377"/>
      <c r="DR301" s="377"/>
      <c r="DS301" s="377"/>
      <c r="DT301" s="377"/>
      <c r="DU301" s="377"/>
      <c r="DV301" s="377"/>
      <c r="DW301" s="377"/>
      <c r="DX301" s="377"/>
      <c r="DY301" s="377"/>
      <c r="ED301" s="430"/>
      <c r="EE301" s="24"/>
      <c r="EF301" s="24"/>
      <c r="EG301" s="24"/>
      <c r="EH301" s="355">
        <f t="shared" si="1731"/>
        <v>1</v>
      </c>
      <c r="EI301" s="355">
        <f t="shared" si="1732"/>
        <v>0.9</v>
      </c>
      <c r="EJ301" s="355">
        <f t="shared" si="1733"/>
        <v>0.9</v>
      </c>
      <c r="EK301" s="24">
        <f t="shared" si="1774"/>
        <v>0.16666666666666666</v>
      </c>
      <c r="EL301" s="14">
        <f>EH301</f>
        <v>1</v>
      </c>
      <c r="EM301" s="14">
        <f>EI301</f>
        <v>0.9</v>
      </c>
      <c r="EN301" s="14">
        <f>EJ301</f>
        <v>0.9</v>
      </c>
      <c r="EO301" s="46" t="str">
        <f>IF(EH301&lt;0,,IF(EH301&gt;EE276,"È",IF(EH301=EE276,"Æ","Ç")))</f>
        <v>È</v>
      </c>
      <c r="EP301" s="46" t="str">
        <f>IF(EI301&lt;0,,IF(EI301&gt;EF276,"È",IF(EI301&gt;EF276,"Æ","Ç")))</f>
        <v>Ç</v>
      </c>
      <c r="EQ301" s="2">
        <f t="shared" si="1736"/>
        <v>1</v>
      </c>
      <c r="ER301" s="2">
        <f t="shared" si="1737"/>
        <v>1</v>
      </c>
      <c r="ES301" s="2">
        <f t="shared" si="1738"/>
        <v>1</v>
      </c>
    </row>
    <row r="302" spans="1:149" ht="12.75" customHeight="1">
      <c r="A302" s="6" t="s">
        <v>23</v>
      </c>
      <c r="B302" s="381" t="s">
        <v>8</v>
      </c>
      <c r="C302" s="3" t="s">
        <v>87</v>
      </c>
      <c r="E302" s="3" t="s">
        <v>16</v>
      </c>
      <c r="G302" s="3" t="s">
        <v>91</v>
      </c>
      <c r="I302" s="23"/>
      <c r="J302" s="19">
        <v>0</v>
      </c>
      <c r="K302" s="19">
        <v>0</v>
      </c>
      <c r="L302" s="19">
        <v>0</v>
      </c>
      <c r="M302" s="19">
        <v>0</v>
      </c>
      <c r="N302" s="19">
        <v>0</v>
      </c>
      <c r="O302" s="19">
        <v>0</v>
      </c>
      <c r="P302" s="19">
        <v>4</v>
      </c>
      <c r="Q302" s="19">
        <v>4</v>
      </c>
      <c r="R302" s="19">
        <v>10</v>
      </c>
      <c r="S302" s="19">
        <v>10</v>
      </c>
      <c r="T302" s="19">
        <v>12</v>
      </c>
      <c r="U302" s="19">
        <v>12</v>
      </c>
      <c r="V302" s="31">
        <v>0</v>
      </c>
      <c r="W302" s="19">
        <v>0</v>
      </c>
      <c r="X302" s="19">
        <v>0</v>
      </c>
      <c r="Y302" s="346">
        <v>0</v>
      </c>
      <c r="Z302" s="19">
        <v>0</v>
      </c>
      <c r="AA302" s="19">
        <v>0</v>
      </c>
      <c r="AB302" s="19">
        <v>1</v>
      </c>
      <c r="AC302" s="19">
        <v>1</v>
      </c>
      <c r="AD302" s="19">
        <v>1</v>
      </c>
      <c r="AE302" s="19">
        <v>1</v>
      </c>
      <c r="AF302" s="19">
        <v>1</v>
      </c>
      <c r="AG302" s="19">
        <v>1</v>
      </c>
      <c r="AH302" s="31">
        <v>0</v>
      </c>
      <c r="AI302" s="19">
        <v>0</v>
      </c>
      <c r="AJ302" s="19"/>
      <c r="AK302" s="408"/>
      <c r="AL302" s="19">
        <f t="shared" si="1766"/>
        <v>0</v>
      </c>
      <c r="AM302" s="19">
        <f>K302-J302</f>
        <v>0</v>
      </c>
      <c r="AN302" s="19">
        <f t="shared" ref="AN302:AN308" si="1786">L302-K302</f>
        <v>0</v>
      </c>
      <c r="AO302" s="19">
        <f t="shared" ref="AO302:AO308" si="1787">M302-L302</f>
        <v>0</v>
      </c>
      <c r="AP302" s="129">
        <f t="shared" ref="AP302:AP307" si="1788">IF(N302&lt;&gt;"",N302-M302,0)</f>
        <v>0</v>
      </c>
      <c r="AQ302" s="129">
        <f t="shared" ref="AQ302:AQ310" si="1789">IF(O302&lt;&gt;"",O302-N302,0)</f>
        <v>0</v>
      </c>
      <c r="AR302" s="129">
        <f t="shared" si="1722"/>
        <v>4</v>
      </c>
      <c r="AS302" s="129">
        <f t="shared" si="1723"/>
        <v>0</v>
      </c>
      <c r="AT302" s="129">
        <f t="shared" si="1724"/>
        <v>6</v>
      </c>
      <c r="AU302" s="129">
        <f t="shared" si="1725"/>
        <v>0</v>
      </c>
      <c r="AV302" s="129">
        <f t="shared" si="1726"/>
        <v>2</v>
      </c>
      <c r="AW302" s="129">
        <f t="shared" ref="AW302:AW310" si="1790">IF(U302&lt;&gt;"",U302-T302,0)</f>
        <v>0</v>
      </c>
      <c r="AX302" s="129">
        <f t="shared" si="1783"/>
        <v>0</v>
      </c>
      <c r="AY302" s="129">
        <f t="shared" ref="AY302:AY310" si="1791">IF(W302&lt;&gt;"",W302-V302,0)</f>
        <v>0</v>
      </c>
      <c r="AZ302" s="129">
        <f t="shared" ref="AZ302:AZ310" si="1792">IF(X302&lt;&gt;"",X302-W302,0)</f>
        <v>0</v>
      </c>
      <c r="BA302" s="129">
        <f t="shared" ref="BA302:BA310" si="1793">IF(Y302&lt;&gt;"",Y302-X302,0)</f>
        <v>0</v>
      </c>
      <c r="BB302" s="129">
        <f t="shared" ref="BB302:BB310" si="1794">IF(Z302&lt;&gt;"",Z302-Y302,0)</f>
        <v>0</v>
      </c>
      <c r="BC302" s="129">
        <f t="shared" ref="BC302:BC310" si="1795">IF(AA302&lt;&gt;"",AA302-Z302,0)</f>
        <v>0</v>
      </c>
      <c r="BD302" s="129">
        <f t="shared" ref="BD302:BD310" si="1796">IF(AB302&lt;&gt;"",AB302-AA302,0)</f>
        <v>1</v>
      </c>
      <c r="BE302" s="129">
        <f t="shared" ref="BE302:BE310" si="1797">IF(AC302&lt;&gt;"",AC302-AB302,0)</f>
        <v>0</v>
      </c>
      <c r="BF302" s="129">
        <f t="shared" ref="BF302:BF310" si="1798">IF(AD302&lt;&gt;"",AD302-AC302,0)</f>
        <v>0</v>
      </c>
      <c r="BG302" s="129">
        <f t="shared" ref="BG302:BG310" si="1799">IF(AE302&lt;&gt;"",AE302-AD302,0)</f>
        <v>0</v>
      </c>
      <c r="BH302" s="129">
        <f t="shared" ref="BH302:BH310" si="1800">IF(AF302&lt;&gt;"",AF302-AE302,0)</f>
        <v>0</v>
      </c>
      <c r="BI302" s="129">
        <f t="shared" ref="BI302:BI310" si="1801">IF(AG302&lt;&gt;"",AG302-AF302,0)</f>
        <v>0</v>
      </c>
      <c r="BJ302" s="129">
        <f t="shared" ref="BJ302:BJ310" si="1802">IF(AH302&lt;&gt;"",AH302-AG302,0)</f>
        <v>-1</v>
      </c>
      <c r="BK302" s="129">
        <f t="shared" ref="BK302:BK310" si="1803">IF(AI302&lt;&gt;"",AI302-AH302,0)</f>
        <v>0</v>
      </c>
      <c r="BL302" s="129">
        <f t="shared" ref="BL302:BL310" si="1804">IF(AJ302&lt;&gt;"",AJ302-AI302,0)</f>
        <v>0</v>
      </c>
      <c r="BM302" s="408"/>
      <c r="BN302" s="48">
        <f t="shared" si="1739"/>
        <v>0</v>
      </c>
      <c r="BO302" s="48">
        <f t="shared" si="1740"/>
        <v>0</v>
      </c>
      <c r="BP302" s="48">
        <f t="shared" ref="BP302:BP307" si="1805">SUM(AL302:AN302)</f>
        <v>0</v>
      </c>
      <c r="BQ302" s="48">
        <f t="shared" si="1742"/>
        <v>0</v>
      </c>
      <c r="BR302" s="48">
        <f t="shared" si="1743"/>
        <v>0</v>
      </c>
      <c r="BS302" s="48">
        <f t="shared" ref="BS302:BS307" si="1806">SUM(AO302:AQ302)</f>
        <v>0</v>
      </c>
      <c r="BT302" s="48">
        <f t="shared" si="1745"/>
        <v>10</v>
      </c>
      <c r="BU302" s="48">
        <f t="shared" si="1746"/>
        <v>10</v>
      </c>
      <c r="BV302" s="48">
        <f t="shared" ref="BV302:BV307" si="1807">SUM(AR302:AT302)</f>
        <v>10</v>
      </c>
      <c r="BW302" s="48">
        <f t="shared" si="1748"/>
        <v>2</v>
      </c>
      <c r="BX302" s="48">
        <f t="shared" si="1749"/>
        <v>2</v>
      </c>
      <c r="BY302" s="48">
        <f t="shared" ref="BY302:BY307" si="1808">SUM(AU302:AW302)</f>
        <v>2</v>
      </c>
      <c r="BZ302" s="48">
        <f t="shared" si="1751"/>
        <v>0</v>
      </c>
      <c r="CA302" s="48">
        <f t="shared" si="1752"/>
        <v>0</v>
      </c>
      <c r="CB302" s="48">
        <f t="shared" ref="CB302:CB307" si="1809">SUM(AX302:AZ302)</f>
        <v>0</v>
      </c>
      <c r="CC302" s="48">
        <f t="shared" si="1754"/>
        <v>0</v>
      </c>
      <c r="CD302" s="48">
        <f t="shared" si="1755"/>
        <v>0</v>
      </c>
      <c r="CE302" s="48">
        <f t="shared" ref="CE302:CE307" si="1810">SUM(BA302:BC302)</f>
        <v>0</v>
      </c>
      <c r="CF302" s="48">
        <f t="shared" si="1757"/>
        <v>1</v>
      </c>
      <c r="CG302" s="48">
        <f t="shared" si="1758"/>
        <v>1</v>
      </c>
      <c r="CH302" s="48">
        <f t="shared" ref="CH302:CH307" si="1811">SUM(BD302:BF302)</f>
        <v>1</v>
      </c>
      <c r="CI302" s="48">
        <f t="shared" si="1760"/>
        <v>0</v>
      </c>
      <c r="CJ302" s="48">
        <f t="shared" si="1761"/>
        <v>0</v>
      </c>
      <c r="CK302" s="48">
        <f t="shared" ref="CK302:CK307" si="1812">SUM(BG302:BI302)</f>
        <v>0</v>
      </c>
      <c r="CL302" s="48">
        <f t="shared" si="1763"/>
        <v>-1</v>
      </c>
      <c r="CM302" s="48">
        <f t="shared" si="1764"/>
        <v>-1</v>
      </c>
      <c r="CN302" s="48">
        <f t="shared" ref="CN302:CN307" si="1813">SUM(BJ302:BL302)</f>
        <v>-1</v>
      </c>
      <c r="CO302" s="406"/>
      <c r="CP302" s="21">
        <f>AL302</f>
        <v>0</v>
      </c>
      <c r="CQ302" s="21">
        <f>CP302+AM302</f>
        <v>0</v>
      </c>
      <c r="CR302" s="21">
        <f t="shared" ref="CR302:CR308" si="1814">CQ302+AN302</f>
        <v>0</v>
      </c>
      <c r="CS302" s="21">
        <f t="shared" ref="CS302:CS308" si="1815">CR302+AO302</f>
        <v>0</v>
      </c>
      <c r="CT302" s="21">
        <f t="shared" ref="CT302:CT308" si="1816">CS302+AP302</f>
        <v>0</v>
      </c>
      <c r="CU302" s="21">
        <f t="shared" ref="CU302:CU308" si="1817">CT302+AQ302</f>
        <v>0</v>
      </c>
      <c r="CV302" s="21">
        <f t="shared" ref="CV302:CV308" si="1818">CU302+AR302</f>
        <v>4</v>
      </c>
      <c r="CW302" s="21">
        <f t="shared" ref="CW302:CW308" si="1819">CV302+AS302</f>
        <v>4</v>
      </c>
      <c r="CX302" s="21">
        <f t="shared" ref="CX302:CX308" si="1820">CW302+AT302</f>
        <v>10</v>
      </c>
      <c r="CY302" s="21">
        <f t="shared" ref="CY302:CY308" si="1821">CX302+AU302</f>
        <v>10</v>
      </c>
      <c r="CZ302" s="21">
        <f t="shared" ref="CZ302:CZ308" si="1822">CY302+AV302</f>
        <v>12</v>
      </c>
      <c r="DA302" s="21">
        <f t="shared" ref="DA302:DA308" si="1823">CZ302+AW302</f>
        <v>12</v>
      </c>
      <c r="DB302" s="21">
        <f>AX302</f>
        <v>0</v>
      </c>
      <c r="DC302" s="21">
        <f t="shared" ref="DC302:DC308" si="1824">DB302+AY302</f>
        <v>0</v>
      </c>
      <c r="DD302" s="21">
        <f t="shared" ref="DD302:DD308" si="1825">DC302+AZ302</f>
        <v>0</v>
      </c>
      <c r="DE302" s="21">
        <f t="shared" ref="DE302:DE308" si="1826">DD302+BA302</f>
        <v>0</v>
      </c>
      <c r="DF302" s="21">
        <f t="shared" ref="DF302:DF308" si="1827">DE302+BB302</f>
        <v>0</v>
      </c>
      <c r="DG302" s="21">
        <f t="shared" ref="DG302:DG308" si="1828">DF302+BC302</f>
        <v>0</v>
      </c>
      <c r="DH302" s="21">
        <f t="shared" ref="DH302:DH308" si="1829">DG302+BD302</f>
        <v>1</v>
      </c>
      <c r="DI302" s="21">
        <f t="shared" ref="DI302:DI308" si="1830">DH302+BE302</f>
        <v>1</v>
      </c>
      <c r="DJ302" s="21">
        <f t="shared" ref="DJ302:DJ308" si="1831">DI302+BF302</f>
        <v>1</v>
      </c>
      <c r="DK302" s="21">
        <f t="shared" ref="DK302:DK308" si="1832">DJ302+BG302</f>
        <v>1</v>
      </c>
      <c r="DL302" s="21">
        <f t="shared" ref="DL302:DL308" si="1833">DK302+BH302</f>
        <v>1</v>
      </c>
      <c r="DM302" s="21">
        <f t="shared" ref="DM302:DM308" si="1834">DL302+BI302</f>
        <v>1</v>
      </c>
      <c r="DN302" s="21">
        <f t="shared" ref="DN302:DN307" si="1835">BJ302</f>
        <v>-1</v>
      </c>
      <c r="DO302" s="21">
        <f t="shared" ref="DO302:DO308" si="1836">DN302+BK302</f>
        <v>-1</v>
      </c>
      <c r="DP302" s="21">
        <f t="shared" ref="DP302:DP308" si="1837">DO302+BL302</f>
        <v>-1</v>
      </c>
      <c r="DQ302" s="248"/>
      <c r="DR302" s="248"/>
      <c r="DS302" s="248"/>
      <c r="DT302" s="248"/>
      <c r="DU302" s="248"/>
      <c r="DV302" s="248"/>
      <c r="DW302" s="248"/>
      <c r="DX302" s="248"/>
      <c r="DY302" s="248"/>
      <c r="ED302" s="429"/>
      <c r="EE302" s="23"/>
      <c r="EF302" s="23"/>
      <c r="EG302" s="23"/>
      <c r="EH302" s="18">
        <f t="shared" si="1731"/>
        <v>0</v>
      </c>
      <c r="EI302" s="18">
        <f t="shared" si="1732"/>
        <v>-1</v>
      </c>
      <c r="EJ302" s="18">
        <f t="shared" si="1733"/>
        <v>-1</v>
      </c>
      <c r="EK302" s="24">
        <f t="shared" si="1774"/>
        <v>0.16666666666666666</v>
      </c>
      <c r="EL302" s="14" t="e">
        <f t="shared" si="1779"/>
        <v>#DIV/0!</v>
      </c>
      <c r="EM302" s="14" t="e">
        <f t="shared" si="1779"/>
        <v>#DIV/0!</v>
      </c>
      <c r="EN302" s="14">
        <f>EJ302/EK302/EG277</f>
        <v>-0.42881646655231553</v>
      </c>
      <c r="EO302" s="46" t="str">
        <f t="shared" si="1780"/>
        <v>Æ</v>
      </c>
      <c r="EP302" s="46">
        <f t="shared" si="1781"/>
        <v>0</v>
      </c>
      <c r="EQ302" s="2" t="e">
        <f t="shared" si="1736"/>
        <v>#DIV/0!</v>
      </c>
      <c r="ER302" s="2" t="e">
        <f t="shared" si="1737"/>
        <v>#DIV/0!</v>
      </c>
      <c r="ES302" s="2">
        <f t="shared" si="1738"/>
        <v>3</v>
      </c>
    </row>
    <row r="303" spans="1:149" ht="12.75" customHeight="1">
      <c r="A303" s="6" t="s">
        <v>23</v>
      </c>
      <c r="B303" s="2" t="s">
        <v>9</v>
      </c>
      <c r="C303" s="3" t="s">
        <v>65</v>
      </c>
      <c r="E303" s="3" t="s">
        <v>16</v>
      </c>
      <c r="G303" s="3" t="s">
        <v>91</v>
      </c>
      <c r="I303" s="23"/>
      <c r="J303" s="19">
        <v>64.06</v>
      </c>
      <c r="K303" s="19">
        <v>165.76</v>
      </c>
      <c r="L303" s="19">
        <v>241.61</v>
      </c>
      <c r="M303" s="19">
        <v>349.42</v>
      </c>
      <c r="N303" s="19">
        <v>422.62</v>
      </c>
      <c r="O303" s="19">
        <v>469.57</v>
      </c>
      <c r="P303" s="19">
        <v>550.72</v>
      </c>
      <c r="Q303" s="19">
        <v>645.07000000000005</v>
      </c>
      <c r="R303" s="19">
        <v>735.37</v>
      </c>
      <c r="S303" s="19">
        <v>848.32</v>
      </c>
      <c r="T303" s="19">
        <v>881.57</v>
      </c>
      <c r="U303" s="19">
        <v>927.82</v>
      </c>
      <c r="V303" s="31">
        <v>92.2</v>
      </c>
      <c r="W303" s="19">
        <v>138.9</v>
      </c>
      <c r="X303" s="19">
        <v>195.85</v>
      </c>
      <c r="Y303" s="346">
        <v>304.89999999999998</v>
      </c>
      <c r="Z303" s="19">
        <v>387.9</v>
      </c>
      <c r="AA303" s="19">
        <v>448.35</v>
      </c>
      <c r="AB303" s="19">
        <v>541.1</v>
      </c>
      <c r="AC303" s="19">
        <v>631.6</v>
      </c>
      <c r="AD303" s="19">
        <v>731.6</v>
      </c>
      <c r="AE303" s="19">
        <v>832.15</v>
      </c>
      <c r="AF303" s="19">
        <v>927.15</v>
      </c>
      <c r="AG303" s="19">
        <v>1012.5</v>
      </c>
      <c r="AH303" s="31">
        <v>76.510000000000005</v>
      </c>
      <c r="AI303" s="19">
        <v>121.51</v>
      </c>
      <c r="AJ303" s="19"/>
      <c r="AK303" s="408"/>
      <c r="AL303" s="19">
        <f t="shared" si="1766"/>
        <v>64.06</v>
      </c>
      <c r="AM303" s="19">
        <f t="shared" ref="AM303:AM308" si="1838">K303-J303</f>
        <v>101.69999999999999</v>
      </c>
      <c r="AN303" s="19">
        <f t="shared" si="1786"/>
        <v>75.850000000000023</v>
      </c>
      <c r="AO303" s="19">
        <f t="shared" si="1787"/>
        <v>107.81</v>
      </c>
      <c r="AP303" s="130">
        <f t="shared" si="1788"/>
        <v>73.199999999999989</v>
      </c>
      <c r="AQ303" s="130">
        <f t="shared" si="1789"/>
        <v>46.949999999999989</v>
      </c>
      <c r="AR303" s="130">
        <f t="shared" si="1722"/>
        <v>81.150000000000034</v>
      </c>
      <c r="AS303" s="130">
        <f t="shared" si="1723"/>
        <v>94.350000000000023</v>
      </c>
      <c r="AT303" s="130">
        <f t="shared" si="1724"/>
        <v>90.299999999999955</v>
      </c>
      <c r="AU303" s="130">
        <f t="shared" si="1725"/>
        <v>112.95000000000005</v>
      </c>
      <c r="AV303" s="130">
        <f t="shared" si="1726"/>
        <v>33.25</v>
      </c>
      <c r="AW303" s="130">
        <f t="shared" si="1790"/>
        <v>46.25</v>
      </c>
      <c r="AX303" s="129">
        <f t="shared" si="1783"/>
        <v>92.2</v>
      </c>
      <c r="AY303" s="130">
        <f t="shared" si="1791"/>
        <v>46.7</v>
      </c>
      <c r="AZ303" s="130">
        <f t="shared" si="1792"/>
        <v>56.949999999999989</v>
      </c>
      <c r="BA303" s="130">
        <f t="shared" si="1793"/>
        <v>109.04999999999998</v>
      </c>
      <c r="BB303" s="130">
        <f t="shared" si="1794"/>
        <v>83</v>
      </c>
      <c r="BC303" s="130">
        <f t="shared" si="1795"/>
        <v>60.450000000000045</v>
      </c>
      <c r="BD303" s="130">
        <f t="shared" si="1796"/>
        <v>92.75</v>
      </c>
      <c r="BE303" s="130">
        <f t="shared" si="1797"/>
        <v>90.5</v>
      </c>
      <c r="BF303" s="130">
        <f t="shared" si="1798"/>
        <v>100</v>
      </c>
      <c r="BG303" s="130">
        <f t="shared" si="1799"/>
        <v>100.54999999999995</v>
      </c>
      <c r="BH303" s="130">
        <f t="shared" si="1800"/>
        <v>95</v>
      </c>
      <c r="BI303" s="130">
        <f t="shared" si="1801"/>
        <v>85.350000000000023</v>
      </c>
      <c r="BJ303" s="130">
        <f>AH303</f>
        <v>76.510000000000005</v>
      </c>
      <c r="BK303" s="130">
        <f t="shared" si="1803"/>
        <v>45</v>
      </c>
      <c r="BL303" s="130">
        <f t="shared" si="1804"/>
        <v>0</v>
      </c>
      <c r="BM303" s="408"/>
      <c r="BN303" s="48">
        <f t="shared" si="1739"/>
        <v>241.61</v>
      </c>
      <c r="BO303" s="48">
        <f t="shared" si="1740"/>
        <v>241.61</v>
      </c>
      <c r="BP303" s="48">
        <f t="shared" si="1805"/>
        <v>241.61</v>
      </c>
      <c r="BQ303" s="48">
        <f t="shared" si="1742"/>
        <v>227.95999999999998</v>
      </c>
      <c r="BR303" s="48">
        <f t="shared" si="1743"/>
        <v>227.95999999999998</v>
      </c>
      <c r="BS303" s="48">
        <f t="shared" si="1806"/>
        <v>227.95999999999998</v>
      </c>
      <c r="BT303" s="48">
        <f t="shared" si="1745"/>
        <v>265.8</v>
      </c>
      <c r="BU303" s="48">
        <f t="shared" si="1746"/>
        <v>265.8</v>
      </c>
      <c r="BV303" s="48">
        <f t="shared" si="1807"/>
        <v>265.8</v>
      </c>
      <c r="BW303" s="48">
        <f t="shared" si="1748"/>
        <v>192.45000000000005</v>
      </c>
      <c r="BX303" s="48">
        <f t="shared" si="1749"/>
        <v>192.45000000000005</v>
      </c>
      <c r="BY303" s="48">
        <f t="shared" si="1808"/>
        <v>192.45000000000005</v>
      </c>
      <c r="BZ303" s="48">
        <f t="shared" si="1751"/>
        <v>195.85</v>
      </c>
      <c r="CA303" s="48">
        <f t="shared" si="1752"/>
        <v>195.85</v>
      </c>
      <c r="CB303" s="48">
        <f t="shared" si="1809"/>
        <v>195.85</v>
      </c>
      <c r="CC303" s="48">
        <f t="shared" si="1754"/>
        <v>252.50000000000003</v>
      </c>
      <c r="CD303" s="48">
        <f t="shared" si="1755"/>
        <v>252.50000000000003</v>
      </c>
      <c r="CE303" s="48">
        <f t="shared" si="1810"/>
        <v>252.50000000000003</v>
      </c>
      <c r="CF303" s="48">
        <f t="shared" si="1757"/>
        <v>283.25</v>
      </c>
      <c r="CG303" s="48">
        <f t="shared" si="1758"/>
        <v>283.25</v>
      </c>
      <c r="CH303" s="48">
        <f t="shared" si="1811"/>
        <v>283.25</v>
      </c>
      <c r="CI303" s="48">
        <f t="shared" si="1760"/>
        <v>280.89999999999998</v>
      </c>
      <c r="CJ303" s="48">
        <f t="shared" si="1761"/>
        <v>280.89999999999998</v>
      </c>
      <c r="CK303" s="48">
        <f t="shared" si="1812"/>
        <v>280.89999999999998</v>
      </c>
      <c r="CL303" s="48">
        <f t="shared" si="1763"/>
        <v>121.51</v>
      </c>
      <c r="CM303" s="48">
        <f t="shared" si="1764"/>
        <v>121.51</v>
      </c>
      <c r="CN303" s="48">
        <f t="shared" si="1813"/>
        <v>121.51</v>
      </c>
      <c r="CO303" s="406"/>
      <c r="CP303" s="21">
        <f t="shared" ref="CP303:CP308" si="1839">AL303</f>
        <v>64.06</v>
      </c>
      <c r="CQ303" s="21">
        <f t="shared" ref="CQ303:CQ308" si="1840">CP303+AM303</f>
        <v>165.76</v>
      </c>
      <c r="CR303" s="21">
        <f t="shared" si="1814"/>
        <v>241.61</v>
      </c>
      <c r="CS303" s="21">
        <f t="shared" si="1815"/>
        <v>349.42</v>
      </c>
      <c r="CT303" s="21">
        <f t="shared" si="1816"/>
        <v>422.62</v>
      </c>
      <c r="CU303" s="21">
        <f t="shared" si="1817"/>
        <v>469.57</v>
      </c>
      <c r="CV303" s="21">
        <f t="shared" si="1818"/>
        <v>550.72</v>
      </c>
      <c r="CW303" s="21">
        <f t="shared" si="1819"/>
        <v>645.07000000000005</v>
      </c>
      <c r="CX303" s="21">
        <f t="shared" si="1820"/>
        <v>735.37</v>
      </c>
      <c r="CY303" s="21">
        <f t="shared" si="1821"/>
        <v>848.32</v>
      </c>
      <c r="CZ303" s="21">
        <f t="shared" si="1822"/>
        <v>881.57</v>
      </c>
      <c r="DA303" s="21">
        <f t="shared" si="1823"/>
        <v>927.82</v>
      </c>
      <c r="DB303" s="21">
        <f t="shared" ref="DB303:DB308" si="1841">AX303</f>
        <v>92.2</v>
      </c>
      <c r="DC303" s="21">
        <f t="shared" si="1824"/>
        <v>138.9</v>
      </c>
      <c r="DD303" s="21">
        <f t="shared" si="1825"/>
        <v>195.85</v>
      </c>
      <c r="DE303" s="21">
        <f t="shared" si="1826"/>
        <v>304.89999999999998</v>
      </c>
      <c r="DF303" s="21">
        <f t="shared" si="1827"/>
        <v>387.9</v>
      </c>
      <c r="DG303" s="21">
        <f t="shared" si="1828"/>
        <v>448.35</v>
      </c>
      <c r="DH303" s="21">
        <f t="shared" si="1829"/>
        <v>541.1</v>
      </c>
      <c r="DI303" s="21">
        <f t="shared" si="1830"/>
        <v>631.6</v>
      </c>
      <c r="DJ303" s="21">
        <f t="shared" si="1831"/>
        <v>731.6</v>
      </c>
      <c r="DK303" s="21">
        <f t="shared" si="1832"/>
        <v>832.15</v>
      </c>
      <c r="DL303" s="21">
        <f t="shared" si="1833"/>
        <v>927.15</v>
      </c>
      <c r="DM303" s="21">
        <f t="shared" si="1834"/>
        <v>1012.5</v>
      </c>
      <c r="DN303" s="21">
        <f t="shared" si="1835"/>
        <v>76.510000000000005</v>
      </c>
      <c r="DO303" s="21">
        <f t="shared" si="1836"/>
        <v>121.51</v>
      </c>
      <c r="DP303" s="21">
        <f t="shared" si="1837"/>
        <v>121.51</v>
      </c>
      <c r="DQ303" s="248"/>
      <c r="DR303" s="248"/>
      <c r="DS303" s="248"/>
      <c r="DT303" s="248"/>
      <c r="DU303" s="248"/>
      <c r="DV303" s="248"/>
      <c r="DW303" s="248"/>
      <c r="DX303" s="248"/>
      <c r="DY303" s="248"/>
      <c r="ED303" s="429"/>
      <c r="EE303" s="23"/>
      <c r="EF303" s="23"/>
      <c r="EG303" s="23"/>
      <c r="EH303" s="18">
        <f t="shared" si="1731"/>
        <v>45</v>
      </c>
      <c r="EI303" s="18">
        <f t="shared" si="1732"/>
        <v>121.51</v>
      </c>
      <c r="EJ303" s="18">
        <f t="shared" si="1733"/>
        <v>121.51</v>
      </c>
      <c r="EK303" s="24">
        <f t="shared" si="1774"/>
        <v>0.16666666666666666</v>
      </c>
      <c r="EL303" s="14">
        <f t="shared" si="1779"/>
        <v>0.3</v>
      </c>
      <c r="EM303" s="14">
        <f t="shared" si="1779"/>
        <v>0.48604000000000003</v>
      </c>
      <c r="EN303" s="14">
        <f>EJ303/EK303/EG278</f>
        <v>0.63013008133454207</v>
      </c>
      <c r="EO303" s="46" t="str">
        <f t="shared" si="1780"/>
        <v>È</v>
      </c>
      <c r="EP303" s="46" t="str">
        <f t="shared" si="1781"/>
        <v>È</v>
      </c>
      <c r="EQ303" s="2">
        <f t="shared" si="1736"/>
        <v>3</v>
      </c>
      <c r="ER303" s="2">
        <f t="shared" si="1737"/>
        <v>3</v>
      </c>
      <c r="ES303" s="2">
        <f t="shared" si="1738"/>
        <v>3</v>
      </c>
    </row>
    <row r="304" spans="1:149" ht="12.75" customHeight="1">
      <c r="A304" s="6" t="s">
        <v>23</v>
      </c>
      <c r="B304" s="2" t="s">
        <v>10</v>
      </c>
      <c r="C304" s="3" t="s">
        <v>66</v>
      </c>
      <c r="E304" s="3" t="s">
        <v>16</v>
      </c>
      <c r="G304" s="3" t="s">
        <v>91</v>
      </c>
      <c r="I304" s="23"/>
      <c r="J304" s="19">
        <v>14.6</v>
      </c>
      <c r="K304" s="19">
        <v>37.35</v>
      </c>
      <c r="L304" s="19">
        <v>49.35</v>
      </c>
      <c r="M304" s="19">
        <v>64.349999999999994</v>
      </c>
      <c r="N304" s="19">
        <v>83.8</v>
      </c>
      <c r="O304" s="19">
        <v>93.5</v>
      </c>
      <c r="P304" s="19">
        <v>111.05</v>
      </c>
      <c r="Q304" s="19">
        <v>139.55000000000001</v>
      </c>
      <c r="R304" s="19">
        <v>181.05</v>
      </c>
      <c r="S304" s="19">
        <v>229.75</v>
      </c>
      <c r="T304" s="19">
        <v>231.45</v>
      </c>
      <c r="U304" s="19">
        <v>243.15</v>
      </c>
      <c r="V304" s="31">
        <v>19.25</v>
      </c>
      <c r="W304" s="19">
        <v>47.05</v>
      </c>
      <c r="X304" s="19">
        <v>60.8</v>
      </c>
      <c r="Y304" s="346">
        <v>80.55</v>
      </c>
      <c r="Z304" s="19">
        <v>107.05</v>
      </c>
      <c r="AA304" s="19">
        <v>132.80000000000001</v>
      </c>
      <c r="AB304" s="19">
        <v>185.75</v>
      </c>
      <c r="AC304" s="19">
        <v>209.35</v>
      </c>
      <c r="AD304" s="19">
        <v>255.85</v>
      </c>
      <c r="AE304" s="19">
        <v>307.35000000000002</v>
      </c>
      <c r="AF304" s="19">
        <v>338.1</v>
      </c>
      <c r="AG304" s="19">
        <v>368.5</v>
      </c>
      <c r="AH304" s="31">
        <v>13.01</v>
      </c>
      <c r="AI304" s="19">
        <v>17.260000000000002</v>
      </c>
      <c r="AJ304" s="19"/>
      <c r="AK304" s="408"/>
      <c r="AL304" s="19">
        <f t="shared" si="1766"/>
        <v>14.6</v>
      </c>
      <c r="AM304" s="19">
        <f t="shared" si="1838"/>
        <v>22.75</v>
      </c>
      <c r="AN304" s="19">
        <f t="shared" si="1786"/>
        <v>12</v>
      </c>
      <c r="AO304" s="19">
        <f t="shared" si="1787"/>
        <v>14.999999999999993</v>
      </c>
      <c r="AP304" s="129">
        <f t="shared" si="1788"/>
        <v>19.450000000000003</v>
      </c>
      <c r="AQ304" s="129">
        <f t="shared" si="1789"/>
        <v>9.7000000000000028</v>
      </c>
      <c r="AR304" s="129">
        <f t="shared" si="1722"/>
        <v>17.549999999999997</v>
      </c>
      <c r="AS304" s="129">
        <f t="shared" si="1723"/>
        <v>28.500000000000014</v>
      </c>
      <c r="AT304" s="129">
        <f t="shared" si="1724"/>
        <v>41.5</v>
      </c>
      <c r="AU304" s="129">
        <f t="shared" si="1725"/>
        <v>48.699999999999989</v>
      </c>
      <c r="AV304" s="129">
        <f t="shared" si="1726"/>
        <v>1.6999999999999886</v>
      </c>
      <c r="AW304" s="129">
        <f t="shared" si="1790"/>
        <v>11.700000000000017</v>
      </c>
      <c r="AX304" s="129">
        <f t="shared" si="1783"/>
        <v>19.25</v>
      </c>
      <c r="AY304" s="129">
        <f t="shared" si="1791"/>
        <v>27.799999999999997</v>
      </c>
      <c r="AZ304" s="129">
        <f t="shared" si="1792"/>
        <v>13.75</v>
      </c>
      <c r="BA304" s="129">
        <f t="shared" si="1793"/>
        <v>19.75</v>
      </c>
      <c r="BB304" s="129">
        <f t="shared" si="1794"/>
        <v>26.5</v>
      </c>
      <c r="BC304" s="129">
        <f t="shared" si="1795"/>
        <v>25.750000000000014</v>
      </c>
      <c r="BD304" s="129">
        <f t="shared" si="1796"/>
        <v>52.949999999999989</v>
      </c>
      <c r="BE304" s="129">
        <f t="shared" si="1797"/>
        <v>23.599999999999994</v>
      </c>
      <c r="BF304" s="129">
        <f t="shared" si="1798"/>
        <v>46.5</v>
      </c>
      <c r="BG304" s="129">
        <f t="shared" si="1799"/>
        <v>51.500000000000028</v>
      </c>
      <c r="BH304" s="129">
        <f t="shared" si="1800"/>
        <v>30.75</v>
      </c>
      <c r="BI304" s="129">
        <f t="shared" si="1801"/>
        <v>30.399999999999977</v>
      </c>
      <c r="BJ304" s="129">
        <f t="shared" si="1802"/>
        <v>-355.49</v>
      </c>
      <c r="BK304" s="129">
        <f t="shared" si="1803"/>
        <v>4.2500000000000018</v>
      </c>
      <c r="BL304" s="129">
        <f t="shared" si="1804"/>
        <v>0</v>
      </c>
      <c r="BM304" s="408"/>
      <c r="BN304" s="48">
        <f t="shared" si="1739"/>
        <v>49.35</v>
      </c>
      <c r="BO304" s="48">
        <f t="shared" si="1740"/>
        <v>49.35</v>
      </c>
      <c r="BP304" s="48">
        <f t="shared" si="1805"/>
        <v>49.35</v>
      </c>
      <c r="BQ304" s="48">
        <f t="shared" si="1742"/>
        <v>44.15</v>
      </c>
      <c r="BR304" s="48">
        <f t="shared" si="1743"/>
        <v>44.15</v>
      </c>
      <c r="BS304" s="48">
        <f t="shared" si="1806"/>
        <v>44.15</v>
      </c>
      <c r="BT304" s="48">
        <f t="shared" si="1745"/>
        <v>87.550000000000011</v>
      </c>
      <c r="BU304" s="48">
        <f t="shared" si="1746"/>
        <v>87.550000000000011</v>
      </c>
      <c r="BV304" s="48">
        <f t="shared" si="1807"/>
        <v>87.550000000000011</v>
      </c>
      <c r="BW304" s="48">
        <f t="shared" si="1748"/>
        <v>62.099999999999994</v>
      </c>
      <c r="BX304" s="48">
        <f t="shared" si="1749"/>
        <v>62.099999999999994</v>
      </c>
      <c r="BY304" s="48">
        <f t="shared" si="1808"/>
        <v>62.099999999999994</v>
      </c>
      <c r="BZ304" s="48">
        <f t="shared" si="1751"/>
        <v>60.8</v>
      </c>
      <c r="CA304" s="48">
        <f t="shared" si="1752"/>
        <v>60.8</v>
      </c>
      <c r="CB304" s="48">
        <f t="shared" si="1809"/>
        <v>60.8</v>
      </c>
      <c r="CC304" s="48">
        <f t="shared" si="1754"/>
        <v>72.000000000000014</v>
      </c>
      <c r="CD304" s="48">
        <f t="shared" si="1755"/>
        <v>72.000000000000014</v>
      </c>
      <c r="CE304" s="48">
        <f t="shared" si="1810"/>
        <v>72.000000000000014</v>
      </c>
      <c r="CF304" s="48">
        <f t="shared" si="1757"/>
        <v>123.04999999999998</v>
      </c>
      <c r="CG304" s="48">
        <f t="shared" si="1758"/>
        <v>123.04999999999998</v>
      </c>
      <c r="CH304" s="48">
        <f t="shared" si="1811"/>
        <v>123.04999999999998</v>
      </c>
      <c r="CI304" s="48">
        <f t="shared" si="1760"/>
        <v>112.65</v>
      </c>
      <c r="CJ304" s="48">
        <f t="shared" si="1761"/>
        <v>112.65</v>
      </c>
      <c r="CK304" s="48">
        <f t="shared" si="1812"/>
        <v>112.65</v>
      </c>
      <c r="CL304" s="48">
        <f t="shared" si="1763"/>
        <v>-351.24</v>
      </c>
      <c r="CM304" s="48">
        <f t="shared" si="1764"/>
        <v>-351.24</v>
      </c>
      <c r="CN304" s="48">
        <f t="shared" si="1813"/>
        <v>-351.24</v>
      </c>
      <c r="CO304" s="406"/>
      <c r="CP304" s="21">
        <f t="shared" si="1839"/>
        <v>14.6</v>
      </c>
      <c r="CQ304" s="21">
        <f t="shared" si="1840"/>
        <v>37.35</v>
      </c>
      <c r="CR304" s="21">
        <f t="shared" si="1814"/>
        <v>49.35</v>
      </c>
      <c r="CS304" s="21">
        <f t="shared" si="1815"/>
        <v>64.349999999999994</v>
      </c>
      <c r="CT304" s="21">
        <f t="shared" si="1816"/>
        <v>83.8</v>
      </c>
      <c r="CU304" s="21">
        <f t="shared" si="1817"/>
        <v>93.5</v>
      </c>
      <c r="CV304" s="21">
        <f t="shared" si="1818"/>
        <v>111.05</v>
      </c>
      <c r="CW304" s="21">
        <f t="shared" si="1819"/>
        <v>139.55000000000001</v>
      </c>
      <c r="CX304" s="21">
        <f t="shared" si="1820"/>
        <v>181.05</v>
      </c>
      <c r="CY304" s="21">
        <f t="shared" si="1821"/>
        <v>229.75</v>
      </c>
      <c r="CZ304" s="21">
        <f t="shared" si="1822"/>
        <v>231.45</v>
      </c>
      <c r="DA304" s="21">
        <f t="shared" si="1823"/>
        <v>243.15</v>
      </c>
      <c r="DB304" s="21">
        <f t="shared" si="1841"/>
        <v>19.25</v>
      </c>
      <c r="DC304" s="21">
        <f t="shared" si="1824"/>
        <v>47.05</v>
      </c>
      <c r="DD304" s="21">
        <f t="shared" si="1825"/>
        <v>60.8</v>
      </c>
      <c r="DE304" s="21">
        <f t="shared" si="1826"/>
        <v>80.55</v>
      </c>
      <c r="DF304" s="21">
        <f t="shared" si="1827"/>
        <v>107.05</v>
      </c>
      <c r="DG304" s="21">
        <f t="shared" si="1828"/>
        <v>132.80000000000001</v>
      </c>
      <c r="DH304" s="21">
        <f t="shared" si="1829"/>
        <v>185.75</v>
      </c>
      <c r="DI304" s="21">
        <f t="shared" si="1830"/>
        <v>209.35</v>
      </c>
      <c r="DJ304" s="21">
        <f t="shared" si="1831"/>
        <v>255.85</v>
      </c>
      <c r="DK304" s="21">
        <f t="shared" si="1832"/>
        <v>307.35000000000002</v>
      </c>
      <c r="DL304" s="21">
        <f t="shared" si="1833"/>
        <v>338.1</v>
      </c>
      <c r="DM304" s="21">
        <f t="shared" si="1834"/>
        <v>368.5</v>
      </c>
      <c r="DN304" s="21">
        <f t="shared" si="1835"/>
        <v>-355.49</v>
      </c>
      <c r="DO304" s="21">
        <f t="shared" si="1836"/>
        <v>-351.24</v>
      </c>
      <c r="DP304" s="21">
        <f t="shared" si="1837"/>
        <v>-351.24</v>
      </c>
      <c r="DQ304" s="248"/>
      <c r="DR304" s="248"/>
      <c r="DS304" s="248"/>
      <c r="DT304" s="248"/>
      <c r="DU304" s="248"/>
      <c r="DV304" s="248"/>
      <c r="DW304" s="248"/>
      <c r="DX304" s="248"/>
      <c r="DY304" s="248"/>
      <c r="ED304" s="429"/>
      <c r="EE304" s="23"/>
      <c r="EF304" s="23"/>
      <c r="EG304" s="23"/>
      <c r="EH304" s="18">
        <f t="shared" si="1731"/>
        <v>4.2500000000000018</v>
      </c>
      <c r="EI304" s="18">
        <f t="shared" si="1732"/>
        <v>-351.24</v>
      </c>
      <c r="EJ304" s="18">
        <f t="shared" si="1733"/>
        <v>-351.24</v>
      </c>
      <c r="EK304" s="24">
        <f t="shared" si="1774"/>
        <v>0.16666666666666666</v>
      </c>
      <c r="EL304" s="14" t="e">
        <f t="shared" si="1779"/>
        <v>#DIV/0!</v>
      </c>
      <c r="EM304" s="14" t="e">
        <f t="shared" si="1779"/>
        <v>#DIV/0!</v>
      </c>
      <c r="EN304" s="14">
        <f>EJ304/EK304/EG279</f>
        <v>-10.919400869224596</v>
      </c>
      <c r="EO304" s="46" t="str">
        <f t="shared" si="1780"/>
        <v>Ç</v>
      </c>
      <c r="EP304" s="46">
        <f t="shared" si="1781"/>
        <v>0</v>
      </c>
      <c r="EQ304" s="2" t="e">
        <f t="shared" si="1736"/>
        <v>#DIV/0!</v>
      </c>
      <c r="ER304" s="2" t="e">
        <f t="shared" si="1737"/>
        <v>#DIV/0!</v>
      </c>
      <c r="ES304" s="2">
        <f t="shared" si="1738"/>
        <v>3</v>
      </c>
    </row>
    <row r="305" spans="1:149" ht="12.75" customHeight="1">
      <c r="A305" s="6" t="s">
        <v>23</v>
      </c>
      <c r="B305" s="2" t="s">
        <v>11</v>
      </c>
      <c r="C305" s="3" t="s">
        <v>67</v>
      </c>
      <c r="E305" s="3" t="s">
        <v>16</v>
      </c>
      <c r="G305" s="3" t="s">
        <v>91</v>
      </c>
      <c r="I305" s="23"/>
      <c r="J305" s="19">
        <v>13</v>
      </c>
      <c r="K305" s="19">
        <v>25</v>
      </c>
      <c r="L305" s="19">
        <v>40</v>
      </c>
      <c r="M305" s="19">
        <v>53</v>
      </c>
      <c r="N305" s="19">
        <v>68</v>
      </c>
      <c r="O305" s="19">
        <v>83</v>
      </c>
      <c r="P305" s="19">
        <v>115</v>
      </c>
      <c r="Q305" s="19">
        <v>144</v>
      </c>
      <c r="R305" s="19">
        <v>168</v>
      </c>
      <c r="S305" s="19">
        <v>184</v>
      </c>
      <c r="T305" s="19">
        <v>193</v>
      </c>
      <c r="U305" s="19">
        <v>199</v>
      </c>
      <c r="V305" s="31">
        <v>14</v>
      </c>
      <c r="W305" s="19">
        <v>21</v>
      </c>
      <c r="X305" s="19">
        <v>27</v>
      </c>
      <c r="Y305" s="346">
        <v>47</v>
      </c>
      <c r="Z305" s="19">
        <v>59</v>
      </c>
      <c r="AA305" s="19">
        <v>71</v>
      </c>
      <c r="AB305" s="19">
        <v>88</v>
      </c>
      <c r="AC305" s="19">
        <v>99</v>
      </c>
      <c r="AD305" s="19">
        <v>114</v>
      </c>
      <c r="AE305" s="19">
        <v>129</v>
      </c>
      <c r="AF305" s="19">
        <v>147</v>
      </c>
      <c r="AG305" s="19">
        <v>163</v>
      </c>
      <c r="AH305" s="31">
        <v>14</v>
      </c>
      <c r="AI305" s="19">
        <v>19</v>
      </c>
      <c r="AJ305" s="19"/>
      <c r="AK305" s="408"/>
      <c r="AL305" s="19">
        <f t="shared" si="1766"/>
        <v>13</v>
      </c>
      <c r="AM305" s="19">
        <f t="shared" si="1838"/>
        <v>12</v>
      </c>
      <c r="AN305" s="19">
        <f t="shared" si="1786"/>
        <v>15</v>
      </c>
      <c r="AO305" s="19">
        <f t="shared" si="1787"/>
        <v>13</v>
      </c>
      <c r="AP305" s="129">
        <f t="shared" si="1788"/>
        <v>15</v>
      </c>
      <c r="AQ305" s="129">
        <f t="shared" si="1789"/>
        <v>15</v>
      </c>
      <c r="AR305" s="129">
        <f t="shared" si="1722"/>
        <v>32</v>
      </c>
      <c r="AS305" s="129">
        <f t="shared" si="1723"/>
        <v>29</v>
      </c>
      <c r="AT305" s="129">
        <f t="shared" si="1724"/>
        <v>24</v>
      </c>
      <c r="AU305" s="129">
        <f t="shared" si="1725"/>
        <v>16</v>
      </c>
      <c r="AV305" s="129">
        <f t="shared" si="1726"/>
        <v>9</v>
      </c>
      <c r="AW305" s="129">
        <f t="shared" si="1790"/>
        <v>6</v>
      </c>
      <c r="AX305" s="129">
        <f t="shared" si="1783"/>
        <v>14</v>
      </c>
      <c r="AY305" s="129">
        <f t="shared" si="1791"/>
        <v>7</v>
      </c>
      <c r="AZ305" s="129">
        <f t="shared" si="1792"/>
        <v>6</v>
      </c>
      <c r="BA305" s="129">
        <f t="shared" si="1793"/>
        <v>20</v>
      </c>
      <c r="BB305" s="129">
        <f t="shared" si="1794"/>
        <v>12</v>
      </c>
      <c r="BC305" s="129">
        <f t="shared" si="1795"/>
        <v>12</v>
      </c>
      <c r="BD305" s="129">
        <f t="shared" si="1796"/>
        <v>17</v>
      </c>
      <c r="BE305" s="129">
        <f t="shared" si="1797"/>
        <v>11</v>
      </c>
      <c r="BF305" s="129">
        <f t="shared" si="1798"/>
        <v>15</v>
      </c>
      <c r="BG305" s="129">
        <f t="shared" si="1799"/>
        <v>15</v>
      </c>
      <c r="BH305" s="129">
        <f t="shared" si="1800"/>
        <v>18</v>
      </c>
      <c r="BI305" s="129">
        <f t="shared" si="1801"/>
        <v>16</v>
      </c>
      <c r="BJ305" s="129">
        <f t="shared" si="1802"/>
        <v>-149</v>
      </c>
      <c r="BK305" s="129">
        <f t="shared" si="1803"/>
        <v>5</v>
      </c>
      <c r="BL305" s="129">
        <f t="shared" si="1804"/>
        <v>0</v>
      </c>
      <c r="BM305" s="408"/>
      <c r="BN305" s="48">
        <f t="shared" si="1739"/>
        <v>40</v>
      </c>
      <c r="BO305" s="48">
        <f t="shared" si="1740"/>
        <v>40</v>
      </c>
      <c r="BP305" s="48">
        <f t="shared" si="1805"/>
        <v>40</v>
      </c>
      <c r="BQ305" s="48">
        <f t="shared" si="1742"/>
        <v>43</v>
      </c>
      <c r="BR305" s="48">
        <f t="shared" si="1743"/>
        <v>43</v>
      </c>
      <c r="BS305" s="48">
        <f t="shared" si="1806"/>
        <v>43</v>
      </c>
      <c r="BT305" s="48">
        <f t="shared" si="1745"/>
        <v>85</v>
      </c>
      <c r="BU305" s="48">
        <f t="shared" si="1746"/>
        <v>85</v>
      </c>
      <c r="BV305" s="48">
        <f t="shared" si="1807"/>
        <v>85</v>
      </c>
      <c r="BW305" s="48">
        <f t="shared" si="1748"/>
        <v>31</v>
      </c>
      <c r="BX305" s="48">
        <f t="shared" si="1749"/>
        <v>31</v>
      </c>
      <c r="BY305" s="48">
        <f t="shared" si="1808"/>
        <v>31</v>
      </c>
      <c r="BZ305" s="48">
        <f t="shared" si="1751"/>
        <v>27</v>
      </c>
      <c r="CA305" s="48">
        <f t="shared" si="1752"/>
        <v>27</v>
      </c>
      <c r="CB305" s="48">
        <f t="shared" si="1809"/>
        <v>27</v>
      </c>
      <c r="CC305" s="48">
        <f t="shared" si="1754"/>
        <v>44</v>
      </c>
      <c r="CD305" s="48">
        <f t="shared" si="1755"/>
        <v>44</v>
      </c>
      <c r="CE305" s="48">
        <f t="shared" si="1810"/>
        <v>44</v>
      </c>
      <c r="CF305" s="48">
        <f t="shared" si="1757"/>
        <v>43</v>
      </c>
      <c r="CG305" s="48">
        <f t="shared" si="1758"/>
        <v>43</v>
      </c>
      <c r="CH305" s="48">
        <f t="shared" si="1811"/>
        <v>43</v>
      </c>
      <c r="CI305" s="48">
        <f t="shared" si="1760"/>
        <v>49</v>
      </c>
      <c r="CJ305" s="48">
        <f t="shared" si="1761"/>
        <v>49</v>
      </c>
      <c r="CK305" s="48">
        <f t="shared" si="1812"/>
        <v>49</v>
      </c>
      <c r="CL305" s="48">
        <f t="shared" si="1763"/>
        <v>-144</v>
      </c>
      <c r="CM305" s="48">
        <f t="shared" si="1764"/>
        <v>-144</v>
      </c>
      <c r="CN305" s="48">
        <f t="shared" si="1813"/>
        <v>-144</v>
      </c>
      <c r="CO305" s="406"/>
      <c r="CP305" s="21">
        <f t="shared" si="1839"/>
        <v>13</v>
      </c>
      <c r="CQ305" s="21">
        <f t="shared" si="1840"/>
        <v>25</v>
      </c>
      <c r="CR305" s="21">
        <f t="shared" si="1814"/>
        <v>40</v>
      </c>
      <c r="CS305" s="21">
        <f t="shared" si="1815"/>
        <v>53</v>
      </c>
      <c r="CT305" s="21">
        <f t="shared" si="1816"/>
        <v>68</v>
      </c>
      <c r="CU305" s="21">
        <f t="shared" si="1817"/>
        <v>83</v>
      </c>
      <c r="CV305" s="21">
        <f t="shared" si="1818"/>
        <v>115</v>
      </c>
      <c r="CW305" s="21">
        <f t="shared" si="1819"/>
        <v>144</v>
      </c>
      <c r="CX305" s="21">
        <f t="shared" si="1820"/>
        <v>168</v>
      </c>
      <c r="CY305" s="21">
        <f t="shared" si="1821"/>
        <v>184</v>
      </c>
      <c r="CZ305" s="21">
        <f t="shared" si="1822"/>
        <v>193</v>
      </c>
      <c r="DA305" s="21">
        <f t="shared" si="1823"/>
        <v>199</v>
      </c>
      <c r="DB305" s="21">
        <f t="shared" si="1841"/>
        <v>14</v>
      </c>
      <c r="DC305" s="21">
        <f t="shared" si="1824"/>
        <v>21</v>
      </c>
      <c r="DD305" s="21">
        <f t="shared" si="1825"/>
        <v>27</v>
      </c>
      <c r="DE305" s="21">
        <f t="shared" si="1826"/>
        <v>47</v>
      </c>
      <c r="DF305" s="21">
        <f t="shared" si="1827"/>
        <v>59</v>
      </c>
      <c r="DG305" s="21">
        <f t="shared" si="1828"/>
        <v>71</v>
      </c>
      <c r="DH305" s="21">
        <f t="shared" si="1829"/>
        <v>88</v>
      </c>
      <c r="DI305" s="21">
        <f t="shared" si="1830"/>
        <v>99</v>
      </c>
      <c r="DJ305" s="21">
        <f t="shared" si="1831"/>
        <v>114</v>
      </c>
      <c r="DK305" s="21">
        <f t="shared" si="1832"/>
        <v>129</v>
      </c>
      <c r="DL305" s="21">
        <f t="shared" si="1833"/>
        <v>147</v>
      </c>
      <c r="DM305" s="21">
        <f t="shared" si="1834"/>
        <v>163</v>
      </c>
      <c r="DN305" s="21">
        <f t="shared" si="1835"/>
        <v>-149</v>
      </c>
      <c r="DO305" s="21">
        <f t="shared" si="1836"/>
        <v>-144</v>
      </c>
      <c r="DP305" s="21">
        <f t="shared" si="1837"/>
        <v>-144</v>
      </c>
      <c r="DQ305" s="248"/>
      <c r="DR305" s="248"/>
      <c r="DS305" s="248"/>
      <c r="DT305" s="248"/>
      <c r="DU305" s="248"/>
      <c r="DV305" s="248"/>
      <c r="DW305" s="248"/>
      <c r="DX305" s="248"/>
      <c r="DY305" s="248"/>
      <c r="ED305" s="429"/>
      <c r="EE305" s="23"/>
      <c r="EF305" s="23"/>
      <c r="EG305" s="23"/>
      <c r="EH305" s="18">
        <f t="shared" si="1731"/>
        <v>5</v>
      </c>
      <c r="EI305" s="18">
        <f t="shared" si="1732"/>
        <v>-144</v>
      </c>
      <c r="EJ305" s="18">
        <f t="shared" si="1733"/>
        <v>-144</v>
      </c>
      <c r="EK305" s="24">
        <f t="shared" si="1774"/>
        <v>0.16666666666666666</v>
      </c>
      <c r="EL305" s="14" t="e">
        <f t="shared" si="1779"/>
        <v>#DIV/0!</v>
      </c>
      <c r="EM305" s="14" t="e">
        <f t="shared" si="1779"/>
        <v>#DIV/0!</v>
      </c>
      <c r="EN305" s="14">
        <f>EJ305/EG280</f>
        <v>-1.8947368421052631</v>
      </c>
      <c r="EO305" s="46" t="str">
        <f t="shared" si="1780"/>
        <v>Ç</v>
      </c>
      <c r="EP305" s="46">
        <f t="shared" si="1781"/>
        <v>0</v>
      </c>
      <c r="EQ305" s="2" t="e">
        <f t="shared" si="1736"/>
        <v>#DIV/0!</v>
      </c>
      <c r="ER305" s="2" t="e">
        <f t="shared" si="1737"/>
        <v>#DIV/0!</v>
      </c>
      <c r="ES305" s="2">
        <f t="shared" si="1738"/>
        <v>3</v>
      </c>
    </row>
    <row r="306" spans="1:149" ht="12.75" customHeight="1">
      <c r="A306" s="6" t="s">
        <v>23</v>
      </c>
      <c r="B306" s="2" t="s">
        <v>12</v>
      </c>
      <c r="C306" s="3" t="s">
        <v>68</v>
      </c>
      <c r="E306" s="3" t="s">
        <v>16</v>
      </c>
      <c r="G306" s="3" t="s">
        <v>91</v>
      </c>
      <c r="I306" s="23"/>
      <c r="J306" s="19">
        <v>12</v>
      </c>
      <c r="K306" s="19">
        <v>23</v>
      </c>
      <c r="L306" s="19">
        <v>30</v>
      </c>
      <c r="M306" s="19">
        <v>39</v>
      </c>
      <c r="N306" s="19">
        <v>44</v>
      </c>
      <c r="O306" s="19">
        <v>56</v>
      </c>
      <c r="P306" s="19">
        <v>77</v>
      </c>
      <c r="Q306" s="19">
        <v>104</v>
      </c>
      <c r="R306" s="19">
        <v>121</v>
      </c>
      <c r="S306" s="19">
        <v>138</v>
      </c>
      <c r="T306" s="19">
        <v>142</v>
      </c>
      <c r="U306" s="19">
        <v>150</v>
      </c>
      <c r="V306" s="31">
        <v>16</v>
      </c>
      <c r="W306" s="19">
        <v>24</v>
      </c>
      <c r="X306" s="19">
        <v>34</v>
      </c>
      <c r="Y306" s="346">
        <v>57</v>
      </c>
      <c r="Z306" s="19">
        <v>75</v>
      </c>
      <c r="AA306" s="19">
        <v>89</v>
      </c>
      <c r="AB306" s="19">
        <v>105</v>
      </c>
      <c r="AC306" s="19">
        <v>118</v>
      </c>
      <c r="AD306" s="19">
        <v>131</v>
      </c>
      <c r="AE306" s="19">
        <v>147</v>
      </c>
      <c r="AF306" s="19">
        <v>160</v>
      </c>
      <c r="AG306" s="19">
        <v>170</v>
      </c>
      <c r="AH306" s="31">
        <v>12</v>
      </c>
      <c r="AI306" s="19">
        <v>17</v>
      </c>
      <c r="AJ306" s="19"/>
      <c r="AK306" s="408"/>
      <c r="AL306" s="19">
        <f t="shared" si="1766"/>
        <v>12</v>
      </c>
      <c r="AM306" s="19">
        <f t="shared" si="1838"/>
        <v>11</v>
      </c>
      <c r="AN306" s="19">
        <f t="shared" si="1786"/>
        <v>7</v>
      </c>
      <c r="AO306" s="19">
        <f t="shared" si="1787"/>
        <v>9</v>
      </c>
      <c r="AP306" s="129">
        <f t="shared" si="1788"/>
        <v>5</v>
      </c>
      <c r="AQ306" s="129">
        <f t="shared" si="1789"/>
        <v>12</v>
      </c>
      <c r="AR306" s="129">
        <f t="shared" si="1722"/>
        <v>21</v>
      </c>
      <c r="AS306" s="129">
        <f t="shared" si="1723"/>
        <v>27</v>
      </c>
      <c r="AT306" s="129">
        <f t="shared" si="1724"/>
        <v>17</v>
      </c>
      <c r="AU306" s="129">
        <f t="shared" si="1725"/>
        <v>17</v>
      </c>
      <c r="AV306" s="129">
        <f t="shared" si="1726"/>
        <v>4</v>
      </c>
      <c r="AW306" s="129">
        <f t="shared" si="1790"/>
        <v>8</v>
      </c>
      <c r="AX306" s="129">
        <f t="shared" si="1783"/>
        <v>16</v>
      </c>
      <c r="AY306" s="129">
        <f t="shared" si="1791"/>
        <v>8</v>
      </c>
      <c r="AZ306" s="129">
        <f t="shared" si="1792"/>
        <v>10</v>
      </c>
      <c r="BA306" s="129">
        <f t="shared" si="1793"/>
        <v>23</v>
      </c>
      <c r="BB306" s="129">
        <f t="shared" si="1794"/>
        <v>18</v>
      </c>
      <c r="BC306" s="129">
        <f t="shared" si="1795"/>
        <v>14</v>
      </c>
      <c r="BD306" s="129">
        <f t="shared" si="1796"/>
        <v>16</v>
      </c>
      <c r="BE306" s="129">
        <f t="shared" si="1797"/>
        <v>13</v>
      </c>
      <c r="BF306" s="129">
        <f t="shared" si="1798"/>
        <v>13</v>
      </c>
      <c r="BG306" s="129">
        <f t="shared" si="1799"/>
        <v>16</v>
      </c>
      <c r="BH306" s="129">
        <f t="shared" si="1800"/>
        <v>13</v>
      </c>
      <c r="BI306" s="129">
        <f t="shared" si="1801"/>
        <v>10</v>
      </c>
      <c r="BJ306" s="129">
        <f t="shared" si="1802"/>
        <v>-158</v>
      </c>
      <c r="BK306" s="129">
        <f t="shared" si="1803"/>
        <v>5</v>
      </c>
      <c r="BL306" s="129">
        <f t="shared" si="1804"/>
        <v>0</v>
      </c>
      <c r="BM306" s="408"/>
      <c r="BN306" s="48">
        <f t="shared" si="1739"/>
        <v>30</v>
      </c>
      <c r="BO306" s="48">
        <f t="shared" si="1740"/>
        <v>30</v>
      </c>
      <c r="BP306" s="48">
        <f t="shared" si="1805"/>
        <v>30</v>
      </c>
      <c r="BQ306" s="48">
        <f t="shared" si="1742"/>
        <v>26</v>
      </c>
      <c r="BR306" s="48">
        <f t="shared" si="1743"/>
        <v>26</v>
      </c>
      <c r="BS306" s="48">
        <f t="shared" si="1806"/>
        <v>26</v>
      </c>
      <c r="BT306" s="48">
        <f t="shared" si="1745"/>
        <v>65</v>
      </c>
      <c r="BU306" s="48">
        <f t="shared" si="1746"/>
        <v>65</v>
      </c>
      <c r="BV306" s="48">
        <f t="shared" si="1807"/>
        <v>65</v>
      </c>
      <c r="BW306" s="48">
        <f t="shared" si="1748"/>
        <v>29</v>
      </c>
      <c r="BX306" s="48">
        <f t="shared" si="1749"/>
        <v>29</v>
      </c>
      <c r="BY306" s="48">
        <f t="shared" si="1808"/>
        <v>29</v>
      </c>
      <c r="BZ306" s="48">
        <f t="shared" si="1751"/>
        <v>34</v>
      </c>
      <c r="CA306" s="48">
        <f t="shared" si="1752"/>
        <v>34</v>
      </c>
      <c r="CB306" s="48">
        <f t="shared" si="1809"/>
        <v>34</v>
      </c>
      <c r="CC306" s="48">
        <f t="shared" si="1754"/>
        <v>55</v>
      </c>
      <c r="CD306" s="48">
        <f t="shared" si="1755"/>
        <v>55</v>
      </c>
      <c r="CE306" s="48">
        <f t="shared" si="1810"/>
        <v>55</v>
      </c>
      <c r="CF306" s="48">
        <f t="shared" si="1757"/>
        <v>42</v>
      </c>
      <c r="CG306" s="48">
        <f t="shared" si="1758"/>
        <v>42</v>
      </c>
      <c r="CH306" s="48">
        <f t="shared" si="1811"/>
        <v>42</v>
      </c>
      <c r="CI306" s="48">
        <f t="shared" si="1760"/>
        <v>39</v>
      </c>
      <c r="CJ306" s="48">
        <f t="shared" si="1761"/>
        <v>39</v>
      </c>
      <c r="CK306" s="48">
        <f t="shared" si="1812"/>
        <v>39</v>
      </c>
      <c r="CL306" s="48">
        <f t="shared" si="1763"/>
        <v>-153</v>
      </c>
      <c r="CM306" s="48">
        <f t="shared" si="1764"/>
        <v>-153</v>
      </c>
      <c r="CN306" s="48">
        <f t="shared" si="1813"/>
        <v>-153</v>
      </c>
      <c r="CO306" s="406"/>
      <c r="CP306" s="21">
        <f t="shared" si="1839"/>
        <v>12</v>
      </c>
      <c r="CQ306" s="21">
        <f t="shared" si="1840"/>
        <v>23</v>
      </c>
      <c r="CR306" s="21">
        <f t="shared" si="1814"/>
        <v>30</v>
      </c>
      <c r="CS306" s="21">
        <f t="shared" si="1815"/>
        <v>39</v>
      </c>
      <c r="CT306" s="21">
        <f t="shared" si="1816"/>
        <v>44</v>
      </c>
      <c r="CU306" s="21">
        <f t="shared" si="1817"/>
        <v>56</v>
      </c>
      <c r="CV306" s="21">
        <f t="shared" si="1818"/>
        <v>77</v>
      </c>
      <c r="CW306" s="21">
        <f t="shared" si="1819"/>
        <v>104</v>
      </c>
      <c r="CX306" s="21">
        <f t="shared" si="1820"/>
        <v>121</v>
      </c>
      <c r="CY306" s="21">
        <f t="shared" si="1821"/>
        <v>138</v>
      </c>
      <c r="CZ306" s="21">
        <f t="shared" si="1822"/>
        <v>142</v>
      </c>
      <c r="DA306" s="21">
        <f t="shared" si="1823"/>
        <v>150</v>
      </c>
      <c r="DB306" s="21">
        <f t="shared" si="1841"/>
        <v>16</v>
      </c>
      <c r="DC306" s="21">
        <f t="shared" si="1824"/>
        <v>24</v>
      </c>
      <c r="DD306" s="21">
        <f t="shared" si="1825"/>
        <v>34</v>
      </c>
      <c r="DE306" s="21">
        <f t="shared" si="1826"/>
        <v>57</v>
      </c>
      <c r="DF306" s="21">
        <f t="shared" si="1827"/>
        <v>75</v>
      </c>
      <c r="DG306" s="21">
        <f t="shared" si="1828"/>
        <v>89</v>
      </c>
      <c r="DH306" s="21">
        <f t="shared" si="1829"/>
        <v>105</v>
      </c>
      <c r="DI306" s="21">
        <f t="shared" si="1830"/>
        <v>118</v>
      </c>
      <c r="DJ306" s="21">
        <f t="shared" si="1831"/>
        <v>131</v>
      </c>
      <c r="DK306" s="21">
        <f t="shared" si="1832"/>
        <v>147</v>
      </c>
      <c r="DL306" s="21">
        <f t="shared" si="1833"/>
        <v>160</v>
      </c>
      <c r="DM306" s="21">
        <f t="shared" si="1834"/>
        <v>170</v>
      </c>
      <c r="DN306" s="21">
        <f t="shared" si="1835"/>
        <v>-158</v>
      </c>
      <c r="DO306" s="21">
        <f t="shared" si="1836"/>
        <v>-153</v>
      </c>
      <c r="DP306" s="21">
        <f t="shared" si="1837"/>
        <v>-153</v>
      </c>
      <c r="DQ306" s="248"/>
      <c r="DR306" s="248"/>
      <c r="DS306" s="248"/>
      <c r="DT306" s="248"/>
      <c r="DU306" s="248"/>
      <c r="DV306" s="248"/>
      <c r="DW306" s="248"/>
      <c r="DX306" s="248"/>
      <c r="DY306" s="248"/>
      <c r="ED306" s="429"/>
      <c r="EE306" s="23"/>
      <c r="EF306" s="23"/>
      <c r="EG306" s="23"/>
      <c r="EH306" s="18">
        <f t="shared" si="1731"/>
        <v>5</v>
      </c>
      <c r="EI306" s="18">
        <f t="shared" si="1732"/>
        <v>-153</v>
      </c>
      <c r="EJ306" s="18">
        <f t="shared" si="1733"/>
        <v>-153</v>
      </c>
      <c r="EK306" s="24">
        <f t="shared" si="1774"/>
        <v>0.16666666666666666</v>
      </c>
      <c r="EL306" s="14" t="e">
        <f t="shared" si="1779"/>
        <v>#DIV/0!</v>
      </c>
      <c r="EM306" s="14" t="e">
        <f t="shared" si="1779"/>
        <v>#DIV/0!</v>
      </c>
      <c r="EN306" s="14">
        <f t="shared" si="1779"/>
        <v>-1.4854368932038835</v>
      </c>
      <c r="EO306" s="46" t="str">
        <f t="shared" si="1780"/>
        <v>Ç</v>
      </c>
      <c r="EP306" s="46">
        <f t="shared" si="1781"/>
        <v>0</v>
      </c>
      <c r="EQ306" s="2" t="e">
        <f t="shared" si="1736"/>
        <v>#DIV/0!</v>
      </c>
      <c r="ER306" s="2" t="e">
        <f t="shared" si="1737"/>
        <v>#DIV/0!</v>
      </c>
      <c r="ES306" s="2">
        <f t="shared" si="1738"/>
        <v>3</v>
      </c>
    </row>
    <row r="307" spans="1:149" ht="12.75" customHeight="1">
      <c r="A307" s="6" t="s">
        <v>23</v>
      </c>
      <c r="B307" s="2" t="s">
        <v>17</v>
      </c>
      <c r="C307" s="3" t="s">
        <v>69</v>
      </c>
      <c r="E307" s="3" t="s">
        <v>18</v>
      </c>
      <c r="G307" s="3" t="s">
        <v>91</v>
      </c>
      <c r="I307" s="23"/>
      <c r="J307" s="19">
        <v>0</v>
      </c>
      <c r="K307" s="19">
        <v>0</v>
      </c>
      <c r="L307" s="19">
        <v>2</v>
      </c>
      <c r="M307" s="19">
        <f>L307</f>
        <v>2</v>
      </c>
      <c r="N307" s="19">
        <v>2</v>
      </c>
      <c r="O307" s="19">
        <v>2</v>
      </c>
      <c r="P307" s="19">
        <v>4</v>
      </c>
      <c r="Q307" s="19">
        <v>4</v>
      </c>
      <c r="R307" s="19">
        <v>4</v>
      </c>
      <c r="S307" s="19">
        <v>4</v>
      </c>
      <c r="T307" s="19">
        <v>7</v>
      </c>
      <c r="U307" s="19">
        <v>7</v>
      </c>
      <c r="V307" s="31">
        <v>0</v>
      </c>
      <c r="W307" s="19">
        <v>2</v>
      </c>
      <c r="X307" s="19">
        <v>2</v>
      </c>
      <c r="Y307" s="346">
        <v>2</v>
      </c>
      <c r="Z307" s="19">
        <v>2</v>
      </c>
      <c r="AA307" s="19">
        <v>2</v>
      </c>
      <c r="AB307" s="19">
        <v>4</v>
      </c>
      <c r="AC307" s="19">
        <v>4</v>
      </c>
      <c r="AD307" s="19">
        <v>4</v>
      </c>
      <c r="AE307" s="19">
        <v>4</v>
      </c>
      <c r="AF307" s="19"/>
      <c r="AG307" s="19">
        <v>2</v>
      </c>
      <c r="AH307" s="31"/>
      <c r="AI307" s="19"/>
      <c r="AJ307" s="19"/>
      <c r="AK307" s="408"/>
      <c r="AL307" s="19">
        <f t="shared" si="1766"/>
        <v>0</v>
      </c>
      <c r="AM307" s="19">
        <f t="shared" si="1838"/>
        <v>0</v>
      </c>
      <c r="AN307" s="19">
        <f t="shared" si="1786"/>
        <v>2</v>
      </c>
      <c r="AO307" s="19">
        <f t="shared" si="1787"/>
        <v>0</v>
      </c>
      <c r="AP307" s="129">
        <f t="shared" si="1788"/>
        <v>0</v>
      </c>
      <c r="AQ307" s="129">
        <f t="shared" si="1789"/>
        <v>0</v>
      </c>
      <c r="AR307" s="129">
        <f t="shared" si="1722"/>
        <v>2</v>
      </c>
      <c r="AS307" s="129">
        <f t="shared" si="1723"/>
        <v>0</v>
      </c>
      <c r="AT307" s="129">
        <f t="shared" si="1724"/>
        <v>0</v>
      </c>
      <c r="AU307" s="129">
        <f t="shared" si="1725"/>
        <v>0</v>
      </c>
      <c r="AV307" s="129">
        <f t="shared" si="1726"/>
        <v>3</v>
      </c>
      <c r="AW307" s="129">
        <f t="shared" si="1790"/>
        <v>0</v>
      </c>
      <c r="AX307" s="129">
        <f t="shared" si="1783"/>
        <v>0</v>
      </c>
      <c r="AY307" s="129">
        <f t="shared" si="1791"/>
        <v>2</v>
      </c>
      <c r="AZ307" s="129">
        <f t="shared" si="1792"/>
        <v>0</v>
      </c>
      <c r="BA307" s="129">
        <f t="shared" si="1793"/>
        <v>0</v>
      </c>
      <c r="BB307" s="129">
        <f t="shared" si="1794"/>
        <v>0</v>
      </c>
      <c r="BC307" s="129">
        <f t="shared" si="1795"/>
        <v>0</v>
      </c>
      <c r="BD307" s="129">
        <f t="shared" si="1796"/>
        <v>2</v>
      </c>
      <c r="BE307" s="129">
        <f t="shared" si="1797"/>
        <v>0</v>
      </c>
      <c r="BF307" s="129">
        <f t="shared" si="1798"/>
        <v>0</v>
      </c>
      <c r="BG307" s="129">
        <f t="shared" si="1799"/>
        <v>0</v>
      </c>
      <c r="BH307" s="129">
        <f t="shared" si="1800"/>
        <v>0</v>
      </c>
      <c r="BI307" s="129">
        <f t="shared" si="1801"/>
        <v>2</v>
      </c>
      <c r="BJ307" s="129">
        <f t="shared" si="1802"/>
        <v>0</v>
      </c>
      <c r="BK307" s="129">
        <f t="shared" si="1803"/>
        <v>0</v>
      </c>
      <c r="BL307" s="129">
        <f t="shared" si="1804"/>
        <v>0</v>
      </c>
      <c r="BM307" s="408"/>
      <c r="BN307" s="48">
        <f t="shared" si="1739"/>
        <v>2</v>
      </c>
      <c r="BO307" s="48">
        <f t="shared" si="1740"/>
        <v>2</v>
      </c>
      <c r="BP307" s="48">
        <f t="shared" si="1805"/>
        <v>2</v>
      </c>
      <c r="BQ307" s="48">
        <f t="shared" si="1742"/>
        <v>0</v>
      </c>
      <c r="BR307" s="48">
        <f t="shared" si="1743"/>
        <v>0</v>
      </c>
      <c r="BS307" s="48">
        <f t="shared" si="1806"/>
        <v>0</v>
      </c>
      <c r="BT307" s="48">
        <f t="shared" si="1745"/>
        <v>2</v>
      </c>
      <c r="BU307" s="48">
        <f t="shared" si="1746"/>
        <v>2</v>
      </c>
      <c r="BV307" s="48">
        <f t="shared" si="1807"/>
        <v>2</v>
      </c>
      <c r="BW307" s="48">
        <f t="shared" si="1748"/>
        <v>3</v>
      </c>
      <c r="BX307" s="48">
        <f t="shared" si="1749"/>
        <v>3</v>
      </c>
      <c r="BY307" s="48">
        <f t="shared" si="1808"/>
        <v>3</v>
      </c>
      <c r="BZ307" s="48">
        <f t="shared" si="1751"/>
        <v>2</v>
      </c>
      <c r="CA307" s="48">
        <f t="shared" si="1752"/>
        <v>2</v>
      </c>
      <c r="CB307" s="48">
        <f t="shared" si="1809"/>
        <v>2</v>
      </c>
      <c r="CC307" s="48">
        <f t="shared" si="1754"/>
        <v>0</v>
      </c>
      <c r="CD307" s="48">
        <f t="shared" si="1755"/>
        <v>0</v>
      </c>
      <c r="CE307" s="48">
        <f t="shared" si="1810"/>
        <v>0</v>
      </c>
      <c r="CF307" s="48">
        <f t="shared" si="1757"/>
        <v>2</v>
      </c>
      <c r="CG307" s="48">
        <f t="shared" si="1758"/>
        <v>2</v>
      </c>
      <c r="CH307" s="48">
        <f t="shared" si="1811"/>
        <v>2</v>
      </c>
      <c r="CI307" s="48">
        <f t="shared" si="1760"/>
        <v>2</v>
      </c>
      <c r="CJ307" s="48">
        <f t="shared" si="1761"/>
        <v>2</v>
      </c>
      <c r="CK307" s="48">
        <f t="shared" si="1812"/>
        <v>2</v>
      </c>
      <c r="CL307" s="48">
        <f t="shared" si="1763"/>
        <v>0</v>
      </c>
      <c r="CM307" s="48">
        <f t="shared" si="1764"/>
        <v>0</v>
      </c>
      <c r="CN307" s="48">
        <f t="shared" si="1813"/>
        <v>0</v>
      </c>
      <c r="CO307" s="406"/>
      <c r="CP307" s="21">
        <f t="shared" si="1839"/>
        <v>0</v>
      </c>
      <c r="CQ307" s="21">
        <f t="shared" si="1840"/>
        <v>0</v>
      </c>
      <c r="CR307" s="21">
        <f t="shared" si="1814"/>
        <v>2</v>
      </c>
      <c r="CS307" s="21">
        <f t="shared" si="1815"/>
        <v>2</v>
      </c>
      <c r="CT307" s="21">
        <f t="shared" si="1816"/>
        <v>2</v>
      </c>
      <c r="CU307" s="21">
        <f t="shared" si="1817"/>
        <v>2</v>
      </c>
      <c r="CV307" s="21">
        <f t="shared" si="1818"/>
        <v>4</v>
      </c>
      <c r="CW307" s="21">
        <f t="shared" si="1819"/>
        <v>4</v>
      </c>
      <c r="CX307" s="21">
        <f t="shared" si="1820"/>
        <v>4</v>
      </c>
      <c r="CY307" s="21">
        <f t="shared" si="1821"/>
        <v>4</v>
      </c>
      <c r="CZ307" s="21">
        <f t="shared" si="1822"/>
        <v>7</v>
      </c>
      <c r="DA307" s="21">
        <f t="shared" si="1823"/>
        <v>7</v>
      </c>
      <c r="DB307" s="21">
        <f t="shared" si="1841"/>
        <v>0</v>
      </c>
      <c r="DC307" s="21">
        <f t="shared" si="1824"/>
        <v>2</v>
      </c>
      <c r="DD307" s="21">
        <f t="shared" si="1825"/>
        <v>2</v>
      </c>
      <c r="DE307" s="21">
        <f t="shared" si="1826"/>
        <v>2</v>
      </c>
      <c r="DF307" s="21">
        <f t="shared" si="1827"/>
        <v>2</v>
      </c>
      <c r="DG307" s="21">
        <f t="shared" si="1828"/>
        <v>2</v>
      </c>
      <c r="DH307" s="21">
        <f t="shared" si="1829"/>
        <v>4</v>
      </c>
      <c r="DI307" s="21">
        <f t="shared" si="1830"/>
        <v>4</v>
      </c>
      <c r="DJ307" s="21">
        <f t="shared" si="1831"/>
        <v>4</v>
      </c>
      <c r="DK307" s="21">
        <f t="shared" si="1832"/>
        <v>4</v>
      </c>
      <c r="DL307" s="21">
        <f t="shared" si="1833"/>
        <v>4</v>
      </c>
      <c r="DM307" s="21">
        <f t="shared" si="1834"/>
        <v>6</v>
      </c>
      <c r="DN307" s="21">
        <f t="shared" si="1835"/>
        <v>0</v>
      </c>
      <c r="DO307" s="21">
        <f t="shared" si="1836"/>
        <v>0</v>
      </c>
      <c r="DP307" s="21">
        <f t="shared" si="1837"/>
        <v>0</v>
      </c>
      <c r="DQ307" s="248"/>
      <c r="DR307" s="248"/>
      <c r="DS307" s="248"/>
      <c r="DT307" s="248"/>
      <c r="DU307" s="248"/>
      <c r="DV307" s="248"/>
      <c r="DW307" s="248"/>
      <c r="DX307" s="248"/>
      <c r="DY307" s="248"/>
      <c r="ED307" s="429"/>
      <c r="EE307" s="23"/>
      <c r="EF307" s="23"/>
      <c r="EG307" s="23"/>
      <c r="EH307" s="18">
        <f t="shared" si="1731"/>
        <v>0</v>
      </c>
      <c r="EI307" s="18">
        <f t="shared" si="1732"/>
        <v>0</v>
      </c>
      <c r="EJ307" s="18">
        <f t="shared" si="1733"/>
        <v>0</v>
      </c>
      <c r="EK307" s="24">
        <f t="shared" si="1774"/>
        <v>0.16666666666666666</v>
      </c>
      <c r="EL307" s="14">
        <f>IF(EE282=0,0,EH307/EE282)</f>
        <v>0</v>
      </c>
      <c r="EM307" s="14" t="str">
        <f>IF(EF282=0,"",EI307/EF282)</f>
        <v/>
      </c>
      <c r="EN307" s="14">
        <f t="shared" si="1779"/>
        <v>0</v>
      </c>
      <c r="EO307" s="46" t="str">
        <f t="shared" si="1780"/>
        <v>Æ</v>
      </c>
      <c r="EP307" s="46" t="str">
        <f t="shared" si="1781"/>
        <v>Æ</v>
      </c>
      <c r="EQ307" s="24" t="str">
        <f>IF(EJ282&lt;&gt;0,EM307/EJ282,"N/A")</f>
        <v>N/A</v>
      </c>
      <c r="ER307" s="2">
        <f>IF(EM307&gt;=0.9,1,IF(EM307&gt;0.75,2,3))</f>
        <v>1</v>
      </c>
      <c r="ES307" s="2">
        <f>IF(EN307="","",IF(EN307&gt;=0.9,1,IF(EN307&lt;0.75,3,2)))</f>
        <v>3</v>
      </c>
    </row>
    <row r="308" spans="1:149" ht="12.75" customHeight="1">
      <c r="A308" s="6" t="s">
        <v>23</v>
      </c>
      <c r="B308" s="324" t="s">
        <v>202</v>
      </c>
      <c r="C308" s="3" t="s">
        <v>70</v>
      </c>
      <c r="E308" s="3" t="s">
        <v>15</v>
      </c>
      <c r="G308" s="3" t="s">
        <v>91</v>
      </c>
      <c r="I308" s="23"/>
      <c r="J308" s="19">
        <v>0</v>
      </c>
      <c r="K308" s="19">
        <v>0</v>
      </c>
      <c r="L308" s="19">
        <v>0</v>
      </c>
      <c r="M308" s="19">
        <v>0</v>
      </c>
      <c r="N308" s="19">
        <v>0</v>
      </c>
      <c r="O308" s="19">
        <v>1</v>
      </c>
      <c r="P308" s="19">
        <v>2</v>
      </c>
      <c r="Q308" s="19">
        <v>2</v>
      </c>
      <c r="R308" s="19">
        <v>2</v>
      </c>
      <c r="S308" s="19">
        <v>2</v>
      </c>
      <c r="T308" s="19">
        <v>2</v>
      </c>
      <c r="U308" s="19">
        <v>4</v>
      </c>
      <c r="V308" s="31">
        <v>0</v>
      </c>
      <c r="W308" s="19">
        <v>0</v>
      </c>
      <c r="X308" s="19">
        <v>0</v>
      </c>
      <c r="Y308" s="346">
        <v>0</v>
      </c>
      <c r="Z308" s="19">
        <v>0</v>
      </c>
      <c r="AA308" s="19">
        <v>0</v>
      </c>
      <c r="AB308" s="19">
        <v>2</v>
      </c>
      <c r="AC308" s="19">
        <v>2</v>
      </c>
      <c r="AD308" s="19">
        <v>2</v>
      </c>
      <c r="AE308" s="19">
        <v>2</v>
      </c>
      <c r="AF308" s="19">
        <v>2</v>
      </c>
      <c r="AG308" s="19">
        <v>5</v>
      </c>
      <c r="AH308" s="31"/>
      <c r="AI308" s="19"/>
      <c r="AJ308" s="19"/>
      <c r="AK308" s="408"/>
      <c r="AL308" s="40">
        <f t="shared" si="1766"/>
        <v>0</v>
      </c>
      <c r="AM308" s="40">
        <f t="shared" si="1838"/>
        <v>0</v>
      </c>
      <c r="AN308" s="40">
        <f t="shared" si="1786"/>
        <v>0</v>
      </c>
      <c r="AO308" s="40">
        <f t="shared" si="1787"/>
        <v>0</v>
      </c>
      <c r="AP308" s="40">
        <f t="shared" ref="AP308:AW308" si="1842">N308-M308</f>
        <v>0</v>
      </c>
      <c r="AQ308" s="40">
        <f t="shared" si="1842"/>
        <v>1</v>
      </c>
      <c r="AR308" s="40">
        <f t="shared" si="1842"/>
        <v>1</v>
      </c>
      <c r="AS308" s="40">
        <f t="shared" si="1842"/>
        <v>0</v>
      </c>
      <c r="AT308" s="40">
        <f t="shared" si="1842"/>
        <v>0</v>
      </c>
      <c r="AU308" s="40">
        <f t="shared" si="1842"/>
        <v>0</v>
      </c>
      <c r="AV308" s="40">
        <f t="shared" si="1842"/>
        <v>0</v>
      </c>
      <c r="AW308" s="40">
        <f t="shared" si="1842"/>
        <v>2</v>
      </c>
      <c r="AX308" s="40">
        <f>V308</f>
        <v>0</v>
      </c>
      <c r="AY308" s="40">
        <f t="shared" ref="AY308:BL308" si="1843">W308-V308</f>
        <v>0</v>
      </c>
      <c r="AZ308" s="40">
        <f t="shared" si="1843"/>
        <v>0</v>
      </c>
      <c r="BA308" s="40">
        <f t="shared" si="1843"/>
        <v>0</v>
      </c>
      <c r="BB308" s="40">
        <f t="shared" si="1843"/>
        <v>0</v>
      </c>
      <c r="BC308" s="40">
        <f t="shared" si="1843"/>
        <v>0</v>
      </c>
      <c r="BD308" s="40">
        <f t="shared" si="1843"/>
        <v>2</v>
      </c>
      <c r="BE308" s="40">
        <f t="shared" si="1843"/>
        <v>0</v>
      </c>
      <c r="BF308" s="40">
        <f t="shared" si="1843"/>
        <v>0</v>
      </c>
      <c r="BG308" s="40">
        <f t="shared" si="1843"/>
        <v>0</v>
      </c>
      <c r="BH308" s="40">
        <f t="shared" si="1843"/>
        <v>0</v>
      </c>
      <c r="BI308" s="40">
        <f t="shared" si="1843"/>
        <v>3</v>
      </c>
      <c r="BJ308" s="40">
        <f t="shared" si="1843"/>
        <v>-5</v>
      </c>
      <c r="BK308" s="40">
        <f t="shared" si="1843"/>
        <v>0</v>
      </c>
      <c r="BL308" s="40">
        <f t="shared" si="1843"/>
        <v>0</v>
      </c>
      <c r="BM308" s="408"/>
      <c r="BN308" s="48">
        <f t="shared" si="1739"/>
        <v>0</v>
      </c>
      <c r="BO308" s="48">
        <f t="shared" si="1740"/>
        <v>0</v>
      </c>
      <c r="BP308" s="48">
        <f>SUM(AL308:AN308)</f>
        <v>0</v>
      </c>
      <c r="BQ308" s="48">
        <f t="shared" si="1742"/>
        <v>1</v>
      </c>
      <c r="BR308" s="48">
        <f t="shared" si="1743"/>
        <v>1</v>
      </c>
      <c r="BS308" s="48">
        <f>SUM(AO308:AQ308)</f>
        <v>1</v>
      </c>
      <c r="BT308" s="48">
        <f t="shared" si="1745"/>
        <v>1</v>
      </c>
      <c r="BU308" s="48">
        <f t="shared" si="1746"/>
        <v>1</v>
      </c>
      <c r="BV308" s="48">
        <f>SUM(AR308:AT308)</f>
        <v>1</v>
      </c>
      <c r="BW308" s="48">
        <f t="shared" si="1748"/>
        <v>2</v>
      </c>
      <c r="BX308" s="48">
        <f t="shared" si="1749"/>
        <v>2</v>
      </c>
      <c r="BY308" s="48">
        <f>SUM(AU308:AW308)</f>
        <v>2</v>
      </c>
      <c r="BZ308" s="48">
        <f t="shared" si="1751"/>
        <v>0</v>
      </c>
      <c r="CA308" s="48">
        <f t="shared" si="1752"/>
        <v>0</v>
      </c>
      <c r="CB308" s="48">
        <f>SUM(AX308:AZ308)</f>
        <v>0</v>
      </c>
      <c r="CC308" s="48">
        <f t="shared" si="1754"/>
        <v>0</v>
      </c>
      <c r="CD308" s="48">
        <f t="shared" si="1755"/>
        <v>0</v>
      </c>
      <c r="CE308" s="48">
        <f>SUM(BA308:BC308)</f>
        <v>0</v>
      </c>
      <c r="CF308" s="48">
        <f t="shared" si="1757"/>
        <v>2</v>
      </c>
      <c r="CG308" s="48">
        <f t="shared" si="1758"/>
        <v>2</v>
      </c>
      <c r="CH308" s="48">
        <f>SUM(BD308:BF308)</f>
        <v>2</v>
      </c>
      <c r="CI308" s="48">
        <f t="shared" si="1760"/>
        <v>3</v>
      </c>
      <c r="CJ308" s="48">
        <f t="shared" si="1761"/>
        <v>3</v>
      </c>
      <c r="CK308" s="48">
        <f>SUM(BG308:BI308)</f>
        <v>3</v>
      </c>
      <c r="CL308" s="48">
        <f t="shared" si="1763"/>
        <v>-5</v>
      </c>
      <c r="CM308" s="48">
        <f t="shared" si="1764"/>
        <v>-5</v>
      </c>
      <c r="CN308" s="48">
        <f>SUM(BJ308:BL308)</f>
        <v>-5</v>
      </c>
      <c r="CO308" s="406"/>
      <c r="CP308" s="48">
        <f t="shared" si="1839"/>
        <v>0</v>
      </c>
      <c r="CQ308" s="48">
        <f t="shared" si="1840"/>
        <v>0</v>
      </c>
      <c r="CR308" s="48">
        <f t="shared" si="1814"/>
        <v>0</v>
      </c>
      <c r="CS308" s="48">
        <f t="shared" si="1815"/>
        <v>0</v>
      </c>
      <c r="CT308" s="48">
        <f t="shared" si="1816"/>
        <v>0</v>
      </c>
      <c r="CU308" s="48">
        <f t="shared" si="1817"/>
        <v>1</v>
      </c>
      <c r="CV308" s="48">
        <f t="shared" si="1818"/>
        <v>2</v>
      </c>
      <c r="CW308" s="48">
        <f t="shared" si="1819"/>
        <v>2</v>
      </c>
      <c r="CX308" s="48">
        <f t="shared" si="1820"/>
        <v>2</v>
      </c>
      <c r="CY308" s="48">
        <f t="shared" si="1821"/>
        <v>2</v>
      </c>
      <c r="CZ308" s="48">
        <f t="shared" si="1822"/>
        <v>2</v>
      </c>
      <c r="DA308" s="48">
        <f t="shared" si="1823"/>
        <v>4</v>
      </c>
      <c r="DB308" s="48">
        <f t="shared" si="1841"/>
        <v>0</v>
      </c>
      <c r="DC308" s="48">
        <f t="shared" si="1824"/>
        <v>0</v>
      </c>
      <c r="DD308" s="48">
        <f t="shared" si="1825"/>
        <v>0</v>
      </c>
      <c r="DE308" s="48">
        <f t="shared" si="1826"/>
        <v>0</v>
      </c>
      <c r="DF308" s="48">
        <f t="shared" si="1827"/>
        <v>0</v>
      </c>
      <c r="DG308" s="48">
        <f t="shared" si="1828"/>
        <v>0</v>
      </c>
      <c r="DH308" s="48">
        <f t="shared" si="1829"/>
        <v>2</v>
      </c>
      <c r="DI308" s="48">
        <f t="shared" si="1830"/>
        <v>2</v>
      </c>
      <c r="DJ308" s="48">
        <f t="shared" si="1831"/>
        <v>2</v>
      </c>
      <c r="DK308" s="48">
        <f t="shared" si="1832"/>
        <v>2</v>
      </c>
      <c r="DL308" s="48">
        <f t="shared" si="1833"/>
        <v>2</v>
      </c>
      <c r="DM308" s="48">
        <f t="shared" si="1834"/>
        <v>5</v>
      </c>
      <c r="DN308" s="48">
        <f>DM308+BJ308</f>
        <v>0</v>
      </c>
      <c r="DO308" s="48">
        <f t="shared" si="1836"/>
        <v>0</v>
      </c>
      <c r="DP308" s="48">
        <f t="shared" si="1837"/>
        <v>0</v>
      </c>
      <c r="DQ308" s="48"/>
      <c r="DR308" s="48"/>
      <c r="DS308" s="48"/>
      <c r="DT308" s="48"/>
      <c r="DU308" s="48"/>
      <c r="DV308" s="48"/>
      <c r="DW308" s="48"/>
      <c r="DX308" s="48"/>
      <c r="DY308" s="48"/>
      <c r="ED308" s="429"/>
      <c r="EE308" s="23"/>
      <c r="EF308" s="23"/>
      <c r="EG308" s="23"/>
      <c r="EH308" s="18">
        <f t="shared" si="1731"/>
        <v>0</v>
      </c>
      <c r="EI308" s="18">
        <f t="shared" si="1732"/>
        <v>-5</v>
      </c>
      <c r="EJ308" s="18">
        <f t="shared" si="1733"/>
        <v>0</v>
      </c>
      <c r="EK308" s="24">
        <f>IF(EK266&lt;6,0.5,IF(AND(EK266&gt;=6,EK266&lt;12),0.5,1))</f>
        <v>0.5</v>
      </c>
      <c r="EL308" s="14">
        <f>IF(EE283=0,0,EH308/EE283)</f>
        <v>0</v>
      </c>
      <c r="EM308" s="14">
        <f>IF(EF283=0,0,EI308/EF283)</f>
        <v>1.25</v>
      </c>
      <c r="EN308" s="14">
        <f>IF(EG283="","",EJ308/EG283)</f>
        <v>0</v>
      </c>
      <c r="EO308" s="46" t="str">
        <f t="shared" si="1780"/>
        <v>Æ</v>
      </c>
      <c r="EP308" s="46">
        <f t="shared" si="1781"/>
        <v>0</v>
      </c>
      <c r="EQ308" s="24" t="str">
        <f>IF(EJ283&lt;&gt;0,EM308/EJ283,"N/A")</f>
        <v>N/A</v>
      </c>
      <c r="ER308" s="24" t="str">
        <f>IF(EK283&lt;&gt;0,EN308/EK283,"N/A")</f>
        <v>N/A</v>
      </c>
      <c r="ES308" s="2">
        <f>IF(EN308="","",IF(EN308&gt;=0.9,1,IF(EN308&lt;0.75,3,2)))</f>
        <v>3</v>
      </c>
    </row>
    <row r="309" spans="1:149" ht="12.75" customHeight="1">
      <c r="A309" s="6" t="s">
        <v>23</v>
      </c>
      <c r="B309" s="2" t="s">
        <v>13</v>
      </c>
      <c r="C309" s="3" t="s">
        <v>71</v>
      </c>
      <c r="E309" s="3" t="s">
        <v>15</v>
      </c>
      <c r="G309" s="3" t="s">
        <v>91</v>
      </c>
      <c r="I309" s="23"/>
      <c r="J309" s="19">
        <v>0</v>
      </c>
      <c r="K309" s="19">
        <f>J309</f>
        <v>0</v>
      </c>
      <c r="L309" s="19">
        <v>11496</v>
      </c>
      <c r="M309" s="19">
        <f>L309</f>
        <v>11496</v>
      </c>
      <c r="N309" s="19">
        <f>M309</f>
        <v>11496</v>
      </c>
      <c r="O309" s="19">
        <v>11495.96</v>
      </c>
      <c r="P309" s="19">
        <v>21826.92</v>
      </c>
      <c r="Q309" s="263">
        <f>P309</f>
        <v>21826.92</v>
      </c>
      <c r="R309" s="263">
        <f>Q309</f>
        <v>21826.92</v>
      </c>
      <c r="S309" s="19">
        <v>21827</v>
      </c>
      <c r="T309" s="19">
        <v>21827</v>
      </c>
      <c r="U309" s="19">
        <v>21827</v>
      </c>
      <c r="V309" s="31">
        <v>0</v>
      </c>
      <c r="W309" s="19">
        <v>0</v>
      </c>
      <c r="X309" s="19">
        <v>0</v>
      </c>
      <c r="Y309" s="346">
        <v>0</v>
      </c>
      <c r="Z309" s="19">
        <v>0</v>
      </c>
      <c r="AA309" s="19">
        <v>0</v>
      </c>
      <c r="AB309" s="263">
        <v>41995.25</v>
      </c>
      <c r="AC309" s="19">
        <v>0</v>
      </c>
      <c r="AD309" s="19">
        <v>0</v>
      </c>
      <c r="AE309" s="19">
        <v>0</v>
      </c>
      <c r="AF309" s="19">
        <v>0</v>
      </c>
      <c r="AG309" s="19"/>
      <c r="AH309" s="404">
        <v>20556.96</v>
      </c>
      <c r="AI309" s="19"/>
      <c r="AJ309" s="19"/>
      <c r="AK309" s="408"/>
      <c r="AL309" s="19">
        <f t="shared" si="1766"/>
        <v>0</v>
      </c>
      <c r="AM309" s="19"/>
      <c r="AN309" s="19"/>
      <c r="AO309" s="19"/>
      <c r="AP309" s="19"/>
      <c r="AQ309" s="19">
        <f t="shared" si="1789"/>
        <v>-4.0000000000873115E-2</v>
      </c>
      <c r="AR309" s="19">
        <f t="shared" si="1722"/>
        <v>10330.959999999999</v>
      </c>
      <c r="AS309" s="19">
        <f t="shared" si="1723"/>
        <v>0</v>
      </c>
      <c r="AT309" s="19"/>
      <c r="AU309" s="19"/>
      <c r="AV309" s="19">
        <f t="shared" si="1726"/>
        <v>0</v>
      </c>
      <c r="AW309" s="246">
        <f t="shared" si="1790"/>
        <v>0</v>
      </c>
      <c r="AX309" s="129">
        <f t="shared" si="1783"/>
        <v>0</v>
      </c>
      <c r="AY309" s="246">
        <f t="shared" si="1791"/>
        <v>0</v>
      </c>
      <c r="AZ309" s="246">
        <f t="shared" si="1792"/>
        <v>0</v>
      </c>
      <c r="BA309" s="246">
        <f t="shared" si="1793"/>
        <v>0</v>
      </c>
      <c r="BB309" s="246">
        <f t="shared" si="1794"/>
        <v>0</v>
      </c>
      <c r="BC309" s="246">
        <f t="shared" si="1795"/>
        <v>0</v>
      </c>
      <c r="BD309" s="246">
        <f t="shared" si="1796"/>
        <v>41995.25</v>
      </c>
      <c r="BE309" s="246">
        <f t="shared" si="1797"/>
        <v>-41995.25</v>
      </c>
      <c r="BF309" s="246">
        <f t="shared" si="1798"/>
        <v>0</v>
      </c>
      <c r="BG309" s="246">
        <f t="shared" si="1799"/>
        <v>0</v>
      </c>
      <c r="BH309" s="246">
        <f t="shared" si="1800"/>
        <v>0</v>
      </c>
      <c r="BI309" s="246">
        <f t="shared" si="1801"/>
        <v>0</v>
      </c>
      <c r="BJ309" s="246">
        <f t="shared" si="1802"/>
        <v>20556.96</v>
      </c>
      <c r="BK309" s="246">
        <f t="shared" si="1803"/>
        <v>0</v>
      </c>
      <c r="BL309" s="246">
        <f t="shared" si="1804"/>
        <v>0</v>
      </c>
      <c r="BM309" s="408"/>
      <c r="BN309" s="40" t="s">
        <v>97</v>
      </c>
      <c r="BO309" s="40" t="s">
        <v>97</v>
      </c>
      <c r="BP309" s="40" t="s">
        <v>97</v>
      </c>
      <c r="BQ309" s="40" t="s">
        <v>97</v>
      </c>
      <c r="BR309" s="40" t="s">
        <v>97</v>
      </c>
      <c r="BS309" s="40" t="s">
        <v>97</v>
      </c>
      <c r="BT309" s="40" t="s">
        <v>97</v>
      </c>
      <c r="BU309" s="40" t="s">
        <v>97</v>
      </c>
      <c r="BV309" s="40" t="s">
        <v>97</v>
      </c>
      <c r="BW309" s="40" t="s">
        <v>97</v>
      </c>
      <c r="BX309" s="40" t="s">
        <v>97</v>
      </c>
      <c r="BY309" s="40" t="s">
        <v>97</v>
      </c>
      <c r="BZ309" s="40" t="s">
        <v>97</v>
      </c>
      <c r="CA309" s="40" t="s">
        <v>97</v>
      </c>
      <c r="CB309" s="40" t="s">
        <v>97</v>
      </c>
      <c r="CC309" s="40" t="s">
        <v>97</v>
      </c>
      <c r="CD309" s="40" t="s">
        <v>97</v>
      </c>
      <c r="CE309" s="40" t="s">
        <v>97</v>
      </c>
      <c r="CF309" s="40" t="s">
        <v>97</v>
      </c>
      <c r="CG309" s="40" t="s">
        <v>97</v>
      </c>
      <c r="CH309" s="40" t="s">
        <v>97</v>
      </c>
      <c r="CI309" s="40" t="s">
        <v>97</v>
      </c>
      <c r="CJ309" s="40" t="s">
        <v>97</v>
      </c>
      <c r="CK309" s="40" t="s">
        <v>97</v>
      </c>
      <c r="CL309" s="40" t="s">
        <v>97</v>
      </c>
      <c r="CM309" s="40" t="s">
        <v>97</v>
      </c>
      <c r="CN309" s="40" t="s">
        <v>97</v>
      </c>
      <c r="CO309" s="408"/>
      <c r="CP309" s="21">
        <f t="shared" ref="CP309:CY310" si="1844">J309</f>
        <v>0</v>
      </c>
      <c r="CQ309" s="21">
        <f t="shared" si="1844"/>
        <v>0</v>
      </c>
      <c r="CR309" s="21">
        <f t="shared" si="1844"/>
        <v>11496</v>
      </c>
      <c r="CS309" s="21">
        <f t="shared" si="1844"/>
        <v>11496</v>
      </c>
      <c r="CT309" s="21">
        <f t="shared" si="1844"/>
        <v>11496</v>
      </c>
      <c r="CU309" s="21">
        <f t="shared" si="1844"/>
        <v>11495.96</v>
      </c>
      <c r="CV309" s="21">
        <f t="shared" si="1844"/>
        <v>21826.92</v>
      </c>
      <c r="CW309" s="21">
        <f t="shared" si="1844"/>
        <v>21826.92</v>
      </c>
      <c r="CX309" s="21">
        <f t="shared" si="1844"/>
        <v>21826.92</v>
      </c>
      <c r="CY309" s="21">
        <f t="shared" si="1844"/>
        <v>21827</v>
      </c>
      <c r="CZ309" s="21">
        <f t="shared" ref="CZ309:DI310" si="1845">T309</f>
        <v>21827</v>
      </c>
      <c r="DA309" s="21">
        <f t="shared" si="1845"/>
        <v>21827</v>
      </c>
      <c r="DB309" s="21">
        <f t="shared" si="1845"/>
        <v>0</v>
      </c>
      <c r="DC309" s="21">
        <f t="shared" si="1845"/>
        <v>0</v>
      </c>
      <c r="DD309" s="21">
        <f t="shared" si="1845"/>
        <v>0</v>
      </c>
      <c r="DE309" s="21">
        <f t="shared" si="1845"/>
        <v>0</v>
      </c>
      <c r="DF309" s="21">
        <f t="shared" si="1845"/>
        <v>0</v>
      </c>
      <c r="DG309" s="21">
        <f t="shared" si="1845"/>
        <v>0</v>
      </c>
      <c r="DH309" s="21">
        <f t="shared" si="1845"/>
        <v>41995.25</v>
      </c>
      <c r="DI309" s="21">
        <f t="shared" si="1845"/>
        <v>0</v>
      </c>
      <c r="DJ309" s="21">
        <f t="shared" ref="DJ309:DP310" si="1846">AD309</f>
        <v>0</v>
      </c>
      <c r="DK309" s="21">
        <f t="shared" si="1846"/>
        <v>0</v>
      </c>
      <c r="DL309" s="21">
        <f t="shared" si="1846"/>
        <v>0</v>
      </c>
      <c r="DM309" s="21">
        <f t="shared" si="1846"/>
        <v>0</v>
      </c>
      <c r="DN309" s="21">
        <f t="shared" si="1846"/>
        <v>20556.96</v>
      </c>
      <c r="DO309" s="21">
        <f t="shared" si="1846"/>
        <v>0</v>
      </c>
      <c r="DP309" s="21">
        <f t="shared" si="1846"/>
        <v>0</v>
      </c>
      <c r="DQ309" s="248"/>
      <c r="DR309" s="248"/>
      <c r="DS309" s="248"/>
      <c r="DT309" s="248"/>
      <c r="DU309" s="248"/>
      <c r="DV309" s="248"/>
      <c r="DW309" s="248"/>
      <c r="DX309" s="248"/>
      <c r="DY309" s="248"/>
      <c r="ED309" s="429"/>
      <c r="EE309" s="23"/>
      <c r="EF309" s="23"/>
      <c r="EG309" s="23"/>
      <c r="EH309" s="24" t="s">
        <v>97</v>
      </c>
      <c r="EI309" s="24" t="s">
        <v>97</v>
      </c>
      <c r="EJ309" s="18">
        <f t="shared" si="1733"/>
        <v>0</v>
      </c>
      <c r="EK309" s="24">
        <f t="shared" si="1774"/>
        <v>0.16666666666666666</v>
      </c>
      <c r="EL309" s="24" t="s">
        <v>97</v>
      </c>
      <c r="EM309" s="24" t="s">
        <v>97</v>
      </c>
      <c r="EN309" s="24">
        <f>EJ309/EG284</f>
        <v>0</v>
      </c>
      <c r="EO309" s="46" t="str">
        <f t="shared" si="1780"/>
        <v>Æ</v>
      </c>
      <c r="EP309" s="46" t="str">
        <f t="shared" si="1781"/>
        <v>Æ</v>
      </c>
      <c r="EQ309" s="24" t="s">
        <v>97</v>
      </c>
      <c r="ER309" s="24" t="s">
        <v>97</v>
      </c>
      <c r="ES309" s="2">
        <f>IF(EN309&gt;=0.9,1,IF(EN309&lt;0.75,2,3))</f>
        <v>2</v>
      </c>
    </row>
    <row r="310" spans="1:149" ht="12.75" customHeight="1" thickBot="1">
      <c r="A310" s="6" t="s">
        <v>23</v>
      </c>
      <c r="B310" s="2" t="s">
        <v>14</v>
      </c>
      <c r="C310" s="3" t="s">
        <v>72</v>
      </c>
      <c r="E310" s="3" t="s">
        <v>15</v>
      </c>
      <c r="G310" s="3" t="s">
        <v>91</v>
      </c>
      <c r="I310" s="23"/>
      <c r="J310" s="19">
        <v>0</v>
      </c>
      <c r="K310" s="19">
        <f>J310</f>
        <v>0</v>
      </c>
      <c r="L310" s="19">
        <v>14751</v>
      </c>
      <c r="M310" s="19">
        <f>L310</f>
        <v>14751</v>
      </c>
      <c r="N310" s="19">
        <f>M310</f>
        <v>14751</v>
      </c>
      <c r="O310" s="19">
        <f>9440.88+5310.49</f>
        <v>14751.369999999999</v>
      </c>
      <c r="P310" s="19">
        <f>20619.17+11598.29</f>
        <v>32217.46</v>
      </c>
      <c r="Q310" s="19">
        <f>P310</f>
        <v>32217.46</v>
      </c>
      <c r="R310" s="246">
        <f>Q310</f>
        <v>32217.46</v>
      </c>
      <c r="S310" s="19">
        <v>32217.46</v>
      </c>
      <c r="T310" s="19">
        <v>32217.46</v>
      </c>
      <c r="U310" s="246">
        <v>32217.46</v>
      </c>
      <c r="V310" s="34">
        <v>0</v>
      </c>
      <c r="W310" s="19">
        <v>0</v>
      </c>
      <c r="X310" s="19">
        <v>0</v>
      </c>
      <c r="Y310" s="346">
        <v>0</v>
      </c>
      <c r="Z310" s="19">
        <v>0</v>
      </c>
      <c r="AA310" s="19">
        <v>0</v>
      </c>
      <c r="AB310" s="263">
        <v>83986.08</v>
      </c>
      <c r="AC310" s="19">
        <v>0</v>
      </c>
      <c r="AD310" s="19">
        <v>0</v>
      </c>
      <c r="AE310" s="19">
        <v>0</v>
      </c>
      <c r="AF310" s="19">
        <v>0</v>
      </c>
      <c r="AG310" s="19"/>
      <c r="AH310" s="387">
        <v>41186.839999999997</v>
      </c>
      <c r="AI310" s="19"/>
      <c r="AJ310" s="19"/>
      <c r="AK310" s="408"/>
      <c r="AL310" s="19">
        <f t="shared" si="1766"/>
        <v>0</v>
      </c>
      <c r="AM310" s="19"/>
      <c r="AN310" s="19"/>
      <c r="AO310" s="19"/>
      <c r="AP310" s="19"/>
      <c r="AQ310" s="19">
        <f t="shared" si="1789"/>
        <v>0.36999999999898137</v>
      </c>
      <c r="AR310" s="19">
        <f t="shared" si="1722"/>
        <v>17466.09</v>
      </c>
      <c r="AS310" s="19">
        <f t="shared" si="1723"/>
        <v>0</v>
      </c>
      <c r="AT310" s="19"/>
      <c r="AU310" s="19"/>
      <c r="AV310" s="19">
        <f t="shared" si="1726"/>
        <v>0</v>
      </c>
      <c r="AW310" s="246">
        <f t="shared" si="1790"/>
        <v>0</v>
      </c>
      <c r="AX310" s="129">
        <f t="shared" si="1783"/>
        <v>0</v>
      </c>
      <c r="AY310" s="246">
        <f t="shared" si="1791"/>
        <v>0</v>
      </c>
      <c r="AZ310" s="246">
        <f t="shared" si="1792"/>
        <v>0</v>
      </c>
      <c r="BA310" s="246">
        <f t="shared" si="1793"/>
        <v>0</v>
      </c>
      <c r="BB310" s="246">
        <f t="shared" si="1794"/>
        <v>0</v>
      </c>
      <c r="BC310" s="246">
        <f t="shared" si="1795"/>
        <v>0</v>
      </c>
      <c r="BD310" s="246">
        <f t="shared" si="1796"/>
        <v>83986.08</v>
      </c>
      <c r="BE310" s="246">
        <f t="shared" si="1797"/>
        <v>-83986.08</v>
      </c>
      <c r="BF310" s="246">
        <f t="shared" si="1798"/>
        <v>0</v>
      </c>
      <c r="BG310" s="246">
        <f t="shared" si="1799"/>
        <v>0</v>
      </c>
      <c r="BH310" s="246">
        <f t="shared" si="1800"/>
        <v>0</v>
      </c>
      <c r="BI310" s="246">
        <f t="shared" si="1801"/>
        <v>0</v>
      </c>
      <c r="BJ310" s="246">
        <f t="shared" si="1802"/>
        <v>41186.839999999997</v>
      </c>
      <c r="BK310" s="246">
        <f t="shared" si="1803"/>
        <v>0</v>
      </c>
      <c r="BL310" s="246">
        <f t="shared" si="1804"/>
        <v>0</v>
      </c>
      <c r="BM310" s="408"/>
      <c r="BN310" s="40" t="s">
        <v>97</v>
      </c>
      <c r="BO310" s="40" t="s">
        <v>97</v>
      </c>
      <c r="BP310" s="40" t="s">
        <v>97</v>
      </c>
      <c r="BQ310" s="40" t="s">
        <v>97</v>
      </c>
      <c r="BR310" s="40" t="s">
        <v>97</v>
      </c>
      <c r="BS310" s="40" t="s">
        <v>97</v>
      </c>
      <c r="BT310" s="40" t="s">
        <v>97</v>
      </c>
      <c r="BU310" s="40" t="s">
        <v>97</v>
      </c>
      <c r="BV310" s="40" t="s">
        <v>97</v>
      </c>
      <c r="BW310" s="40" t="s">
        <v>97</v>
      </c>
      <c r="BX310" s="40" t="s">
        <v>97</v>
      </c>
      <c r="BY310" s="40" t="s">
        <v>97</v>
      </c>
      <c r="BZ310" s="40" t="s">
        <v>97</v>
      </c>
      <c r="CA310" s="40" t="s">
        <v>97</v>
      </c>
      <c r="CB310" s="40" t="s">
        <v>97</v>
      </c>
      <c r="CC310" s="40" t="s">
        <v>97</v>
      </c>
      <c r="CD310" s="40" t="s">
        <v>97</v>
      </c>
      <c r="CE310" s="40" t="s">
        <v>97</v>
      </c>
      <c r="CF310" s="40" t="s">
        <v>97</v>
      </c>
      <c r="CG310" s="40" t="s">
        <v>97</v>
      </c>
      <c r="CH310" s="40" t="s">
        <v>97</v>
      </c>
      <c r="CI310" s="40" t="s">
        <v>97</v>
      </c>
      <c r="CJ310" s="40" t="s">
        <v>97</v>
      </c>
      <c r="CK310" s="40" t="s">
        <v>97</v>
      </c>
      <c r="CL310" s="40" t="s">
        <v>97</v>
      </c>
      <c r="CM310" s="40" t="s">
        <v>97</v>
      </c>
      <c r="CN310" s="40" t="s">
        <v>97</v>
      </c>
      <c r="CO310" s="408"/>
      <c r="CP310" s="21">
        <f t="shared" si="1844"/>
        <v>0</v>
      </c>
      <c r="CQ310" s="21">
        <f t="shared" si="1844"/>
        <v>0</v>
      </c>
      <c r="CR310" s="21">
        <f t="shared" si="1844"/>
        <v>14751</v>
      </c>
      <c r="CS310" s="21">
        <f t="shared" si="1844"/>
        <v>14751</v>
      </c>
      <c r="CT310" s="21">
        <f t="shared" si="1844"/>
        <v>14751</v>
      </c>
      <c r="CU310" s="21">
        <f t="shared" si="1844"/>
        <v>14751.369999999999</v>
      </c>
      <c r="CV310" s="21">
        <f t="shared" si="1844"/>
        <v>32217.46</v>
      </c>
      <c r="CW310" s="21">
        <f t="shared" si="1844"/>
        <v>32217.46</v>
      </c>
      <c r="CX310" s="21">
        <f t="shared" si="1844"/>
        <v>32217.46</v>
      </c>
      <c r="CY310" s="21">
        <f t="shared" si="1844"/>
        <v>32217.46</v>
      </c>
      <c r="CZ310" s="21">
        <f t="shared" si="1845"/>
        <v>32217.46</v>
      </c>
      <c r="DA310" s="21">
        <f t="shared" si="1845"/>
        <v>32217.46</v>
      </c>
      <c r="DB310" s="21">
        <f t="shared" si="1845"/>
        <v>0</v>
      </c>
      <c r="DC310" s="21">
        <f t="shared" si="1845"/>
        <v>0</v>
      </c>
      <c r="DD310" s="21">
        <f t="shared" si="1845"/>
        <v>0</v>
      </c>
      <c r="DE310" s="21">
        <f t="shared" si="1845"/>
        <v>0</v>
      </c>
      <c r="DF310" s="21">
        <f t="shared" si="1845"/>
        <v>0</v>
      </c>
      <c r="DG310" s="21">
        <f t="shared" si="1845"/>
        <v>0</v>
      </c>
      <c r="DH310" s="21">
        <f t="shared" si="1845"/>
        <v>83986.08</v>
      </c>
      <c r="DI310" s="21">
        <f t="shared" si="1845"/>
        <v>0</v>
      </c>
      <c r="DJ310" s="21">
        <f t="shared" si="1846"/>
        <v>0</v>
      </c>
      <c r="DK310" s="21">
        <f t="shared" si="1846"/>
        <v>0</v>
      </c>
      <c r="DL310" s="21">
        <f t="shared" si="1846"/>
        <v>0</v>
      </c>
      <c r="DM310" s="21">
        <f t="shared" si="1846"/>
        <v>0</v>
      </c>
      <c r="DN310" s="21">
        <f t="shared" si="1846"/>
        <v>41186.839999999997</v>
      </c>
      <c r="DO310" s="21">
        <f t="shared" si="1846"/>
        <v>0</v>
      </c>
      <c r="DP310" s="21">
        <f t="shared" si="1846"/>
        <v>0</v>
      </c>
      <c r="DQ310" s="248"/>
      <c r="DR310" s="248"/>
      <c r="DS310" s="248"/>
      <c r="DT310" s="248"/>
      <c r="DU310" s="248"/>
      <c r="DV310" s="248"/>
      <c r="DW310" s="248"/>
      <c r="DX310" s="248"/>
      <c r="DY310" s="248"/>
      <c r="ED310" s="429"/>
      <c r="EE310" s="23"/>
      <c r="EF310" s="23"/>
      <c r="EG310" s="23"/>
      <c r="EH310" s="24" t="s">
        <v>97</v>
      </c>
      <c r="EI310" s="24" t="s">
        <v>97</v>
      </c>
      <c r="EJ310" s="18">
        <f t="shared" si="1733"/>
        <v>0</v>
      </c>
      <c r="EK310" s="24">
        <f t="shared" si="1774"/>
        <v>0.16666666666666666</v>
      </c>
      <c r="EL310" s="24" t="s">
        <v>97</v>
      </c>
      <c r="EM310" s="24" t="s">
        <v>97</v>
      </c>
      <c r="EN310" s="24">
        <f>EJ310/EG285</f>
        <v>0</v>
      </c>
      <c r="EO310" s="46" t="str">
        <f t="shared" si="1780"/>
        <v>Æ</v>
      </c>
      <c r="EP310" s="46" t="str">
        <f t="shared" si="1781"/>
        <v>Æ</v>
      </c>
      <c r="EQ310" s="24" t="s">
        <v>97</v>
      </c>
      <c r="ER310" s="24" t="s">
        <v>97</v>
      </c>
      <c r="ES310" s="2">
        <f>IF(EN310&gt;=0.9,1,IF(EN310&lt;0.75,2,3))</f>
        <v>2</v>
      </c>
    </row>
    <row r="311" spans="1:149" ht="12.75" customHeight="1">
      <c r="A311" s="6" t="s">
        <v>23</v>
      </c>
      <c r="B311" s="2" t="s">
        <v>0</v>
      </c>
      <c r="C311" s="3" t="s">
        <v>59</v>
      </c>
      <c r="E311" s="3" t="s">
        <v>16</v>
      </c>
      <c r="G311" s="28" t="s">
        <v>92</v>
      </c>
      <c r="H311" s="28"/>
      <c r="I311" s="29"/>
      <c r="J311" s="30">
        <f t="shared" ref="J311:U311" si="1847">IF(J298&lt;&gt;"",+J298-I298,"")</f>
        <v>25</v>
      </c>
      <c r="K311" s="30">
        <f t="shared" si="1847"/>
        <v>13</v>
      </c>
      <c r="L311" s="30">
        <f t="shared" si="1847"/>
        <v>11</v>
      </c>
      <c r="M311" s="30">
        <f t="shared" si="1847"/>
        <v>15</v>
      </c>
      <c r="N311" s="30">
        <f t="shared" si="1847"/>
        <v>13</v>
      </c>
      <c r="O311" s="30">
        <f t="shared" si="1847"/>
        <v>8</v>
      </c>
      <c r="P311" s="30">
        <f t="shared" si="1847"/>
        <v>20</v>
      </c>
      <c r="Q311" s="30">
        <f t="shared" si="1847"/>
        <v>12</v>
      </c>
      <c r="R311" s="30">
        <f t="shared" si="1847"/>
        <v>17</v>
      </c>
      <c r="S311" s="30">
        <f t="shared" si="1847"/>
        <v>15</v>
      </c>
      <c r="T311" s="30">
        <f t="shared" si="1847"/>
        <v>8</v>
      </c>
      <c r="U311" s="30">
        <f t="shared" si="1847"/>
        <v>6</v>
      </c>
      <c r="V311" s="30">
        <f>IF(V291&lt;&gt;"",+V291-U291,"")</f>
        <v>14</v>
      </c>
      <c r="W311" s="30">
        <f>IF(W298&lt;&gt;"",+W298-V298,"")</f>
        <v>10</v>
      </c>
      <c r="X311" s="30">
        <f>IF(X298&lt;&gt;"",+X298-W298,"")</f>
        <v>9</v>
      </c>
      <c r="Y311" s="226">
        <f>IF(Y298&lt;&gt;"",+Y298-X298,0)</f>
        <v>20</v>
      </c>
      <c r="Z311" s="30">
        <f t="shared" ref="Z311:AG312" si="1848">IF(Z298&lt;&gt;"",+Z298-Y298,"")</f>
        <v>13</v>
      </c>
      <c r="AA311" s="30">
        <f t="shared" si="1848"/>
        <v>9</v>
      </c>
      <c r="AB311" s="30">
        <f t="shared" si="1848"/>
        <v>15</v>
      </c>
      <c r="AC311" s="30">
        <f t="shared" si="1848"/>
        <v>13</v>
      </c>
      <c r="AD311" s="30">
        <f t="shared" si="1848"/>
        <v>17</v>
      </c>
      <c r="AE311" s="30">
        <f t="shared" si="1848"/>
        <v>14</v>
      </c>
      <c r="AF311" s="30">
        <f t="shared" si="1848"/>
        <v>17</v>
      </c>
      <c r="AG311" s="30">
        <f t="shared" si="1848"/>
        <v>16</v>
      </c>
      <c r="AH311" s="30">
        <f>IF(AH298&lt;&gt;"",+AH298,"")</f>
        <v>26</v>
      </c>
      <c r="AI311" s="30">
        <f>IF(AI298&lt;&gt;"",+AI298-AH298,"")</f>
        <v>10</v>
      </c>
      <c r="AJ311" s="30" t="str">
        <f>IF(AJ298&lt;&gt;"",+AJ298-AI298,"")</f>
        <v/>
      </c>
      <c r="AK311" s="408"/>
      <c r="AL311" s="48">
        <f t="shared" si="1766"/>
        <v>25</v>
      </c>
      <c r="AM311" s="48">
        <f t="shared" ref="AM311:AV312" si="1849">K311</f>
        <v>13</v>
      </c>
      <c r="AN311" s="48">
        <f t="shared" si="1849"/>
        <v>11</v>
      </c>
      <c r="AO311" s="48">
        <f t="shared" si="1849"/>
        <v>15</v>
      </c>
      <c r="AP311" s="48">
        <f t="shared" si="1849"/>
        <v>13</v>
      </c>
      <c r="AQ311" s="48">
        <f t="shared" si="1849"/>
        <v>8</v>
      </c>
      <c r="AR311" s="48">
        <f t="shared" si="1849"/>
        <v>20</v>
      </c>
      <c r="AS311" s="48">
        <f t="shared" si="1849"/>
        <v>12</v>
      </c>
      <c r="AT311" s="48">
        <f t="shared" si="1849"/>
        <v>17</v>
      </c>
      <c r="AU311" s="48">
        <f t="shared" si="1849"/>
        <v>15</v>
      </c>
      <c r="AV311" s="48">
        <f t="shared" si="1849"/>
        <v>8</v>
      </c>
      <c r="AW311" s="48">
        <f t="shared" ref="AW311:BL312" si="1850">U311</f>
        <v>6</v>
      </c>
      <c r="AX311" s="48">
        <f t="shared" si="1850"/>
        <v>14</v>
      </c>
      <c r="AY311" s="48">
        <f t="shared" si="1850"/>
        <v>10</v>
      </c>
      <c r="AZ311" s="48">
        <f t="shared" si="1850"/>
        <v>9</v>
      </c>
      <c r="BA311" s="48">
        <f t="shared" si="1850"/>
        <v>20</v>
      </c>
      <c r="BB311" s="48">
        <f t="shared" si="1850"/>
        <v>13</v>
      </c>
      <c r="BC311" s="48">
        <f t="shared" si="1850"/>
        <v>9</v>
      </c>
      <c r="BD311" s="48">
        <f t="shared" si="1850"/>
        <v>15</v>
      </c>
      <c r="BE311" s="48">
        <f t="shared" si="1850"/>
        <v>13</v>
      </c>
      <c r="BF311" s="48">
        <f t="shared" si="1850"/>
        <v>17</v>
      </c>
      <c r="BG311" s="48">
        <f t="shared" si="1850"/>
        <v>14</v>
      </c>
      <c r="BH311" s="48">
        <f t="shared" si="1850"/>
        <v>17</v>
      </c>
      <c r="BI311" s="48">
        <f t="shared" si="1850"/>
        <v>16</v>
      </c>
      <c r="BJ311" s="48">
        <f t="shared" si="1850"/>
        <v>26</v>
      </c>
      <c r="BK311" s="48">
        <f t="shared" si="1850"/>
        <v>10</v>
      </c>
      <c r="BL311" s="48" t="str">
        <f t="shared" si="1850"/>
        <v/>
      </c>
      <c r="BM311" s="408"/>
      <c r="BN311" s="48">
        <f>+AL311</f>
        <v>25</v>
      </c>
      <c r="BO311" s="48">
        <f t="shared" ref="BO311:BP313" si="1851">+BN311+AM311</f>
        <v>38</v>
      </c>
      <c r="BP311" s="48">
        <f t="shared" si="1851"/>
        <v>49</v>
      </c>
      <c r="BQ311" s="48">
        <f>+AO311</f>
        <v>15</v>
      </c>
      <c r="BR311" s="48">
        <f t="shared" ref="BR311:BS313" si="1852">+BQ311+AP311</f>
        <v>28</v>
      </c>
      <c r="BS311" s="48">
        <f t="shared" si="1852"/>
        <v>36</v>
      </c>
      <c r="BT311" s="48">
        <f>+AR311</f>
        <v>20</v>
      </c>
      <c r="BU311" s="48">
        <f t="shared" ref="BU311:BV313" si="1853">+BT311+AS311</f>
        <v>32</v>
      </c>
      <c r="BV311" s="48">
        <f t="shared" si="1853"/>
        <v>49</v>
      </c>
      <c r="BW311" s="48">
        <f>+AU311</f>
        <v>15</v>
      </c>
      <c r="BX311" s="48">
        <f t="shared" ref="BX311:BY313" si="1854">+BW311+AV311</f>
        <v>23</v>
      </c>
      <c r="BY311" s="48">
        <f t="shared" si="1854"/>
        <v>29</v>
      </c>
      <c r="BZ311" s="48">
        <f>+AX311</f>
        <v>14</v>
      </c>
      <c r="CA311" s="48">
        <f t="shared" ref="CA311:CB313" si="1855">+BZ311+AY311</f>
        <v>24</v>
      </c>
      <c r="CB311" s="48">
        <f t="shared" si="1855"/>
        <v>33</v>
      </c>
      <c r="CC311" s="48">
        <f>+BA311</f>
        <v>20</v>
      </c>
      <c r="CD311" s="48">
        <f t="shared" ref="CD311:CE313" si="1856">+CC311+BB311</f>
        <v>33</v>
      </c>
      <c r="CE311" s="48">
        <f t="shared" si="1856"/>
        <v>42</v>
      </c>
      <c r="CF311" s="48">
        <f>+BD311</f>
        <v>15</v>
      </c>
      <c r="CG311" s="48">
        <f t="shared" ref="CG311:CH313" si="1857">+CF311+BE311</f>
        <v>28</v>
      </c>
      <c r="CH311" s="48">
        <f t="shared" si="1857"/>
        <v>45</v>
      </c>
      <c r="CI311" s="48">
        <f>+BG311</f>
        <v>14</v>
      </c>
      <c r="CJ311" s="48">
        <f t="shared" ref="CJ311:CK313" si="1858">+CI311+BH311</f>
        <v>31</v>
      </c>
      <c r="CK311" s="48">
        <f t="shared" si="1858"/>
        <v>47</v>
      </c>
      <c r="CL311" s="48">
        <f>+BJ311</f>
        <v>26</v>
      </c>
      <c r="CM311" s="48">
        <f t="shared" ref="CM311:CN313" si="1859">+CL311+BK311</f>
        <v>36</v>
      </c>
      <c r="CN311" s="48" t="e">
        <f t="shared" si="1859"/>
        <v>#VALUE!</v>
      </c>
      <c r="CO311" s="406"/>
      <c r="CP311" s="40">
        <f>AL311</f>
        <v>25</v>
      </c>
      <c r="CQ311" s="40">
        <f t="shared" ref="CQ311:DA312" si="1860">CP311+AM311</f>
        <v>38</v>
      </c>
      <c r="CR311" s="40">
        <f t="shared" si="1860"/>
        <v>49</v>
      </c>
      <c r="CS311" s="40">
        <f t="shared" si="1860"/>
        <v>64</v>
      </c>
      <c r="CT311" s="40">
        <f t="shared" si="1860"/>
        <v>77</v>
      </c>
      <c r="CU311" s="40">
        <f t="shared" si="1860"/>
        <v>85</v>
      </c>
      <c r="CV311" s="40">
        <f t="shared" si="1860"/>
        <v>105</v>
      </c>
      <c r="CW311" s="40">
        <f t="shared" si="1860"/>
        <v>117</v>
      </c>
      <c r="CX311" s="40">
        <f t="shared" si="1860"/>
        <v>134</v>
      </c>
      <c r="CY311" s="40">
        <f t="shared" si="1860"/>
        <v>149</v>
      </c>
      <c r="CZ311" s="40">
        <f t="shared" si="1860"/>
        <v>157</v>
      </c>
      <c r="DA311" s="40">
        <f t="shared" si="1860"/>
        <v>163</v>
      </c>
      <c r="DB311" s="40">
        <f>AX311</f>
        <v>14</v>
      </c>
      <c r="DC311" s="40">
        <f t="shared" ref="DC311:DM312" si="1861">DB311+AY311</f>
        <v>24</v>
      </c>
      <c r="DD311" s="40">
        <f t="shared" si="1861"/>
        <v>33</v>
      </c>
      <c r="DE311" s="40">
        <f t="shared" si="1861"/>
        <v>53</v>
      </c>
      <c r="DF311" s="40">
        <f t="shared" si="1861"/>
        <v>66</v>
      </c>
      <c r="DG311" s="40">
        <f t="shared" si="1861"/>
        <v>75</v>
      </c>
      <c r="DH311" s="40">
        <f t="shared" si="1861"/>
        <v>90</v>
      </c>
      <c r="DI311" s="40">
        <f t="shared" si="1861"/>
        <v>103</v>
      </c>
      <c r="DJ311" s="40">
        <f t="shared" si="1861"/>
        <v>120</v>
      </c>
      <c r="DK311" s="40">
        <f t="shared" si="1861"/>
        <v>134</v>
      </c>
      <c r="DL311" s="40">
        <f t="shared" si="1861"/>
        <v>151</v>
      </c>
      <c r="DM311" s="40">
        <f t="shared" si="1861"/>
        <v>167</v>
      </c>
      <c r="DN311" s="40">
        <f>BJ311</f>
        <v>26</v>
      </c>
      <c r="DO311" s="40">
        <f>DN311+BK311</f>
        <v>36</v>
      </c>
      <c r="DP311" s="40" t="e">
        <f>DO311+BL311</f>
        <v>#VALUE!</v>
      </c>
      <c r="DQ311" s="40"/>
      <c r="DR311" s="40"/>
      <c r="DS311" s="40"/>
      <c r="DT311" s="40"/>
      <c r="DU311" s="40"/>
      <c r="DV311" s="40"/>
      <c r="DW311" s="40"/>
      <c r="DX311" s="40"/>
      <c r="DY311" s="40"/>
      <c r="EA311" s="53"/>
      <c r="EB311" s="53"/>
      <c r="EC311" s="53"/>
      <c r="ED311" s="429"/>
      <c r="EE311" s="54"/>
      <c r="EF311" s="54"/>
      <c r="EG311" s="54"/>
      <c r="EH311" s="18">
        <f>HLOOKUP($I$1,Month,ROW()-1)</f>
        <v>10</v>
      </c>
      <c r="EI311" s="18">
        <f>HLOOKUP($I$1,Qtr,ROW()-1)</f>
        <v>36</v>
      </c>
      <c r="EJ311" s="18">
        <f t="shared" si="1733"/>
        <v>36</v>
      </c>
      <c r="EK311" s="57">
        <f t="shared" si="1774"/>
        <v>0.16666666666666666</v>
      </c>
      <c r="EL311" s="14">
        <f>EH311/EE286</f>
        <v>0.72290898575869311</v>
      </c>
      <c r="EM311" s="14">
        <f>EI311/EF286</f>
        <v>0.97959183673469385</v>
      </c>
      <c r="EN311" s="14">
        <f>EJ311/EG286</f>
        <v>0.24489795918367346</v>
      </c>
      <c r="EO311" s="46" t="str">
        <f>IF(EH311&lt;0,,IF(EH311&lt;EE286,"È",IF(EH311=EE286,"Æ","Ç")))</f>
        <v>È</v>
      </c>
      <c r="EP311" s="46" t="str">
        <f>IF(EI311&lt;0,,IF(EI311&gt;EF286,"È",IF(EI311=EF286,"Æ","Ç")))</f>
        <v>Ç</v>
      </c>
      <c r="EQ311" s="2">
        <f>IF(EL311&gt;=0.9,1,IF(EL311&lt;0.75,2,3))</f>
        <v>2</v>
      </c>
      <c r="ER311" s="2">
        <f>IF(EM311&gt;=0.9,1,IF(EM311&lt;0.75,2,3))</f>
        <v>1</v>
      </c>
      <c r="ES311" s="2">
        <f>IF(EN311&gt;=0.9,1,IF(EN311&lt;0.75,2,3))</f>
        <v>2</v>
      </c>
    </row>
    <row r="312" spans="1:149">
      <c r="A312" s="6" t="s">
        <v>23</v>
      </c>
      <c r="B312" s="2" t="s">
        <v>1</v>
      </c>
      <c r="C312" s="3" t="s">
        <v>60</v>
      </c>
      <c r="E312" s="3" t="s">
        <v>16</v>
      </c>
      <c r="G312" s="28" t="s">
        <v>92</v>
      </c>
      <c r="H312" s="28"/>
      <c r="I312" s="29"/>
      <c r="J312" s="30">
        <f>IF(J299&lt;&gt;"",,"")+J299-I299</f>
        <v>10</v>
      </c>
      <c r="K312" s="30">
        <f t="shared" ref="K312:U312" si="1862">IF(K299&lt;&gt;"",+K299-J299,"")</f>
        <v>10</v>
      </c>
      <c r="L312" s="30">
        <f t="shared" si="1862"/>
        <v>3</v>
      </c>
      <c r="M312" s="30">
        <f t="shared" si="1862"/>
        <v>10</v>
      </c>
      <c r="N312" s="30">
        <f t="shared" si="1862"/>
        <v>3</v>
      </c>
      <c r="O312" s="30">
        <f t="shared" si="1862"/>
        <v>2</v>
      </c>
      <c r="P312" s="30">
        <f t="shared" si="1862"/>
        <v>9</v>
      </c>
      <c r="Q312" s="30">
        <f t="shared" si="1862"/>
        <v>4</v>
      </c>
      <c r="R312" s="30">
        <f t="shared" si="1862"/>
        <v>6</v>
      </c>
      <c r="S312" s="30">
        <f t="shared" si="1862"/>
        <v>3</v>
      </c>
      <c r="T312" s="30">
        <f t="shared" si="1862"/>
        <v>1</v>
      </c>
      <c r="U312" s="30">
        <f t="shared" si="1862"/>
        <v>3</v>
      </c>
      <c r="V312" s="30">
        <f>IF(V299&lt;&gt;"",+V299,"")</f>
        <v>7</v>
      </c>
      <c r="W312" s="30">
        <f>IF(W299&lt;&gt;"",+W299-V299,"")</f>
        <v>4</v>
      </c>
      <c r="X312" s="30">
        <f>IF(X299&lt;&gt;"",+X299-W299,"")</f>
        <v>7</v>
      </c>
      <c r="Y312" s="30">
        <f>IF(Y299&lt;&gt;"",+Y299-X299,"")</f>
        <v>3</v>
      </c>
      <c r="Z312" s="30">
        <f t="shared" si="1848"/>
        <v>3</v>
      </c>
      <c r="AA312" s="30">
        <f t="shared" si="1848"/>
        <v>3</v>
      </c>
      <c r="AB312" s="30">
        <f t="shared" si="1848"/>
        <v>2</v>
      </c>
      <c r="AC312" s="30">
        <f t="shared" si="1848"/>
        <v>2</v>
      </c>
      <c r="AD312" s="30">
        <f t="shared" si="1848"/>
        <v>1</v>
      </c>
      <c r="AE312" s="30">
        <f t="shared" si="1848"/>
        <v>3</v>
      </c>
      <c r="AF312" s="30">
        <f t="shared" si="1848"/>
        <v>6</v>
      </c>
      <c r="AG312" s="30">
        <f t="shared" si="1848"/>
        <v>1</v>
      </c>
      <c r="AH312" s="30">
        <f>IF(AH299&lt;&gt;"",+AH299,"")</f>
        <v>13</v>
      </c>
      <c r="AI312" s="30">
        <f>IF(AI299&lt;&gt;"",+AI299-AH299,"")</f>
        <v>4</v>
      </c>
      <c r="AJ312" s="30" t="str">
        <f>IF(AJ299&lt;&gt;"",+AJ299-AI299,"")</f>
        <v/>
      </c>
      <c r="AK312" s="408"/>
      <c r="AL312" s="48">
        <f t="shared" si="1766"/>
        <v>10</v>
      </c>
      <c r="AM312" s="48">
        <f t="shared" si="1849"/>
        <v>10</v>
      </c>
      <c r="AN312" s="48">
        <f t="shared" si="1849"/>
        <v>3</v>
      </c>
      <c r="AO312" s="48">
        <f t="shared" si="1849"/>
        <v>10</v>
      </c>
      <c r="AP312" s="48">
        <f t="shared" si="1849"/>
        <v>3</v>
      </c>
      <c r="AQ312" s="48">
        <f t="shared" si="1849"/>
        <v>2</v>
      </c>
      <c r="AR312" s="48">
        <f t="shared" si="1849"/>
        <v>9</v>
      </c>
      <c r="AS312" s="48">
        <f t="shared" si="1849"/>
        <v>4</v>
      </c>
      <c r="AT312" s="48">
        <f t="shared" si="1849"/>
        <v>6</v>
      </c>
      <c r="AU312" s="48">
        <f t="shared" si="1849"/>
        <v>3</v>
      </c>
      <c r="AV312" s="48">
        <f t="shared" si="1849"/>
        <v>1</v>
      </c>
      <c r="AW312" s="48">
        <f t="shared" si="1850"/>
        <v>3</v>
      </c>
      <c r="AX312" s="48">
        <f t="shared" si="1850"/>
        <v>7</v>
      </c>
      <c r="AY312" s="48">
        <f t="shared" si="1850"/>
        <v>4</v>
      </c>
      <c r="AZ312" s="48">
        <f t="shared" si="1850"/>
        <v>7</v>
      </c>
      <c r="BA312" s="48">
        <f t="shared" si="1850"/>
        <v>3</v>
      </c>
      <c r="BB312" s="48">
        <f t="shared" si="1850"/>
        <v>3</v>
      </c>
      <c r="BC312" s="48">
        <f t="shared" si="1850"/>
        <v>3</v>
      </c>
      <c r="BD312" s="48">
        <f t="shared" si="1850"/>
        <v>2</v>
      </c>
      <c r="BE312" s="48">
        <f t="shared" si="1850"/>
        <v>2</v>
      </c>
      <c r="BF312" s="48">
        <f t="shared" si="1850"/>
        <v>1</v>
      </c>
      <c r="BG312" s="48">
        <f t="shared" si="1850"/>
        <v>3</v>
      </c>
      <c r="BH312" s="48">
        <f t="shared" si="1850"/>
        <v>6</v>
      </c>
      <c r="BI312" s="48">
        <f t="shared" si="1850"/>
        <v>1</v>
      </c>
      <c r="BJ312" s="48">
        <f t="shared" si="1850"/>
        <v>13</v>
      </c>
      <c r="BK312" s="48">
        <f t="shared" si="1850"/>
        <v>4</v>
      </c>
      <c r="BL312" s="48" t="str">
        <f t="shared" si="1850"/>
        <v/>
      </c>
      <c r="BM312" s="408"/>
      <c r="BN312" s="48">
        <f>+AL312</f>
        <v>10</v>
      </c>
      <c r="BO312" s="48">
        <f t="shared" si="1851"/>
        <v>20</v>
      </c>
      <c r="BP312" s="48">
        <f t="shared" si="1851"/>
        <v>23</v>
      </c>
      <c r="BQ312" s="48">
        <f>+AO312</f>
        <v>10</v>
      </c>
      <c r="BR312" s="48">
        <f t="shared" si="1852"/>
        <v>13</v>
      </c>
      <c r="BS312" s="48">
        <f t="shared" si="1852"/>
        <v>15</v>
      </c>
      <c r="BT312" s="48">
        <f>+AR312</f>
        <v>9</v>
      </c>
      <c r="BU312" s="48">
        <f t="shared" si="1853"/>
        <v>13</v>
      </c>
      <c r="BV312" s="48">
        <f t="shared" si="1853"/>
        <v>19</v>
      </c>
      <c r="BW312" s="48">
        <f>+AU312</f>
        <v>3</v>
      </c>
      <c r="BX312" s="48">
        <f t="shared" si="1854"/>
        <v>4</v>
      </c>
      <c r="BY312" s="48">
        <f t="shared" si="1854"/>
        <v>7</v>
      </c>
      <c r="BZ312" s="48">
        <f>+AX312</f>
        <v>7</v>
      </c>
      <c r="CA312" s="48">
        <f t="shared" si="1855"/>
        <v>11</v>
      </c>
      <c r="CB312" s="48">
        <f t="shared" si="1855"/>
        <v>18</v>
      </c>
      <c r="CC312" s="48">
        <f>+BA312</f>
        <v>3</v>
      </c>
      <c r="CD312" s="48">
        <f t="shared" si="1856"/>
        <v>6</v>
      </c>
      <c r="CE312" s="48">
        <f t="shared" si="1856"/>
        <v>9</v>
      </c>
      <c r="CF312" s="48">
        <f>+BD312</f>
        <v>2</v>
      </c>
      <c r="CG312" s="48">
        <f t="shared" si="1857"/>
        <v>4</v>
      </c>
      <c r="CH312" s="48">
        <f t="shared" si="1857"/>
        <v>5</v>
      </c>
      <c r="CI312" s="48">
        <f>+BG312</f>
        <v>3</v>
      </c>
      <c r="CJ312" s="48">
        <f t="shared" si="1858"/>
        <v>9</v>
      </c>
      <c r="CK312" s="48">
        <f t="shared" si="1858"/>
        <v>10</v>
      </c>
      <c r="CL312" s="48">
        <f>+BJ312</f>
        <v>13</v>
      </c>
      <c r="CM312" s="48">
        <f t="shared" si="1859"/>
        <v>17</v>
      </c>
      <c r="CN312" s="48" t="e">
        <f t="shared" si="1859"/>
        <v>#VALUE!</v>
      </c>
      <c r="CO312" s="406"/>
      <c r="CP312" s="40">
        <f>AL312</f>
        <v>10</v>
      </c>
      <c r="CQ312" s="40">
        <f t="shared" si="1860"/>
        <v>20</v>
      </c>
      <c r="CR312" s="40">
        <f t="shared" si="1860"/>
        <v>23</v>
      </c>
      <c r="CS312" s="40">
        <f t="shared" si="1860"/>
        <v>33</v>
      </c>
      <c r="CT312" s="40">
        <f t="shared" si="1860"/>
        <v>36</v>
      </c>
      <c r="CU312" s="40">
        <f t="shared" si="1860"/>
        <v>38</v>
      </c>
      <c r="CV312" s="40">
        <f t="shared" si="1860"/>
        <v>47</v>
      </c>
      <c r="CW312" s="40">
        <f t="shared" si="1860"/>
        <v>51</v>
      </c>
      <c r="CX312" s="40">
        <f t="shared" si="1860"/>
        <v>57</v>
      </c>
      <c r="CY312" s="40">
        <f t="shared" si="1860"/>
        <v>60</v>
      </c>
      <c r="CZ312" s="40">
        <f t="shared" si="1860"/>
        <v>61</v>
      </c>
      <c r="DA312" s="40">
        <f t="shared" si="1860"/>
        <v>64</v>
      </c>
      <c r="DB312" s="40">
        <f>AX312</f>
        <v>7</v>
      </c>
      <c r="DC312" s="40">
        <f t="shared" si="1861"/>
        <v>11</v>
      </c>
      <c r="DD312" s="40">
        <f t="shared" si="1861"/>
        <v>18</v>
      </c>
      <c r="DE312" s="40">
        <f t="shared" si="1861"/>
        <v>21</v>
      </c>
      <c r="DF312" s="40">
        <f t="shared" si="1861"/>
        <v>24</v>
      </c>
      <c r="DG312" s="40">
        <f t="shared" si="1861"/>
        <v>27</v>
      </c>
      <c r="DH312" s="40">
        <f t="shared" si="1861"/>
        <v>29</v>
      </c>
      <c r="DI312" s="40">
        <f t="shared" si="1861"/>
        <v>31</v>
      </c>
      <c r="DJ312" s="40">
        <f t="shared" si="1861"/>
        <v>32</v>
      </c>
      <c r="DK312" s="40">
        <f t="shared" si="1861"/>
        <v>35</v>
      </c>
      <c r="DL312" s="40">
        <f t="shared" si="1861"/>
        <v>41</v>
      </c>
      <c r="DM312" s="40">
        <f t="shared" si="1861"/>
        <v>42</v>
      </c>
      <c r="DN312" s="40">
        <f>BJ312</f>
        <v>13</v>
      </c>
      <c r="DO312" s="40">
        <f>DN312+BK312</f>
        <v>17</v>
      </c>
      <c r="DP312" s="40" t="e">
        <f>DO312+BL312</f>
        <v>#VALUE!</v>
      </c>
      <c r="DQ312" s="40"/>
      <c r="DR312" s="40"/>
      <c r="DS312" s="40"/>
      <c r="DT312" s="40"/>
      <c r="DU312" s="40"/>
      <c r="DV312" s="40"/>
      <c r="DW312" s="40"/>
      <c r="DX312" s="40"/>
      <c r="DY312" s="40"/>
      <c r="EA312" s="53"/>
      <c r="EB312" s="53"/>
      <c r="EC312" s="53"/>
      <c r="ED312" s="429"/>
      <c r="EE312" s="54"/>
      <c r="EF312" s="54"/>
      <c r="EG312" s="54"/>
      <c r="EH312" s="18">
        <f>HLOOKUP($I$1,Month,ROW()-1)</f>
        <v>4</v>
      </c>
      <c r="EI312" s="18">
        <f>HLOOKUP($I$1,Qtr,ROW()-1)</f>
        <v>17</v>
      </c>
      <c r="EJ312" s="18">
        <f t="shared" si="1733"/>
        <v>17</v>
      </c>
      <c r="EK312" s="57">
        <f t="shared" si="1774"/>
        <v>0.16666666666666666</v>
      </c>
      <c r="EL312" s="14">
        <f>EH312/EE287</f>
        <v>0.7384706273307976</v>
      </c>
      <c r="EM312" s="14">
        <f>EI312/EF287</f>
        <v>1.5692500830779448</v>
      </c>
      <c r="EN312" s="14">
        <f>EJ312/EG287</f>
        <v>0.29565525895997952</v>
      </c>
      <c r="EO312" s="46" t="str">
        <f t="shared" si="1780"/>
        <v>È</v>
      </c>
      <c r="EP312" s="46" t="str">
        <f t="shared" si="1781"/>
        <v>Ç</v>
      </c>
      <c r="EQ312" s="2">
        <f>IF(EL312&gt;=0.9,1,IF(EL312&lt;0.75,2,3))</f>
        <v>2</v>
      </c>
      <c r="ER312" s="2">
        <f>IF(EM312&gt;=0.9,1,IF(EM312&lt;0.75,2,3))</f>
        <v>1</v>
      </c>
      <c r="ES312" s="2">
        <f>IF(EN312&gt;=0.9,1,IF(EN312&lt;0.75,2,3))</f>
        <v>2</v>
      </c>
    </row>
    <row r="313" spans="1:149">
      <c r="A313" s="6" t="s">
        <v>23</v>
      </c>
      <c r="B313" s="2" t="s">
        <v>98</v>
      </c>
      <c r="G313" s="28" t="s">
        <v>92</v>
      </c>
      <c r="H313" s="28"/>
      <c r="I313" s="29"/>
      <c r="J313" s="32">
        <f>J300*J301</f>
        <v>1</v>
      </c>
      <c r="K313" s="32">
        <f t="shared" ref="K313:AJ313" si="1863">K300*K301</f>
        <v>1</v>
      </c>
      <c r="L313" s="32">
        <f t="shared" si="1863"/>
        <v>0</v>
      </c>
      <c r="M313" s="32">
        <f t="shared" si="1863"/>
        <v>2</v>
      </c>
      <c r="N313" s="32">
        <f t="shared" si="1863"/>
        <v>1</v>
      </c>
      <c r="O313" s="32">
        <f t="shared" si="1863"/>
        <v>8</v>
      </c>
      <c r="P313" s="32">
        <f t="shared" si="1863"/>
        <v>3</v>
      </c>
      <c r="Q313" s="32">
        <f t="shared" si="1863"/>
        <v>5</v>
      </c>
      <c r="R313" s="32">
        <f t="shared" si="1863"/>
        <v>5</v>
      </c>
      <c r="S313" s="32">
        <f t="shared" si="1863"/>
        <v>5</v>
      </c>
      <c r="T313" s="32">
        <f t="shared" si="1863"/>
        <v>5</v>
      </c>
      <c r="U313" s="32">
        <f t="shared" si="1863"/>
        <v>2</v>
      </c>
      <c r="V313" s="32">
        <f t="shared" si="1863"/>
        <v>2</v>
      </c>
      <c r="W313" s="32">
        <f t="shared" si="1863"/>
        <v>5.22</v>
      </c>
      <c r="X313" s="32">
        <f t="shared" si="1863"/>
        <v>1</v>
      </c>
      <c r="Y313" s="32">
        <f t="shared" si="1863"/>
        <v>0</v>
      </c>
      <c r="Z313" s="32">
        <f t="shared" si="1863"/>
        <v>8</v>
      </c>
      <c r="AA313" s="32">
        <f t="shared" si="1863"/>
        <v>3</v>
      </c>
      <c r="AB313" s="32">
        <f t="shared" si="1863"/>
        <v>3</v>
      </c>
      <c r="AC313" s="32">
        <f t="shared" si="1863"/>
        <v>5.4</v>
      </c>
      <c r="AD313" s="32">
        <f t="shared" si="1863"/>
        <v>3</v>
      </c>
      <c r="AE313" s="32">
        <f t="shared" si="1863"/>
        <v>6</v>
      </c>
      <c r="AF313" s="32">
        <f t="shared" si="1863"/>
        <v>2.4000000000000004</v>
      </c>
      <c r="AG313" s="32">
        <f t="shared" si="1863"/>
        <v>2</v>
      </c>
      <c r="AH313" s="32">
        <f t="shared" si="1863"/>
        <v>3.2</v>
      </c>
      <c r="AI313" s="32">
        <f t="shared" si="1863"/>
        <v>4</v>
      </c>
      <c r="AJ313" s="32">
        <f t="shared" si="1863"/>
        <v>0</v>
      </c>
      <c r="AK313" s="408"/>
      <c r="AL313" s="56">
        <f t="shared" ref="AL313:AV313" si="1864">AL300*AL301</f>
        <v>1</v>
      </c>
      <c r="AM313" s="56">
        <f t="shared" si="1864"/>
        <v>1</v>
      </c>
      <c r="AN313" s="56">
        <f t="shared" si="1864"/>
        <v>0</v>
      </c>
      <c r="AO313" s="56">
        <f t="shared" si="1864"/>
        <v>2</v>
      </c>
      <c r="AP313" s="56">
        <f t="shared" si="1864"/>
        <v>1</v>
      </c>
      <c r="AQ313" s="56">
        <f t="shared" si="1864"/>
        <v>8</v>
      </c>
      <c r="AR313" s="56">
        <f t="shared" si="1864"/>
        <v>3</v>
      </c>
      <c r="AS313" s="56">
        <f t="shared" si="1864"/>
        <v>5</v>
      </c>
      <c r="AT313" s="56">
        <f t="shared" si="1864"/>
        <v>5</v>
      </c>
      <c r="AU313" s="56">
        <f t="shared" si="1864"/>
        <v>5</v>
      </c>
      <c r="AV313" s="56">
        <f t="shared" si="1864"/>
        <v>5</v>
      </c>
      <c r="AW313" s="56">
        <f t="shared" ref="AW313:BL313" si="1865">AW300*AW301</f>
        <v>2</v>
      </c>
      <c r="AX313" s="56">
        <f t="shared" si="1865"/>
        <v>2</v>
      </c>
      <c r="AY313" s="56">
        <f t="shared" si="1865"/>
        <v>5.22</v>
      </c>
      <c r="AZ313" s="56">
        <f t="shared" si="1865"/>
        <v>1</v>
      </c>
      <c r="BA313" s="56">
        <f t="shared" si="1865"/>
        <v>0</v>
      </c>
      <c r="BB313" s="56">
        <f t="shared" si="1865"/>
        <v>8</v>
      </c>
      <c r="BC313" s="56">
        <f t="shared" si="1865"/>
        <v>3</v>
      </c>
      <c r="BD313" s="56">
        <f t="shared" si="1865"/>
        <v>3</v>
      </c>
      <c r="BE313" s="56">
        <f t="shared" si="1865"/>
        <v>5.4</v>
      </c>
      <c r="BF313" s="56">
        <f t="shared" si="1865"/>
        <v>3</v>
      </c>
      <c r="BG313" s="56">
        <f t="shared" si="1865"/>
        <v>6</v>
      </c>
      <c r="BH313" s="56">
        <f t="shared" si="1865"/>
        <v>2.4000000000000004</v>
      </c>
      <c r="BI313" s="56">
        <f t="shared" si="1865"/>
        <v>2</v>
      </c>
      <c r="BJ313" s="56">
        <f t="shared" si="1865"/>
        <v>3.2</v>
      </c>
      <c r="BK313" s="56">
        <f t="shared" si="1865"/>
        <v>4</v>
      </c>
      <c r="BL313" s="56">
        <f t="shared" si="1865"/>
        <v>0</v>
      </c>
      <c r="BM313" s="408"/>
      <c r="BN313" s="56">
        <f>+AL313</f>
        <v>1</v>
      </c>
      <c r="BO313" s="56">
        <f t="shared" si="1851"/>
        <v>2</v>
      </c>
      <c r="BP313" s="56">
        <f t="shared" si="1851"/>
        <v>2</v>
      </c>
      <c r="BQ313" s="56">
        <f>+AO313</f>
        <v>2</v>
      </c>
      <c r="BR313" s="56">
        <f t="shared" si="1852"/>
        <v>3</v>
      </c>
      <c r="BS313" s="56">
        <f t="shared" si="1852"/>
        <v>11</v>
      </c>
      <c r="BT313" s="56">
        <f>+AR313</f>
        <v>3</v>
      </c>
      <c r="BU313" s="56">
        <f t="shared" si="1853"/>
        <v>8</v>
      </c>
      <c r="BV313" s="56">
        <f t="shared" si="1853"/>
        <v>13</v>
      </c>
      <c r="BW313" s="56">
        <f>+AU313</f>
        <v>5</v>
      </c>
      <c r="BX313" s="56">
        <f t="shared" si="1854"/>
        <v>10</v>
      </c>
      <c r="BY313" s="56">
        <f t="shared" si="1854"/>
        <v>12</v>
      </c>
      <c r="BZ313" s="56">
        <f>+AX313</f>
        <v>2</v>
      </c>
      <c r="CA313" s="56">
        <f t="shared" si="1855"/>
        <v>7.22</v>
      </c>
      <c r="CB313" s="56">
        <f t="shared" si="1855"/>
        <v>8.2199999999999989</v>
      </c>
      <c r="CC313" s="56">
        <f>+BA313</f>
        <v>0</v>
      </c>
      <c r="CD313" s="56">
        <f t="shared" si="1856"/>
        <v>8</v>
      </c>
      <c r="CE313" s="56">
        <f t="shared" si="1856"/>
        <v>11</v>
      </c>
      <c r="CF313" s="56">
        <f>+BD313</f>
        <v>3</v>
      </c>
      <c r="CG313" s="56">
        <f t="shared" si="1857"/>
        <v>8.4</v>
      </c>
      <c r="CH313" s="56">
        <f t="shared" si="1857"/>
        <v>11.4</v>
      </c>
      <c r="CI313" s="56">
        <f>+BG313</f>
        <v>6</v>
      </c>
      <c r="CJ313" s="56">
        <f t="shared" si="1858"/>
        <v>8.4</v>
      </c>
      <c r="CK313" s="56">
        <f t="shared" si="1858"/>
        <v>10.4</v>
      </c>
      <c r="CL313" s="56">
        <f>+BJ313</f>
        <v>3.2</v>
      </c>
      <c r="CM313" s="56">
        <f t="shared" si="1859"/>
        <v>7.2</v>
      </c>
      <c r="CN313" s="56">
        <f t="shared" si="1859"/>
        <v>7.2</v>
      </c>
      <c r="CO313" s="406"/>
      <c r="CP313" s="60">
        <f>J313</f>
        <v>1</v>
      </c>
      <c r="CQ313" s="60">
        <f t="shared" ref="CQ313:DA313" si="1866">CP313+K313</f>
        <v>2</v>
      </c>
      <c r="CR313" s="60">
        <f t="shared" si="1866"/>
        <v>2</v>
      </c>
      <c r="CS313" s="60">
        <f t="shared" si="1866"/>
        <v>4</v>
      </c>
      <c r="CT313" s="60">
        <f t="shared" si="1866"/>
        <v>5</v>
      </c>
      <c r="CU313" s="60">
        <f t="shared" si="1866"/>
        <v>13</v>
      </c>
      <c r="CV313" s="60">
        <f t="shared" si="1866"/>
        <v>16</v>
      </c>
      <c r="CW313" s="60">
        <f t="shared" si="1866"/>
        <v>21</v>
      </c>
      <c r="CX313" s="60">
        <f t="shared" si="1866"/>
        <v>26</v>
      </c>
      <c r="CY313" s="60">
        <f t="shared" si="1866"/>
        <v>31</v>
      </c>
      <c r="CZ313" s="60">
        <f t="shared" si="1866"/>
        <v>36</v>
      </c>
      <c r="DA313" s="60">
        <f t="shared" si="1866"/>
        <v>38</v>
      </c>
      <c r="DB313" s="60">
        <f>V313</f>
        <v>2</v>
      </c>
      <c r="DC313" s="60">
        <f t="shared" ref="DC313:DM313" si="1867">DB313+W313</f>
        <v>7.22</v>
      </c>
      <c r="DD313" s="60">
        <f t="shared" si="1867"/>
        <v>8.2199999999999989</v>
      </c>
      <c r="DE313" s="60">
        <f t="shared" si="1867"/>
        <v>8.2199999999999989</v>
      </c>
      <c r="DF313" s="60">
        <f t="shared" si="1867"/>
        <v>16.22</v>
      </c>
      <c r="DG313" s="60">
        <f t="shared" si="1867"/>
        <v>19.22</v>
      </c>
      <c r="DH313" s="60">
        <f t="shared" si="1867"/>
        <v>22.22</v>
      </c>
      <c r="DI313" s="60">
        <f t="shared" si="1867"/>
        <v>27.619999999999997</v>
      </c>
      <c r="DJ313" s="60">
        <f t="shared" si="1867"/>
        <v>30.619999999999997</v>
      </c>
      <c r="DK313" s="60">
        <f t="shared" si="1867"/>
        <v>36.619999999999997</v>
      </c>
      <c r="DL313" s="60">
        <f t="shared" si="1867"/>
        <v>39.019999999999996</v>
      </c>
      <c r="DM313" s="60">
        <f t="shared" si="1867"/>
        <v>41.019999999999996</v>
      </c>
      <c r="DN313" s="60">
        <f>AH313</f>
        <v>3.2</v>
      </c>
      <c r="DO313" s="60">
        <f>DN313+AI313</f>
        <v>7.2</v>
      </c>
      <c r="DP313" s="60">
        <f>DO313+AJ313</f>
        <v>7.2</v>
      </c>
      <c r="DQ313" s="60"/>
      <c r="DR313" s="60"/>
      <c r="DS313" s="60"/>
      <c r="DT313" s="60"/>
      <c r="DU313" s="60"/>
      <c r="DV313" s="60"/>
      <c r="DW313" s="60"/>
      <c r="DX313" s="60"/>
      <c r="DY313" s="60"/>
      <c r="EA313" s="53"/>
      <c r="EB313" s="53"/>
      <c r="EC313" s="53"/>
      <c r="ED313" s="429"/>
      <c r="EE313" s="54"/>
      <c r="EF313" s="54"/>
      <c r="EG313" s="54"/>
      <c r="EH313" s="18">
        <f>HLOOKUP($I$1,Month,ROW()-1)</f>
        <v>4</v>
      </c>
      <c r="EI313" s="18">
        <f>HLOOKUP($I$1,Qtr,ROW()-1)</f>
        <v>7.2</v>
      </c>
      <c r="EJ313" s="18">
        <f t="shared" si="1733"/>
        <v>7.2</v>
      </c>
      <c r="EK313" s="57">
        <f t="shared" si="1774"/>
        <v>0.16666666666666666</v>
      </c>
      <c r="EL313" s="14"/>
      <c r="EM313" s="14" t="e">
        <f>EI313/EF289</f>
        <v>#DIV/0!</v>
      </c>
      <c r="EN313" s="14"/>
      <c r="EO313" s="46" t="str">
        <f>IF(EH313&lt;0,,IF(EH313&lt;EE289,"È",IF(EH313=EE289,"Æ","Ç")))</f>
        <v>Ç</v>
      </c>
      <c r="EP313" s="46" t="str">
        <f>IF(EI313&lt;0,,IF(EI313&lt;EF289,"È",IF(EI313=EF289,"Æ","Ç")))</f>
        <v>Ç</v>
      </c>
    </row>
    <row r="314" spans="1:149" ht="13.5" thickBot="1">
      <c r="K314" s="42" t="s">
        <v>114</v>
      </c>
      <c r="AL314" s="14"/>
      <c r="CN314" s="23" t="s">
        <v>152</v>
      </c>
      <c r="CP314" s="2">
        <v>10</v>
      </c>
      <c r="CQ314" s="2">
        <v>11</v>
      </c>
      <c r="CR314" s="2">
        <v>12</v>
      </c>
      <c r="CS314" s="2">
        <v>1</v>
      </c>
      <c r="CT314" s="2">
        <v>2</v>
      </c>
      <c r="CU314" s="2">
        <v>3</v>
      </c>
      <c r="CV314" s="2">
        <v>4</v>
      </c>
      <c r="CW314" s="2">
        <v>5</v>
      </c>
      <c r="CX314" s="2">
        <v>6</v>
      </c>
      <c r="CY314" s="2">
        <v>7</v>
      </c>
      <c r="CZ314" s="2">
        <v>8</v>
      </c>
      <c r="DA314" s="2">
        <v>9</v>
      </c>
      <c r="DB314" s="2">
        <v>10</v>
      </c>
      <c r="DC314" s="2">
        <v>11</v>
      </c>
      <c r="DD314" s="2">
        <v>12</v>
      </c>
      <c r="DE314" s="2">
        <v>1</v>
      </c>
      <c r="DF314" s="2">
        <v>2</v>
      </c>
      <c r="DG314" s="2">
        <v>3</v>
      </c>
      <c r="DH314" s="2">
        <v>4</v>
      </c>
      <c r="DI314" s="2">
        <v>5</v>
      </c>
      <c r="DJ314" s="2">
        <v>6</v>
      </c>
      <c r="DK314" s="2">
        <v>7</v>
      </c>
      <c r="DL314" s="2">
        <v>8</v>
      </c>
      <c r="DM314" s="2">
        <v>9</v>
      </c>
      <c r="DN314" s="2">
        <v>10</v>
      </c>
      <c r="DO314" s="2">
        <v>11</v>
      </c>
      <c r="DP314" s="2">
        <v>12</v>
      </c>
      <c r="ED314" s="429"/>
      <c r="EE314" s="23"/>
      <c r="EF314" s="23"/>
      <c r="EG314" s="23"/>
      <c r="EH314" s="23"/>
      <c r="EI314" s="23"/>
      <c r="EJ314" s="23"/>
      <c r="EK314" s="23"/>
    </row>
    <row r="315" spans="1:149" ht="13.5" thickBot="1">
      <c r="A315" s="6" t="s">
        <v>30</v>
      </c>
      <c r="C315" s="11" t="s">
        <v>73</v>
      </c>
      <c r="E315" s="8" t="s">
        <v>34</v>
      </c>
      <c r="F315" s="11" t="s">
        <v>33</v>
      </c>
      <c r="G315" s="9" t="s">
        <v>34</v>
      </c>
      <c r="H315" s="11" t="s">
        <v>33</v>
      </c>
      <c r="I315" s="11" t="s">
        <v>34</v>
      </c>
      <c r="AL315" s="109"/>
    </row>
    <row r="316" spans="1:149">
      <c r="A316" s="6" t="s">
        <v>23</v>
      </c>
      <c r="B316" s="2" t="s">
        <v>24</v>
      </c>
      <c r="C316" s="3" t="s">
        <v>74</v>
      </c>
      <c r="E316" s="4" t="str">
        <f>C274</f>
        <v>BInBusNew</v>
      </c>
      <c r="F316" s="4" t="s">
        <v>31</v>
      </c>
      <c r="G316" s="28" t="str">
        <f>C273</f>
        <v>BAllNew</v>
      </c>
      <c r="H316" s="28"/>
      <c r="I316" s="28"/>
      <c r="J316" s="62">
        <f t="shared" ref="J316:AJ316" si="1868">J274/J273</f>
        <v>0.46999999999999992</v>
      </c>
      <c r="K316" s="62">
        <f t="shared" si="1868"/>
        <v>0.23499999999999996</v>
      </c>
      <c r="L316" s="62">
        <f t="shared" si="1868"/>
        <v>0.15666666666666665</v>
      </c>
      <c r="M316" s="62">
        <f t="shared" si="1868"/>
        <v>0.11749999999999998</v>
      </c>
      <c r="N316" s="62">
        <f t="shared" si="1868"/>
        <v>9.3999999999999986E-2</v>
      </c>
      <c r="O316" s="62">
        <f t="shared" si="1868"/>
        <v>7.8333333333333324E-2</v>
      </c>
      <c r="P316" s="62">
        <f t="shared" si="1868"/>
        <v>6.7142857142857129E-2</v>
      </c>
      <c r="Q316" s="62">
        <f t="shared" si="1868"/>
        <v>5.874999999999999E-2</v>
      </c>
      <c r="R316" s="62">
        <f t="shared" si="1868"/>
        <v>5.2222222222222218E-2</v>
      </c>
      <c r="S316" s="62">
        <f t="shared" si="1868"/>
        <v>4.6999999999999993E-2</v>
      </c>
      <c r="T316" s="62">
        <f t="shared" si="1868"/>
        <v>4.2727272727272725E-2</v>
      </c>
      <c r="U316" s="62">
        <f t="shared" si="1868"/>
        <v>3.9166666666666662E-2</v>
      </c>
      <c r="V316" s="62">
        <f t="shared" si="1868"/>
        <v>0.5</v>
      </c>
      <c r="W316" s="62">
        <f t="shared" si="1868"/>
        <v>0.5</v>
      </c>
      <c r="X316" s="62">
        <f t="shared" si="1868"/>
        <v>0.5</v>
      </c>
      <c r="Y316" s="62">
        <f t="shared" si="1868"/>
        <v>0.5</v>
      </c>
      <c r="Z316" s="62">
        <f t="shared" si="1868"/>
        <v>0.5</v>
      </c>
      <c r="AA316" s="62">
        <f t="shared" si="1868"/>
        <v>0.5</v>
      </c>
      <c r="AB316" s="62">
        <f t="shared" si="1868"/>
        <v>0.5</v>
      </c>
      <c r="AC316" s="62">
        <f t="shared" si="1868"/>
        <v>0.5</v>
      </c>
      <c r="AD316" s="62">
        <f t="shared" si="1868"/>
        <v>0.5</v>
      </c>
      <c r="AE316" s="62">
        <f t="shared" si="1868"/>
        <v>0.5</v>
      </c>
      <c r="AF316" s="62">
        <f t="shared" si="1868"/>
        <v>0.5</v>
      </c>
      <c r="AG316" s="62">
        <f t="shared" si="1868"/>
        <v>0.5</v>
      </c>
      <c r="AH316" s="62">
        <f t="shared" si="1868"/>
        <v>0.5</v>
      </c>
      <c r="AI316" s="62">
        <f t="shared" si="1868"/>
        <v>0.5</v>
      </c>
      <c r="AJ316" s="62" t="e">
        <f t="shared" si="1868"/>
        <v>#DIV/0!</v>
      </c>
      <c r="AK316" s="412"/>
      <c r="AL316" s="14">
        <f t="shared" ref="AL316:BL316" si="1869">AL274/AL273</f>
        <v>0.46999999999999992</v>
      </c>
      <c r="AM316" s="14">
        <f t="shared" si="1869"/>
        <v>0.46999999999999992</v>
      </c>
      <c r="AN316" s="14">
        <f t="shared" si="1869"/>
        <v>0.46999999999999992</v>
      </c>
      <c r="AO316" s="14">
        <f t="shared" si="1869"/>
        <v>0.46999999999999992</v>
      </c>
      <c r="AP316" s="14">
        <f t="shared" si="1869"/>
        <v>0.46999999999999992</v>
      </c>
      <c r="AQ316" s="14">
        <f t="shared" si="1869"/>
        <v>0.46999999999999992</v>
      </c>
      <c r="AR316" s="14">
        <f t="shared" si="1869"/>
        <v>0.46999999999999992</v>
      </c>
      <c r="AS316" s="14">
        <f t="shared" si="1869"/>
        <v>0.46999999999999992</v>
      </c>
      <c r="AT316" s="14">
        <f t="shared" si="1869"/>
        <v>0.46999999999999992</v>
      </c>
      <c r="AU316" s="14">
        <f t="shared" si="1869"/>
        <v>0.46999999999999992</v>
      </c>
      <c r="AV316" s="14">
        <f t="shared" si="1869"/>
        <v>0.46999999999999992</v>
      </c>
      <c r="AW316" s="14">
        <f t="shared" si="1869"/>
        <v>0.46999999999999992</v>
      </c>
      <c r="AX316" s="14">
        <f t="shared" si="1869"/>
        <v>0.5</v>
      </c>
      <c r="AY316" s="14">
        <f t="shared" si="1869"/>
        <v>0.5</v>
      </c>
      <c r="AZ316" s="14">
        <f t="shared" si="1869"/>
        <v>0.5</v>
      </c>
      <c r="BA316" s="14">
        <f t="shared" si="1869"/>
        <v>0.5</v>
      </c>
      <c r="BB316" s="14">
        <f t="shared" si="1869"/>
        <v>0.5</v>
      </c>
      <c r="BC316" s="14">
        <f t="shared" si="1869"/>
        <v>0.5</v>
      </c>
      <c r="BD316" s="14">
        <f t="shared" si="1869"/>
        <v>0.5</v>
      </c>
      <c r="BE316" s="14">
        <f t="shared" si="1869"/>
        <v>0.5</v>
      </c>
      <c r="BF316" s="14">
        <f t="shared" si="1869"/>
        <v>0.5</v>
      </c>
      <c r="BG316" s="14">
        <f t="shared" si="1869"/>
        <v>0.5</v>
      </c>
      <c r="BH316" s="14">
        <f t="shared" si="1869"/>
        <v>0.5</v>
      </c>
      <c r="BI316" s="14">
        <f t="shared" si="1869"/>
        <v>0.5</v>
      </c>
      <c r="BJ316" s="14">
        <f t="shared" si="1869"/>
        <v>0.5</v>
      </c>
      <c r="BK316" s="14">
        <f t="shared" si="1869"/>
        <v>0.5</v>
      </c>
      <c r="BL316" s="14" t="e">
        <f t="shared" si="1869"/>
        <v>#DIV/0!</v>
      </c>
      <c r="BM316" s="412"/>
      <c r="BN316" s="14">
        <f t="shared" ref="BN316:CN316" si="1870">BN274/BN273</f>
        <v>0.47</v>
      </c>
      <c r="BO316" s="14">
        <f t="shared" si="1870"/>
        <v>0.47</v>
      </c>
      <c r="BP316" s="14">
        <f t="shared" si="1870"/>
        <v>0.47</v>
      </c>
      <c r="BQ316" s="14">
        <f t="shared" si="1870"/>
        <v>0.47</v>
      </c>
      <c r="BR316" s="14">
        <f t="shared" si="1870"/>
        <v>0.47</v>
      </c>
      <c r="BS316" s="14">
        <f t="shared" si="1870"/>
        <v>0.47</v>
      </c>
      <c r="BT316" s="14">
        <f t="shared" si="1870"/>
        <v>0.47</v>
      </c>
      <c r="BU316" s="14">
        <f t="shared" si="1870"/>
        <v>0.47</v>
      </c>
      <c r="BV316" s="14">
        <f t="shared" si="1870"/>
        <v>0.47</v>
      </c>
      <c r="BW316" s="14">
        <f t="shared" si="1870"/>
        <v>0.47</v>
      </c>
      <c r="BX316" s="14">
        <f t="shared" si="1870"/>
        <v>0.47</v>
      </c>
      <c r="BY316" s="14">
        <f t="shared" si="1870"/>
        <v>0.47</v>
      </c>
      <c r="BZ316" s="14">
        <f t="shared" si="1870"/>
        <v>0.5</v>
      </c>
      <c r="CA316" s="14">
        <f t="shared" si="1870"/>
        <v>0.5</v>
      </c>
      <c r="CB316" s="14">
        <f t="shared" si="1870"/>
        <v>0.5</v>
      </c>
      <c r="CC316" s="14">
        <f t="shared" si="1870"/>
        <v>0.5</v>
      </c>
      <c r="CD316" s="14">
        <f t="shared" si="1870"/>
        <v>0.5</v>
      </c>
      <c r="CE316" s="14">
        <f t="shared" si="1870"/>
        <v>0.5</v>
      </c>
      <c r="CF316" s="14">
        <f t="shared" si="1870"/>
        <v>0.5</v>
      </c>
      <c r="CG316" s="14">
        <f t="shared" si="1870"/>
        <v>0.5</v>
      </c>
      <c r="CH316" s="14">
        <f t="shared" si="1870"/>
        <v>0.5</v>
      </c>
      <c r="CI316" s="14">
        <f t="shared" si="1870"/>
        <v>0.5</v>
      </c>
      <c r="CJ316" s="14">
        <f t="shared" si="1870"/>
        <v>0.5</v>
      </c>
      <c r="CK316" s="14">
        <f t="shared" si="1870"/>
        <v>0.5</v>
      </c>
      <c r="CL316" s="14">
        <f t="shared" si="1870"/>
        <v>0.5</v>
      </c>
      <c r="CM316" s="14">
        <f t="shared" si="1870"/>
        <v>0.5</v>
      </c>
      <c r="CN316" s="14">
        <f t="shared" si="1870"/>
        <v>0.5</v>
      </c>
      <c r="CO316" s="412"/>
      <c r="CP316" s="14">
        <f t="shared" ref="CP316:DP316" si="1871">CP274/CP273</f>
        <v>0.46999999999999992</v>
      </c>
      <c r="CQ316" s="14">
        <f t="shared" si="1871"/>
        <v>0.46999999999999992</v>
      </c>
      <c r="CR316" s="14">
        <f t="shared" si="1871"/>
        <v>0.3133333333333333</v>
      </c>
      <c r="CS316" s="14">
        <f t="shared" si="1871"/>
        <v>0.23499999999999996</v>
      </c>
      <c r="CT316" s="14">
        <f t="shared" si="1871"/>
        <v>0.18799999999999997</v>
      </c>
      <c r="CU316" s="14">
        <f t="shared" si="1871"/>
        <v>0.15666666666666665</v>
      </c>
      <c r="CV316" s="14">
        <f t="shared" si="1871"/>
        <v>0.13428571428571426</v>
      </c>
      <c r="CW316" s="14">
        <f t="shared" si="1871"/>
        <v>0.11749999999999998</v>
      </c>
      <c r="CX316" s="14">
        <f t="shared" si="1871"/>
        <v>0.10444444444444444</v>
      </c>
      <c r="CY316" s="14">
        <f t="shared" si="1871"/>
        <v>9.3999999999999986E-2</v>
      </c>
      <c r="CZ316" s="14">
        <f t="shared" si="1871"/>
        <v>8.545454545454545E-2</v>
      </c>
      <c r="DA316" s="14">
        <f t="shared" si="1871"/>
        <v>7.8333333333333324E-2</v>
      </c>
      <c r="DB316" s="14">
        <f t="shared" si="1871"/>
        <v>0.5</v>
      </c>
      <c r="DC316" s="14">
        <f t="shared" si="1871"/>
        <v>0.5</v>
      </c>
      <c r="DD316" s="14">
        <f t="shared" si="1871"/>
        <v>0.5</v>
      </c>
      <c r="DE316" s="14">
        <f t="shared" si="1871"/>
        <v>0.5</v>
      </c>
      <c r="DF316" s="14">
        <f t="shared" si="1871"/>
        <v>0.5</v>
      </c>
      <c r="DG316" s="14">
        <f t="shared" si="1871"/>
        <v>0.5</v>
      </c>
      <c r="DH316" s="14">
        <f t="shared" si="1871"/>
        <v>0.5</v>
      </c>
      <c r="DI316" s="14">
        <f t="shared" si="1871"/>
        <v>0.5</v>
      </c>
      <c r="DJ316" s="14">
        <f t="shared" si="1871"/>
        <v>0.5</v>
      </c>
      <c r="DK316" s="14">
        <f t="shared" si="1871"/>
        <v>0.5</v>
      </c>
      <c r="DL316" s="14">
        <f t="shared" si="1871"/>
        <v>0.5</v>
      </c>
      <c r="DM316" s="14">
        <f t="shared" si="1871"/>
        <v>0.5</v>
      </c>
      <c r="DN316" s="14">
        <f t="shared" si="1871"/>
        <v>0.5</v>
      </c>
      <c r="DO316" s="14">
        <f t="shared" si="1871"/>
        <v>0.5</v>
      </c>
      <c r="DP316" s="14">
        <f t="shared" si="1871"/>
        <v>0.33333333333333331</v>
      </c>
      <c r="DQ316" s="14"/>
      <c r="DR316" s="14"/>
      <c r="DS316" s="14"/>
      <c r="DT316" s="14"/>
      <c r="DU316" s="14"/>
      <c r="DV316" s="14"/>
      <c r="DW316" s="14"/>
      <c r="DX316" s="14"/>
      <c r="DY316" s="14"/>
      <c r="DZ316" s="14"/>
      <c r="EA316" s="14">
        <f>EA274/EA273</f>
        <v>7.8333333333333324E-2</v>
      </c>
      <c r="EB316" s="14">
        <f>EB274/EB273</f>
        <v>0.5</v>
      </c>
      <c r="EC316" s="14"/>
      <c r="ED316" s="429"/>
      <c r="EE316" s="14">
        <f>EE274/EE273</f>
        <v>0.5</v>
      </c>
      <c r="EF316" s="14">
        <f>EF274/EF273</f>
        <v>0.5</v>
      </c>
      <c r="EG316" s="14">
        <f>+EF316</f>
        <v>0.5</v>
      </c>
      <c r="EK316" s="24"/>
      <c r="EL316" s="47"/>
      <c r="EM316" s="47"/>
      <c r="EN316" s="47"/>
    </row>
    <row r="317" spans="1:149">
      <c r="A317" s="6" t="s">
        <v>23</v>
      </c>
      <c r="B317" s="2" t="s">
        <v>25</v>
      </c>
      <c r="C317" s="3" t="s">
        <v>75</v>
      </c>
      <c r="E317" s="4" t="str">
        <f>C287</f>
        <v>BSEE</v>
      </c>
      <c r="F317" s="4" t="s">
        <v>31</v>
      </c>
      <c r="G317" s="28" t="str">
        <f>C286</f>
        <v>BSUniq</v>
      </c>
      <c r="H317" s="28"/>
      <c r="I317" s="28"/>
      <c r="J317" s="62">
        <f t="shared" ref="J317:AJ317" si="1872">J287/J286</f>
        <v>0.2092457420924573</v>
      </c>
      <c r="K317" s="62">
        <f t="shared" si="1872"/>
        <v>0.2092457420924573</v>
      </c>
      <c r="L317" s="62">
        <f t="shared" si="1872"/>
        <v>0.20924574209245708</v>
      </c>
      <c r="M317" s="62">
        <f t="shared" si="1872"/>
        <v>0.26515151515151514</v>
      </c>
      <c r="N317" s="62">
        <f t="shared" si="1872"/>
        <v>0.26515151545454546</v>
      </c>
      <c r="O317" s="62">
        <f t="shared" si="1872"/>
        <v>0.26515151545454552</v>
      </c>
      <c r="P317" s="62">
        <f t="shared" si="1872"/>
        <v>0.26515151545454541</v>
      </c>
      <c r="Q317" s="62">
        <f t="shared" si="1872"/>
        <v>0.26515151545454541</v>
      </c>
      <c r="R317" s="62">
        <f t="shared" si="1872"/>
        <v>0.26515151545454557</v>
      </c>
      <c r="S317" s="62">
        <f t="shared" si="1872"/>
        <v>0.26515151545454557</v>
      </c>
      <c r="T317" s="62">
        <f t="shared" si="1872"/>
        <v>0.26515151545454557</v>
      </c>
      <c r="U317" s="62">
        <f t="shared" si="1872"/>
        <v>0.26515151545454557</v>
      </c>
      <c r="V317" s="62">
        <f t="shared" si="1872"/>
        <v>0.21084845442058855</v>
      </c>
      <c r="W317" s="62">
        <f t="shared" si="1872"/>
        <v>0.10542422721029415</v>
      </c>
      <c r="X317" s="62">
        <f t="shared" si="1872"/>
        <v>7.0282818140196102E-2</v>
      </c>
      <c r="Y317" s="62">
        <f t="shared" si="1872"/>
        <v>9.7892720306513401E-2</v>
      </c>
      <c r="Z317" s="62">
        <f t="shared" si="1872"/>
        <v>7.8314176245210712E-2</v>
      </c>
      <c r="AA317" s="62">
        <f t="shared" si="1872"/>
        <v>6.5261813537675614E-2</v>
      </c>
      <c r="AB317" s="62">
        <f t="shared" si="1872"/>
        <v>5.593869731800765E-2</v>
      </c>
      <c r="AC317" s="62">
        <f t="shared" si="1872"/>
        <v>4.8946360153256693E-2</v>
      </c>
      <c r="AD317" s="62">
        <f t="shared" si="1872"/>
        <v>4.3507875691783757E-2</v>
      </c>
      <c r="AE317" s="62">
        <f t="shared" si="1872"/>
        <v>3.9157088122605377E-2</v>
      </c>
      <c r="AF317" s="62">
        <f t="shared" si="1872"/>
        <v>3.5597352838732166E-2</v>
      </c>
      <c r="AG317" s="62">
        <f t="shared" si="1872"/>
        <v>3.2630906768837814E-2</v>
      </c>
      <c r="AH317" s="62">
        <f t="shared" si="1872"/>
        <v>0.39157088122605349</v>
      </c>
      <c r="AI317" s="62">
        <f t="shared" si="1872"/>
        <v>0.39157088122605388</v>
      </c>
      <c r="AJ317" s="62">
        <f t="shared" si="1872"/>
        <v>0.39157088122605388</v>
      </c>
      <c r="AK317" s="412"/>
      <c r="AL317" s="14">
        <f t="shared" ref="AL317:BL317" si="1873">AL287/AL286</f>
        <v>0.2092457420924573</v>
      </c>
      <c r="AM317" s="14">
        <f t="shared" si="1873"/>
        <v>0.2092457420924573</v>
      </c>
      <c r="AN317" s="14">
        <f t="shared" si="1873"/>
        <v>0.20924574209245708</v>
      </c>
      <c r="AO317" s="14">
        <f t="shared" si="1873"/>
        <v>0.26515151515151514</v>
      </c>
      <c r="AP317" s="14">
        <f t="shared" si="1873"/>
        <v>0.26515151545454546</v>
      </c>
      <c r="AQ317" s="14">
        <f t="shared" si="1873"/>
        <v>0.26515151545454552</v>
      </c>
      <c r="AR317" s="14">
        <f t="shared" si="1873"/>
        <v>0.26515151545454541</v>
      </c>
      <c r="AS317" s="14">
        <f t="shared" si="1873"/>
        <v>0.26515151545454541</v>
      </c>
      <c r="AT317" s="14">
        <f t="shared" si="1873"/>
        <v>0.26515151545454557</v>
      </c>
      <c r="AU317" s="14">
        <f t="shared" si="1873"/>
        <v>0.26515151545454557</v>
      </c>
      <c r="AV317" s="14">
        <f t="shared" si="1873"/>
        <v>0.26515151545454557</v>
      </c>
      <c r="AW317" s="14">
        <f t="shared" si="1873"/>
        <v>0.26515151545454557</v>
      </c>
      <c r="AX317" s="14">
        <f t="shared" si="1873"/>
        <v>0.21084845442058855</v>
      </c>
      <c r="AY317" s="14">
        <f t="shared" si="1873"/>
        <v>0.2108484544205883</v>
      </c>
      <c r="AZ317" s="14">
        <f t="shared" si="1873"/>
        <v>0.2108484544205883</v>
      </c>
      <c r="BA317" s="14">
        <f t="shared" si="1873"/>
        <v>0.3915708812260536</v>
      </c>
      <c r="BB317" s="14">
        <f t="shared" si="1873"/>
        <v>0.3915708812260536</v>
      </c>
      <c r="BC317" s="14">
        <f t="shared" si="1873"/>
        <v>0.39157088122605371</v>
      </c>
      <c r="BD317" s="14">
        <f t="shared" si="1873"/>
        <v>0.39157088122605355</v>
      </c>
      <c r="BE317" s="14">
        <f t="shared" si="1873"/>
        <v>0.39157088122605355</v>
      </c>
      <c r="BF317" s="14">
        <f t="shared" si="1873"/>
        <v>0.39157088122605382</v>
      </c>
      <c r="BG317" s="14">
        <f t="shared" si="1873"/>
        <v>0.39157088122605382</v>
      </c>
      <c r="BH317" s="14">
        <f t="shared" si="1873"/>
        <v>0.39157088122605382</v>
      </c>
      <c r="BI317" s="14">
        <f t="shared" si="1873"/>
        <v>0.39157088122605382</v>
      </c>
      <c r="BJ317" s="14">
        <f t="shared" si="1873"/>
        <v>0.39157088122605382</v>
      </c>
      <c r="BK317" s="14">
        <f t="shared" si="1873"/>
        <v>0.39157088122605388</v>
      </c>
      <c r="BL317" s="14">
        <f t="shared" si="1873"/>
        <v>0.39157088122605388</v>
      </c>
      <c r="BM317" s="412"/>
      <c r="BN317" s="14">
        <f t="shared" ref="BN317:CN317" si="1874">BN287/BN286</f>
        <v>0.2092457420924573</v>
      </c>
      <c r="BO317" s="14">
        <f t="shared" si="1874"/>
        <v>0.2092457420924573</v>
      </c>
      <c r="BP317" s="14">
        <f t="shared" si="1874"/>
        <v>0.20924574209245722</v>
      </c>
      <c r="BQ317" s="14">
        <f t="shared" si="1874"/>
        <v>0.26515151515151514</v>
      </c>
      <c r="BR317" s="14">
        <f t="shared" si="1874"/>
        <v>0.26515151530303033</v>
      </c>
      <c r="BS317" s="14">
        <f t="shared" si="1874"/>
        <v>0.26515151535353537</v>
      </c>
      <c r="BT317" s="14">
        <f t="shared" si="1874"/>
        <v>0.26515151545454541</v>
      </c>
      <c r="BU317" s="14">
        <f t="shared" si="1874"/>
        <v>0.26515151545454541</v>
      </c>
      <c r="BV317" s="14">
        <f t="shared" si="1874"/>
        <v>0.26515151545454546</v>
      </c>
      <c r="BW317" s="14">
        <f t="shared" si="1874"/>
        <v>0.26515151545454557</v>
      </c>
      <c r="BX317" s="14">
        <f t="shared" si="1874"/>
        <v>0.26515151545454557</v>
      </c>
      <c r="BY317" s="14">
        <f t="shared" si="1874"/>
        <v>0.26515151545454557</v>
      </c>
      <c r="BZ317" s="14">
        <f t="shared" si="1874"/>
        <v>7.0298063870812277E-2</v>
      </c>
      <c r="CA317" s="14">
        <f t="shared" si="1874"/>
        <v>0.14059612774162447</v>
      </c>
      <c r="CB317" s="14">
        <f t="shared" si="1874"/>
        <v>0.21089419161243667</v>
      </c>
      <c r="CC317" s="14">
        <f t="shared" si="1874"/>
        <v>6.5268104590914575E-2</v>
      </c>
      <c r="CD317" s="14">
        <f t="shared" si="1874"/>
        <v>0.13053620918182915</v>
      </c>
      <c r="CE317" s="14">
        <f t="shared" si="1874"/>
        <v>0.19580431377274371</v>
      </c>
      <c r="CF317" s="14">
        <f t="shared" si="1874"/>
        <v>4.3510322114226035E-2</v>
      </c>
      <c r="CG317" s="14">
        <f t="shared" si="1874"/>
        <v>8.7020644228452071E-2</v>
      </c>
      <c r="CH317" s="14">
        <f t="shared" si="1874"/>
        <v>0.13053096634267813</v>
      </c>
      <c r="CI317" s="14">
        <f t="shared" si="1874"/>
        <v>3.2630120481927725E-2</v>
      </c>
      <c r="CJ317" s="14">
        <f t="shared" si="1874"/>
        <v>6.5260240963855451E-2</v>
      </c>
      <c r="CK317" s="14">
        <f t="shared" si="1874"/>
        <v>9.7890361445783183E-2</v>
      </c>
      <c r="CL317" s="14">
        <f t="shared" si="1874"/>
        <v>0.14739047619047627</v>
      </c>
      <c r="CM317" s="14">
        <f t="shared" si="1874"/>
        <v>0.29478095238095253</v>
      </c>
      <c r="CN317" s="14">
        <f t="shared" si="1874"/>
        <v>0.44217142857142877</v>
      </c>
      <c r="CO317" s="412"/>
      <c r="CP317" s="14">
        <f t="shared" ref="CP317:DP317" si="1875">CP287/CP286</f>
        <v>0.2092457420924573</v>
      </c>
      <c r="CQ317" s="14">
        <f t="shared" si="1875"/>
        <v>0.2092457420924573</v>
      </c>
      <c r="CR317" s="14">
        <f t="shared" si="1875"/>
        <v>0.20924574209245722</v>
      </c>
      <c r="CS317" s="14">
        <f t="shared" si="1875"/>
        <v>0.22206015142043464</v>
      </c>
      <c r="CT317" s="14">
        <f t="shared" si="1875"/>
        <v>0.23009549646832783</v>
      </c>
      <c r="CU317" s="14">
        <f t="shared" si="1875"/>
        <v>0.23560508653617174</v>
      </c>
      <c r="CV317" s="14">
        <f t="shared" si="1875"/>
        <v>0.23961805996625088</v>
      </c>
      <c r="CW317" s="14">
        <f t="shared" si="1875"/>
        <v>0.24267130499691983</v>
      </c>
      <c r="CX317" s="14">
        <f t="shared" si="1875"/>
        <v>0.24507233728193667</v>
      </c>
      <c r="CY317" s="14">
        <f t="shared" si="1875"/>
        <v>0.24700997181039266</v>
      </c>
      <c r="CZ317" s="14">
        <f t="shared" si="1875"/>
        <v>0.24860655537776349</v>
      </c>
      <c r="DA317" s="14">
        <f t="shared" si="1875"/>
        <v>0.24994484908204032</v>
      </c>
      <c r="DB317" s="14">
        <f t="shared" si="1875"/>
        <v>0.21084845442058855</v>
      </c>
      <c r="DC317" s="14">
        <f t="shared" si="1875"/>
        <v>0.21084845442058842</v>
      </c>
      <c r="DD317" s="14">
        <f t="shared" si="1875"/>
        <v>0.21084845442058836</v>
      </c>
      <c r="DE317" s="14">
        <f t="shared" si="1875"/>
        <v>0.25602906112195467</v>
      </c>
      <c r="DF317" s="14">
        <f t="shared" si="1875"/>
        <v>0.28313742514277446</v>
      </c>
      <c r="DG317" s="14">
        <f t="shared" si="1875"/>
        <v>0.30120966782332098</v>
      </c>
      <c r="DH317" s="14">
        <f t="shared" si="1875"/>
        <v>0.3141184125951399</v>
      </c>
      <c r="DI317" s="14">
        <f t="shared" si="1875"/>
        <v>0.32379997117400411</v>
      </c>
      <c r="DJ317" s="14">
        <f t="shared" si="1875"/>
        <v>0.33133007229089856</v>
      </c>
      <c r="DK317" s="14">
        <f t="shared" si="1875"/>
        <v>0.33735415318441403</v>
      </c>
      <c r="DL317" s="14">
        <f t="shared" si="1875"/>
        <v>0.34228294664274495</v>
      </c>
      <c r="DM317" s="14">
        <f t="shared" si="1875"/>
        <v>0.34639027452468735</v>
      </c>
      <c r="DN317" s="14">
        <f t="shared" si="1875"/>
        <v>0.39157088122605382</v>
      </c>
      <c r="DO317" s="14">
        <f t="shared" si="1875"/>
        <v>0.39157088122605388</v>
      </c>
      <c r="DP317" s="14">
        <f t="shared" si="1875"/>
        <v>0.39157088122605388</v>
      </c>
      <c r="DQ317" s="14"/>
      <c r="DR317" s="14"/>
      <c r="DS317" s="14"/>
      <c r="DT317" s="14"/>
      <c r="DU317" s="14"/>
      <c r="DV317" s="14"/>
      <c r="DW317" s="14"/>
      <c r="DX317" s="14"/>
      <c r="DY317" s="14"/>
      <c r="DZ317" s="14"/>
      <c r="EA317" s="14">
        <f>EA287/EA286</f>
        <v>0.24994484908204032</v>
      </c>
      <c r="EB317" s="14">
        <f>EB287/EB286</f>
        <v>0.39115238102040817</v>
      </c>
      <c r="EC317" s="14"/>
      <c r="ED317" s="429"/>
      <c r="EE317" s="14">
        <f>EE287/EE286</f>
        <v>0.39157088122605388</v>
      </c>
      <c r="EF317" s="14">
        <f>EF287/EF286</f>
        <v>0.29478095238095253</v>
      </c>
      <c r="EG317" s="14">
        <f>+EF317</f>
        <v>0.29478095238095253</v>
      </c>
      <c r="EK317" s="24"/>
      <c r="EL317" s="47"/>
      <c r="EM317" s="47"/>
      <c r="EN317" s="47"/>
    </row>
    <row r="318" spans="1:149">
      <c r="A318" s="6" t="s">
        <v>23</v>
      </c>
      <c r="B318" s="2" t="s">
        <v>160</v>
      </c>
      <c r="C318" s="3" t="s">
        <v>76</v>
      </c>
      <c r="E318" s="3" t="str">
        <f>C276</f>
        <v>BSatRate</v>
      </c>
      <c r="F318" s="3" t="s">
        <v>32</v>
      </c>
      <c r="G318" s="28" t="str">
        <f>C273</f>
        <v>BAllNew</v>
      </c>
      <c r="H318" s="63" t="s">
        <v>31</v>
      </c>
      <c r="I318" s="28" t="str">
        <f>C275</f>
        <v>BSatResp</v>
      </c>
      <c r="J318" s="62">
        <f t="shared" ref="J318:AJ318" si="1876">J276*J275/J273</f>
        <v>0.14249999999999999</v>
      </c>
      <c r="K318" s="62">
        <f t="shared" si="1876"/>
        <v>7.1249999999999994E-2</v>
      </c>
      <c r="L318" s="62">
        <f t="shared" si="1876"/>
        <v>4.7500000000000001E-2</v>
      </c>
      <c r="M318" s="62">
        <f t="shared" si="1876"/>
        <v>3.5624999999999997E-2</v>
      </c>
      <c r="N318" s="62">
        <f t="shared" si="1876"/>
        <v>2.8499999999999998E-2</v>
      </c>
      <c r="O318" s="62">
        <f t="shared" si="1876"/>
        <v>2.375E-2</v>
      </c>
      <c r="P318" s="62">
        <f t="shared" si="1876"/>
        <v>2.0357142857142855E-2</v>
      </c>
      <c r="Q318" s="62">
        <f t="shared" si="1876"/>
        <v>1.7812499999999998E-2</v>
      </c>
      <c r="R318" s="62">
        <f t="shared" si="1876"/>
        <v>1.5833333333333331E-2</v>
      </c>
      <c r="S318" s="62">
        <f t="shared" si="1876"/>
        <v>1.4249999999999999E-2</v>
      </c>
      <c r="T318" s="62">
        <f t="shared" si="1876"/>
        <v>1.2954545454545453E-2</v>
      </c>
      <c r="U318" s="62">
        <f t="shared" si="1876"/>
        <v>1.1875E-2</v>
      </c>
      <c r="V318" s="62">
        <f t="shared" si="1876"/>
        <v>0.23749999999999999</v>
      </c>
      <c r="W318" s="62">
        <f t="shared" si="1876"/>
        <v>0.23749999999999999</v>
      </c>
      <c r="X318" s="62">
        <f t="shared" si="1876"/>
        <v>0.23749999999999999</v>
      </c>
      <c r="Y318" s="62">
        <f t="shared" si="1876"/>
        <v>0.23749999999999999</v>
      </c>
      <c r="Z318" s="62">
        <f t="shared" si="1876"/>
        <v>0.23749999999999999</v>
      </c>
      <c r="AA318" s="62">
        <f t="shared" si="1876"/>
        <v>0.23749999999999999</v>
      </c>
      <c r="AB318" s="62">
        <f t="shared" si="1876"/>
        <v>0.23749999999999999</v>
      </c>
      <c r="AC318" s="62">
        <f t="shared" si="1876"/>
        <v>0.23749999999999999</v>
      </c>
      <c r="AD318" s="62">
        <f t="shared" si="1876"/>
        <v>0.23749999999999999</v>
      </c>
      <c r="AE318" s="62">
        <f t="shared" si="1876"/>
        <v>0.23749999999999999</v>
      </c>
      <c r="AF318" s="62">
        <f t="shared" si="1876"/>
        <v>0.23749999999999996</v>
      </c>
      <c r="AG318" s="62">
        <f t="shared" si="1876"/>
        <v>0.23749999999999999</v>
      </c>
      <c r="AH318" s="62">
        <f t="shared" si="1876"/>
        <v>0</v>
      </c>
      <c r="AI318" s="62">
        <f t="shared" si="1876"/>
        <v>0</v>
      </c>
      <c r="AJ318" s="62" t="e">
        <f t="shared" si="1876"/>
        <v>#DIV/0!</v>
      </c>
      <c r="AK318" s="412"/>
      <c r="AL318" s="14">
        <f t="shared" ref="AL318:BL318" si="1877">AL276*AL275/AL273</f>
        <v>0.14249999999999999</v>
      </c>
      <c r="AM318" s="14">
        <f t="shared" si="1877"/>
        <v>0.14249999999999999</v>
      </c>
      <c r="AN318" s="14">
        <f t="shared" si="1877"/>
        <v>0.14249999999999999</v>
      </c>
      <c r="AO318" s="14">
        <f t="shared" si="1877"/>
        <v>0.14249999999999999</v>
      </c>
      <c r="AP318" s="14">
        <f t="shared" si="1877"/>
        <v>0.14249999999999999</v>
      </c>
      <c r="AQ318" s="14">
        <f t="shared" si="1877"/>
        <v>0.14249999999999999</v>
      </c>
      <c r="AR318" s="14">
        <f t="shared" si="1877"/>
        <v>0.14249999999999999</v>
      </c>
      <c r="AS318" s="14">
        <f t="shared" si="1877"/>
        <v>0.14249999999999999</v>
      </c>
      <c r="AT318" s="14">
        <f t="shared" si="1877"/>
        <v>0.14249999999999999</v>
      </c>
      <c r="AU318" s="14">
        <f t="shared" si="1877"/>
        <v>0.14249999999999999</v>
      </c>
      <c r="AV318" s="14">
        <f t="shared" si="1877"/>
        <v>0.14249999999999999</v>
      </c>
      <c r="AW318" s="14">
        <f t="shared" si="1877"/>
        <v>0.14249999999999999</v>
      </c>
      <c r="AX318" s="14">
        <f t="shared" si="1877"/>
        <v>0.23749999999999999</v>
      </c>
      <c r="AY318" s="14">
        <f t="shared" si="1877"/>
        <v>0.23749999999999999</v>
      </c>
      <c r="AZ318" s="14">
        <f t="shared" si="1877"/>
        <v>0.23749999999999999</v>
      </c>
      <c r="BA318" s="14">
        <f t="shared" si="1877"/>
        <v>0.23749999999999999</v>
      </c>
      <c r="BB318" s="14">
        <f t="shared" si="1877"/>
        <v>0.23749999999999999</v>
      </c>
      <c r="BC318" s="14">
        <f t="shared" si="1877"/>
        <v>0.23749999999999999</v>
      </c>
      <c r="BD318" s="14">
        <f t="shared" si="1877"/>
        <v>0.23749999999999999</v>
      </c>
      <c r="BE318" s="14">
        <f t="shared" si="1877"/>
        <v>0.23749999999999999</v>
      </c>
      <c r="BF318" s="14">
        <f t="shared" si="1877"/>
        <v>0.23749999999999999</v>
      </c>
      <c r="BG318" s="14">
        <f t="shared" si="1877"/>
        <v>0.23749999999999999</v>
      </c>
      <c r="BH318" s="14">
        <f t="shared" si="1877"/>
        <v>0.23749999999999999</v>
      </c>
      <c r="BI318" s="14">
        <f t="shared" si="1877"/>
        <v>0.23749999999999999</v>
      </c>
      <c r="BJ318" s="14">
        <f t="shared" si="1877"/>
        <v>0</v>
      </c>
      <c r="BK318" s="14">
        <f t="shared" si="1877"/>
        <v>0</v>
      </c>
      <c r="BL318" s="14" t="e">
        <f t="shared" si="1877"/>
        <v>#DIV/0!</v>
      </c>
      <c r="BM318" s="412"/>
      <c r="BN318" s="14">
        <f t="shared" ref="BN318:CN318" si="1878">BN276*BN275/BN273</f>
        <v>0.14249999999999999</v>
      </c>
      <c r="BO318" s="14">
        <f t="shared" si="1878"/>
        <v>0.14249999999999999</v>
      </c>
      <c r="BP318" s="14">
        <f t="shared" si="1878"/>
        <v>0.14249999999999999</v>
      </c>
      <c r="BQ318" s="14">
        <f t="shared" si="1878"/>
        <v>0.14249999999999999</v>
      </c>
      <c r="BR318" s="14">
        <f t="shared" si="1878"/>
        <v>0.14249999999999999</v>
      </c>
      <c r="BS318" s="14">
        <f t="shared" si="1878"/>
        <v>0.14249999999999999</v>
      </c>
      <c r="BT318" s="14">
        <f t="shared" si="1878"/>
        <v>0.14249999999999999</v>
      </c>
      <c r="BU318" s="14">
        <f t="shared" si="1878"/>
        <v>0.14249999999999999</v>
      </c>
      <c r="BV318" s="14">
        <f t="shared" si="1878"/>
        <v>0.14249999999999999</v>
      </c>
      <c r="BW318" s="14">
        <f t="shared" si="1878"/>
        <v>0.14249999999999999</v>
      </c>
      <c r="BX318" s="14">
        <f t="shared" si="1878"/>
        <v>0.14249999999999999</v>
      </c>
      <c r="BY318" s="14">
        <f t="shared" si="1878"/>
        <v>0.14249999999999999</v>
      </c>
      <c r="BZ318" s="14">
        <f t="shared" si="1878"/>
        <v>0.23749999999999999</v>
      </c>
      <c r="CA318" s="14">
        <f t="shared" si="1878"/>
        <v>0.23749999999999999</v>
      </c>
      <c r="CB318" s="14">
        <f t="shared" si="1878"/>
        <v>0.23749999999999999</v>
      </c>
      <c r="CC318" s="14">
        <f t="shared" si="1878"/>
        <v>0.71249999999999991</v>
      </c>
      <c r="CD318" s="14">
        <f t="shared" si="1878"/>
        <v>0.71249999999999991</v>
      </c>
      <c r="CE318" s="14">
        <f t="shared" si="1878"/>
        <v>0.71249999999999991</v>
      </c>
      <c r="CF318" s="14">
        <f t="shared" si="1878"/>
        <v>0.71249999999999991</v>
      </c>
      <c r="CG318" s="14">
        <f t="shared" si="1878"/>
        <v>0.71249999999999991</v>
      </c>
      <c r="CH318" s="14">
        <f t="shared" si="1878"/>
        <v>0.71249999999999991</v>
      </c>
      <c r="CI318" s="14">
        <f t="shared" si="1878"/>
        <v>0.71249999999999991</v>
      </c>
      <c r="CJ318" s="14">
        <f t="shared" si="1878"/>
        <v>0.71249999999999991</v>
      </c>
      <c r="CK318" s="14">
        <f t="shared" si="1878"/>
        <v>0.71249999999999991</v>
      </c>
      <c r="CL318" s="14">
        <f t="shared" si="1878"/>
        <v>0</v>
      </c>
      <c r="CM318" s="14">
        <f t="shared" si="1878"/>
        <v>0</v>
      </c>
      <c r="CN318" s="14">
        <f t="shared" si="1878"/>
        <v>0</v>
      </c>
      <c r="CO318" s="412"/>
      <c r="CP318" s="14">
        <f t="shared" ref="CP318:DP318" si="1879">CP276*CP275/CP273</f>
        <v>0.14249999999999999</v>
      </c>
      <c r="CQ318" s="14">
        <f t="shared" si="1879"/>
        <v>0.14249999999999999</v>
      </c>
      <c r="CR318" s="14">
        <f t="shared" si="1879"/>
        <v>0.14249999999999999</v>
      </c>
      <c r="CS318" s="14">
        <f t="shared" si="1879"/>
        <v>0.14249999999999999</v>
      </c>
      <c r="CT318" s="14">
        <f t="shared" si="1879"/>
        <v>0.14249999999999999</v>
      </c>
      <c r="CU318" s="14">
        <f t="shared" si="1879"/>
        <v>0.14249999999999999</v>
      </c>
      <c r="CV318" s="14">
        <f t="shared" si="1879"/>
        <v>0.14249999999999999</v>
      </c>
      <c r="CW318" s="14">
        <f t="shared" si="1879"/>
        <v>0.14249999999999999</v>
      </c>
      <c r="CX318" s="14">
        <f t="shared" si="1879"/>
        <v>0.14249999999999999</v>
      </c>
      <c r="CY318" s="14">
        <f t="shared" si="1879"/>
        <v>0.14249999999999999</v>
      </c>
      <c r="CZ318" s="14">
        <f t="shared" si="1879"/>
        <v>0.14250000000000002</v>
      </c>
      <c r="DA318" s="14">
        <f t="shared" si="1879"/>
        <v>0.14250000000000002</v>
      </c>
      <c r="DB318" s="14">
        <f t="shared" si="1879"/>
        <v>0.23749999999999996</v>
      </c>
      <c r="DC318" s="14">
        <f t="shared" si="1879"/>
        <v>0.23749999999999996</v>
      </c>
      <c r="DD318" s="14">
        <f t="shared" si="1879"/>
        <v>0.23749999999999996</v>
      </c>
      <c r="DE318" s="14">
        <f t="shared" si="1879"/>
        <v>0.23749999999999996</v>
      </c>
      <c r="DF318" s="14">
        <f t="shared" si="1879"/>
        <v>0.23749999999999996</v>
      </c>
      <c r="DG318" s="14">
        <f t="shared" si="1879"/>
        <v>0.23749999999999996</v>
      </c>
      <c r="DH318" s="14">
        <f t="shared" si="1879"/>
        <v>0.23749999999999996</v>
      </c>
      <c r="DI318" s="14">
        <f t="shared" si="1879"/>
        <v>0.23749999999999996</v>
      </c>
      <c r="DJ318" s="14">
        <f t="shared" si="1879"/>
        <v>0.23749999999999996</v>
      </c>
      <c r="DK318" s="14">
        <f t="shared" si="1879"/>
        <v>0.23749999999999996</v>
      </c>
      <c r="DL318" s="14">
        <f t="shared" si="1879"/>
        <v>0.23749999999999996</v>
      </c>
      <c r="DM318" s="14">
        <f t="shared" si="1879"/>
        <v>0.23749999999999996</v>
      </c>
      <c r="DN318" s="14">
        <f t="shared" si="1879"/>
        <v>0</v>
      </c>
      <c r="DO318" s="14">
        <f t="shared" si="1879"/>
        <v>0</v>
      </c>
      <c r="DP318" s="14">
        <f t="shared" si="1879"/>
        <v>0</v>
      </c>
      <c r="DQ318" s="14"/>
      <c r="DR318" s="14"/>
      <c r="DS318" s="14"/>
      <c r="DT318" s="14"/>
      <c r="DU318" s="14"/>
      <c r="DV318" s="14"/>
      <c r="DW318" s="14"/>
      <c r="DX318" s="14"/>
      <c r="DY318" s="14"/>
      <c r="DZ318" s="14"/>
      <c r="EA318" s="14">
        <f>EA276*EA275/EA273</f>
        <v>0.14250000000000002</v>
      </c>
      <c r="EB318" s="14">
        <f>EB276*EB275/EB273</f>
        <v>0.23749999999999996</v>
      </c>
      <c r="EC318" s="14"/>
      <c r="ED318" s="429"/>
      <c r="EE318" s="14" t="e">
        <f>EE275*EE276/EE275</f>
        <v>#DIV/0!</v>
      </c>
      <c r="EF318" s="14" t="e">
        <f>EF276*EF275/EF275</f>
        <v>#DIV/0!</v>
      </c>
      <c r="EG318" s="14">
        <f>EG275*EG276/EG275</f>
        <v>0.94999999999999984</v>
      </c>
      <c r="EK318" s="24"/>
      <c r="EL318" s="47"/>
      <c r="EM318" s="47"/>
      <c r="EN318" s="47"/>
    </row>
    <row r="319" spans="1:149">
      <c r="A319" s="6" t="s">
        <v>23</v>
      </c>
      <c r="B319" s="2" t="s">
        <v>26</v>
      </c>
      <c r="C319" s="3" t="s">
        <v>84</v>
      </c>
      <c r="E319" s="3" t="str">
        <f>C277</f>
        <v>BSpec1</v>
      </c>
      <c r="F319" s="4" t="s">
        <v>31</v>
      </c>
      <c r="G319" s="28" t="str">
        <f>C286</f>
        <v>BSUniq</v>
      </c>
      <c r="H319" s="28"/>
      <c r="I319" s="28"/>
      <c r="J319" s="62">
        <f t="shared" ref="J319:AJ319" si="1880">J277/J286</f>
        <v>0.16896458502297923</v>
      </c>
      <c r="K319" s="62">
        <f t="shared" si="1880"/>
        <v>0.33792916734252509</v>
      </c>
      <c r="L319" s="62">
        <f t="shared" si="1880"/>
        <v>0.50689374966207035</v>
      </c>
      <c r="M319" s="62">
        <f t="shared" si="1880"/>
        <v>0.75757574848484843</v>
      </c>
      <c r="N319" s="62">
        <f t="shared" si="1880"/>
        <v>0.94696968484848476</v>
      </c>
      <c r="O319" s="62">
        <f t="shared" si="1880"/>
        <v>1.1363636212121211</v>
      </c>
      <c r="P319" s="62">
        <f t="shared" si="1880"/>
        <v>1.3257575575757574</v>
      </c>
      <c r="Q319" s="62">
        <f t="shared" si="1880"/>
        <v>1.515151493939394</v>
      </c>
      <c r="R319" s="62">
        <f t="shared" si="1880"/>
        <v>1.7045454303030303</v>
      </c>
      <c r="S319" s="62">
        <f t="shared" si="1880"/>
        <v>1.8939393666666666</v>
      </c>
      <c r="T319" s="62">
        <f t="shared" si="1880"/>
        <v>2.0833333030303027</v>
      </c>
      <c r="U319" s="62">
        <f t="shared" si="1880"/>
        <v>2.2727272393939391</v>
      </c>
      <c r="V319" s="62">
        <f t="shared" si="1880"/>
        <v>8.4291187739463591E-2</v>
      </c>
      <c r="W319" s="62">
        <f t="shared" si="1880"/>
        <v>8.4291187739463591E-2</v>
      </c>
      <c r="X319" s="62">
        <f t="shared" si="1880"/>
        <v>8.4291187739463591E-2</v>
      </c>
      <c r="Y319" s="62">
        <f t="shared" si="1880"/>
        <v>8.4291187739463591E-2</v>
      </c>
      <c r="Z319" s="62">
        <f t="shared" si="1880"/>
        <v>8.4291187739463591E-2</v>
      </c>
      <c r="AA319" s="62">
        <f t="shared" si="1880"/>
        <v>8.4291187739463605E-2</v>
      </c>
      <c r="AB319" s="62">
        <f t="shared" si="1880"/>
        <v>8.4291187739463605E-2</v>
      </c>
      <c r="AC319" s="62">
        <f t="shared" si="1880"/>
        <v>8.4291187739463605E-2</v>
      </c>
      <c r="AD319" s="62">
        <f t="shared" si="1880"/>
        <v>8.4291187739463619E-2</v>
      </c>
      <c r="AE319" s="62">
        <f t="shared" si="1880"/>
        <v>8.4291187739463605E-2</v>
      </c>
      <c r="AF319" s="62">
        <f t="shared" si="1880"/>
        <v>8.4291187739463605E-2</v>
      </c>
      <c r="AG319" s="62">
        <f t="shared" si="1880"/>
        <v>8.4291187739463619E-2</v>
      </c>
      <c r="AH319" s="62">
        <f t="shared" si="1880"/>
        <v>0</v>
      </c>
      <c r="AI319" s="62">
        <f t="shared" si="1880"/>
        <v>0</v>
      </c>
      <c r="AJ319" s="62">
        <f t="shared" si="1880"/>
        <v>0</v>
      </c>
      <c r="AK319" s="412"/>
      <c r="AL319" s="14">
        <f t="shared" ref="AL319:BL319" si="1881">AL277/AL286</f>
        <v>0.16896458502297923</v>
      </c>
      <c r="AM319" s="14">
        <f t="shared" si="1881"/>
        <v>0.16896458231954586</v>
      </c>
      <c r="AN319" s="14">
        <f t="shared" si="1881"/>
        <v>0.16896458231954561</v>
      </c>
      <c r="AO319" s="14">
        <f t="shared" si="1881"/>
        <v>0.18939393636363633</v>
      </c>
      <c r="AP319" s="14">
        <f t="shared" si="1881"/>
        <v>0.18939393636363633</v>
      </c>
      <c r="AQ319" s="14">
        <f t="shared" si="1881"/>
        <v>0.18939393636363633</v>
      </c>
      <c r="AR319" s="14">
        <f t="shared" si="1881"/>
        <v>0.18939393636363633</v>
      </c>
      <c r="AS319" s="14">
        <f t="shared" si="1881"/>
        <v>0.18939393636363649</v>
      </c>
      <c r="AT319" s="14">
        <f t="shared" si="1881"/>
        <v>0.18939393636363633</v>
      </c>
      <c r="AU319" s="14">
        <f t="shared" si="1881"/>
        <v>0.18939393636363633</v>
      </c>
      <c r="AV319" s="14">
        <f t="shared" si="1881"/>
        <v>0.18939393636363633</v>
      </c>
      <c r="AW319" s="14">
        <f t="shared" si="1881"/>
        <v>0.18939393636363633</v>
      </c>
      <c r="AX319" s="14">
        <f t="shared" si="1881"/>
        <v>8.4291187739463591E-2</v>
      </c>
      <c r="AY319" s="14">
        <f t="shared" si="1881"/>
        <v>8.4291187739463591E-2</v>
      </c>
      <c r="AZ319" s="14">
        <f t="shared" si="1881"/>
        <v>8.4291187739463591E-2</v>
      </c>
      <c r="BA319" s="14">
        <f t="shared" si="1881"/>
        <v>8.4291187739463591E-2</v>
      </c>
      <c r="BB319" s="14">
        <f t="shared" si="1881"/>
        <v>8.4291187739463633E-2</v>
      </c>
      <c r="BC319" s="14">
        <f t="shared" si="1881"/>
        <v>8.4291187739463633E-2</v>
      </c>
      <c r="BD319" s="14">
        <f t="shared" si="1881"/>
        <v>8.4291187739463633E-2</v>
      </c>
      <c r="BE319" s="14">
        <f t="shared" si="1881"/>
        <v>8.4291187739463633E-2</v>
      </c>
      <c r="BF319" s="14">
        <f t="shared" si="1881"/>
        <v>8.4291187739463633E-2</v>
      </c>
      <c r="BG319" s="14">
        <f t="shared" si="1881"/>
        <v>8.4291187739463633E-2</v>
      </c>
      <c r="BH319" s="14">
        <f t="shared" si="1881"/>
        <v>8.4291187739463633E-2</v>
      </c>
      <c r="BI319" s="14">
        <f t="shared" si="1881"/>
        <v>8.4291187739463633E-2</v>
      </c>
      <c r="BJ319" s="14">
        <f t="shared" si="1881"/>
        <v>0</v>
      </c>
      <c r="BK319" s="14">
        <f t="shared" si="1881"/>
        <v>0</v>
      </c>
      <c r="BL319" s="14">
        <f t="shared" si="1881"/>
        <v>0</v>
      </c>
      <c r="BM319" s="412"/>
      <c r="BN319" s="14">
        <f t="shared" ref="BN319:CN319" si="1882">BN277/BN286</f>
        <v>0.5068937496620709</v>
      </c>
      <c r="BO319" s="14">
        <f t="shared" si="1882"/>
        <v>0.25344687483103545</v>
      </c>
      <c r="BP319" s="14">
        <f t="shared" si="1882"/>
        <v>0.16896458322069022</v>
      </c>
      <c r="BQ319" s="14">
        <f t="shared" si="1882"/>
        <v>0.56818180909090898</v>
      </c>
      <c r="BR319" s="14">
        <f t="shared" si="1882"/>
        <v>0.28409090454545449</v>
      </c>
      <c r="BS319" s="14">
        <f t="shared" si="1882"/>
        <v>0.18939393636363633</v>
      </c>
      <c r="BT319" s="14">
        <f t="shared" si="1882"/>
        <v>0.5681818090909091</v>
      </c>
      <c r="BU319" s="14">
        <f t="shared" si="1882"/>
        <v>0.28409090454545455</v>
      </c>
      <c r="BV319" s="14">
        <f t="shared" si="1882"/>
        <v>0.18939393636363638</v>
      </c>
      <c r="BW319" s="14">
        <f t="shared" si="1882"/>
        <v>0.56818180909090898</v>
      </c>
      <c r="BX319" s="14">
        <f t="shared" si="1882"/>
        <v>0.28409090454545449</v>
      </c>
      <c r="BY319" s="14">
        <f t="shared" si="1882"/>
        <v>0.18939393636363633</v>
      </c>
      <c r="BZ319" s="14">
        <f t="shared" si="1882"/>
        <v>8.4309472161966728E-2</v>
      </c>
      <c r="CA319" s="14">
        <f t="shared" si="1882"/>
        <v>8.4309472161966728E-2</v>
      </c>
      <c r="CB319" s="14">
        <f t="shared" si="1882"/>
        <v>8.4309472161966728E-2</v>
      </c>
      <c r="CC319" s="14">
        <f t="shared" si="1882"/>
        <v>4.214965658513075E-2</v>
      </c>
      <c r="CD319" s="14">
        <f t="shared" si="1882"/>
        <v>4.214965658513075E-2</v>
      </c>
      <c r="CE319" s="14">
        <f t="shared" si="1882"/>
        <v>4.214965658513075E-2</v>
      </c>
      <c r="CF319" s="14">
        <f t="shared" si="1882"/>
        <v>2.8098642461241878E-2</v>
      </c>
      <c r="CG319" s="14">
        <f t="shared" si="1882"/>
        <v>2.8098642461241878E-2</v>
      </c>
      <c r="CH319" s="14">
        <f t="shared" si="1882"/>
        <v>2.8098642461241878E-2</v>
      </c>
      <c r="CI319" s="14">
        <f t="shared" si="1882"/>
        <v>2.1072289156626511E-2</v>
      </c>
      <c r="CJ319" s="14">
        <f t="shared" si="1882"/>
        <v>2.1072289156626511E-2</v>
      </c>
      <c r="CK319" s="14">
        <f t="shared" si="1882"/>
        <v>2.1072289156626511E-2</v>
      </c>
      <c r="CL319" s="14">
        <f t="shared" si="1882"/>
        <v>0</v>
      </c>
      <c r="CM319" s="14">
        <f t="shared" si="1882"/>
        <v>0</v>
      </c>
      <c r="CN319" s="14">
        <f t="shared" si="1882"/>
        <v>0</v>
      </c>
      <c r="CO319" s="412"/>
      <c r="CP319" s="14">
        <f t="shared" ref="CP319:DP319" si="1883">CP277/CP286</f>
        <v>0.16896458502297923</v>
      </c>
      <c r="CQ319" s="14">
        <f t="shared" si="1883"/>
        <v>0.16896458367126255</v>
      </c>
      <c r="CR319" s="14">
        <f t="shared" si="1883"/>
        <v>0.16896458322069022</v>
      </c>
      <c r="CS319" s="14">
        <f t="shared" si="1883"/>
        <v>0.17364728554559974</v>
      </c>
      <c r="CT319" s="14">
        <f t="shared" si="1883"/>
        <v>0.17658359948013783</v>
      </c>
      <c r="CU319" s="14">
        <f t="shared" si="1883"/>
        <v>0.17859694003905316</v>
      </c>
      <c r="CV319" s="14">
        <f t="shared" si="1883"/>
        <v>0.1800633798411326</v>
      </c>
      <c r="CW319" s="14">
        <f t="shared" si="1883"/>
        <v>0.1811791111352683</v>
      </c>
      <c r="CX319" s="14">
        <f t="shared" si="1883"/>
        <v>0.18205650775156162</v>
      </c>
      <c r="CY319" s="14">
        <f t="shared" si="1883"/>
        <v>0.18276456735970989</v>
      </c>
      <c r="CZ319" s="14">
        <f t="shared" si="1883"/>
        <v>0.18334799850654718</v>
      </c>
      <c r="DA319" s="14">
        <f t="shared" si="1883"/>
        <v>0.18383704414540283</v>
      </c>
      <c r="DB319" s="14">
        <f t="shared" si="1883"/>
        <v>8.4291187739463591E-2</v>
      </c>
      <c r="DC319" s="14">
        <f t="shared" si="1883"/>
        <v>8.4291187739463591E-2</v>
      </c>
      <c r="DD319" s="14">
        <f t="shared" si="1883"/>
        <v>8.4291187739463591E-2</v>
      </c>
      <c r="DE319" s="14">
        <f t="shared" si="1883"/>
        <v>8.4291187739463591E-2</v>
      </c>
      <c r="DF319" s="14">
        <f t="shared" si="1883"/>
        <v>8.4291187739463591E-2</v>
      </c>
      <c r="DG319" s="14">
        <f t="shared" si="1883"/>
        <v>8.4291187739463605E-2</v>
      </c>
      <c r="DH319" s="14">
        <f t="shared" si="1883"/>
        <v>8.4291187739463605E-2</v>
      </c>
      <c r="DI319" s="14">
        <f t="shared" si="1883"/>
        <v>8.4291187739463605E-2</v>
      </c>
      <c r="DJ319" s="14">
        <f t="shared" si="1883"/>
        <v>8.4291187739463619E-2</v>
      </c>
      <c r="DK319" s="14">
        <f t="shared" si="1883"/>
        <v>8.4291187739463605E-2</v>
      </c>
      <c r="DL319" s="14">
        <f t="shared" si="1883"/>
        <v>8.4291187739463605E-2</v>
      </c>
      <c r="DM319" s="14">
        <f t="shared" si="1883"/>
        <v>8.4291187739463619E-2</v>
      </c>
      <c r="DN319" s="14">
        <f t="shared" si="1883"/>
        <v>0</v>
      </c>
      <c r="DO319" s="14">
        <f t="shared" si="1883"/>
        <v>0</v>
      </c>
      <c r="DP319" s="14">
        <f t="shared" si="1883"/>
        <v>0</v>
      </c>
      <c r="DQ319" s="14"/>
      <c r="DR319" s="14"/>
      <c r="DS319" s="14"/>
      <c r="DT319" s="14"/>
      <c r="DU319" s="14"/>
      <c r="DV319" s="14"/>
      <c r="DW319" s="14"/>
      <c r="DX319" s="14"/>
      <c r="DY319" s="14"/>
      <c r="DZ319" s="14"/>
      <c r="EA319" s="14">
        <f>EA277/EA286</f>
        <v>0.18383704414540283</v>
      </c>
      <c r="EB319" s="14">
        <f>EB277/EB286</f>
        <v>9.5183673469387775E-2</v>
      </c>
      <c r="EC319" s="14"/>
      <c r="ED319" s="429"/>
      <c r="EE319" s="14">
        <f>EE277/EE286</f>
        <v>0</v>
      </c>
      <c r="EF319" s="14">
        <f>EF277/EF286</f>
        <v>0</v>
      </c>
      <c r="EG319" s="14">
        <f>EG277/EG286</f>
        <v>9.5183673469387775E-2</v>
      </c>
      <c r="EK319" s="24"/>
      <c r="EL319" s="47"/>
      <c r="EM319" s="47"/>
      <c r="EN319" s="47"/>
    </row>
    <row r="320" spans="1:149">
      <c r="A320" s="6" t="s">
        <v>23</v>
      </c>
      <c r="B320" s="2" t="s">
        <v>27</v>
      </c>
      <c r="C320" s="3" t="s">
        <v>77</v>
      </c>
      <c r="E320" s="3" t="str">
        <f>C279</f>
        <v>BOnlHrs</v>
      </c>
      <c r="F320" s="4" t="s">
        <v>31</v>
      </c>
      <c r="G320" s="28" t="str">
        <f>C278</f>
        <v>BTotHrs</v>
      </c>
      <c r="H320" s="28"/>
      <c r="I320" s="28"/>
      <c r="J320" s="62">
        <f t="shared" ref="J320:AJ320" si="1884">J279/J278</f>
        <v>0.06</v>
      </c>
      <c r="K320" s="62">
        <f t="shared" si="1884"/>
        <v>0.06</v>
      </c>
      <c r="L320" s="62">
        <f t="shared" si="1884"/>
        <v>0.06</v>
      </c>
      <c r="M320" s="62">
        <f t="shared" si="1884"/>
        <v>0.06</v>
      </c>
      <c r="N320" s="62">
        <f t="shared" si="1884"/>
        <v>6.0000000000000005E-2</v>
      </c>
      <c r="O320" s="62">
        <f t="shared" si="1884"/>
        <v>0.06</v>
      </c>
      <c r="P320" s="62">
        <f t="shared" si="1884"/>
        <v>0.06</v>
      </c>
      <c r="Q320" s="62">
        <f t="shared" si="1884"/>
        <v>0.06</v>
      </c>
      <c r="R320" s="62">
        <f t="shared" si="1884"/>
        <v>0.06</v>
      </c>
      <c r="S320" s="62">
        <f t="shared" si="1884"/>
        <v>6.0000000000000005E-2</v>
      </c>
      <c r="T320" s="62">
        <f t="shared" si="1884"/>
        <v>5.9999999999999991E-2</v>
      </c>
      <c r="U320" s="62">
        <f t="shared" si="1884"/>
        <v>0.06</v>
      </c>
      <c r="V320" s="62">
        <f t="shared" si="1884"/>
        <v>0.1668104869908294</v>
      </c>
      <c r="W320" s="62">
        <f t="shared" si="1884"/>
        <v>0.1668104869908294</v>
      </c>
      <c r="X320" s="62">
        <f t="shared" si="1884"/>
        <v>0.1668104869908294</v>
      </c>
      <c r="Y320" s="62">
        <f t="shared" si="1884"/>
        <v>0.1668104869908294</v>
      </c>
      <c r="Z320" s="62">
        <f t="shared" si="1884"/>
        <v>0.1668104869908294</v>
      </c>
      <c r="AA320" s="62">
        <f t="shared" si="1884"/>
        <v>0.16681048699082943</v>
      </c>
      <c r="AB320" s="62">
        <f t="shared" si="1884"/>
        <v>0.16681048699082943</v>
      </c>
      <c r="AC320" s="62">
        <f t="shared" si="1884"/>
        <v>0.16681048699082943</v>
      </c>
      <c r="AD320" s="62">
        <f t="shared" si="1884"/>
        <v>0.16681048699082943</v>
      </c>
      <c r="AE320" s="62">
        <f t="shared" si="1884"/>
        <v>0.16681048699082943</v>
      </c>
      <c r="AF320" s="62">
        <f t="shared" si="1884"/>
        <v>0.16681048699082945</v>
      </c>
      <c r="AG320" s="62">
        <f t="shared" si="1884"/>
        <v>0.16681048699082945</v>
      </c>
      <c r="AH320" s="62">
        <f t="shared" si="1884"/>
        <v>0</v>
      </c>
      <c r="AI320" s="62">
        <f t="shared" si="1884"/>
        <v>0</v>
      </c>
      <c r="AJ320" s="62">
        <f t="shared" si="1884"/>
        <v>0</v>
      </c>
      <c r="AK320" s="412"/>
      <c r="AL320" s="14">
        <f t="shared" ref="AL320:BL320" si="1885">AL279/AL278</f>
        <v>0.06</v>
      </c>
      <c r="AM320" s="14">
        <f t="shared" si="1885"/>
        <v>0.06</v>
      </c>
      <c r="AN320" s="14">
        <f t="shared" si="1885"/>
        <v>5.9999999999999984E-2</v>
      </c>
      <c r="AO320" s="14">
        <f t="shared" si="1885"/>
        <v>6.0000000000000012E-2</v>
      </c>
      <c r="AP320" s="14">
        <f t="shared" si="1885"/>
        <v>6.0000000000000012E-2</v>
      </c>
      <c r="AQ320" s="14">
        <f t="shared" si="1885"/>
        <v>5.9999999999999956E-2</v>
      </c>
      <c r="AR320" s="14">
        <f t="shared" si="1885"/>
        <v>6.0000000000000012E-2</v>
      </c>
      <c r="AS320" s="14">
        <f t="shared" si="1885"/>
        <v>6.0000000000000012E-2</v>
      </c>
      <c r="AT320" s="14">
        <f t="shared" si="1885"/>
        <v>6.0000000000000012E-2</v>
      </c>
      <c r="AU320" s="14">
        <f t="shared" si="1885"/>
        <v>6.0000000000000012E-2</v>
      </c>
      <c r="AV320" s="14">
        <f t="shared" si="1885"/>
        <v>5.9999999999999908E-2</v>
      </c>
      <c r="AW320" s="14">
        <f t="shared" si="1885"/>
        <v>6.0000000000000012E-2</v>
      </c>
      <c r="AX320" s="14">
        <f t="shared" si="1885"/>
        <v>0.1668104869908294</v>
      </c>
      <c r="AY320" s="14">
        <f t="shared" si="1885"/>
        <v>0.1668104869908294</v>
      </c>
      <c r="AZ320" s="14">
        <f t="shared" si="1885"/>
        <v>0.16681048699082943</v>
      </c>
      <c r="BA320" s="14">
        <f t="shared" si="1885"/>
        <v>0.16681048699082937</v>
      </c>
      <c r="BB320" s="14">
        <f t="shared" si="1885"/>
        <v>0.16681048699082943</v>
      </c>
      <c r="BC320" s="14">
        <f t="shared" si="1885"/>
        <v>0.16681048699082954</v>
      </c>
      <c r="BD320" s="14">
        <f t="shared" si="1885"/>
        <v>0.16681048699082943</v>
      </c>
      <c r="BE320" s="14">
        <f t="shared" si="1885"/>
        <v>0.16681048699082943</v>
      </c>
      <c r="BF320" s="14">
        <f t="shared" si="1885"/>
        <v>0.16681048699082943</v>
      </c>
      <c r="BG320" s="14">
        <f t="shared" si="1885"/>
        <v>0.16681048699082943</v>
      </c>
      <c r="BH320" s="14">
        <f t="shared" si="1885"/>
        <v>0.16681048699082965</v>
      </c>
      <c r="BI320" s="14">
        <f t="shared" si="1885"/>
        <v>0.16681048699082943</v>
      </c>
      <c r="BJ320" s="14">
        <f t="shared" si="1885"/>
        <v>0</v>
      </c>
      <c r="BK320" s="14">
        <f t="shared" si="1885"/>
        <v>0</v>
      </c>
      <c r="BL320" s="14">
        <f t="shared" si="1885"/>
        <v>0</v>
      </c>
      <c r="BM320" s="412"/>
      <c r="BN320" s="14">
        <f t="shared" ref="BN320:CN320" si="1886">BN279/BN278</f>
        <v>0.06</v>
      </c>
      <c r="BO320" s="14">
        <f t="shared" si="1886"/>
        <v>0.06</v>
      </c>
      <c r="BP320" s="14">
        <f t="shared" si="1886"/>
        <v>0.06</v>
      </c>
      <c r="BQ320" s="14">
        <f t="shared" si="1886"/>
        <v>0.06</v>
      </c>
      <c r="BR320" s="14">
        <f t="shared" si="1886"/>
        <v>0.06</v>
      </c>
      <c r="BS320" s="14">
        <f t="shared" si="1886"/>
        <v>0.06</v>
      </c>
      <c r="BT320" s="14">
        <f t="shared" si="1886"/>
        <v>6.0000000000000012E-2</v>
      </c>
      <c r="BU320" s="14">
        <f t="shared" si="1886"/>
        <v>6.0000000000000012E-2</v>
      </c>
      <c r="BV320" s="14">
        <f t="shared" si="1886"/>
        <v>6.0000000000000012E-2</v>
      </c>
      <c r="BW320" s="14">
        <f t="shared" si="1886"/>
        <v>5.9999999999999977E-2</v>
      </c>
      <c r="BX320" s="14">
        <f t="shared" si="1886"/>
        <v>5.9999999999999977E-2</v>
      </c>
      <c r="BY320" s="14">
        <f t="shared" si="1886"/>
        <v>5.9999999999999977E-2</v>
      </c>
      <c r="BZ320" s="14">
        <f t="shared" si="1886"/>
        <v>0.1668104869908294</v>
      </c>
      <c r="CA320" s="14">
        <f t="shared" si="1886"/>
        <v>0.1668104869908294</v>
      </c>
      <c r="CB320" s="14">
        <f t="shared" si="1886"/>
        <v>0.1668104869908294</v>
      </c>
      <c r="CC320" s="14">
        <f t="shared" si="1886"/>
        <v>0.50043146097248836</v>
      </c>
      <c r="CD320" s="14">
        <f t="shared" si="1886"/>
        <v>0.50043146097248836</v>
      </c>
      <c r="CE320" s="14">
        <f t="shared" si="1886"/>
        <v>0.50043146097248836</v>
      </c>
      <c r="CF320" s="14">
        <f t="shared" si="1886"/>
        <v>0.50043146097248836</v>
      </c>
      <c r="CG320" s="14">
        <f t="shared" si="1886"/>
        <v>0.50043146097248836</v>
      </c>
      <c r="CH320" s="14">
        <f t="shared" si="1886"/>
        <v>0.50043146097248836</v>
      </c>
      <c r="CI320" s="14">
        <f t="shared" si="1886"/>
        <v>0.50043146097248858</v>
      </c>
      <c r="CJ320" s="14">
        <f t="shared" si="1886"/>
        <v>0.50043146097248858</v>
      </c>
      <c r="CK320" s="14">
        <f t="shared" si="1886"/>
        <v>0.50043146097248858</v>
      </c>
      <c r="CL320" s="14">
        <f t="shared" si="1886"/>
        <v>0</v>
      </c>
      <c r="CM320" s="14">
        <f t="shared" si="1886"/>
        <v>0</v>
      </c>
      <c r="CN320" s="14">
        <f t="shared" si="1886"/>
        <v>0</v>
      </c>
      <c r="CO320" s="412"/>
      <c r="CP320" s="14">
        <f t="shared" ref="CP320:DP320" si="1887">CP279/CP278</f>
        <v>0.06</v>
      </c>
      <c r="CQ320" s="14">
        <f t="shared" si="1887"/>
        <v>0.06</v>
      </c>
      <c r="CR320" s="14">
        <f t="shared" si="1887"/>
        <v>0.06</v>
      </c>
      <c r="CS320" s="14">
        <f t="shared" si="1887"/>
        <v>0.06</v>
      </c>
      <c r="CT320" s="14">
        <f t="shared" si="1887"/>
        <v>6.0000000000000005E-2</v>
      </c>
      <c r="CU320" s="14">
        <f t="shared" si="1887"/>
        <v>0.06</v>
      </c>
      <c r="CV320" s="14">
        <f t="shared" si="1887"/>
        <v>0.06</v>
      </c>
      <c r="CW320" s="14">
        <f t="shared" si="1887"/>
        <v>0.06</v>
      </c>
      <c r="CX320" s="14">
        <f t="shared" si="1887"/>
        <v>0.06</v>
      </c>
      <c r="CY320" s="14">
        <f t="shared" si="1887"/>
        <v>6.0000000000000005E-2</v>
      </c>
      <c r="CZ320" s="14">
        <f t="shared" si="1887"/>
        <v>5.9999999999999991E-2</v>
      </c>
      <c r="DA320" s="14">
        <f t="shared" si="1887"/>
        <v>0.06</v>
      </c>
      <c r="DB320" s="14">
        <f t="shared" si="1887"/>
        <v>0.1668104869908294</v>
      </c>
      <c r="DC320" s="14">
        <f t="shared" si="1887"/>
        <v>0.1668104869908294</v>
      </c>
      <c r="DD320" s="14">
        <f t="shared" si="1887"/>
        <v>0.1668104869908294</v>
      </c>
      <c r="DE320" s="14">
        <f t="shared" si="1887"/>
        <v>0.1668104869908294</v>
      </c>
      <c r="DF320" s="14">
        <f t="shared" si="1887"/>
        <v>0.1668104869908294</v>
      </c>
      <c r="DG320" s="14">
        <f t="shared" si="1887"/>
        <v>0.16681048699082943</v>
      </c>
      <c r="DH320" s="14">
        <f t="shared" si="1887"/>
        <v>0.16681048699082943</v>
      </c>
      <c r="DI320" s="14">
        <f t="shared" si="1887"/>
        <v>0.16681048699082943</v>
      </c>
      <c r="DJ320" s="14">
        <f t="shared" si="1887"/>
        <v>0.16681048699082943</v>
      </c>
      <c r="DK320" s="14">
        <f t="shared" si="1887"/>
        <v>0.16681048699082943</v>
      </c>
      <c r="DL320" s="14">
        <f t="shared" si="1887"/>
        <v>0.16681048699082945</v>
      </c>
      <c r="DM320" s="14">
        <f t="shared" si="1887"/>
        <v>0.16681048699082945</v>
      </c>
      <c r="DN320" s="14">
        <f t="shared" si="1887"/>
        <v>0</v>
      </c>
      <c r="DO320" s="14">
        <f t="shared" si="1887"/>
        <v>0</v>
      </c>
      <c r="DP320" s="14">
        <f t="shared" si="1887"/>
        <v>0</v>
      </c>
      <c r="DQ320" s="14"/>
      <c r="DR320" s="14"/>
      <c r="DS320" s="14"/>
      <c r="DT320" s="14"/>
      <c r="DU320" s="14"/>
      <c r="DV320" s="14"/>
      <c r="DW320" s="14"/>
      <c r="DX320" s="14"/>
      <c r="DY320" s="14"/>
      <c r="DZ320" s="14"/>
      <c r="EA320" s="14">
        <f>EA279/EA278</f>
        <v>0.06</v>
      </c>
      <c r="EB320" s="14">
        <f>EB279/EB278</f>
        <v>0.16681048699082945</v>
      </c>
      <c r="EC320" s="14"/>
      <c r="ED320" s="429"/>
      <c r="EE320" s="14">
        <f>EE279/EE278</f>
        <v>0</v>
      </c>
      <c r="EF320" s="14">
        <f>EF279/EF278</f>
        <v>0</v>
      </c>
      <c r="EG320" s="14">
        <f>EG279/EG278</f>
        <v>0.16681048699082945</v>
      </c>
      <c r="EK320" s="24"/>
      <c r="EL320" s="47"/>
      <c r="EM320" s="47"/>
      <c r="EN320" s="47"/>
    </row>
    <row r="321" spans="1:149">
      <c r="A321" s="6" t="s">
        <v>23</v>
      </c>
      <c r="B321" s="2" t="s">
        <v>28</v>
      </c>
      <c r="C321" s="3" t="s">
        <v>78</v>
      </c>
      <c r="E321" s="3" t="str">
        <f>C284</f>
        <v>BColCash</v>
      </c>
      <c r="F321" s="4" t="s">
        <v>31</v>
      </c>
      <c r="G321" s="28" t="str">
        <f>C285</f>
        <v>BFSFunds</v>
      </c>
      <c r="H321" s="28"/>
      <c r="I321" s="28"/>
      <c r="J321" s="62" t="str">
        <f t="shared" ref="J321:AJ321" si="1888">IF(J285&lt;&gt;0,J284/J285,"")</f>
        <v/>
      </c>
      <c r="K321" s="62" t="str">
        <f t="shared" si="1888"/>
        <v/>
      </c>
      <c r="L321" s="62">
        <f t="shared" si="1888"/>
        <v>0.5</v>
      </c>
      <c r="M321" s="62">
        <f t="shared" si="1888"/>
        <v>0.5</v>
      </c>
      <c r="N321" s="62">
        <f t="shared" si="1888"/>
        <v>0.5</v>
      </c>
      <c r="O321" s="62">
        <f t="shared" si="1888"/>
        <v>0.5</v>
      </c>
      <c r="P321" s="62">
        <f t="shared" si="1888"/>
        <v>0.5</v>
      </c>
      <c r="Q321" s="62">
        <f t="shared" si="1888"/>
        <v>0.5</v>
      </c>
      <c r="R321" s="62">
        <f t="shared" si="1888"/>
        <v>0.5</v>
      </c>
      <c r="S321" s="62">
        <f t="shared" si="1888"/>
        <v>0.5</v>
      </c>
      <c r="T321" s="62">
        <f t="shared" si="1888"/>
        <v>0.5</v>
      </c>
      <c r="U321" s="62">
        <f t="shared" si="1888"/>
        <v>0.5</v>
      </c>
      <c r="V321" s="62" t="str">
        <f t="shared" si="1888"/>
        <v/>
      </c>
      <c r="W321" s="62" t="str">
        <f t="shared" si="1888"/>
        <v/>
      </c>
      <c r="X321" s="62" t="str">
        <f t="shared" si="1888"/>
        <v/>
      </c>
      <c r="Y321" s="62" t="str">
        <f t="shared" si="1888"/>
        <v/>
      </c>
      <c r="Z321" s="62" t="str">
        <f t="shared" si="1888"/>
        <v/>
      </c>
      <c r="AA321" s="62">
        <f t="shared" si="1888"/>
        <v>0.5</v>
      </c>
      <c r="AB321" s="62">
        <f t="shared" si="1888"/>
        <v>0.5</v>
      </c>
      <c r="AC321" s="62">
        <f t="shared" si="1888"/>
        <v>0.5</v>
      </c>
      <c r="AD321" s="62">
        <f t="shared" si="1888"/>
        <v>0.5</v>
      </c>
      <c r="AE321" s="62">
        <f t="shared" si="1888"/>
        <v>0.5</v>
      </c>
      <c r="AF321" s="62">
        <f t="shared" si="1888"/>
        <v>0.5</v>
      </c>
      <c r="AG321" s="62">
        <f t="shared" si="1888"/>
        <v>0.5</v>
      </c>
      <c r="AH321" s="62" t="str">
        <f t="shared" si="1888"/>
        <v/>
      </c>
      <c r="AI321" s="62" t="str">
        <f t="shared" si="1888"/>
        <v/>
      </c>
      <c r="AJ321" s="62" t="str">
        <f t="shared" si="1888"/>
        <v/>
      </c>
      <c r="AK321" s="412"/>
      <c r="AL321" s="14"/>
      <c r="AM321" s="14"/>
      <c r="AN321" s="14"/>
      <c r="AO321" s="14"/>
      <c r="AP321" s="14"/>
      <c r="AQ321" s="14"/>
      <c r="AR321" s="14"/>
      <c r="AS321" s="14"/>
      <c r="AT321" s="14"/>
      <c r="AU321" s="14"/>
      <c r="AV321" s="14"/>
      <c r="AW321" s="14"/>
      <c r="AX321" s="14"/>
      <c r="AY321" s="14"/>
      <c r="AZ321" s="14"/>
      <c r="BA321" s="14"/>
      <c r="BB321" s="14"/>
      <c r="BC321" s="14"/>
      <c r="BD321" s="14"/>
      <c r="BE321" s="14"/>
      <c r="BF321" s="14"/>
      <c r="BG321" s="14"/>
      <c r="BH321" s="14"/>
      <c r="BI321" s="14"/>
      <c r="BJ321" s="14"/>
      <c r="BK321" s="14"/>
      <c r="BL321" s="14"/>
      <c r="BM321" s="412"/>
      <c r="BN321" s="14"/>
      <c r="BO321" s="14"/>
      <c r="BP321" s="14"/>
      <c r="BQ321" s="14"/>
      <c r="BR321" s="14"/>
      <c r="BS321" s="14"/>
      <c r="BT321" s="14"/>
      <c r="BU321" s="14"/>
      <c r="BV321" s="14"/>
      <c r="BW321" s="14"/>
      <c r="BX321" s="14"/>
      <c r="BY321" s="14"/>
      <c r="BZ321" s="14"/>
      <c r="CA321" s="14"/>
      <c r="CB321" s="14"/>
      <c r="CC321" s="14"/>
      <c r="CD321" s="14"/>
      <c r="CE321" s="14"/>
      <c r="CF321" s="14"/>
      <c r="CG321" s="14"/>
      <c r="CH321" s="14"/>
      <c r="CI321" s="14"/>
      <c r="CJ321" s="14"/>
      <c r="CK321" s="14"/>
      <c r="CL321" s="14"/>
      <c r="CM321" s="14"/>
      <c r="CN321" s="14"/>
      <c r="CO321" s="412"/>
      <c r="CP321" s="14" t="str">
        <f t="shared" ref="CP321:DP321" si="1889">IF(CP285&lt;&gt;0,CP284/CP285,"")</f>
        <v/>
      </c>
      <c r="CQ321" s="14" t="str">
        <f t="shared" si="1889"/>
        <v/>
      </c>
      <c r="CR321" s="14">
        <f t="shared" si="1889"/>
        <v>0.5</v>
      </c>
      <c r="CS321" s="14">
        <f t="shared" si="1889"/>
        <v>0.5</v>
      </c>
      <c r="CT321" s="14">
        <f t="shared" si="1889"/>
        <v>0.5</v>
      </c>
      <c r="CU321" s="14">
        <f t="shared" si="1889"/>
        <v>0.5</v>
      </c>
      <c r="CV321" s="14">
        <f t="shared" si="1889"/>
        <v>0.5</v>
      </c>
      <c r="CW321" s="14">
        <f t="shared" si="1889"/>
        <v>0.5</v>
      </c>
      <c r="CX321" s="14">
        <f t="shared" si="1889"/>
        <v>0.5</v>
      </c>
      <c r="CY321" s="14">
        <f t="shared" si="1889"/>
        <v>0.5</v>
      </c>
      <c r="CZ321" s="14">
        <f t="shared" si="1889"/>
        <v>0.5</v>
      </c>
      <c r="DA321" s="14">
        <f t="shared" si="1889"/>
        <v>0.5</v>
      </c>
      <c r="DB321" s="14" t="str">
        <f t="shared" si="1889"/>
        <v/>
      </c>
      <c r="DC321" s="14" t="str">
        <f t="shared" si="1889"/>
        <v/>
      </c>
      <c r="DD321" s="14" t="str">
        <f t="shared" si="1889"/>
        <v/>
      </c>
      <c r="DE321" s="14" t="str">
        <f t="shared" si="1889"/>
        <v/>
      </c>
      <c r="DF321" s="14" t="str">
        <f t="shared" si="1889"/>
        <v/>
      </c>
      <c r="DG321" s="14">
        <f t="shared" si="1889"/>
        <v>0.5</v>
      </c>
      <c r="DH321" s="14">
        <f t="shared" si="1889"/>
        <v>0.5</v>
      </c>
      <c r="DI321" s="14">
        <f t="shared" si="1889"/>
        <v>0.5</v>
      </c>
      <c r="DJ321" s="14">
        <f t="shared" si="1889"/>
        <v>0.5</v>
      </c>
      <c r="DK321" s="14">
        <f t="shared" si="1889"/>
        <v>0.5</v>
      </c>
      <c r="DL321" s="14">
        <f t="shared" si="1889"/>
        <v>0.5</v>
      </c>
      <c r="DM321" s="14">
        <f t="shared" si="1889"/>
        <v>0.5</v>
      </c>
      <c r="DN321" s="14" t="str">
        <f t="shared" si="1889"/>
        <v/>
      </c>
      <c r="DO321" s="14" t="str">
        <f t="shared" si="1889"/>
        <v/>
      </c>
      <c r="DP321" s="14" t="str">
        <f t="shared" si="1889"/>
        <v/>
      </c>
      <c r="DQ321" s="14"/>
      <c r="DR321" s="14"/>
      <c r="DS321" s="14"/>
      <c r="DT321" s="14"/>
      <c r="DU321" s="14"/>
      <c r="DV321" s="14"/>
      <c r="DW321" s="14"/>
      <c r="DX321" s="14"/>
      <c r="DY321" s="14"/>
      <c r="DZ321" s="14"/>
      <c r="EA321" s="14">
        <f>IF(EA285&lt;&gt;0,EA284/EA285,"")</f>
        <v>0.5</v>
      </c>
      <c r="EB321" s="14">
        <f>IF(EB285&lt;&gt;0,EB284/EB285,"")</f>
        <v>0.5</v>
      </c>
      <c r="EC321" s="14"/>
      <c r="ED321" s="429"/>
      <c r="EE321" s="14"/>
      <c r="EF321" s="14"/>
      <c r="EG321" s="14">
        <f>IF(EG285&lt;&gt;0,EG284/EG285,"")</f>
        <v>0.5048209028459274</v>
      </c>
      <c r="EK321" s="24"/>
      <c r="EL321" s="65"/>
      <c r="EM321" s="65"/>
      <c r="EN321" s="47"/>
    </row>
    <row r="322" spans="1:149">
      <c r="A322" s="6" t="s">
        <v>29</v>
      </c>
      <c r="G322" s="28"/>
      <c r="H322" s="28"/>
      <c r="I322" s="28"/>
      <c r="J322" s="64"/>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4"/>
      <c r="AJ322" s="64"/>
      <c r="ED322" s="429"/>
      <c r="EE322" s="23"/>
      <c r="EF322" s="23"/>
      <c r="EG322" s="23"/>
      <c r="EH322" s="25"/>
      <c r="EI322" s="25"/>
      <c r="EJ322" s="25"/>
      <c r="EK322" s="23"/>
    </row>
    <row r="323" spans="1:149">
      <c r="A323" s="6" t="s">
        <v>23</v>
      </c>
      <c r="B323" s="2" t="s">
        <v>24</v>
      </c>
      <c r="C323" s="3" t="s">
        <v>83</v>
      </c>
      <c r="E323" s="4" t="str">
        <f>C297</f>
        <v>AInBusNew</v>
      </c>
      <c r="F323" s="4" t="s">
        <v>31</v>
      </c>
      <c r="G323" s="28" t="str">
        <f>C296</f>
        <v>AAllNew</v>
      </c>
      <c r="H323" s="28"/>
      <c r="I323" s="28"/>
      <c r="J323" s="62">
        <f t="shared" ref="J323:AJ323" si="1890">IF(J296&lt;&gt;0,J297/J296,"")</f>
        <v>0.42857142857142855</v>
      </c>
      <c r="K323" s="62">
        <f t="shared" si="1890"/>
        <v>0.35714285714285715</v>
      </c>
      <c r="L323" s="62">
        <f t="shared" si="1890"/>
        <v>0.38095238095238093</v>
      </c>
      <c r="M323" s="62">
        <f t="shared" si="1890"/>
        <v>0.37931034482758619</v>
      </c>
      <c r="N323" s="62">
        <f t="shared" si="1890"/>
        <v>0.46341463414634149</v>
      </c>
      <c r="O323" s="62">
        <f t="shared" si="1890"/>
        <v>0.5</v>
      </c>
      <c r="P323" s="62">
        <f t="shared" si="1890"/>
        <v>0.53125</v>
      </c>
      <c r="Q323" s="62">
        <f t="shared" si="1890"/>
        <v>0.54666666666666663</v>
      </c>
      <c r="R323" s="62">
        <f t="shared" si="1890"/>
        <v>0.5393258426966292</v>
      </c>
      <c r="S323" s="62">
        <f t="shared" si="1890"/>
        <v>0.48514851485148514</v>
      </c>
      <c r="T323" s="62">
        <f t="shared" si="1890"/>
        <v>0.49541284403669728</v>
      </c>
      <c r="U323" s="62">
        <f t="shared" si="1890"/>
        <v>0.48245614035087719</v>
      </c>
      <c r="V323" s="62">
        <f t="shared" si="1890"/>
        <v>0.58333333333333337</v>
      </c>
      <c r="W323" s="62">
        <f t="shared" si="1890"/>
        <v>0.52631578947368418</v>
      </c>
      <c r="X323" s="62">
        <f t="shared" si="1890"/>
        <v>0.52173913043478259</v>
      </c>
      <c r="Y323" s="62">
        <f t="shared" si="1890"/>
        <v>0.45</v>
      </c>
      <c r="Z323" s="62">
        <f t="shared" si="1890"/>
        <v>0.5</v>
      </c>
      <c r="AA323" s="62">
        <f t="shared" si="1890"/>
        <v>0.48214285714285715</v>
      </c>
      <c r="AB323" s="62">
        <f t="shared" si="1890"/>
        <v>0.45714285714285713</v>
      </c>
      <c r="AC323" s="62">
        <f t="shared" si="1890"/>
        <v>0.43209876543209874</v>
      </c>
      <c r="AD323" s="62">
        <f t="shared" si="1890"/>
        <v>0.45833333333333331</v>
      </c>
      <c r="AE323" s="62">
        <f t="shared" si="1890"/>
        <v>0.43119266055045874</v>
      </c>
      <c r="AF323" s="62">
        <f t="shared" si="1890"/>
        <v>0.43548387096774194</v>
      </c>
      <c r="AG323" s="62">
        <f t="shared" si="1890"/>
        <v>0.46376811594202899</v>
      </c>
      <c r="AH323" s="62">
        <f t="shared" si="1890"/>
        <v>0.53846153846153844</v>
      </c>
      <c r="AI323" s="62">
        <f t="shared" si="1890"/>
        <v>0.44444444444444442</v>
      </c>
      <c r="AJ323" s="62" t="str">
        <f t="shared" si="1890"/>
        <v/>
      </c>
      <c r="AK323" s="412"/>
      <c r="AL323" s="14">
        <f t="shared" ref="AL323:BL323" si="1891">IF(AL296&lt;&gt;0,AL297/AL296,"")</f>
        <v>0.42857142857142855</v>
      </c>
      <c r="AM323" s="14">
        <f t="shared" si="1891"/>
        <v>0.2857142857142857</v>
      </c>
      <c r="AN323" s="14">
        <f t="shared" si="1891"/>
        <v>0.42857142857142855</v>
      </c>
      <c r="AO323" s="14">
        <f t="shared" si="1891"/>
        <v>0.375</v>
      </c>
      <c r="AP323" s="14">
        <f t="shared" si="1891"/>
        <v>0.66666666666666663</v>
      </c>
      <c r="AQ323" s="14">
        <f t="shared" si="1891"/>
        <v>0.7142857142857143</v>
      </c>
      <c r="AR323" s="14">
        <f t="shared" si="1891"/>
        <v>0.625</v>
      </c>
      <c r="AS323" s="14">
        <f t="shared" si="1891"/>
        <v>0.63636363636363635</v>
      </c>
      <c r="AT323" s="14">
        <f t="shared" si="1891"/>
        <v>0.5</v>
      </c>
      <c r="AU323" s="14">
        <f t="shared" si="1891"/>
        <v>8.3333333333333329E-2</v>
      </c>
      <c r="AV323" s="14">
        <f t="shared" si="1891"/>
        <v>0.625</v>
      </c>
      <c r="AW323" s="14">
        <f t="shared" si="1891"/>
        <v>0.2</v>
      </c>
      <c r="AX323" s="14">
        <f t="shared" si="1891"/>
        <v>0.58333333333333337</v>
      </c>
      <c r="AY323" s="14">
        <f t="shared" si="1891"/>
        <v>0.42857142857142855</v>
      </c>
      <c r="AZ323" s="14">
        <f t="shared" si="1891"/>
        <v>0.5</v>
      </c>
      <c r="BA323" s="14">
        <f t="shared" si="1891"/>
        <v>0.35294117647058826</v>
      </c>
      <c r="BB323" s="14">
        <f t="shared" si="1891"/>
        <v>0.75</v>
      </c>
      <c r="BC323" s="14">
        <f t="shared" si="1891"/>
        <v>0.375</v>
      </c>
      <c r="BD323" s="14">
        <f t="shared" si="1891"/>
        <v>0.35714285714285715</v>
      </c>
      <c r="BE323" s="14">
        <f t="shared" si="1891"/>
        <v>0.27272727272727271</v>
      </c>
      <c r="BF323" s="14">
        <f t="shared" si="1891"/>
        <v>0.6</v>
      </c>
      <c r="BG323" s="14">
        <f t="shared" si="1891"/>
        <v>0.23076923076923078</v>
      </c>
      <c r="BH323" s="14">
        <f t="shared" si="1891"/>
        <v>0.46666666666666667</v>
      </c>
      <c r="BI323" s="14">
        <f t="shared" si="1891"/>
        <v>0.7142857142857143</v>
      </c>
      <c r="BJ323" s="14">
        <f t="shared" si="1891"/>
        <v>0.53846153846153844</v>
      </c>
      <c r="BK323" s="14">
        <f t="shared" si="1891"/>
        <v>0.2</v>
      </c>
      <c r="BL323" s="14" t="str">
        <f t="shared" si="1891"/>
        <v/>
      </c>
      <c r="BM323" s="412"/>
      <c r="BN323" s="14">
        <f t="shared" ref="BN323:CN323" si="1892">IF(BN296&lt;&gt;0,BN297/BN296,"")</f>
        <v>0.38095238095238093</v>
      </c>
      <c r="BO323" s="14">
        <f t="shared" si="1892"/>
        <v>0.38095238095238093</v>
      </c>
      <c r="BP323" s="14">
        <f t="shared" si="1892"/>
        <v>0.38095238095238093</v>
      </c>
      <c r="BQ323" s="14">
        <f t="shared" si="1892"/>
        <v>0.59259259259259256</v>
      </c>
      <c r="BR323" s="14">
        <f t="shared" si="1892"/>
        <v>0.59259259259259256</v>
      </c>
      <c r="BS323" s="14">
        <f t="shared" si="1892"/>
        <v>0.59259259259259256</v>
      </c>
      <c r="BT323" s="14">
        <f t="shared" si="1892"/>
        <v>0.58536585365853655</v>
      </c>
      <c r="BU323" s="14">
        <f t="shared" si="1892"/>
        <v>0.58536585365853655</v>
      </c>
      <c r="BV323" s="14">
        <f t="shared" si="1892"/>
        <v>0.58536585365853655</v>
      </c>
      <c r="BW323" s="14">
        <f t="shared" si="1892"/>
        <v>0.28000000000000003</v>
      </c>
      <c r="BX323" s="14">
        <f t="shared" si="1892"/>
        <v>0.28000000000000003</v>
      </c>
      <c r="BY323" s="14">
        <f t="shared" si="1892"/>
        <v>0.28000000000000003</v>
      </c>
      <c r="BZ323" s="14">
        <f t="shared" si="1892"/>
        <v>0.52173913043478259</v>
      </c>
      <c r="CA323" s="14">
        <f t="shared" si="1892"/>
        <v>0.52173913043478259</v>
      </c>
      <c r="CB323" s="14">
        <f t="shared" si="1892"/>
        <v>0.52173913043478259</v>
      </c>
      <c r="CC323" s="14">
        <f t="shared" si="1892"/>
        <v>0.45454545454545453</v>
      </c>
      <c r="CD323" s="14">
        <f t="shared" si="1892"/>
        <v>0.45454545454545453</v>
      </c>
      <c r="CE323" s="14">
        <f t="shared" si="1892"/>
        <v>0.45454545454545453</v>
      </c>
      <c r="CF323" s="14">
        <f t="shared" si="1892"/>
        <v>0.42499999999999999</v>
      </c>
      <c r="CG323" s="14">
        <f t="shared" si="1892"/>
        <v>0.42499999999999999</v>
      </c>
      <c r="CH323" s="14">
        <f t="shared" si="1892"/>
        <v>0.42499999999999999</v>
      </c>
      <c r="CI323" s="14">
        <f t="shared" si="1892"/>
        <v>0.47619047619047616</v>
      </c>
      <c r="CJ323" s="14">
        <f t="shared" si="1892"/>
        <v>0.47619047619047616</v>
      </c>
      <c r="CK323" s="14">
        <f t="shared" si="1892"/>
        <v>0.47619047619047616</v>
      </c>
      <c r="CL323" s="14">
        <f t="shared" si="1892"/>
        <v>0.44444444444444442</v>
      </c>
      <c r="CM323" s="14">
        <f t="shared" si="1892"/>
        <v>0.44444444444444442</v>
      </c>
      <c r="CN323" s="14">
        <f t="shared" si="1892"/>
        <v>0.44444444444444442</v>
      </c>
      <c r="CO323" s="412"/>
      <c r="CP323" s="14">
        <f t="shared" ref="CP323:DP323" si="1893">IF(CP296&lt;&gt;0,CP297/CP296,"")</f>
        <v>0.42857142857142855</v>
      </c>
      <c r="CQ323" s="14">
        <f t="shared" si="1893"/>
        <v>0.35714285714285715</v>
      </c>
      <c r="CR323" s="14">
        <f t="shared" si="1893"/>
        <v>0.38095238095238093</v>
      </c>
      <c r="CS323" s="14">
        <f t="shared" si="1893"/>
        <v>0.37931034482758619</v>
      </c>
      <c r="CT323" s="14">
        <f t="shared" si="1893"/>
        <v>0.46341463414634149</v>
      </c>
      <c r="CU323" s="14">
        <f t="shared" si="1893"/>
        <v>0.5</v>
      </c>
      <c r="CV323" s="14">
        <f t="shared" si="1893"/>
        <v>0.53125</v>
      </c>
      <c r="CW323" s="14">
        <f t="shared" si="1893"/>
        <v>0.54666666666666663</v>
      </c>
      <c r="CX323" s="14">
        <f t="shared" si="1893"/>
        <v>0.5393258426966292</v>
      </c>
      <c r="CY323" s="14">
        <f t="shared" si="1893"/>
        <v>0.48514851485148514</v>
      </c>
      <c r="CZ323" s="14">
        <f t="shared" si="1893"/>
        <v>0.49541284403669728</v>
      </c>
      <c r="DA323" s="14">
        <f t="shared" si="1893"/>
        <v>0.48245614035087719</v>
      </c>
      <c r="DB323" s="14">
        <f t="shared" si="1893"/>
        <v>0.58333333333333337</v>
      </c>
      <c r="DC323" s="14">
        <f t="shared" si="1893"/>
        <v>0.52631578947368418</v>
      </c>
      <c r="DD323" s="14">
        <f t="shared" si="1893"/>
        <v>0.52173913043478259</v>
      </c>
      <c r="DE323" s="14">
        <f t="shared" si="1893"/>
        <v>0.45</v>
      </c>
      <c r="DF323" s="14">
        <f t="shared" si="1893"/>
        <v>0.5</v>
      </c>
      <c r="DG323" s="14">
        <f t="shared" si="1893"/>
        <v>0.48214285714285715</v>
      </c>
      <c r="DH323" s="14">
        <f t="shared" si="1893"/>
        <v>0.45714285714285713</v>
      </c>
      <c r="DI323" s="14">
        <f t="shared" si="1893"/>
        <v>0.43209876543209874</v>
      </c>
      <c r="DJ323" s="14">
        <f t="shared" si="1893"/>
        <v>0.45833333333333331</v>
      </c>
      <c r="DK323" s="14">
        <f t="shared" si="1893"/>
        <v>0.43119266055045874</v>
      </c>
      <c r="DL323" s="14">
        <f t="shared" si="1893"/>
        <v>0.43548387096774194</v>
      </c>
      <c r="DM323" s="14">
        <f t="shared" si="1893"/>
        <v>0.46376811594202899</v>
      </c>
      <c r="DN323" s="14">
        <f t="shared" si="1893"/>
        <v>0.53846153846153844</v>
      </c>
      <c r="DO323" s="14">
        <f t="shared" si="1893"/>
        <v>0.44444444444444442</v>
      </c>
      <c r="DP323" s="14">
        <f t="shared" si="1893"/>
        <v>0.44444444444444442</v>
      </c>
      <c r="DQ323" s="14"/>
      <c r="DR323" s="14"/>
      <c r="DS323" s="14"/>
      <c r="DT323" s="14"/>
      <c r="DU323" s="14"/>
      <c r="DV323" s="14"/>
      <c r="DW323" s="14"/>
      <c r="DX323" s="14"/>
      <c r="DY323" s="14"/>
      <c r="ED323" s="429"/>
      <c r="EE323" s="23"/>
      <c r="EF323" s="23"/>
      <c r="EG323" s="23"/>
      <c r="EH323" s="14">
        <f>IF(EH296&lt;&gt;0,EH297/EH296,"")</f>
        <v>0.2</v>
      </c>
      <c r="EI323" s="14">
        <f>IF(EI296&lt;&gt;0,EI297/EI296,"")</f>
        <v>0.44444444444444442</v>
      </c>
      <c r="EJ323" s="14">
        <f>IF(EJ296&lt;&gt;0,EJ297/EJ296,"")</f>
        <v>0.44444444444444442</v>
      </c>
      <c r="EK323" s="24"/>
      <c r="EL323" s="47">
        <f t="shared" ref="EL323:EN327" si="1894">+EH323-EE316</f>
        <v>-0.3</v>
      </c>
      <c r="EM323" s="47">
        <f t="shared" si="1894"/>
        <v>-5.555555555555558E-2</v>
      </c>
      <c r="EN323" s="47">
        <f t="shared" si="1894"/>
        <v>-5.555555555555558E-2</v>
      </c>
      <c r="EO323" s="46" t="str">
        <f t="shared" ref="EO323:EP327" si="1895">IF(EH323&lt;0,,IF(EH323&lt;EE316,"È",IF(EH323=EE316,"Æ","Ç")))</f>
        <v>È</v>
      </c>
      <c r="EP323" s="46" t="str">
        <f t="shared" si="1895"/>
        <v>È</v>
      </c>
      <c r="EQ323" s="2">
        <f t="shared" ref="EQ323:ES327" si="1896">IF(EH323/EE316&gt;=0.9,1,IF(EH323/EE316&lt;0.75,3,2))</f>
        <v>3</v>
      </c>
      <c r="ER323" s="2">
        <f t="shared" si="1896"/>
        <v>2</v>
      </c>
      <c r="ES323" s="2">
        <f t="shared" si="1896"/>
        <v>2</v>
      </c>
    </row>
    <row r="324" spans="1:149">
      <c r="A324" s="6" t="s">
        <v>23</v>
      </c>
      <c r="B324" s="2" t="s">
        <v>25</v>
      </c>
      <c r="C324" s="3" t="s">
        <v>79</v>
      </c>
      <c r="E324" s="4" t="str">
        <f>C312</f>
        <v>ASEE</v>
      </c>
      <c r="F324" s="4" t="s">
        <v>31</v>
      </c>
      <c r="G324" s="28" t="str">
        <f>C311</f>
        <v>ASUniq</v>
      </c>
      <c r="H324" s="28"/>
      <c r="I324" s="28"/>
      <c r="J324" s="62">
        <f>IF(J311&lt;&gt;0,J312/J311,"")</f>
        <v>0.4</v>
      </c>
      <c r="K324" s="62">
        <f>IF(K311&lt;&gt;0,K312/K311,"")</f>
        <v>0.76923076923076927</v>
      </c>
      <c r="L324" s="62">
        <f>IF(L311&lt;&gt;0,L312/L311,"")</f>
        <v>0.27272727272727271</v>
      </c>
      <c r="M324" s="62">
        <f>IF(M311&lt;&gt;0,M312/M311,"")</f>
        <v>0.66666666666666663</v>
      </c>
      <c r="N324" s="62">
        <f>IF(N311&lt;&gt;0,N312/N311,"")</f>
        <v>0.23076923076923078</v>
      </c>
      <c r="O324" s="62">
        <f>IF(O311&lt;&gt;"",O312/O311,"")</f>
        <v>0.25</v>
      </c>
      <c r="P324" s="62">
        <f t="shared" ref="P324:AJ324" si="1897">IF(P311&lt;&gt;"",P312/P311,"")</f>
        <v>0.45</v>
      </c>
      <c r="Q324" s="62">
        <f t="shared" si="1897"/>
        <v>0.33333333333333331</v>
      </c>
      <c r="R324" s="62">
        <f t="shared" si="1897"/>
        <v>0.35294117647058826</v>
      </c>
      <c r="S324" s="62">
        <f t="shared" si="1897"/>
        <v>0.2</v>
      </c>
      <c r="T324" s="62">
        <f t="shared" si="1897"/>
        <v>0.125</v>
      </c>
      <c r="U324" s="62">
        <f t="shared" si="1897"/>
        <v>0.5</v>
      </c>
      <c r="V324" s="62">
        <f t="shared" si="1897"/>
        <v>0.5</v>
      </c>
      <c r="W324" s="62">
        <f t="shared" si="1897"/>
        <v>0.4</v>
      </c>
      <c r="X324" s="62">
        <f t="shared" si="1897"/>
        <v>0.77777777777777779</v>
      </c>
      <c r="Y324" s="62">
        <f t="shared" si="1897"/>
        <v>0.15</v>
      </c>
      <c r="Z324" s="62">
        <f t="shared" si="1897"/>
        <v>0.23076923076923078</v>
      </c>
      <c r="AA324" s="62">
        <f t="shared" si="1897"/>
        <v>0.33333333333333331</v>
      </c>
      <c r="AB324" s="62">
        <f t="shared" si="1897"/>
        <v>0.13333333333333333</v>
      </c>
      <c r="AC324" s="62">
        <f t="shared" si="1897"/>
        <v>0.15384615384615385</v>
      </c>
      <c r="AD324" s="62">
        <f t="shared" si="1897"/>
        <v>5.8823529411764705E-2</v>
      </c>
      <c r="AE324" s="62">
        <f t="shared" si="1897"/>
        <v>0.21428571428571427</v>
      </c>
      <c r="AF324" s="62">
        <f t="shared" si="1897"/>
        <v>0.35294117647058826</v>
      </c>
      <c r="AG324" s="62">
        <f t="shared" si="1897"/>
        <v>6.25E-2</v>
      </c>
      <c r="AH324" s="62">
        <f t="shared" si="1897"/>
        <v>0.5</v>
      </c>
      <c r="AI324" s="62">
        <f t="shared" si="1897"/>
        <v>0.4</v>
      </c>
      <c r="AJ324" s="62" t="str">
        <f t="shared" si="1897"/>
        <v/>
      </c>
      <c r="AK324" s="412"/>
      <c r="AL324" s="14">
        <f t="shared" ref="AL324:BL324" si="1898">IF(AL311&lt;&gt;0,AL312/AL311,"")</f>
        <v>0.4</v>
      </c>
      <c r="AM324" s="14">
        <f t="shared" si="1898"/>
        <v>0.76923076923076927</v>
      </c>
      <c r="AN324" s="14">
        <f t="shared" si="1898"/>
        <v>0.27272727272727271</v>
      </c>
      <c r="AO324" s="14">
        <f t="shared" si="1898"/>
        <v>0.66666666666666663</v>
      </c>
      <c r="AP324" s="14">
        <f t="shared" si="1898"/>
        <v>0.23076923076923078</v>
      </c>
      <c r="AQ324" s="14">
        <f t="shared" si="1898"/>
        <v>0.25</v>
      </c>
      <c r="AR324" s="14">
        <f t="shared" si="1898"/>
        <v>0.45</v>
      </c>
      <c r="AS324" s="14">
        <f t="shared" si="1898"/>
        <v>0.33333333333333331</v>
      </c>
      <c r="AT324" s="14">
        <f t="shared" si="1898"/>
        <v>0.35294117647058826</v>
      </c>
      <c r="AU324" s="14">
        <f t="shared" si="1898"/>
        <v>0.2</v>
      </c>
      <c r="AV324" s="14">
        <f t="shared" si="1898"/>
        <v>0.125</v>
      </c>
      <c r="AW324" s="14">
        <f t="shared" si="1898"/>
        <v>0.5</v>
      </c>
      <c r="AX324" s="14">
        <f t="shared" si="1898"/>
        <v>0.5</v>
      </c>
      <c r="AY324" s="14">
        <f t="shared" si="1898"/>
        <v>0.4</v>
      </c>
      <c r="AZ324" s="14">
        <f t="shared" si="1898"/>
        <v>0.77777777777777779</v>
      </c>
      <c r="BA324" s="14">
        <f t="shared" si="1898"/>
        <v>0.15</v>
      </c>
      <c r="BB324" s="14">
        <f t="shared" si="1898"/>
        <v>0.23076923076923078</v>
      </c>
      <c r="BC324" s="14">
        <f t="shared" si="1898"/>
        <v>0.33333333333333331</v>
      </c>
      <c r="BD324" s="14">
        <f t="shared" si="1898"/>
        <v>0.13333333333333333</v>
      </c>
      <c r="BE324" s="14">
        <f t="shared" si="1898"/>
        <v>0.15384615384615385</v>
      </c>
      <c r="BF324" s="14">
        <f t="shared" si="1898"/>
        <v>5.8823529411764705E-2</v>
      </c>
      <c r="BG324" s="14">
        <f t="shared" si="1898"/>
        <v>0.21428571428571427</v>
      </c>
      <c r="BH324" s="14">
        <f t="shared" si="1898"/>
        <v>0.35294117647058826</v>
      </c>
      <c r="BI324" s="14">
        <f t="shared" si="1898"/>
        <v>6.25E-2</v>
      </c>
      <c r="BJ324" s="14">
        <f t="shared" si="1898"/>
        <v>0.5</v>
      </c>
      <c r="BK324" s="14">
        <f t="shared" si="1898"/>
        <v>0.4</v>
      </c>
      <c r="BL324" s="14" t="e">
        <f t="shared" si="1898"/>
        <v>#VALUE!</v>
      </c>
      <c r="BM324" s="412"/>
      <c r="BN324" s="14">
        <f t="shared" ref="BN324:CN324" si="1899">IF(BN311&lt;&gt;0,BN312/BN311,"")</f>
        <v>0.4</v>
      </c>
      <c r="BO324" s="14">
        <f t="shared" si="1899"/>
        <v>0.52631578947368418</v>
      </c>
      <c r="BP324" s="14">
        <f t="shared" si="1899"/>
        <v>0.46938775510204084</v>
      </c>
      <c r="BQ324" s="14">
        <f t="shared" si="1899"/>
        <v>0.66666666666666663</v>
      </c>
      <c r="BR324" s="14">
        <f t="shared" si="1899"/>
        <v>0.4642857142857143</v>
      </c>
      <c r="BS324" s="14">
        <f t="shared" si="1899"/>
        <v>0.41666666666666669</v>
      </c>
      <c r="BT324" s="14">
        <f t="shared" si="1899"/>
        <v>0.45</v>
      </c>
      <c r="BU324" s="14">
        <f t="shared" si="1899"/>
        <v>0.40625</v>
      </c>
      <c r="BV324" s="14">
        <f t="shared" si="1899"/>
        <v>0.38775510204081631</v>
      </c>
      <c r="BW324" s="14">
        <f t="shared" si="1899"/>
        <v>0.2</v>
      </c>
      <c r="BX324" s="14">
        <f t="shared" si="1899"/>
        <v>0.17391304347826086</v>
      </c>
      <c r="BY324" s="14">
        <f t="shared" si="1899"/>
        <v>0.2413793103448276</v>
      </c>
      <c r="BZ324" s="14">
        <f t="shared" si="1899"/>
        <v>0.5</v>
      </c>
      <c r="CA324" s="14">
        <f t="shared" si="1899"/>
        <v>0.45833333333333331</v>
      </c>
      <c r="CB324" s="14">
        <f t="shared" si="1899"/>
        <v>0.54545454545454541</v>
      </c>
      <c r="CC324" s="14">
        <f t="shared" si="1899"/>
        <v>0.15</v>
      </c>
      <c r="CD324" s="14">
        <f t="shared" si="1899"/>
        <v>0.18181818181818182</v>
      </c>
      <c r="CE324" s="14">
        <f t="shared" si="1899"/>
        <v>0.21428571428571427</v>
      </c>
      <c r="CF324" s="14">
        <f t="shared" si="1899"/>
        <v>0.13333333333333333</v>
      </c>
      <c r="CG324" s="14">
        <f t="shared" si="1899"/>
        <v>0.14285714285714285</v>
      </c>
      <c r="CH324" s="14">
        <f t="shared" si="1899"/>
        <v>0.1111111111111111</v>
      </c>
      <c r="CI324" s="14">
        <f t="shared" si="1899"/>
        <v>0.21428571428571427</v>
      </c>
      <c r="CJ324" s="14">
        <f t="shared" si="1899"/>
        <v>0.29032258064516131</v>
      </c>
      <c r="CK324" s="14">
        <f t="shared" si="1899"/>
        <v>0.21276595744680851</v>
      </c>
      <c r="CL324" s="14">
        <f t="shared" si="1899"/>
        <v>0.5</v>
      </c>
      <c r="CM324" s="14">
        <f t="shared" si="1899"/>
        <v>0.47222222222222221</v>
      </c>
      <c r="CN324" s="14" t="e">
        <f t="shared" si="1899"/>
        <v>#VALUE!</v>
      </c>
      <c r="CO324" s="412"/>
      <c r="CP324" s="14">
        <f t="shared" ref="CP324:DP324" si="1900">IF(CP311&lt;&gt;0,CP312/CP311,"")</f>
        <v>0.4</v>
      </c>
      <c r="CQ324" s="14">
        <f t="shared" si="1900"/>
        <v>0.52631578947368418</v>
      </c>
      <c r="CR324" s="14">
        <f t="shared" si="1900"/>
        <v>0.46938775510204084</v>
      </c>
      <c r="CS324" s="14">
        <f t="shared" si="1900"/>
        <v>0.515625</v>
      </c>
      <c r="CT324" s="14">
        <f t="shared" si="1900"/>
        <v>0.46753246753246752</v>
      </c>
      <c r="CU324" s="14">
        <f t="shared" si="1900"/>
        <v>0.44705882352941179</v>
      </c>
      <c r="CV324" s="14">
        <f t="shared" si="1900"/>
        <v>0.44761904761904764</v>
      </c>
      <c r="CW324" s="14">
        <f t="shared" si="1900"/>
        <v>0.4358974358974359</v>
      </c>
      <c r="CX324" s="14">
        <f t="shared" si="1900"/>
        <v>0.42537313432835822</v>
      </c>
      <c r="CY324" s="14">
        <f t="shared" si="1900"/>
        <v>0.40268456375838924</v>
      </c>
      <c r="CZ324" s="14">
        <f t="shared" si="1900"/>
        <v>0.38853503184713378</v>
      </c>
      <c r="DA324" s="14">
        <f t="shared" si="1900"/>
        <v>0.39263803680981596</v>
      </c>
      <c r="DB324" s="14">
        <f t="shared" si="1900"/>
        <v>0.5</v>
      </c>
      <c r="DC324" s="14">
        <f t="shared" si="1900"/>
        <v>0.45833333333333331</v>
      </c>
      <c r="DD324" s="14">
        <f t="shared" si="1900"/>
        <v>0.54545454545454541</v>
      </c>
      <c r="DE324" s="14">
        <f t="shared" si="1900"/>
        <v>0.39622641509433965</v>
      </c>
      <c r="DF324" s="14">
        <f t="shared" si="1900"/>
        <v>0.36363636363636365</v>
      </c>
      <c r="DG324" s="14">
        <f t="shared" si="1900"/>
        <v>0.36</v>
      </c>
      <c r="DH324" s="14">
        <f t="shared" si="1900"/>
        <v>0.32222222222222224</v>
      </c>
      <c r="DI324" s="14">
        <f t="shared" si="1900"/>
        <v>0.30097087378640774</v>
      </c>
      <c r="DJ324" s="14">
        <f t="shared" si="1900"/>
        <v>0.26666666666666666</v>
      </c>
      <c r="DK324" s="14">
        <f t="shared" si="1900"/>
        <v>0.26119402985074625</v>
      </c>
      <c r="DL324" s="14">
        <f t="shared" si="1900"/>
        <v>0.27152317880794702</v>
      </c>
      <c r="DM324" s="14">
        <f t="shared" si="1900"/>
        <v>0.25149700598802394</v>
      </c>
      <c r="DN324" s="14">
        <f t="shared" si="1900"/>
        <v>0.5</v>
      </c>
      <c r="DO324" s="14">
        <f t="shared" si="1900"/>
        <v>0.47222222222222221</v>
      </c>
      <c r="DP324" s="14" t="e">
        <f t="shared" si="1900"/>
        <v>#VALUE!</v>
      </c>
      <c r="DQ324" s="14"/>
      <c r="DR324" s="14"/>
      <c r="DS324" s="14"/>
      <c r="DT324" s="14"/>
      <c r="DU324" s="14"/>
      <c r="DV324" s="14"/>
      <c r="DW324" s="14"/>
      <c r="DX324" s="14"/>
      <c r="DY324" s="14"/>
      <c r="ED324" s="429"/>
      <c r="EE324" s="23"/>
      <c r="EF324" s="23"/>
      <c r="EG324" s="23"/>
      <c r="EH324" s="14">
        <f>IF(EH311&lt;&gt;0,EH312/EH311,"")</f>
        <v>0.4</v>
      </c>
      <c r="EI324" s="14">
        <f>IF(EI311&lt;&gt;0,EI312/EI311,"")</f>
        <v>0.47222222222222221</v>
      </c>
      <c r="EJ324" s="14">
        <f>IF(EJ311&lt;&gt;0,EJ312/EJ311,"")</f>
        <v>0.47222222222222221</v>
      </c>
      <c r="EK324" s="24"/>
      <c r="EL324" s="47">
        <f t="shared" si="1894"/>
        <v>8.4291187739461426E-3</v>
      </c>
      <c r="EM324" s="47">
        <f t="shared" si="1894"/>
        <v>0.17744126984126968</v>
      </c>
      <c r="EN324" s="47">
        <f t="shared" si="1894"/>
        <v>0.17744126984126968</v>
      </c>
      <c r="EO324" s="46" t="str">
        <f>IF(EH324&lt;0,,IF(EH324&gt;EE317,"È",IF(EH324=EE317,"Æ","Ç")))</f>
        <v>È</v>
      </c>
      <c r="EP324" s="46" t="str">
        <f t="shared" si="1895"/>
        <v>Ç</v>
      </c>
      <c r="EQ324" s="2">
        <f t="shared" si="1896"/>
        <v>1</v>
      </c>
      <c r="ER324" s="2">
        <f t="shared" si="1896"/>
        <v>1</v>
      </c>
      <c r="ES324" s="2">
        <f t="shared" si="1896"/>
        <v>1</v>
      </c>
    </row>
    <row r="325" spans="1:149">
      <c r="A325" s="6" t="s">
        <v>23</v>
      </c>
      <c r="B325" s="2" t="s">
        <v>160</v>
      </c>
      <c r="C325" s="3" t="s">
        <v>80</v>
      </c>
      <c r="E325" s="3" t="str">
        <f>C301</f>
        <v>ASatRate</v>
      </c>
      <c r="F325" s="3" t="s">
        <v>32</v>
      </c>
      <c r="G325" s="28" t="str">
        <f>C296</f>
        <v>AAllNew</v>
      </c>
      <c r="H325" s="63" t="s">
        <v>31</v>
      </c>
      <c r="I325" s="28" t="str">
        <f>C300</f>
        <v>ASatResp</v>
      </c>
      <c r="J325" s="62">
        <f t="shared" ref="J325:AJ325" si="1901">IF(J296&lt;&gt;0,J301*J300/J296,"")</f>
        <v>0.14285714285714285</v>
      </c>
      <c r="K325" s="62">
        <f t="shared" si="1901"/>
        <v>7.1428571428571425E-2</v>
      </c>
      <c r="L325" s="62">
        <f t="shared" si="1901"/>
        <v>0</v>
      </c>
      <c r="M325" s="62">
        <f t="shared" si="1901"/>
        <v>6.8965517241379309E-2</v>
      </c>
      <c r="N325" s="62">
        <f t="shared" si="1901"/>
        <v>2.4390243902439025E-2</v>
      </c>
      <c r="O325" s="62">
        <f t="shared" si="1901"/>
        <v>0.16666666666666666</v>
      </c>
      <c r="P325" s="62">
        <f t="shared" si="1901"/>
        <v>4.6875E-2</v>
      </c>
      <c r="Q325" s="62">
        <f t="shared" si="1901"/>
        <v>6.6666666666666666E-2</v>
      </c>
      <c r="R325" s="62">
        <f t="shared" si="1901"/>
        <v>5.6179775280898875E-2</v>
      </c>
      <c r="S325" s="62">
        <f t="shared" si="1901"/>
        <v>4.9504950495049507E-2</v>
      </c>
      <c r="T325" s="62">
        <f t="shared" si="1901"/>
        <v>4.5871559633027525E-2</v>
      </c>
      <c r="U325" s="62">
        <f t="shared" si="1901"/>
        <v>1.7543859649122806E-2</v>
      </c>
      <c r="V325" s="62">
        <f t="shared" si="1901"/>
        <v>0.16666666666666666</v>
      </c>
      <c r="W325" s="62">
        <f t="shared" si="1901"/>
        <v>0.27473684210526317</v>
      </c>
      <c r="X325" s="62">
        <f t="shared" si="1901"/>
        <v>4.3478260869565216E-2</v>
      </c>
      <c r="Y325" s="62">
        <f t="shared" si="1901"/>
        <v>0</v>
      </c>
      <c r="Z325" s="62">
        <f t="shared" si="1901"/>
        <v>0.16666666666666666</v>
      </c>
      <c r="AA325" s="62">
        <f t="shared" si="1901"/>
        <v>5.3571428571428568E-2</v>
      </c>
      <c r="AB325" s="62">
        <f t="shared" si="1901"/>
        <v>4.2857142857142858E-2</v>
      </c>
      <c r="AC325" s="62">
        <f t="shared" si="1901"/>
        <v>6.6666666666666666E-2</v>
      </c>
      <c r="AD325" s="62">
        <f t="shared" si="1901"/>
        <v>3.125E-2</v>
      </c>
      <c r="AE325" s="62">
        <f t="shared" si="1901"/>
        <v>5.5045871559633031E-2</v>
      </c>
      <c r="AF325" s="62">
        <f t="shared" si="1901"/>
        <v>1.9354838709677424E-2</v>
      </c>
      <c r="AG325" s="62">
        <f t="shared" si="1901"/>
        <v>1.4492753623188406E-2</v>
      </c>
      <c r="AH325" s="62">
        <f t="shared" si="1901"/>
        <v>0.24615384615384617</v>
      </c>
      <c r="AI325" s="62">
        <f t="shared" si="1901"/>
        <v>0.22222222222222221</v>
      </c>
      <c r="AJ325" s="62" t="str">
        <f t="shared" si="1901"/>
        <v/>
      </c>
      <c r="AK325" s="412"/>
      <c r="AL325" s="14">
        <f t="shared" ref="AL325:BL325" si="1902">IF(AL296&lt;&gt;0,AL301*AL300/AL296,"")</f>
        <v>0.14285714285714285</v>
      </c>
      <c r="AM325" s="14">
        <f t="shared" si="1902"/>
        <v>0.14285714285714285</v>
      </c>
      <c r="AN325" s="14">
        <f t="shared" si="1902"/>
        <v>0</v>
      </c>
      <c r="AO325" s="14">
        <f t="shared" si="1902"/>
        <v>0.25</v>
      </c>
      <c r="AP325" s="14">
        <f t="shared" si="1902"/>
        <v>8.3333333333333329E-2</v>
      </c>
      <c r="AQ325" s="14">
        <f t="shared" si="1902"/>
        <v>1.1428571428571428</v>
      </c>
      <c r="AR325" s="14">
        <f t="shared" si="1902"/>
        <v>0.1875</v>
      </c>
      <c r="AS325" s="14">
        <f t="shared" si="1902"/>
        <v>0.45454545454545453</v>
      </c>
      <c r="AT325" s="14">
        <f t="shared" si="1902"/>
        <v>0.35714285714285715</v>
      </c>
      <c r="AU325" s="14">
        <f t="shared" si="1902"/>
        <v>0.41666666666666669</v>
      </c>
      <c r="AV325" s="14">
        <f t="shared" si="1902"/>
        <v>0.625</v>
      </c>
      <c r="AW325" s="14">
        <f t="shared" si="1902"/>
        <v>0.4</v>
      </c>
      <c r="AX325" s="14">
        <f t="shared" si="1902"/>
        <v>0.16666666666666666</v>
      </c>
      <c r="AY325" s="14">
        <f t="shared" si="1902"/>
        <v>0.74571428571428566</v>
      </c>
      <c r="AZ325" s="14">
        <f t="shared" si="1902"/>
        <v>0.25</v>
      </c>
      <c r="BA325" s="14">
        <f t="shared" si="1902"/>
        <v>0</v>
      </c>
      <c r="BB325" s="14">
        <f t="shared" si="1902"/>
        <v>1</v>
      </c>
      <c r="BC325" s="14">
        <f t="shared" si="1902"/>
        <v>0.375</v>
      </c>
      <c r="BD325" s="14">
        <f t="shared" si="1902"/>
        <v>0.21428571428571427</v>
      </c>
      <c r="BE325" s="14">
        <f t="shared" si="1902"/>
        <v>0.49090909090909096</v>
      </c>
      <c r="BF325" s="14">
        <f t="shared" si="1902"/>
        <v>0.2</v>
      </c>
      <c r="BG325" s="14">
        <f t="shared" si="1902"/>
        <v>0.46153846153846156</v>
      </c>
      <c r="BH325" s="14">
        <f t="shared" si="1902"/>
        <v>0.16000000000000003</v>
      </c>
      <c r="BI325" s="14">
        <f t="shared" si="1902"/>
        <v>0.14285714285714285</v>
      </c>
      <c r="BJ325" s="14">
        <f t="shared" si="1902"/>
        <v>0.24615384615384617</v>
      </c>
      <c r="BK325" s="14">
        <f t="shared" si="1902"/>
        <v>0.8</v>
      </c>
      <c r="BL325" s="14" t="str">
        <f t="shared" si="1902"/>
        <v/>
      </c>
      <c r="BM325" s="412"/>
      <c r="BN325" s="14">
        <f t="shared" ref="BN325:CN325" si="1903">IF(BN296&lt;&gt;0,BN301*BN300/BN296,"")</f>
        <v>9.5238095238095233E-2</v>
      </c>
      <c r="BO325" s="14">
        <f t="shared" si="1903"/>
        <v>9.5238095238095233E-2</v>
      </c>
      <c r="BP325" s="14">
        <f t="shared" si="1903"/>
        <v>9.5238095238095233E-2</v>
      </c>
      <c r="BQ325" s="14">
        <f t="shared" si="1903"/>
        <v>0.40740740740740738</v>
      </c>
      <c r="BR325" s="14">
        <f t="shared" si="1903"/>
        <v>0.40740740740740738</v>
      </c>
      <c r="BS325" s="14">
        <f t="shared" si="1903"/>
        <v>0.40740740740740738</v>
      </c>
      <c r="BT325" s="14">
        <f t="shared" si="1903"/>
        <v>0.31707317073170732</v>
      </c>
      <c r="BU325" s="14">
        <f t="shared" si="1903"/>
        <v>0.31707317073170732</v>
      </c>
      <c r="BV325" s="14">
        <f t="shared" si="1903"/>
        <v>0.31707317073170732</v>
      </c>
      <c r="BW325" s="14">
        <f t="shared" si="1903"/>
        <v>0.48</v>
      </c>
      <c r="BX325" s="14">
        <f t="shared" si="1903"/>
        <v>0.48</v>
      </c>
      <c r="BY325" s="14">
        <f t="shared" si="1903"/>
        <v>0.48</v>
      </c>
      <c r="BZ325" s="14">
        <f t="shared" si="1903"/>
        <v>0.35739130434782601</v>
      </c>
      <c r="CA325" s="14">
        <f t="shared" si="1903"/>
        <v>0.35739130434782601</v>
      </c>
      <c r="CB325" s="14">
        <f t="shared" si="1903"/>
        <v>0.35739130434782601</v>
      </c>
      <c r="CC325" s="14">
        <f t="shared" si="1903"/>
        <v>0.33333333333333331</v>
      </c>
      <c r="CD325" s="14">
        <f t="shared" si="1903"/>
        <v>0.33333333333333331</v>
      </c>
      <c r="CE325" s="14">
        <f t="shared" si="1903"/>
        <v>0.33333333333333331</v>
      </c>
      <c r="CF325" s="14">
        <f t="shared" si="1903"/>
        <v>0.28500000000000003</v>
      </c>
      <c r="CG325" s="14">
        <f t="shared" si="1903"/>
        <v>0.28500000000000003</v>
      </c>
      <c r="CH325" s="14">
        <f t="shared" si="1903"/>
        <v>0.28500000000000003</v>
      </c>
      <c r="CI325" s="14">
        <f t="shared" si="1903"/>
        <v>0.24761904761904763</v>
      </c>
      <c r="CJ325" s="14">
        <f t="shared" si="1903"/>
        <v>0.24761904761904763</v>
      </c>
      <c r="CK325" s="14">
        <f t="shared" si="1903"/>
        <v>0.24761904761904763</v>
      </c>
      <c r="CL325" s="14">
        <f t="shared" si="1903"/>
        <v>0.4</v>
      </c>
      <c r="CM325" s="14">
        <f t="shared" si="1903"/>
        <v>0.4</v>
      </c>
      <c r="CN325" s="14">
        <f t="shared" si="1903"/>
        <v>0.4</v>
      </c>
      <c r="CO325" s="412"/>
      <c r="CP325" s="14">
        <f t="shared" ref="CP325:DP325" si="1904">IF(CP296&lt;&gt;0,CP301*CP300/CP296,"")</f>
        <v>0.14285714285714285</v>
      </c>
      <c r="CQ325" s="14">
        <f t="shared" si="1904"/>
        <v>0.14285714285714285</v>
      </c>
      <c r="CR325" s="14">
        <f t="shared" si="1904"/>
        <v>9.5238095238095233E-2</v>
      </c>
      <c r="CS325" s="14">
        <f t="shared" si="1904"/>
        <v>0.13793103448275862</v>
      </c>
      <c r="CT325" s="14">
        <f t="shared" si="1904"/>
        <v>0.12195121951219512</v>
      </c>
      <c r="CU325" s="14">
        <f t="shared" si="1904"/>
        <v>0.27083333333333331</v>
      </c>
      <c r="CV325" s="14">
        <f t="shared" si="1904"/>
        <v>0.25</v>
      </c>
      <c r="CW325" s="14">
        <f t="shared" si="1904"/>
        <v>0.28000000000000003</v>
      </c>
      <c r="CX325" s="14">
        <f t="shared" si="1904"/>
        <v>0.29213483146067415</v>
      </c>
      <c r="CY325" s="14">
        <f t="shared" si="1904"/>
        <v>0.30693069306930693</v>
      </c>
      <c r="CZ325" s="14">
        <f t="shared" si="1904"/>
        <v>0.33027522935779818</v>
      </c>
      <c r="DA325" s="14">
        <f t="shared" si="1904"/>
        <v>0.33333333333333331</v>
      </c>
      <c r="DB325" s="14">
        <f t="shared" si="1904"/>
        <v>0.16666666666666666</v>
      </c>
      <c r="DC325" s="14">
        <f t="shared" si="1904"/>
        <v>0.38</v>
      </c>
      <c r="DD325" s="14">
        <f t="shared" si="1904"/>
        <v>0.35739130434782601</v>
      </c>
      <c r="DE325" s="14">
        <f t="shared" si="1904"/>
        <v>0.20549999999999996</v>
      </c>
      <c r="DF325" s="14">
        <f t="shared" si="1904"/>
        <v>0.33791666666666664</v>
      </c>
      <c r="DG325" s="14">
        <f t="shared" si="1904"/>
        <v>0.34321428571428569</v>
      </c>
      <c r="DH325" s="14">
        <f t="shared" si="1904"/>
        <v>0.31742857142857139</v>
      </c>
      <c r="DI325" s="14">
        <f t="shared" si="1904"/>
        <v>0.3409876543209876</v>
      </c>
      <c r="DJ325" s="14">
        <f t="shared" si="1904"/>
        <v>0.31895833333333329</v>
      </c>
      <c r="DK325" s="14">
        <f t="shared" si="1904"/>
        <v>0.33596330275229358</v>
      </c>
      <c r="DL325" s="14">
        <f t="shared" si="1904"/>
        <v>0.31467741935483867</v>
      </c>
      <c r="DM325" s="14">
        <f t="shared" si="1904"/>
        <v>0.29724637681159416</v>
      </c>
      <c r="DN325" s="14">
        <f t="shared" si="1904"/>
        <v>0.24615384615384617</v>
      </c>
      <c r="DO325" s="14">
        <f t="shared" si="1904"/>
        <v>0.4</v>
      </c>
      <c r="DP325" s="14">
        <f t="shared" si="1904"/>
        <v>0.4</v>
      </c>
      <c r="DQ325" s="14"/>
      <c r="DR325" s="14"/>
      <c r="DS325" s="14"/>
      <c r="DT325" s="14"/>
      <c r="DU325" s="14"/>
      <c r="DV325" s="14"/>
      <c r="DW325" s="14"/>
      <c r="DX325" s="14"/>
      <c r="DY325" s="14"/>
      <c r="ED325" s="429"/>
      <c r="EE325" s="23"/>
      <c r="EF325" s="23"/>
      <c r="EG325" s="23"/>
      <c r="EH325" s="14">
        <f>IF(EH300&lt;&gt;0,EH301*EH300/EH300,"")</f>
        <v>1</v>
      </c>
      <c r="EI325" s="14">
        <f>IF(EI300&lt;&gt;0,EI301*EI300/EI300,"")</f>
        <v>0.9</v>
      </c>
      <c r="EJ325" s="14">
        <f>IF(EJ300&lt;&gt;0,EJ301*EJ300/EJ300,"")</f>
        <v>0.9</v>
      </c>
      <c r="EK325" s="24"/>
      <c r="EL325" s="47" t="e">
        <f t="shared" si="1894"/>
        <v>#DIV/0!</v>
      </c>
      <c r="EM325" s="47" t="e">
        <f t="shared" si="1894"/>
        <v>#DIV/0!</v>
      </c>
      <c r="EN325" s="47">
        <f t="shared" si="1894"/>
        <v>-4.9999999999999822E-2</v>
      </c>
      <c r="EO325" s="46" t="e">
        <f t="shared" si="1895"/>
        <v>#DIV/0!</v>
      </c>
      <c r="EP325" s="46" t="e">
        <f t="shared" si="1895"/>
        <v>#DIV/0!</v>
      </c>
      <c r="EQ325" s="2" t="e">
        <f t="shared" si="1896"/>
        <v>#DIV/0!</v>
      </c>
      <c r="ER325" s="2" t="e">
        <f t="shared" si="1896"/>
        <v>#DIV/0!</v>
      </c>
      <c r="ES325" s="2">
        <f t="shared" si="1896"/>
        <v>1</v>
      </c>
    </row>
    <row r="326" spans="1:149">
      <c r="A326" s="6" t="s">
        <v>23</v>
      </c>
      <c r="B326" s="2" t="s">
        <v>26</v>
      </c>
      <c r="C326" s="3" t="s">
        <v>85</v>
      </c>
      <c r="E326" s="3" t="str">
        <f>C302</f>
        <v>ASpec1</v>
      </c>
      <c r="F326" s="4" t="s">
        <v>31</v>
      </c>
      <c r="G326" s="28" t="str">
        <f>C311</f>
        <v>ASUniq</v>
      </c>
      <c r="H326" s="28"/>
      <c r="I326" s="28"/>
      <c r="J326" s="62">
        <f>IF(J311&lt;&gt;0,J302/J311,"")</f>
        <v>0</v>
      </c>
      <c r="K326" s="62">
        <f>IF(K311&lt;&gt;0,K302/K311,"")</f>
        <v>0</v>
      </c>
      <c r="L326" s="62">
        <f>IF(L311&lt;&gt;0,L302/L311,"")</f>
        <v>0</v>
      </c>
      <c r="M326" s="62">
        <f>IF(M311&lt;&gt;0,M302/M311,"")</f>
        <v>0</v>
      </c>
      <c r="N326" s="62">
        <f>IF(N311&lt;&gt;0,N302/N311,"")</f>
        <v>0</v>
      </c>
      <c r="O326" s="62">
        <f>IF(O311&lt;&gt;"",O302/O311,"")</f>
        <v>0</v>
      </c>
      <c r="P326" s="62">
        <f t="shared" ref="P326:AJ326" si="1905">IF(P311&lt;&gt;"",P302/P311,"")</f>
        <v>0.2</v>
      </c>
      <c r="Q326" s="62">
        <f t="shared" si="1905"/>
        <v>0.33333333333333331</v>
      </c>
      <c r="R326" s="62">
        <f t="shared" si="1905"/>
        <v>0.58823529411764708</v>
      </c>
      <c r="S326" s="62">
        <f t="shared" si="1905"/>
        <v>0.66666666666666663</v>
      </c>
      <c r="T326" s="62">
        <f t="shared" si="1905"/>
        <v>1.5</v>
      </c>
      <c r="U326" s="62">
        <f t="shared" si="1905"/>
        <v>2</v>
      </c>
      <c r="V326" s="62">
        <f t="shared" si="1905"/>
        <v>0</v>
      </c>
      <c r="W326" s="62">
        <f t="shared" si="1905"/>
        <v>0</v>
      </c>
      <c r="X326" s="62">
        <f t="shared" si="1905"/>
        <v>0</v>
      </c>
      <c r="Y326" s="62">
        <f t="shared" si="1905"/>
        <v>0</v>
      </c>
      <c r="Z326" s="62">
        <f t="shared" si="1905"/>
        <v>0</v>
      </c>
      <c r="AA326" s="62">
        <f t="shared" si="1905"/>
        <v>0</v>
      </c>
      <c r="AB326" s="62">
        <f t="shared" si="1905"/>
        <v>6.6666666666666666E-2</v>
      </c>
      <c r="AC326" s="62">
        <f t="shared" si="1905"/>
        <v>7.6923076923076927E-2</v>
      </c>
      <c r="AD326" s="62">
        <f t="shared" si="1905"/>
        <v>5.8823529411764705E-2</v>
      </c>
      <c r="AE326" s="62">
        <f t="shared" si="1905"/>
        <v>7.1428571428571425E-2</v>
      </c>
      <c r="AF326" s="62">
        <f t="shared" si="1905"/>
        <v>5.8823529411764705E-2</v>
      </c>
      <c r="AG326" s="62">
        <f t="shared" si="1905"/>
        <v>6.25E-2</v>
      </c>
      <c r="AH326" s="62">
        <f t="shared" si="1905"/>
        <v>0</v>
      </c>
      <c r="AI326" s="62">
        <f t="shared" si="1905"/>
        <v>0</v>
      </c>
      <c r="AJ326" s="62" t="str">
        <f t="shared" si="1905"/>
        <v/>
      </c>
      <c r="AK326" s="412"/>
      <c r="AL326" s="14">
        <f t="shared" ref="AL326:BL326" si="1906">IF(AL311&lt;&gt;0,AL302/AL311,"")</f>
        <v>0</v>
      </c>
      <c r="AM326" s="14">
        <f t="shared" si="1906"/>
        <v>0</v>
      </c>
      <c r="AN326" s="14">
        <f t="shared" si="1906"/>
        <v>0</v>
      </c>
      <c r="AO326" s="14">
        <f t="shared" si="1906"/>
        <v>0</v>
      </c>
      <c r="AP326" s="14">
        <f t="shared" si="1906"/>
        <v>0</v>
      </c>
      <c r="AQ326" s="14">
        <f t="shared" si="1906"/>
        <v>0</v>
      </c>
      <c r="AR326" s="14">
        <f t="shared" si="1906"/>
        <v>0.2</v>
      </c>
      <c r="AS326" s="14">
        <f t="shared" si="1906"/>
        <v>0</v>
      </c>
      <c r="AT326" s="14">
        <f t="shared" si="1906"/>
        <v>0.35294117647058826</v>
      </c>
      <c r="AU326" s="14">
        <f t="shared" si="1906"/>
        <v>0</v>
      </c>
      <c r="AV326" s="14">
        <f t="shared" si="1906"/>
        <v>0.25</v>
      </c>
      <c r="AW326" s="14">
        <f t="shared" si="1906"/>
        <v>0</v>
      </c>
      <c r="AX326" s="14">
        <f t="shared" si="1906"/>
        <v>0</v>
      </c>
      <c r="AY326" s="14">
        <f t="shared" si="1906"/>
        <v>0</v>
      </c>
      <c r="AZ326" s="14">
        <f t="shared" si="1906"/>
        <v>0</v>
      </c>
      <c r="BA326" s="14">
        <f t="shared" si="1906"/>
        <v>0</v>
      </c>
      <c r="BB326" s="14">
        <f t="shared" si="1906"/>
        <v>0</v>
      </c>
      <c r="BC326" s="14">
        <f t="shared" si="1906"/>
        <v>0</v>
      </c>
      <c r="BD326" s="14">
        <f t="shared" si="1906"/>
        <v>6.6666666666666666E-2</v>
      </c>
      <c r="BE326" s="14">
        <f t="shared" si="1906"/>
        <v>0</v>
      </c>
      <c r="BF326" s="14">
        <f t="shared" si="1906"/>
        <v>0</v>
      </c>
      <c r="BG326" s="14">
        <f t="shared" si="1906"/>
        <v>0</v>
      </c>
      <c r="BH326" s="14">
        <f t="shared" si="1906"/>
        <v>0</v>
      </c>
      <c r="BI326" s="14">
        <f t="shared" si="1906"/>
        <v>0</v>
      </c>
      <c r="BJ326" s="14">
        <f t="shared" si="1906"/>
        <v>-3.8461538461538464E-2</v>
      </c>
      <c r="BK326" s="14">
        <f t="shared" si="1906"/>
        <v>0</v>
      </c>
      <c r="BL326" s="14" t="e">
        <f t="shared" si="1906"/>
        <v>#VALUE!</v>
      </c>
      <c r="BM326" s="412"/>
      <c r="BN326" s="14">
        <f t="shared" ref="BN326:CN326" si="1907">IF(BN311&lt;&gt;0,BN302/BN311,"")</f>
        <v>0</v>
      </c>
      <c r="BO326" s="14">
        <f t="shared" si="1907"/>
        <v>0</v>
      </c>
      <c r="BP326" s="14">
        <f t="shared" si="1907"/>
        <v>0</v>
      </c>
      <c r="BQ326" s="14">
        <f t="shared" si="1907"/>
        <v>0</v>
      </c>
      <c r="BR326" s="14">
        <f t="shared" si="1907"/>
        <v>0</v>
      </c>
      <c r="BS326" s="14">
        <f t="shared" si="1907"/>
        <v>0</v>
      </c>
      <c r="BT326" s="14">
        <f t="shared" si="1907"/>
        <v>0.5</v>
      </c>
      <c r="BU326" s="14">
        <f t="shared" si="1907"/>
        <v>0.3125</v>
      </c>
      <c r="BV326" s="14">
        <f t="shared" si="1907"/>
        <v>0.20408163265306123</v>
      </c>
      <c r="BW326" s="14">
        <f t="shared" si="1907"/>
        <v>0.13333333333333333</v>
      </c>
      <c r="BX326" s="14">
        <f t="shared" si="1907"/>
        <v>8.6956521739130432E-2</v>
      </c>
      <c r="BY326" s="14">
        <f t="shared" si="1907"/>
        <v>6.8965517241379309E-2</v>
      </c>
      <c r="BZ326" s="14">
        <f t="shared" si="1907"/>
        <v>0</v>
      </c>
      <c r="CA326" s="14">
        <f t="shared" si="1907"/>
        <v>0</v>
      </c>
      <c r="CB326" s="14">
        <f t="shared" si="1907"/>
        <v>0</v>
      </c>
      <c r="CC326" s="14">
        <f t="shared" si="1907"/>
        <v>0</v>
      </c>
      <c r="CD326" s="14">
        <f t="shared" si="1907"/>
        <v>0</v>
      </c>
      <c r="CE326" s="14">
        <f t="shared" si="1907"/>
        <v>0</v>
      </c>
      <c r="CF326" s="14">
        <f t="shared" si="1907"/>
        <v>6.6666666666666666E-2</v>
      </c>
      <c r="CG326" s="14">
        <f t="shared" si="1907"/>
        <v>3.5714285714285712E-2</v>
      </c>
      <c r="CH326" s="14">
        <f t="shared" si="1907"/>
        <v>2.2222222222222223E-2</v>
      </c>
      <c r="CI326" s="14">
        <f t="shared" si="1907"/>
        <v>0</v>
      </c>
      <c r="CJ326" s="14">
        <f t="shared" si="1907"/>
        <v>0</v>
      </c>
      <c r="CK326" s="14">
        <f t="shared" si="1907"/>
        <v>0</v>
      </c>
      <c r="CL326" s="14">
        <f t="shared" si="1907"/>
        <v>-3.8461538461538464E-2</v>
      </c>
      <c r="CM326" s="14">
        <f t="shared" si="1907"/>
        <v>-2.7777777777777776E-2</v>
      </c>
      <c r="CN326" s="14" t="e">
        <f t="shared" si="1907"/>
        <v>#VALUE!</v>
      </c>
      <c r="CO326" s="412"/>
      <c r="CP326" s="14">
        <f t="shared" ref="CP326:DP326" si="1908">IF(CP311&lt;&gt;0,CP302/CP311,"")</f>
        <v>0</v>
      </c>
      <c r="CQ326" s="14">
        <f t="shared" si="1908"/>
        <v>0</v>
      </c>
      <c r="CR326" s="14">
        <f t="shared" si="1908"/>
        <v>0</v>
      </c>
      <c r="CS326" s="14">
        <f t="shared" si="1908"/>
        <v>0</v>
      </c>
      <c r="CT326" s="14">
        <f t="shared" si="1908"/>
        <v>0</v>
      </c>
      <c r="CU326" s="14">
        <f t="shared" si="1908"/>
        <v>0</v>
      </c>
      <c r="CV326" s="14">
        <f t="shared" si="1908"/>
        <v>3.8095238095238099E-2</v>
      </c>
      <c r="CW326" s="14">
        <f t="shared" si="1908"/>
        <v>3.4188034188034191E-2</v>
      </c>
      <c r="CX326" s="14">
        <f t="shared" si="1908"/>
        <v>7.4626865671641784E-2</v>
      </c>
      <c r="CY326" s="14">
        <f t="shared" si="1908"/>
        <v>6.7114093959731544E-2</v>
      </c>
      <c r="CZ326" s="14">
        <f t="shared" si="1908"/>
        <v>7.6433121019108277E-2</v>
      </c>
      <c r="DA326" s="14">
        <f t="shared" si="1908"/>
        <v>7.3619631901840496E-2</v>
      </c>
      <c r="DB326" s="14">
        <f t="shared" si="1908"/>
        <v>0</v>
      </c>
      <c r="DC326" s="14">
        <f t="shared" si="1908"/>
        <v>0</v>
      </c>
      <c r="DD326" s="14">
        <f t="shared" si="1908"/>
        <v>0</v>
      </c>
      <c r="DE326" s="14">
        <f t="shared" si="1908"/>
        <v>0</v>
      </c>
      <c r="DF326" s="14">
        <f t="shared" si="1908"/>
        <v>0</v>
      </c>
      <c r="DG326" s="14">
        <f t="shared" si="1908"/>
        <v>0</v>
      </c>
      <c r="DH326" s="14">
        <f t="shared" si="1908"/>
        <v>1.1111111111111112E-2</v>
      </c>
      <c r="DI326" s="14">
        <f t="shared" si="1908"/>
        <v>9.7087378640776691E-3</v>
      </c>
      <c r="DJ326" s="14">
        <f t="shared" si="1908"/>
        <v>8.3333333333333332E-3</v>
      </c>
      <c r="DK326" s="14">
        <f t="shared" si="1908"/>
        <v>7.462686567164179E-3</v>
      </c>
      <c r="DL326" s="14">
        <f t="shared" si="1908"/>
        <v>6.6225165562913907E-3</v>
      </c>
      <c r="DM326" s="14">
        <f t="shared" si="1908"/>
        <v>5.9880239520958087E-3</v>
      </c>
      <c r="DN326" s="14">
        <f t="shared" si="1908"/>
        <v>-3.8461538461538464E-2</v>
      </c>
      <c r="DO326" s="14">
        <f t="shared" si="1908"/>
        <v>-2.7777777777777776E-2</v>
      </c>
      <c r="DP326" s="14" t="e">
        <f t="shared" si="1908"/>
        <v>#VALUE!</v>
      </c>
      <c r="DQ326" s="14"/>
      <c r="DR326" s="14"/>
      <c r="DS326" s="14"/>
      <c r="DT326" s="14"/>
      <c r="DU326" s="14"/>
      <c r="DV326" s="14"/>
      <c r="DW326" s="14"/>
      <c r="DX326" s="14"/>
      <c r="DY326" s="14"/>
      <c r="ED326" s="429"/>
      <c r="EE326" s="23"/>
      <c r="EF326" s="23"/>
      <c r="EG326" s="23"/>
      <c r="EH326" s="14">
        <f>IF(EH298&lt;&gt;0,EH302/EH298,"0%")</f>
        <v>0</v>
      </c>
      <c r="EI326" s="14">
        <f>IF(EI298&lt;&gt;0,EI302/EI298,"0%")</f>
        <v>-2.7777777777777776E-2</v>
      </c>
      <c r="EJ326" s="14">
        <f>IF(EJ298&lt;&gt;0,EJ302/EJ298,"0%")</f>
        <v>-2.7777777777777776E-2</v>
      </c>
      <c r="EK326" s="24"/>
      <c r="EL326" s="47">
        <f t="shared" si="1894"/>
        <v>0</v>
      </c>
      <c r="EM326" s="47">
        <f t="shared" si="1894"/>
        <v>-2.7777777777777776E-2</v>
      </c>
      <c r="EN326" s="47">
        <f t="shared" si="1894"/>
        <v>-0.12296145124716555</v>
      </c>
      <c r="EO326" s="46" t="str">
        <f t="shared" si="1895"/>
        <v>Æ</v>
      </c>
      <c r="EP326" s="46">
        <f t="shared" si="1895"/>
        <v>0</v>
      </c>
      <c r="EQ326" s="2" t="e">
        <f t="shared" si="1896"/>
        <v>#DIV/0!</v>
      </c>
      <c r="ER326" s="2" t="e">
        <f t="shared" si="1896"/>
        <v>#DIV/0!</v>
      </c>
      <c r="ES326" s="2">
        <f t="shared" si="1896"/>
        <v>3</v>
      </c>
    </row>
    <row r="327" spans="1:149">
      <c r="A327" s="6" t="s">
        <v>23</v>
      </c>
      <c r="B327" s="2" t="s">
        <v>27</v>
      </c>
      <c r="C327" s="3" t="s">
        <v>81</v>
      </c>
      <c r="E327" s="3" t="str">
        <f>C304</f>
        <v>AOnlHrs</v>
      </c>
      <c r="F327" s="4" t="s">
        <v>31</v>
      </c>
      <c r="G327" s="28" t="str">
        <f>C303</f>
        <v>ATotHrs</v>
      </c>
      <c r="H327" s="28"/>
      <c r="I327" s="28"/>
      <c r="J327" s="62">
        <f t="shared" ref="J327:AJ327" si="1909">IF(J303&lt;&gt;0,J304/J303,"")</f>
        <v>0.22791133312519513</v>
      </c>
      <c r="K327" s="62">
        <f t="shared" si="1909"/>
        <v>0.22532577220077221</v>
      </c>
      <c r="L327" s="62">
        <f t="shared" si="1909"/>
        <v>0.20425479077852737</v>
      </c>
      <c r="M327" s="62">
        <f t="shared" si="1909"/>
        <v>0.18416232614046132</v>
      </c>
      <c r="N327" s="62">
        <f t="shared" si="1909"/>
        <v>0.19828687709999526</v>
      </c>
      <c r="O327" s="62">
        <f t="shared" si="1909"/>
        <v>0.19911834231318015</v>
      </c>
      <c r="P327" s="62">
        <f t="shared" si="1909"/>
        <v>0.20164511911679256</v>
      </c>
      <c r="Q327" s="62">
        <f t="shared" si="1909"/>
        <v>0.21633311113522563</v>
      </c>
      <c r="R327" s="62">
        <f t="shared" si="1909"/>
        <v>0.2462025918925167</v>
      </c>
      <c r="S327" s="62">
        <f t="shared" si="1909"/>
        <v>0.27082940399849109</v>
      </c>
      <c r="T327" s="62">
        <f t="shared" si="1909"/>
        <v>0.26254296312261077</v>
      </c>
      <c r="U327" s="62">
        <f t="shared" si="1909"/>
        <v>0.26206591795822465</v>
      </c>
      <c r="V327" s="62">
        <f t="shared" si="1909"/>
        <v>0.20878524945770063</v>
      </c>
      <c r="W327" s="62">
        <f t="shared" si="1909"/>
        <v>0.33873290136789053</v>
      </c>
      <c r="X327" s="62">
        <f t="shared" si="1909"/>
        <v>0.31044166453918814</v>
      </c>
      <c r="Y327" s="62">
        <f t="shared" si="1909"/>
        <v>0.26418497868153495</v>
      </c>
      <c r="Z327" s="62">
        <f t="shared" si="1909"/>
        <v>0.27597318896622841</v>
      </c>
      <c r="AA327" s="62">
        <f t="shared" si="1909"/>
        <v>0.29619716739154678</v>
      </c>
      <c r="AB327" s="62">
        <f t="shared" si="1909"/>
        <v>0.3432822029199778</v>
      </c>
      <c r="AC327" s="62">
        <f t="shared" si="1909"/>
        <v>0.33145978467384418</v>
      </c>
      <c r="AD327" s="62">
        <f t="shared" si="1909"/>
        <v>0.34971295790049206</v>
      </c>
      <c r="AE327" s="62">
        <f t="shared" si="1909"/>
        <v>0.36934446914618763</v>
      </c>
      <c r="AF327" s="62">
        <f t="shared" si="1909"/>
        <v>0.36466591166477919</v>
      </c>
      <c r="AG327" s="62">
        <f t="shared" si="1909"/>
        <v>0.36395061728395062</v>
      </c>
      <c r="AH327" s="62">
        <f t="shared" si="1909"/>
        <v>0.17004313161678211</v>
      </c>
      <c r="AI327" s="62">
        <f t="shared" si="1909"/>
        <v>0.14204592214632542</v>
      </c>
      <c r="AJ327" s="62" t="str">
        <f t="shared" si="1909"/>
        <v/>
      </c>
      <c r="AK327" s="412"/>
      <c r="AL327" s="14">
        <f t="shared" ref="AL327:BL327" si="1910">IF(AL303&lt;&gt;0,AL304/AL303,"")</f>
        <v>0.22791133312519513</v>
      </c>
      <c r="AM327" s="14">
        <f t="shared" si="1910"/>
        <v>0.22369714847590957</v>
      </c>
      <c r="AN327" s="14">
        <f t="shared" si="1910"/>
        <v>0.15820698747528011</v>
      </c>
      <c r="AO327" s="14">
        <f t="shared" si="1910"/>
        <v>0.13913366107040157</v>
      </c>
      <c r="AP327" s="14">
        <f t="shared" si="1910"/>
        <v>0.2657103825136613</v>
      </c>
      <c r="AQ327" s="14">
        <f t="shared" si="1910"/>
        <v>0.20660276890308851</v>
      </c>
      <c r="AR327" s="14">
        <f t="shared" si="1910"/>
        <v>0.21626617375231041</v>
      </c>
      <c r="AS327" s="14">
        <f t="shared" si="1910"/>
        <v>0.30206677265500803</v>
      </c>
      <c r="AT327" s="14">
        <f t="shared" si="1910"/>
        <v>0.45957918050941332</v>
      </c>
      <c r="AU327" s="14">
        <f t="shared" si="1910"/>
        <v>0.43116423196104442</v>
      </c>
      <c r="AV327" s="14">
        <f t="shared" si="1910"/>
        <v>5.1127819548871842E-2</v>
      </c>
      <c r="AW327" s="14">
        <f t="shared" si="1910"/>
        <v>0.25297297297297333</v>
      </c>
      <c r="AX327" s="14">
        <f t="shared" si="1910"/>
        <v>0.20878524945770063</v>
      </c>
      <c r="AY327" s="14">
        <f t="shared" si="1910"/>
        <v>0.595289079229122</v>
      </c>
      <c r="AZ327" s="14">
        <f t="shared" si="1910"/>
        <v>0.24143985952589997</v>
      </c>
      <c r="BA327" s="14">
        <f t="shared" si="1910"/>
        <v>0.18110958276020178</v>
      </c>
      <c r="BB327" s="14">
        <f t="shared" si="1910"/>
        <v>0.31927710843373491</v>
      </c>
      <c r="BC327" s="14">
        <f t="shared" si="1910"/>
        <v>0.42597187758478072</v>
      </c>
      <c r="BD327" s="14">
        <f t="shared" si="1910"/>
        <v>0.57088948787061977</v>
      </c>
      <c r="BE327" s="14">
        <f t="shared" si="1910"/>
        <v>0.26077348066298334</v>
      </c>
      <c r="BF327" s="14">
        <f t="shared" si="1910"/>
        <v>0.46500000000000002</v>
      </c>
      <c r="BG327" s="14">
        <f t="shared" si="1910"/>
        <v>0.51218299353555496</v>
      </c>
      <c r="BH327" s="14">
        <f t="shared" si="1910"/>
        <v>0.3236842105263158</v>
      </c>
      <c r="BI327" s="14">
        <f t="shared" si="1910"/>
        <v>0.35618043350907991</v>
      </c>
      <c r="BJ327" s="14">
        <f t="shared" si="1910"/>
        <v>-4.6463207423866155</v>
      </c>
      <c r="BK327" s="14">
        <f t="shared" si="1910"/>
        <v>9.4444444444444484E-2</v>
      </c>
      <c r="BL327" s="14" t="str">
        <f t="shared" si="1910"/>
        <v/>
      </c>
      <c r="BM327" s="412"/>
      <c r="BN327" s="14">
        <f t="shared" ref="BN327:CN327" si="1911">IF(BN303&lt;&gt;0,BN304/BN303,"")</f>
        <v>0.20425479077852737</v>
      </c>
      <c r="BO327" s="14">
        <f t="shared" si="1911"/>
        <v>0.20425479077852737</v>
      </c>
      <c r="BP327" s="14">
        <f t="shared" si="1911"/>
        <v>0.20425479077852737</v>
      </c>
      <c r="BQ327" s="14">
        <f t="shared" si="1911"/>
        <v>0.19367432882961924</v>
      </c>
      <c r="BR327" s="14">
        <f t="shared" si="1911"/>
        <v>0.19367432882961924</v>
      </c>
      <c r="BS327" s="14">
        <f t="shared" si="1911"/>
        <v>0.19367432882961924</v>
      </c>
      <c r="BT327" s="14">
        <f t="shared" si="1911"/>
        <v>0.32938299473288191</v>
      </c>
      <c r="BU327" s="14">
        <f t="shared" si="1911"/>
        <v>0.32938299473288191</v>
      </c>
      <c r="BV327" s="14">
        <f t="shared" si="1911"/>
        <v>0.32938299473288191</v>
      </c>
      <c r="BW327" s="14">
        <f t="shared" si="1911"/>
        <v>0.32268121590023374</v>
      </c>
      <c r="BX327" s="14">
        <f t="shared" si="1911"/>
        <v>0.32268121590023374</v>
      </c>
      <c r="BY327" s="14">
        <f t="shared" si="1911"/>
        <v>0.32268121590023374</v>
      </c>
      <c r="BZ327" s="14">
        <f t="shared" si="1911"/>
        <v>0.31044166453918814</v>
      </c>
      <c r="CA327" s="14">
        <f t="shared" si="1911"/>
        <v>0.31044166453918814</v>
      </c>
      <c r="CB327" s="14">
        <f t="shared" si="1911"/>
        <v>0.31044166453918814</v>
      </c>
      <c r="CC327" s="14">
        <f t="shared" si="1911"/>
        <v>0.28514851485148518</v>
      </c>
      <c r="CD327" s="14">
        <f t="shared" si="1911"/>
        <v>0.28514851485148518</v>
      </c>
      <c r="CE327" s="14">
        <f t="shared" si="1911"/>
        <v>0.28514851485148518</v>
      </c>
      <c r="CF327" s="14">
        <f t="shared" si="1911"/>
        <v>0.43442188879082078</v>
      </c>
      <c r="CG327" s="14">
        <f t="shared" si="1911"/>
        <v>0.43442188879082078</v>
      </c>
      <c r="CH327" s="14">
        <f t="shared" si="1911"/>
        <v>0.43442188879082078</v>
      </c>
      <c r="CI327" s="14">
        <f t="shared" si="1911"/>
        <v>0.40103239587041656</v>
      </c>
      <c r="CJ327" s="14">
        <f t="shared" si="1911"/>
        <v>0.40103239587041656</v>
      </c>
      <c r="CK327" s="14">
        <f t="shared" si="1911"/>
        <v>0.40103239587041656</v>
      </c>
      <c r="CL327" s="14">
        <f t="shared" si="1911"/>
        <v>-2.8906262859023948</v>
      </c>
      <c r="CM327" s="14">
        <f t="shared" si="1911"/>
        <v>-2.8906262859023948</v>
      </c>
      <c r="CN327" s="14">
        <f t="shared" si="1911"/>
        <v>-2.8906262859023948</v>
      </c>
      <c r="CO327" s="412"/>
      <c r="CP327" s="14">
        <f t="shared" ref="CP327:DP327" si="1912">IF(CP303&lt;&gt;0,CP304/CP303,"")</f>
        <v>0.22791133312519513</v>
      </c>
      <c r="CQ327" s="14">
        <f t="shared" si="1912"/>
        <v>0.22532577220077221</v>
      </c>
      <c r="CR327" s="14">
        <f t="shared" si="1912"/>
        <v>0.20425479077852737</v>
      </c>
      <c r="CS327" s="14">
        <f t="shared" si="1912"/>
        <v>0.18416232614046132</v>
      </c>
      <c r="CT327" s="14">
        <f t="shared" si="1912"/>
        <v>0.19828687709999526</v>
      </c>
      <c r="CU327" s="14">
        <f t="shared" si="1912"/>
        <v>0.19911834231318015</v>
      </c>
      <c r="CV327" s="14">
        <f t="shared" si="1912"/>
        <v>0.20164511911679256</v>
      </c>
      <c r="CW327" s="14">
        <f t="shared" si="1912"/>
        <v>0.21633311113522563</v>
      </c>
      <c r="CX327" s="14">
        <f t="shared" si="1912"/>
        <v>0.2462025918925167</v>
      </c>
      <c r="CY327" s="14">
        <f t="shared" si="1912"/>
        <v>0.27082940399849109</v>
      </c>
      <c r="CZ327" s="14">
        <f t="shared" si="1912"/>
        <v>0.26254296312261077</v>
      </c>
      <c r="DA327" s="14">
        <f t="shared" si="1912"/>
        <v>0.26206591795822465</v>
      </c>
      <c r="DB327" s="14">
        <f t="shared" si="1912"/>
        <v>0.20878524945770063</v>
      </c>
      <c r="DC327" s="14">
        <f t="shared" si="1912"/>
        <v>0.33873290136789053</v>
      </c>
      <c r="DD327" s="14">
        <f t="shared" si="1912"/>
        <v>0.31044166453918814</v>
      </c>
      <c r="DE327" s="14">
        <f t="shared" si="1912"/>
        <v>0.26418497868153495</v>
      </c>
      <c r="DF327" s="14">
        <f t="shared" si="1912"/>
        <v>0.27597318896622841</v>
      </c>
      <c r="DG327" s="14">
        <f t="shared" si="1912"/>
        <v>0.29619716739154678</v>
      </c>
      <c r="DH327" s="14">
        <f t="shared" si="1912"/>
        <v>0.3432822029199778</v>
      </c>
      <c r="DI327" s="14">
        <f t="shared" si="1912"/>
        <v>0.33145978467384418</v>
      </c>
      <c r="DJ327" s="14">
        <f t="shared" si="1912"/>
        <v>0.34971295790049206</v>
      </c>
      <c r="DK327" s="14">
        <f t="shared" si="1912"/>
        <v>0.36934446914618763</v>
      </c>
      <c r="DL327" s="14">
        <f t="shared" si="1912"/>
        <v>0.36466591166477919</v>
      </c>
      <c r="DM327" s="14">
        <f t="shared" si="1912"/>
        <v>0.36395061728395062</v>
      </c>
      <c r="DN327" s="14">
        <f t="shared" si="1912"/>
        <v>-4.6463207423866155</v>
      </c>
      <c r="DO327" s="14">
        <f t="shared" si="1912"/>
        <v>-2.8906262859023948</v>
      </c>
      <c r="DP327" s="14">
        <f t="shared" si="1912"/>
        <v>-2.8906262859023948</v>
      </c>
      <c r="DQ327" s="14"/>
      <c r="DR327" s="14"/>
      <c r="DS327" s="14"/>
      <c r="DT327" s="14"/>
      <c r="DU327" s="14"/>
      <c r="DV327" s="14"/>
      <c r="DW327" s="14"/>
      <c r="DX327" s="14"/>
      <c r="DY327" s="14"/>
      <c r="ED327" s="429"/>
      <c r="EE327" s="23"/>
      <c r="EF327" s="23"/>
      <c r="EG327" s="23"/>
      <c r="EH327" s="14">
        <f>IF(EH303&lt;&gt;0,EH304/EH303,"")</f>
        <v>9.4444444444444484E-2</v>
      </c>
      <c r="EI327" s="14">
        <f>IF(EI303&lt;&gt;0,EI304/EI303,"")</f>
        <v>-2.8906262859023948</v>
      </c>
      <c r="EJ327" s="14">
        <f>IF(EJ303&lt;&gt;0,EJ304/EJ303,"")</f>
        <v>-2.8906262859023948</v>
      </c>
      <c r="EK327" s="24"/>
      <c r="EL327" s="47">
        <f t="shared" si="1894"/>
        <v>9.4444444444444484E-2</v>
      </c>
      <c r="EM327" s="47">
        <f t="shared" si="1894"/>
        <v>-2.8906262859023948</v>
      </c>
      <c r="EN327" s="47">
        <f t="shared" si="1894"/>
        <v>-3.0574367728932241</v>
      </c>
      <c r="EO327" s="46" t="str">
        <f t="shared" si="1895"/>
        <v>Ç</v>
      </c>
      <c r="EP327" s="46">
        <f t="shared" si="1895"/>
        <v>0</v>
      </c>
      <c r="EQ327" s="2" t="e">
        <f t="shared" si="1896"/>
        <v>#DIV/0!</v>
      </c>
      <c r="ER327" s="2" t="e">
        <f t="shared" si="1896"/>
        <v>#DIV/0!</v>
      </c>
      <c r="ES327" s="2">
        <f t="shared" si="1896"/>
        <v>3</v>
      </c>
    </row>
    <row r="328" spans="1:149">
      <c r="A328" s="6" t="s">
        <v>23</v>
      </c>
      <c r="B328" s="2" t="s">
        <v>28</v>
      </c>
      <c r="C328" s="3" t="s">
        <v>82</v>
      </c>
      <c r="E328" s="3" t="str">
        <f>C309</f>
        <v>AColCash</v>
      </c>
      <c r="F328" s="4" t="s">
        <v>31</v>
      </c>
      <c r="G328" s="28" t="str">
        <f>C310</f>
        <v>AFSFunds</v>
      </c>
      <c r="H328" s="28"/>
      <c r="I328" s="28"/>
      <c r="J328" s="62" t="str">
        <f t="shared" ref="J328:AJ328" si="1913">IF(J310&lt;&gt;0,J309/J310,"")</f>
        <v/>
      </c>
      <c r="K328" s="62" t="str">
        <f t="shared" si="1913"/>
        <v/>
      </c>
      <c r="L328" s="62">
        <f t="shared" si="1913"/>
        <v>0.77933699410209478</v>
      </c>
      <c r="M328" s="62">
        <f t="shared" si="1913"/>
        <v>0.77933699410209478</v>
      </c>
      <c r="N328" s="62">
        <f t="shared" si="1913"/>
        <v>0.77933699410209478</v>
      </c>
      <c r="O328" s="62">
        <f t="shared" si="1913"/>
        <v>0.77931473483479841</v>
      </c>
      <c r="P328" s="62">
        <f t="shared" si="1913"/>
        <v>0.6774873003644607</v>
      </c>
      <c r="Q328" s="62">
        <f t="shared" si="1913"/>
        <v>0.6774873003644607</v>
      </c>
      <c r="R328" s="62">
        <f t="shared" si="1913"/>
        <v>0.6774873003644607</v>
      </c>
      <c r="S328" s="62">
        <f t="shared" si="1913"/>
        <v>0.67748978349007027</v>
      </c>
      <c r="T328" s="62">
        <f t="shared" si="1913"/>
        <v>0.67748978349007027</v>
      </c>
      <c r="U328" s="62">
        <f t="shared" si="1913"/>
        <v>0.67748978349007027</v>
      </c>
      <c r="V328" s="62" t="str">
        <f t="shared" si="1913"/>
        <v/>
      </c>
      <c r="W328" s="62" t="str">
        <f t="shared" si="1913"/>
        <v/>
      </c>
      <c r="X328" s="62" t="str">
        <f t="shared" si="1913"/>
        <v/>
      </c>
      <c r="Y328" s="62" t="str">
        <f t="shared" si="1913"/>
        <v/>
      </c>
      <c r="Z328" s="62" t="str">
        <f t="shared" si="1913"/>
        <v/>
      </c>
      <c r="AA328" s="62" t="str">
        <f t="shared" si="1913"/>
        <v/>
      </c>
      <c r="AB328" s="62">
        <f t="shared" si="1913"/>
        <v>0.50002631388439611</v>
      </c>
      <c r="AC328" s="62" t="str">
        <f t="shared" si="1913"/>
        <v/>
      </c>
      <c r="AD328" s="62" t="str">
        <f t="shared" si="1913"/>
        <v/>
      </c>
      <c r="AE328" s="62" t="str">
        <f t="shared" si="1913"/>
        <v/>
      </c>
      <c r="AF328" s="62" t="str">
        <f t="shared" si="1913"/>
        <v/>
      </c>
      <c r="AG328" s="62" t="str">
        <f t="shared" si="1913"/>
        <v/>
      </c>
      <c r="AH328" s="62">
        <f t="shared" si="1913"/>
        <v>0.49911476578441077</v>
      </c>
      <c r="AI328" s="62" t="str">
        <f t="shared" si="1913"/>
        <v/>
      </c>
      <c r="AJ328" s="62" t="str">
        <f t="shared" si="1913"/>
        <v/>
      </c>
      <c r="AK328" s="412"/>
      <c r="AL328" s="14"/>
      <c r="AM328" s="14"/>
      <c r="AN328" s="14"/>
      <c r="AO328" s="14"/>
      <c r="AP328" s="14"/>
      <c r="AQ328" s="14"/>
      <c r="AR328" s="14"/>
      <c r="AS328" s="14"/>
      <c r="AT328" s="14"/>
      <c r="AU328" s="14"/>
      <c r="AV328" s="14"/>
      <c r="AW328" s="14"/>
      <c r="AX328" s="14"/>
      <c r="AY328" s="14"/>
      <c r="AZ328" s="14"/>
      <c r="BA328" s="14"/>
      <c r="BB328" s="14"/>
      <c r="BC328" s="14"/>
      <c r="BD328" s="14"/>
      <c r="BE328" s="14"/>
      <c r="BF328" s="14"/>
      <c r="BG328" s="14"/>
      <c r="BH328" s="14"/>
      <c r="BI328" s="14"/>
      <c r="BJ328" s="14"/>
      <c r="BK328" s="14"/>
      <c r="BL328" s="14"/>
      <c r="BM328" s="412"/>
      <c r="BN328" s="14"/>
      <c r="BO328" s="14"/>
      <c r="BP328" s="14"/>
      <c r="BQ328" s="14"/>
      <c r="BR328" s="14"/>
      <c r="BS328" s="14"/>
      <c r="BT328" s="14"/>
      <c r="BU328" s="14"/>
      <c r="BV328" s="14"/>
      <c r="BW328" s="14"/>
      <c r="BX328" s="14"/>
      <c r="BY328" s="14"/>
      <c r="BZ328" s="14"/>
      <c r="CA328" s="14"/>
      <c r="CB328" s="14"/>
      <c r="CC328" s="14"/>
      <c r="CD328" s="14"/>
      <c r="CE328" s="14"/>
      <c r="CF328" s="14"/>
      <c r="CG328" s="14"/>
      <c r="CH328" s="14"/>
      <c r="CI328" s="14"/>
      <c r="CJ328" s="14"/>
      <c r="CK328" s="14"/>
      <c r="CL328" s="14"/>
      <c r="CM328" s="14"/>
      <c r="CN328" s="14"/>
      <c r="CO328" s="412"/>
      <c r="CP328" s="14" t="str">
        <f t="shared" ref="CP328:DP328" si="1914">IF(CP310&lt;&gt;0,CP309/CP310,"")</f>
        <v/>
      </c>
      <c r="CQ328" s="14" t="str">
        <f t="shared" si="1914"/>
        <v/>
      </c>
      <c r="CR328" s="14">
        <f t="shared" si="1914"/>
        <v>0.77933699410209478</v>
      </c>
      <c r="CS328" s="14">
        <f t="shared" si="1914"/>
        <v>0.77933699410209478</v>
      </c>
      <c r="CT328" s="14">
        <f t="shared" si="1914"/>
        <v>0.77933699410209478</v>
      </c>
      <c r="CU328" s="14">
        <f t="shared" si="1914"/>
        <v>0.77931473483479841</v>
      </c>
      <c r="CV328" s="14">
        <f t="shared" si="1914"/>
        <v>0.6774873003644607</v>
      </c>
      <c r="CW328" s="14">
        <f t="shared" si="1914"/>
        <v>0.6774873003644607</v>
      </c>
      <c r="CX328" s="14">
        <f t="shared" si="1914"/>
        <v>0.6774873003644607</v>
      </c>
      <c r="CY328" s="14">
        <f t="shared" si="1914"/>
        <v>0.67748978349007027</v>
      </c>
      <c r="CZ328" s="14">
        <f t="shared" si="1914"/>
        <v>0.67748978349007027</v>
      </c>
      <c r="DA328" s="14">
        <f t="shared" si="1914"/>
        <v>0.67748978349007027</v>
      </c>
      <c r="DB328" s="14" t="str">
        <f t="shared" si="1914"/>
        <v/>
      </c>
      <c r="DC328" s="14" t="str">
        <f t="shared" si="1914"/>
        <v/>
      </c>
      <c r="DD328" s="14" t="str">
        <f t="shared" si="1914"/>
        <v/>
      </c>
      <c r="DE328" s="14" t="str">
        <f t="shared" si="1914"/>
        <v/>
      </c>
      <c r="DF328" s="14" t="str">
        <f t="shared" si="1914"/>
        <v/>
      </c>
      <c r="DG328" s="14" t="str">
        <f t="shared" si="1914"/>
        <v/>
      </c>
      <c r="DH328" s="14">
        <f t="shared" si="1914"/>
        <v>0.50002631388439611</v>
      </c>
      <c r="DI328" s="14" t="str">
        <f t="shared" si="1914"/>
        <v/>
      </c>
      <c r="DJ328" s="14" t="str">
        <f t="shared" si="1914"/>
        <v/>
      </c>
      <c r="DK328" s="14" t="str">
        <f t="shared" si="1914"/>
        <v/>
      </c>
      <c r="DL328" s="14" t="str">
        <f t="shared" si="1914"/>
        <v/>
      </c>
      <c r="DM328" s="14" t="str">
        <f t="shared" si="1914"/>
        <v/>
      </c>
      <c r="DN328" s="14">
        <f t="shared" si="1914"/>
        <v>0.49911476578441077</v>
      </c>
      <c r="DO328" s="14" t="str">
        <f t="shared" si="1914"/>
        <v/>
      </c>
      <c r="DP328" s="14" t="str">
        <f t="shared" si="1914"/>
        <v/>
      </c>
      <c r="DQ328" s="14"/>
      <c r="DR328" s="14"/>
      <c r="DS328" s="14"/>
      <c r="DT328" s="14"/>
      <c r="DU328" s="14"/>
      <c r="DV328" s="14"/>
      <c r="DW328" s="14"/>
      <c r="DX328" s="14"/>
      <c r="DY328" s="14"/>
      <c r="ED328" s="429"/>
      <c r="EE328" s="23"/>
      <c r="EF328" s="23"/>
      <c r="EG328" s="23"/>
      <c r="EH328" s="24" t="s">
        <v>97</v>
      </c>
      <c r="EI328" s="24" t="s">
        <v>97</v>
      </c>
      <c r="EJ328" s="14" t="str">
        <f>IF(EJ310&lt;&gt;0,EJ309/EJ310,"")</f>
        <v/>
      </c>
      <c r="EK328" s="24"/>
      <c r="EL328" s="24" t="s">
        <v>97</v>
      </c>
      <c r="EM328" s="24" t="s">
        <v>97</v>
      </c>
      <c r="EN328" s="47" t="str">
        <f>IF(EJ328="","",+EJ328-EG321)</f>
        <v/>
      </c>
      <c r="EO328" s="100" t="s">
        <v>97</v>
      </c>
      <c r="EP328" s="100" t="s">
        <v>97</v>
      </c>
      <c r="EQ328" s="24" t="s">
        <v>97</v>
      </c>
      <c r="ER328" s="24" t="s">
        <v>97</v>
      </c>
      <c r="ES328" s="2" t="e">
        <f>IF(EJ328/EG321&gt;=0.9,1,IF(EJ328/EG321&lt;0.75,3,2))</f>
        <v>#VALUE!</v>
      </c>
    </row>
    <row r="329" spans="1:149">
      <c r="ED329" s="429"/>
      <c r="EE329" s="23"/>
      <c r="EF329" s="23"/>
      <c r="EG329" s="23"/>
      <c r="EH329" s="23"/>
      <c r="EI329" s="23"/>
      <c r="EJ329" s="23"/>
      <c r="EK329" s="23"/>
    </row>
    <row r="330" spans="1:149">
      <c r="ED330" s="429"/>
      <c r="EE330" s="23"/>
      <c r="EF330" s="23"/>
      <c r="EG330" s="23"/>
      <c r="EH330" s="23"/>
      <c r="EI330" s="23"/>
      <c r="EJ330" s="23"/>
      <c r="EK330" s="23"/>
    </row>
    <row r="331" spans="1:149" ht="13.5" thickBot="1">
      <c r="A331" s="6" t="s">
        <v>173</v>
      </c>
      <c r="C331" s="3" t="s">
        <v>174</v>
      </c>
      <c r="E331" s="107">
        <f>I331</f>
        <v>40391</v>
      </c>
      <c r="G331" s="132" t="s">
        <v>161</v>
      </c>
      <c r="I331" s="107">
        <f>$I$1</f>
        <v>40391</v>
      </c>
      <c r="J331" s="669" t="s">
        <v>95</v>
      </c>
      <c r="K331" s="669"/>
      <c r="L331" s="669"/>
      <c r="M331" s="669"/>
      <c r="N331" s="669"/>
      <c r="O331" s="669"/>
      <c r="P331" s="669"/>
      <c r="Q331" s="669"/>
      <c r="R331" s="669"/>
      <c r="S331" s="669"/>
      <c r="T331" s="669"/>
      <c r="U331" s="669"/>
      <c r="V331" s="669"/>
      <c r="W331" s="669"/>
      <c r="X331" s="669"/>
      <c r="Y331" s="669"/>
      <c r="Z331" s="669"/>
      <c r="AA331" s="669"/>
      <c r="AB331" s="669"/>
      <c r="AC331" s="669"/>
      <c r="AD331" s="669"/>
      <c r="AE331" s="669"/>
      <c r="AF331" s="669"/>
      <c r="AG331" s="669"/>
      <c r="AH331" s="669"/>
      <c r="AI331" s="669"/>
      <c r="AJ331" s="669"/>
      <c r="AL331" s="669" t="s">
        <v>115</v>
      </c>
      <c r="AM331" s="669"/>
      <c r="AN331" s="669"/>
      <c r="AO331" s="669"/>
      <c r="AP331" s="669"/>
      <c r="AQ331" s="669"/>
      <c r="AR331" s="669"/>
      <c r="AS331" s="669"/>
      <c r="AT331" s="669"/>
      <c r="AU331" s="669"/>
      <c r="AV331" s="669"/>
      <c r="AW331" s="669"/>
      <c r="AX331" s="669"/>
      <c r="AY331" s="669"/>
      <c r="AZ331" s="669"/>
      <c r="BA331" s="669"/>
      <c r="BB331" s="669"/>
      <c r="BC331" s="669"/>
      <c r="BD331" s="669"/>
      <c r="BE331" s="669"/>
      <c r="BF331" s="669"/>
      <c r="BG331" s="669"/>
      <c r="BH331" s="669"/>
      <c r="BI331" s="669"/>
      <c r="BJ331" s="669"/>
      <c r="BK331" s="669"/>
      <c r="BL331" s="669"/>
      <c r="BN331" s="669" t="s">
        <v>116</v>
      </c>
      <c r="BO331" s="669"/>
      <c r="BP331" s="669"/>
      <c r="BQ331" s="669"/>
      <c r="BR331" s="669"/>
      <c r="BS331" s="669"/>
      <c r="BT331" s="669"/>
      <c r="BU331" s="669"/>
      <c r="BV331" s="669"/>
      <c r="BW331" s="669"/>
      <c r="BX331" s="669"/>
      <c r="BY331" s="669"/>
      <c r="BZ331" s="669"/>
      <c r="CA331" s="669"/>
      <c r="CB331" s="669"/>
      <c r="CC331" s="669"/>
      <c r="CD331" s="669"/>
      <c r="CE331" s="669"/>
      <c r="CF331" s="669"/>
      <c r="CG331" s="669"/>
      <c r="CH331" s="669"/>
      <c r="CI331" s="669"/>
      <c r="CJ331" s="669"/>
      <c r="CK331" s="669"/>
      <c r="CL331" s="669"/>
      <c r="CM331" s="669"/>
      <c r="CN331" s="669"/>
      <c r="CP331" s="669" t="s">
        <v>117</v>
      </c>
      <c r="CQ331" s="669"/>
      <c r="CR331" s="669"/>
      <c r="CS331" s="669"/>
      <c r="CT331" s="669"/>
      <c r="CU331" s="669"/>
      <c r="CV331" s="669"/>
      <c r="CW331" s="669"/>
      <c r="CX331" s="669"/>
      <c r="CY331" s="669"/>
      <c r="CZ331" s="669"/>
      <c r="DA331" s="669"/>
      <c r="DB331" s="669"/>
      <c r="DC331" s="669"/>
      <c r="DD331" s="669"/>
      <c r="DE331" s="669"/>
      <c r="DF331" s="669"/>
      <c r="DG331" s="669"/>
      <c r="DH331" s="669"/>
      <c r="DI331" s="669"/>
      <c r="DJ331" s="669"/>
      <c r="DK331" s="669"/>
      <c r="DL331" s="669"/>
      <c r="DM331" s="669"/>
      <c r="DN331" s="669"/>
      <c r="DO331" s="669"/>
      <c r="DP331" s="669"/>
      <c r="DQ331" s="578"/>
      <c r="DR331" s="578"/>
      <c r="DS331" s="578"/>
      <c r="DT331" s="578"/>
      <c r="DU331" s="578"/>
      <c r="DV331" s="578"/>
      <c r="DW331" s="578"/>
      <c r="DX331" s="578"/>
      <c r="DY331" s="578"/>
      <c r="DZ331" s="670" t="s">
        <v>118</v>
      </c>
      <c r="EA331" s="671"/>
      <c r="EB331" s="672"/>
      <c r="EC331" s="579"/>
      <c r="ED331" s="427"/>
      <c r="EE331" s="669" t="s">
        <v>112</v>
      </c>
      <c r="EF331" s="669"/>
      <c r="EG331" s="669"/>
      <c r="EH331" s="669" t="s">
        <v>111</v>
      </c>
      <c r="EI331" s="669"/>
      <c r="EJ331" s="669"/>
      <c r="EK331" s="45">
        <f>IF(MONTH(I331)&gt;9,MONTH(I331)-9,MONTH(I331)+3)</f>
        <v>11</v>
      </c>
      <c r="EL331" s="673" t="s">
        <v>119</v>
      </c>
      <c r="EM331" s="674"/>
      <c r="EN331" s="674"/>
      <c r="EO331" s="674"/>
      <c r="EP331" s="674"/>
      <c r="EQ331" s="674"/>
      <c r="ER331" s="674"/>
      <c r="ES331" s="674"/>
    </row>
    <row r="332" spans="1:149" ht="26.25" thickBot="1">
      <c r="A332" s="665" t="s">
        <v>19</v>
      </c>
      <c r="B332" s="665"/>
      <c r="C332" s="8" t="s">
        <v>34</v>
      </c>
      <c r="D332" s="9"/>
      <c r="E332" s="10" t="s">
        <v>93</v>
      </c>
      <c r="F332" s="1"/>
      <c r="G332" s="17" t="s">
        <v>90</v>
      </c>
      <c r="H332" s="1"/>
      <c r="I332" s="1" t="s">
        <v>96</v>
      </c>
      <c r="J332" s="13">
        <v>39630</v>
      </c>
      <c r="K332" s="13">
        <v>39661</v>
      </c>
      <c r="L332" s="13">
        <v>39692</v>
      </c>
      <c r="M332" s="13">
        <v>39722</v>
      </c>
      <c r="N332" s="13">
        <v>39753</v>
      </c>
      <c r="O332" s="13">
        <v>39783</v>
      </c>
      <c r="P332" s="13">
        <v>39814</v>
      </c>
      <c r="Q332" s="13">
        <v>39845</v>
      </c>
      <c r="R332" s="13">
        <v>39873</v>
      </c>
      <c r="S332" s="13">
        <v>39904</v>
      </c>
      <c r="T332" s="13">
        <v>39934</v>
      </c>
      <c r="U332" s="13">
        <v>39965</v>
      </c>
      <c r="V332" s="13">
        <v>39995</v>
      </c>
      <c r="W332" s="13">
        <v>40026</v>
      </c>
      <c r="X332" s="13">
        <v>40057</v>
      </c>
      <c r="Y332" s="13">
        <v>40087</v>
      </c>
      <c r="Z332" s="13">
        <v>40118</v>
      </c>
      <c r="AA332" s="13">
        <v>40148</v>
      </c>
      <c r="AB332" s="13">
        <v>40179</v>
      </c>
      <c r="AC332" s="13">
        <v>40210</v>
      </c>
      <c r="AD332" s="13">
        <v>40238</v>
      </c>
      <c r="AE332" s="13">
        <v>40269</v>
      </c>
      <c r="AF332" s="13">
        <v>40299</v>
      </c>
      <c r="AG332" s="13">
        <v>40330</v>
      </c>
      <c r="AH332" s="13">
        <v>40360</v>
      </c>
      <c r="AI332" s="13">
        <v>40391</v>
      </c>
      <c r="AJ332" s="13">
        <v>40422</v>
      </c>
      <c r="AK332" s="406"/>
      <c r="AL332" s="13">
        <v>39630</v>
      </c>
      <c r="AM332" s="13">
        <v>39661</v>
      </c>
      <c r="AN332" s="13">
        <v>39692</v>
      </c>
      <c r="AO332" s="13">
        <v>39722</v>
      </c>
      <c r="AP332" s="13">
        <v>39753</v>
      </c>
      <c r="AQ332" s="13">
        <v>39783</v>
      </c>
      <c r="AR332" s="13">
        <v>39814</v>
      </c>
      <c r="AS332" s="13">
        <v>39845</v>
      </c>
      <c r="AT332" s="13">
        <v>39873</v>
      </c>
      <c r="AU332" s="13">
        <v>39904</v>
      </c>
      <c r="AV332" s="13">
        <v>39934</v>
      </c>
      <c r="AW332" s="13">
        <v>39965</v>
      </c>
      <c r="AX332" s="13">
        <v>39995</v>
      </c>
      <c r="AY332" s="13">
        <v>40026</v>
      </c>
      <c r="AZ332" s="13">
        <v>40057</v>
      </c>
      <c r="BA332" s="13">
        <v>40087</v>
      </c>
      <c r="BB332" s="13">
        <v>40118</v>
      </c>
      <c r="BC332" s="13">
        <v>40148</v>
      </c>
      <c r="BD332" s="13">
        <v>40179</v>
      </c>
      <c r="BE332" s="13">
        <v>40210</v>
      </c>
      <c r="BF332" s="13">
        <v>40238</v>
      </c>
      <c r="BG332" s="13">
        <v>40269</v>
      </c>
      <c r="BH332" s="13">
        <v>40299</v>
      </c>
      <c r="BI332" s="13">
        <v>40330</v>
      </c>
      <c r="BJ332" s="13">
        <v>40360</v>
      </c>
      <c r="BK332" s="13">
        <v>40391</v>
      </c>
      <c r="BL332" s="13">
        <v>40422</v>
      </c>
      <c r="BM332" s="406"/>
      <c r="BN332" s="13">
        <v>39630</v>
      </c>
      <c r="BO332" s="13">
        <v>39661</v>
      </c>
      <c r="BP332" s="13">
        <v>39692</v>
      </c>
      <c r="BQ332" s="13">
        <v>39722</v>
      </c>
      <c r="BR332" s="13">
        <v>39753</v>
      </c>
      <c r="BS332" s="13">
        <v>39783</v>
      </c>
      <c r="BT332" s="13">
        <v>39814</v>
      </c>
      <c r="BU332" s="13">
        <v>39845</v>
      </c>
      <c r="BV332" s="13">
        <v>39873</v>
      </c>
      <c r="BW332" s="13">
        <v>39904</v>
      </c>
      <c r="BX332" s="13">
        <v>39934</v>
      </c>
      <c r="BY332" s="13">
        <v>39965</v>
      </c>
      <c r="BZ332" s="13">
        <v>39995</v>
      </c>
      <c r="CA332" s="13">
        <v>40026</v>
      </c>
      <c r="CB332" s="13">
        <v>40057</v>
      </c>
      <c r="CC332" s="13">
        <v>40087</v>
      </c>
      <c r="CD332" s="13">
        <v>40118</v>
      </c>
      <c r="CE332" s="13">
        <v>40148</v>
      </c>
      <c r="CF332" s="13">
        <v>40179</v>
      </c>
      <c r="CG332" s="13">
        <v>40210</v>
      </c>
      <c r="CH332" s="13">
        <v>40238</v>
      </c>
      <c r="CI332" s="13">
        <v>40269</v>
      </c>
      <c r="CJ332" s="13">
        <v>40299</v>
      </c>
      <c r="CK332" s="13">
        <v>40330</v>
      </c>
      <c r="CL332" s="13">
        <v>40360</v>
      </c>
      <c r="CM332" s="13">
        <v>40391</v>
      </c>
      <c r="CN332" s="13">
        <v>40422</v>
      </c>
      <c r="CO332" s="420"/>
      <c r="CP332" s="13">
        <v>39630</v>
      </c>
      <c r="CQ332" s="13">
        <v>39661</v>
      </c>
      <c r="CR332" s="13">
        <v>39692</v>
      </c>
      <c r="CS332" s="13">
        <v>39722</v>
      </c>
      <c r="CT332" s="13">
        <v>39753</v>
      </c>
      <c r="CU332" s="13">
        <v>39783</v>
      </c>
      <c r="CV332" s="13">
        <v>39814</v>
      </c>
      <c r="CW332" s="13">
        <v>39845</v>
      </c>
      <c r="CX332" s="13">
        <v>39873</v>
      </c>
      <c r="CY332" s="13">
        <v>39904</v>
      </c>
      <c r="CZ332" s="13">
        <v>39934</v>
      </c>
      <c r="DA332" s="13">
        <v>39965</v>
      </c>
      <c r="DB332" s="13">
        <v>39995</v>
      </c>
      <c r="DC332" s="13">
        <v>40026</v>
      </c>
      <c r="DD332" s="13">
        <v>40057</v>
      </c>
      <c r="DE332" s="13">
        <v>40087</v>
      </c>
      <c r="DF332" s="13">
        <v>40118</v>
      </c>
      <c r="DG332" s="13">
        <v>40148</v>
      </c>
      <c r="DH332" s="13">
        <v>40179</v>
      </c>
      <c r="DI332" s="13">
        <v>40210</v>
      </c>
      <c r="DJ332" s="13">
        <v>40238</v>
      </c>
      <c r="DK332" s="13">
        <v>40269</v>
      </c>
      <c r="DL332" s="13">
        <v>40299</v>
      </c>
      <c r="DM332" s="13">
        <v>40330</v>
      </c>
      <c r="DN332" s="13">
        <v>40360</v>
      </c>
      <c r="DO332" s="13">
        <v>40391</v>
      </c>
      <c r="DP332" s="13">
        <v>40422</v>
      </c>
      <c r="DQ332" s="580"/>
      <c r="DR332" s="580"/>
      <c r="DS332" s="580"/>
      <c r="DT332" s="580"/>
      <c r="DU332" s="580"/>
      <c r="DV332" s="580"/>
      <c r="DW332" s="580"/>
      <c r="DX332" s="580"/>
      <c r="DY332" s="580"/>
      <c r="DZ332" s="1">
        <v>2008</v>
      </c>
      <c r="EA332" s="135">
        <v>2009</v>
      </c>
      <c r="EB332" s="135">
        <v>2010</v>
      </c>
      <c r="EC332" s="577"/>
      <c r="ED332" s="428"/>
      <c r="EE332" s="115" t="s">
        <v>89</v>
      </c>
      <c r="EF332" s="115" t="s">
        <v>110</v>
      </c>
      <c r="EG332" s="115" t="s">
        <v>128</v>
      </c>
      <c r="EH332" s="115" t="s">
        <v>89</v>
      </c>
      <c r="EI332" s="115" t="s">
        <v>110</v>
      </c>
      <c r="EJ332" s="115" t="s">
        <v>91</v>
      </c>
      <c r="EK332" s="45">
        <f>IF(MONTH(I331)&gt;6,MONTH(I331)-6,MONTH(I331)+6)</f>
        <v>2</v>
      </c>
      <c r="EL332" s="115" t="s">
        <v>124</v>
      </c>
      <c r="EM332" s="115" t="s">
        <v>125</v>
      </c>
      <c r="EN332" s="115" t="s">
        <v>126</v>
      </c>
      <c r="EO332" s="115" t="s">
        <v>122</v>
      </c>
      <c r="EP332" s="115" t="s">
        <v>123</v>
      </c>
      <c r="EQ332" s="115" t="s">
        <v>120</v>
      </c>
      <c r="ER332" s="115" t="s">
        <v>127</v>
      </c>
      <c r="ES332" s="115" t="s">
        <v>121</v>
      </c>
    </row>
    <row r="333" spans="1:149">
      <c r="A333" s="36" t="s">
        <v>20</v>
      </c>
      <c r="B333" s="36"/>
      <c r="C333" s="37"/>
      <c r="D333" s="37"/>
      <c r="E333" s="37"/>
      <c r="F333" s="37"/>
      <c r="G333" s="37"/>
      <c r="H333" s="37"/>
      <c r="I333" s="37"/>
      <c r="J333" s="38"/>
      <c r="K333" s="38"/>
      <c r="L333" s="10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407"/>
      <c r="AL333" s="38"/>
      <c r="AM333" s="38"/>
      <c r="AN333" s="38"/>
      <c r="AO333" s="38"/>
      <c r="AP333" s="38"/>
      <c r="AQ333" s="38"/>
      <c r="AR333" s="38"/>
      <c r="AS333" s="38"/>
      <c r="AT333" s="38"/>
      <c r="AU333" s="38"/>
      <c r="AV333" s="38"/>
      <c r="AW333" s="38"/>
      <c r="AX333" s="38"/>
      <c r="AY333" s="38"/>
      <c r="AZ333" s="38"/>
      <c r="BA333" s="38"/>
      <c r="BB333" s="38"/>
      <c r="BC333" s="38"/>
      <c r="BD333" s="38"/>
      <c r="BE333" s="38"/>
      <c r="BF333" s="38"/>
      <c r="BG333" s="38"/>
      <c r="BH333" s="38"/>
      <c r="BI333" s="38"/>
      <c r="BJ333" s="38"/>
      <c r="BK333" s="38"/>
      <c r="BL333" s="38"/>
      <c r="BM333" s="407"/>
      <c r="BN333" s="39"/>
      <c r="BO333" s="39"/>
      <c r="BP333" s="39"/>
      <c r="BQ333" s="39"/>
      <c r="BR333" s="39"/>
      <c r="BS333" s="39"/>
      <c r="BT333" s="39"/>
      <c r="BU333" s="39"/>
      <c r="BV333" s="39"/>
      <c r="BW333" s="39"/>
      <c r="BX333" s="39"/>
      <c r="BY333" s="39"/>
      <c r="BZ333" s="39"/>
      <c r="CA333" s="39"/>
      <c r="CB333" s="39"/>
      <c r="CC333" s="39"/>
      <c r="CD333" s="39"/>
      <c r="CE333" s="39"/>
      <c r="CF333" s="39"/>
      <c r="CG333" s="39"/>
      <c r="CH333" s="39"/>
      <c r="CI333" s="39"/>
      <c r="CJ333" s="39"/>
      <c r="CK333" s="39"/>
      <c r="CL333" s="39"/>
      <c r="CM333" s="39"/>
      <c r="CN333" s="39"/>
      <c r="CO333" s="407"/>
      <c r="CP333" s="38"/>
      <c r="CQ333" s="38"/>
      <c r="CR333" s="38"/>
      <c r="CS333" s="38"/>
      <c r="CT333" s="38"/>
      <c r="CU333" s="38"/>
      <c r="CV333" s="38"/>
      <c r="CW333" s="38"/>
      <c r="CX333" s="38"/>
      <c r="CY333" s="38"/>
      <c r="CZ333" s="38"/>
      <c r="DA333" s="38"/>
      <c r="DB333" s="38"/>
      <c r="DC333" s="38"/>
      <c r="DD333" s="38"/>
      <c r="DE333" s="38"/>
      <c r="DF333" s="38"/>
      <c r="DG333" s="38"/>
      <c r="DH333" s="38"/>
      <c r="DI333" s="38"/>
      <c r="DJ333" s="38"/>
      <c r="DK333" s="38"/>
      <c r="DL333" s="38"/>
      <c r="DM333" s="38"/>
      <c r="DN333" s="38"/>
      <c r="DO333" s="38"/>
      <c r="DP333" s="38"/>
      <c r="DQ333" s="38"/>
      <c r="DR333" s="38"/>
      <c r="DS333" s="38"/>
      <c r="DT333" s="38"/>
      <c r="DU333" s="38"/>
      <c r="DV333" s="38"/>
      <c r="DW333" s="38"/>
      <c r="DX333" s="38"/>
      <c r="DY333" s="38"/>
      <c r="DZ333" s="37"/>
      <c r="EA333" s="37"/>
      <c r="EB333" s="37"/>
      <c r="EC333" s="37"/>
      <c r="ED333" s="408"/>
      <c r="EE333" s="40"/>
      <c r="EF333" s="37"/>
      <c r="EG333" s="37"/>
      <c r="EH333" s="37"/>
      <c r="EI333" s="110" t="s">
        <v>155</v>
      </c>
      <c r="EJ333" s="110">
        <f>IF(I331&lt;M332,2008,IF(AND(I331&gt;=M332,I331&lt;=X332),2009,2010))</f>
        <v>2010</v>
      </c>
      <c r="EK333" s="40"/>
      <c r="EL333" s="37"/>
      <c r="EM333" s="37"/>
      <c r="EN333" s="37"/>
      <c r="EO333" s="37"/>
      <c r="EP333" s="37"/>
      <c r="EQ333" s="37"/>
      <c r="ER333" s="37"/>
      <c r="ES333" s="37"/>
    </row>
    <row r="334" spans="1:149">
      <c r="A334" s="134" t="s">
        <v>22</v>
      </c>
      <c r="B334" s="2" t="s">
        <v>0</v>
      </c>
      <c r="C334" s="3" t="s">
        <v>35</v>
      </c>
      <c r="E334" s="3" t="s">
        <v>16</v>
      </c>
      <c r="F334" s="1"/>
      <c r="G334" s="1" t="s">
        <v>91</v>
      </c>
      <c r="H334" s="1"/>
      <c r="I334" s="18">
        <v>173</v>
      </c>
      <c r="J334" s="19">
        <v>191.7</v>
      </c>
      <c r="K334" s="19">
        <v>210.87</v>
      </c>
      <c r="L334" s="19">
        <v>230.04</v>
      </c>
      <c r="M334" s="20">
        <v>15</v>
      </c>
      <c r="N334" s="19">
        <v>30</v>
      </c>
      <c r="O334" s="19">
        <v>45</v>
      </c>
      <c r="P334" s="19">
        <v>60</v>
      </c>
      <c r="Q334" s="19">
        <v>75</v>
      </c>
      <c r="R334" s="19">
        <v>90</v>
      </c>
      <c r="S334" s="19">
        <v>105</v>
      </c>
      <c r="T334" s="19">
        <v>120</v>
      </c>
      <c r="U334" s="19">
        <v>135</v>
      </c>
      <c r="V334" s="19">
        <v>150</v>
      </c>
      <c r="W334" s="19">
        <v>165</v>
      </c>
      <c r="X334" s="19">
        <v>180</v>
      </c>
      <c r="Y334" s="219">
        <v>18</v>
      </c>
      <c r="Z334" s="246">
        <f>Y334+18</f>
        <v>36</v>
      </c>
      <c r="AA334" s="376">
        <f t="shared" ref="AA334:AJ334" si="1915">Z334+18</f>
        <v>54</v>
      </c>
      <c r="AB334" s="376">
        <f t="shared" si="1915"/>
        <v>72</v>
      </c>
      <c r="AC334" s="376">
        <f t="shared" si="1915"/>
        <v>90</v>
      </c>
      <c r="AD334" s="376">
        <f t="shared" si="1915"/>
        <v>108</v>
      </c>
      <c r="AE334" s="376">
        <f t="shared" si="1915"/>
        <v>126</v>
      </c>
      <c r="AF334" s="376">
        <f t="shared" si="1915"/>
        <v>144</v>
      </c>
      <c r="AG334" s="376">
        <f t="shared" si="1915"/>
        <v>162</v>
      </c>
      <c r="AH334" s="376">
        <f t="shared" si="1915"/>
        <v>180</v>
      </c>
      <c r="AI334" s="376">
        <f t="shared" si="1915"/>
        <v>198</v>
      </c>
      <c r="AJ334" s="376">
        <f t="shared" si="1915"/>
        <v>216</v>
      </c>
      <c r="AK334" s="408"/>
      <c r="AL334" s="48">
        <f>J334-I334</f>
        <v>18.699999999999989</v>
      </c>
      <c r="AM334" s="48">
        <f t="shared" ref="AM334:AM340" si="1916">K334-J334</f>
        <v>19.170000000000016</v>
      </c>
      <c r="AN334" s="48">
        <f t="shared" ref="AN334:AN340" si="1917">L334-K334</f>
        <v>19.169999999999987</v>
      </c>
      <c r="AO334" s="48">
        <f>M334</f>
        <v>15</v>
      </c>
      <c r="AP334" s="48">
        <f t="shared" ref="AP334:AP340" si="1918">N334-M334</f>
        <v>15</v>
      </c>
      <c r="AQ334" s="48">
        <f t="shared" ref="AQ334:AQ340" si="1919">O334-N334</f>
        <v>15</v>
      </c>
      <c r="AR334" s="48">
        <f t="shared" ref="AR334:AR340" si="1920">P334-O334</f>
        <v>15</v>
      </c>
      <c r="AS334" s="48">
        <f t="shared" ref="AS334:AS340" si="1921">Q334-P334</f>
        <v>15</v>
      </c>
      <c r="AT334" s="48">
        <f t="shared" ref="AT334:AT340" si="1922">R334-Q334</f>
        <v>15</v>
      </c>
      <c r="AU334" s="48">
        <f t="shared" ref="AU334:AU340" si="1923">S334-R334</f>
        <v>15</v>
      </c>
      <c r="AV334" s="48">
        <f t="shared" ref="AV334:AV340" si="1924">T334-S334</f>
        <v>15</v>
      </c>
      <c r="AW334" s="48">
        <f t="shared" ref="AW334:AW340" si="1925">U334-T334</f>
        <v>15</v>
      </c>
      <c r="AX334" s="48">
        <f>V334-U334</f>
        <v>15</v>
      </c>
      <c r="AY334" s="48">
        <f t="shared" ref="AY334:AY340" si="1926">W334-V334</f>
        <v>15</v>
      </c>
      <c r="AZ334" s="48">
        <f t="shared" ref="AZ334:AZ340" si="1927">X334-W334</f>
        <v>15</v>
      </c>
      <c r="BA334" s="48">
        <f>Y334</f>
        <v>18</v>
      </c>
      <c r="BB334" s="48">
        <f t="shared" ref="BB334:BB340" si="1928">Z334-Y334</f>
        <v>18</v>
      </c>
      <c r="BC334" s="48">
        <f t="shared" ref="BC334:BC340" si="1929">AA334-Z334</f>
        <v>18</v>
      </c>
      <c r="BD334" s="48">
        <f t="shared" ref="BD334:BD340" si="1930">AB334-AA334</f>
        <v>18</v>
      </c>
      <c r="BE334" s="48">
        <f t="shared" ref="BE334:BE340" si="1931">AC334-AB334</f>
        <v>18</v>
      </c>
      <c r="BF334" s="48">
        <f t="shared" ref="BF334:BF340" si="1932">AD334-AC334</f>
        <v>18</v>
      </c>
      <c r="BG334" s="48">
        <f t="shared" ref="BG334:BG340" si="1933">AE334-AD334</f>
        <v>18</v>
      </c>
      <c r="BH334" s="48">
        <f t="shared" ref="BH334:BH340" si="1934">AF334-AE334</f>
        <v>18</v>
      </c>
      <c r="BI334" s="48">
        <f t="shared" ref="BI334:BI340" si="1935">AG334-AF334</f>
        <v>18</v>
      </c>
      <c r="BJ334" s="48">
        <f t="shared" ref="BJ334:BL338" si="1936">AH334-AG334</f>
        <v>18</v>
      </c>
      <c r="BK334" s="48">
        <f t="shared" si="1936"/>
        <v>18</v>
      </c>
      <c r="BL334" s="48">
        <f t="shared" si="1936"/>
        <v>18</v>
      </c>
      <c r="BM334" s="408"/>
      <c r="BN334" s="48">
        <f>BP334</f>
        <v>57.039999999999992</v>
      </c>
      <c r="BO334" s="48">
        <f>BP334</f>
        <v>57.039999999999992</v>
      </c>
      <c r="BP334" s="48">
        <f>SUM(AL334:AN334)</f>
        <v>57.039999999999992</v>
      </c>
      <c r="BQ334" s="48">
        <f>BS334</f>
        <v>45</v>
      </c>
      <c r="BR334" s="48">
        <f>BS334</f>
        <v>45</v>
      </c>
      <c r="BS334" s="48">
        <f>SUM(AO334:AQ334)</f>
        <v>45</v>
      </c>
      <c r="BT334" s="48">
        <f>BV334</f>
        <v>45</v>
      </c>
      <c r="BU334" s="48">
        <f>BV334</f>
        <v>45</v>
      </c>
      <c r="BV334" s="48">
        <f>SUM(AR334:AT334)</f>
        <v>45</v>
      </c>
      <c r="BW334" s="48">
        <f>BY334</f>
        <v>45</v>
      </c>
      <c r="BX334" s="48">
        <f>BY334</f>
        <v>45</v>
      </c>
      <c r="BY334" s="48">
        <f>SUM(AU334:AW334)</f>
        <v>45</v>
      </c>
      <c r="BZ334" s="48">
        <f>CB334</f>
        <v>45</v>
      </c>
      <c r="CA334" s="48">
        <f>CB334</f>
        <v>45</v>
      </c>
      <c r="CB334" s="48">
        <f>SUM(AX334:AZ334)</f>
        <v>45</v>
      </c>
      <c r="CC334" s="48">
        <f>CE334</f>
        <v>54</v>
      </c>
      <c r="CD334" s="48">
        <f>CE334</f>
        <v>54</v>
      </c>
      <c r="CE334" s="48">
        <f>SUM(BA334:BC334)</f>
        <v>54</v>
      </c>
      <c r="CF334" s="48">
        <f>CH334</f>
        <v>54</v>
      </c>
      <c r="CG334" s="48">
        <f>CH334</f>
        <v>54</v>
      </c>
      <c r="CH334" s="48">
        <f>SUM(BD334:BF334)</f>
        <v>54</v>
      </c>
      <c r="CI334" s="48">
        <f>CK334</f>
        <v>54</v>
      </c>
      <c r="CJ334" s="48">
        <f>CK334</f>
        <v>54</v>
      </c>
      <c r="CK334" s="48">
        <f>SUM(BG334:BI334)</f>
        <v>54</v>
      </c>
      <c r="CL334" s="48">
        <f>CN334</f>
        <v>54</v>
      </c>
      <c r="CM334" s="48">
        <f>CN334</f>
        <v>54</v>
      </c>
      <c r="CN334" s="48">
        <f t="shared" ref="CN334:CN341" si="1937">SUM(BJ334:BL334)</f>
        <v>54</v>
      </c>
      <c r="CO334" s="406"/>
      <c r="CP334" s="48">
        <f t="shared" ref="CP334:CR338" si="1938">I334+AL334</f>
        <v>191.7</v>
      </c>
      <c r="CQ334" s="48">
        <f t="shared" si="1938"/>
        <v>210.87</v>
      </c>
      <c r="CR334" s="48">
        <f t="shared" si="1938"/>
        <v>230.04</v>
      </c>
      <c r="CS334" s="48">
        <f>AO334</f>
        <v>15</v>
      </c>
      <c r="CT334" s="48">
        <f t="shared" ref="CT334:DD338" si="1939">M334+AP334</f>
        <v>30</v>
      </c>
      <c r="CU334" s="48">
        <f t="shared" si="1939"/>
        <v>45</v>
      </c>
      <c r="CV334" s="48">
        <f t="shared" si="1939"/>
        <v>60</v>
      </c>
      <c r="CW334" s="48">
        <f t="shared" si="1939"/>
        <v>75</v>
      </c>
      <c r="CX334" s="48">
        <f t="shared" si="1939"/>
        <v>90</v>
      </c>
      <c r="CY334" s="48">
        <f t="shared" si="1939"/>
        <v>105</v>
      </c>
      <c r="CZ334" s="48">
        <f t="shared" si="1939"/>
        <v>120</v>
      </c>
      <c r="DA334" s="48">
        <f t="shared" si="1939"/>
        <v>135</v>
      </c>
      <c r="DB334" s="48">
        <f t="shared" si="1939"/>
        <v>150</v>
      </c>
      <c r="DC334" s="48">
        <f t="shared" si="1939"/>
        <v>165</v>
      </c>
      <c r="DD334" s="48">
        <f t="shared" si="1939"/>
        <v>180</v>
      </c>
      <c r="DE334" s="48">
        <f>+BA334</f>
        <v>18</v>
      </c>
      <c r="DF334" s="48">
        <f t="shared" ref="DF334:DP338" si="1940">Y334+BB334</f>
        <v>36</v>
      </c>
      <c r="DG334" s="48">
        <f t="shared" si="1940"/>
        <v>54</v>
      </c>
      <c r="DH334" s="48">
        <f t="shared" si="1940"/>
        <v>72</v>
      </c>
      <c r="DI334" s="48">
        <f t="shared" si="1940"/>
        <v>90</v>
      </c>
      <c r="DJ334" s="48">
        <f t="shared" si="1940"/>
        <v>108</v>
      </c>
      <c r="DK334" s="48">
        <f t="shared" si="1940"/>
        <v>126</v>
      </c>
      <c r="DL334" s="48">
        <f t="shared" si="1940"/>
        <v>144</v>
      </c>
      <c r="DM334" s="48">
        <f t="shared" si="1940"/>
        <v>162</v>
      </c>
      <c r="DN334" s="48">
        <f t="shared" si="1940"/>
        <v>180</v>
      </c>
      <c r="DO334" s="48">
        <f t="shared" si="1940"/>
        <v>198</v>
      </c>
      <c r="DP334" s="48">
        <f t="shared" si="1940"/>
        <v>216</v>
      </c>
      <c r="DQ334" s="48"/>
      <c r="DR334" s="48"/>
      <c r="DS334" s="48"/>
      <c r="DT334" s="48"/>
      <c r="DU334" s="48"/>
      <c r="DV334" s="48"/>
      <c r="DW334" s="48"/>
      <c r="DX334" s="48"/>
      <c r="DY334" s="48"/>
      <c r="DZ334" s="1">
        <f>'Input &amp; Calc'!L334</f>
        <v>230.04</v>
      </c>
      <c r="EA334" s="49">
        <f>DD334</f>
        <v>180</v>
      </c>
      <c r="EB334" s="50">
        <f>DP334</f>
        <v>216</v>
      </c>
      <c r="EC334" s="50"/>
      <c r="ED334" s="408"/>
      <c r="EE334" s="51">
        <f t="shared" ref="EE334:EF349" si="1941">HLOOKUP($I$1,Month,ROW()-1)</f>
        <v>18</v>
      </c>
      <c r="EF334" s="51">
        <f t="shared" ref="EF334:EF349" si="1942">HLOOKUP($I$1,Qtr,ROW()-1)</f>
        <v>54</v>
      </c>
      <c r="EG334" s="51">
        <f>HLOOKUP($EJ$3,Budget,ROW()-1)</f>
        <v>216</v>
      </c>
      <c r="EH334" s="40"/>
      <c r="EI334" s="110" t="s">
        <v>154</v>
      </c>
      <c r="EJ334" s="110">
        <f>IF(AND(I331&gt;=J332,I331&lt;=U332),2009,2010)</f>
        <v>2010</v>
      </c>
      <c r="EK334" s="675" t="s">
        <v>129</v>
      </c>
      <c r="EL334" s="37"/>
      <c r="EM334" s="37"/>
      <c r="EN334" s="37"/>
      <c r="EO334" s="49"/>
      <c r="EP334" s="49"/>
      <c r="EQ334" s="49"/>
      <c r="ER334" s="1"/>
      <c r="ES334" s="1"/>
    </row>
    <row r="335" spans="1:149">
      <c r="A335" s="134" t="s">
        <v>22</v>
      </c>
      <c r="B335" s="2" t="s">
        <v>1</v>
      </c>
      <c r="C335" s="3" t="s">
        <v>36</v>
      </c>
      <c r="E335" s="3" t="s">
        <v>16</v>
      </c>
      <c r="F335" s="1"/>
      <c r="G335" s="1" t="s">
        <v>91</v>
      </c>
      <c r="H335" s="1"/>
      <c r="I335" s="18">
        <v>26</v>
      </c>
      <c r="J335" s="21">
        <v>29</v>
      </c>
      <c r="K335" s="21">
        <v>32</v>
      </c>
      <c r="L335" s="21">
        <v>35</v>
      </c>
      <c r="M335" s="20">
        <v>4.5833329999999997</v>
      </c>
      <c r="N335" s="19">
        <v>9.1666600000000003</v>
      </c>
      <c r="O335" s="19">
        <v>13.75</v>
      </c>
      <c r="P335" s="19">
        <v>18.333300000000001</v>
      </c>
      <c r="Q335" s="19">
        <v>22.917000000000002</v>
      </c>
      <c r="R335" s="19">
        <v>27.5</v>
      </c>
      <c r="S335" s="19">
        <v>32.083300000000001</v>
      </c>
      <c r="T335" s="19">
        <v>36.666670000000003</v>
      </c>
      <c r="U335" s="19">
        <v>41.25</v>
      </c>
      <c r="V335" s="19">
        <v>45.833300000000001</v>
      </c>
      <c r="W335" s="19">
        <v>50.416699999999999</v>
      </c>
      <c r="X335" s="19">
        <v>55</v>
      </c>
      <c r="Y335" s="219">
        <v>5.33</v>
      </c>
      <c r="Z335" s="246">
        <f>Y335+5.33</f>
        <v>10.66</v>
      </c>
      <c r="AA335" s="376">
        <f t="shared" ref="AA335:AJ335" si="1943">Z335+5.33</f>
        <v>15.99</v>
      </c>
      <c r="AB335" s="376">
        <f t="shared" si="1943"/>
        <v>21.32</v>
      </c>
      <c r="AC335" s="376">
        <f t="shared" si="1943"/>
        <v>26.65</v>
      </c>
      <c r="AD335" s="376">
        <f t="shared" si="1943"/>
        <v>31.979999999999997</v>
      </c>
      <c r="AE335" s="376">
        <f t="shared" si="1943"/>
        <v>37.309999999999995</v>
      </c>
      <c r="AF335" s="376">
        <f t="shared" si="1943"/>
        <v>42.639999999999993</v>
      </c>
      <c r="AG335" s="376">
        <f t="shared" si="1943"/>
        <v>47.969999999999992</v>
      </c>
      <c r="AH335" s="376">
        <f t="shared" si="1943"/>
        <v>53.29999999999999</v>
      </c>
      <c r="AI335" s="376">
        <f t="shared" si="1943"/>
        <v>58.629999999999988</v>
      </c>
      <c r="AJ335" s="189">
        <f t="shared" si="1943"/>
        <v>63.959999999999987</v>
      </c>
      <c r="AK335" s="408"/>
      <c r="AL335" s="48">
        <f>J335-I335</f>
        <v>3</v>
      </c>
      <c r="AM335" s="48">
        <f t="shared" si="1916"/>
        <v>3</v>
      </c>
      <c r="AN335" s="48">
        <f t="shared" si="1917"/>
        <v>3</v>
      </c>
      <c r="AO335" s="48">
        <f>M335</f>
        <v>4.5833329999999997</v>
      </c>
      <c r="AP335" s="48">
        <f t="shared" si="1918"/>
        <v>4.5833270000000006</v>
      </c>
      <c r="AQ335" s="48">
        <f t="shared" si="1919"/>
        <v>4.5833399999999997</v>
      </c>
      <c r="AR335" s="48">
        <f t="shared" si="1920"/>
        <v>4.5833000000000013</v>
      </c>
      <c r="AS335" s="48">
        <f t="shared" si="1921"/>
        <v>4.5837000000000003</v>
      </c>
      <c r="AT335" s="48">
        <f t="shared" si="1922"/>
        <v>4.5829999999999984</v>
      </c>
      <c r="AU335" s="48">
        <f t="shared" si="1923"/>
        <v>4.5833000000000013</v>
      </c>
      <c r="AV335" s="48">
        <f t="shared" si="1924"/>
        <v>4.5833700000000022</v>
      </c>
      <c r="AW335" s="48">
        <f t="shared" si="1925"/>
        <v>4.5833299999999966</v>
      </c>
      <c r="AX335" s="48">
        <f>V335-U335</f>
        <v>4.5833000000000013</v>
      </c>
      <c r="AY335" s="48">
        <f t="shared" si="1926"/>
        <v>4.5833999999999975</v>
      </c>
      <c r="AZ335" s="48">
        <f t="shared" si="1927"/>
        <v>4.5833000000000013</v>
      </c>
      <c r="BA335" s="48">
        <f>Y335</f>
        <v>5.33</v>
      </c>
      <c r="BB335" s="48">
        <f t="shared" si="1928"/>
        <v>5.33</v>
      </c>
      <c r="BC335" s="48">
        <f t="shared" si="1929"/>
        <v>5.33</v>
      </c>
      <c r="BD335" s="48">
        <f t="shared" si="1930"/>
        <v>5.33</v>
      </c>
      <c r="BE335" s="48">
        <f t="shared" si="1931"/>
        <v>5.3299999999999983</v>
      </c>
      <c r="BF335" s="48">
        <f t="shared" si="1932"/>
        <v>5.3299999999999983</v>
      </c>
      <c r="BG335" s="48">
        <f t="shared" si="1933"/>
        <v>5.3299999999999983</v>
      </c>
      <c r="BH335" s="48">
        <f t="shared" si="1934"/>
        <v>5.3299999999999983</v>
      </c>
      <c r="BI335" s="48">
        <f t="shared" si="1935"/>
        <v>5.3299999999999983</v>
      </c>
      <c r="BJ335" s="48">
        <f t="shared" si="1936"/>
        <v>5.3299999999999983</v>
      </c>
      <c r="BK335" s="48">
        <f t="shared" si="1936"/>
        <v>5.3299999999999983</v>
      </c>
      <c r="BL335" s="48">
        <f t="shared" si="1936"/>
        <v>5.3299999999999983</v>
      </c>
      <c r="BM335" s="408"/>
      <c r="BN335" s="48">
        <f t="shared" ref="BN335:BN349" si="1944">BP335</f>
        <v>9</v>
      </c>
      <c r="BO335" s="48">
        <f t="shared" ref="BO335:BO349" si="1945">BP335</f>
        <v>9</v>
      </c>
      <c r="BP335" s="48">
        <f t="shared" ref="BP335:BP341" si="1946">SUM(AL335:AN335)</f>
        <v>9</v>
      </c>
      <c r="BQ335" s="48">
        <f t="shared" ref="BQ335:BQ349" si="1947">BS335</f>
        <v>13.75</v>
      </c>
      <c r="BR335" s="48">
        <f t="shared" ref="BR335:BR349" si="1948">BS335</f>
        <v>13.75</v>
      </c>
      <c r="BS335" s="48">
        <f t="shared" ref="BS335:BS341" si="1949">SUM(AO335:AQ335)</f>
        <v>13.75</v>
      </c>
      <c r="BT335" s="48">
        <f t="shared" ref="BT335:BT349" si="1950">BV335</f>
        <v>13.75</v>
      </c>
      <c r="BU335" s="48">
        <f t="shared" ref="BU335:BU349" si="1951">BV335</f>
        <v>13.75</v>
      </c>
      <c r="BV335" s="48">
        <f t="shared" ref="BV335:BV341" si="1952">SUM(AR335:AT335)</f>
        <v>13.75</v>
      </c>
      <c r="BW335" s="48">
        <f t="shared" ref="BW335:BW349" si="1953">BY335</f>
        <v>13.75</v>
      </c>
      <c r="BX335" s="48">
        <f t="shared" ref="BX335:BX349" si="1954">BY335</f>
        <v>13.75</v>
      </c>
      <c r="BY335" s="48">
        <f t="shared" ref="BY335:BY341" si="1955">SUM(AU335:AW335)</f>
        <v>13.75</v>
      </c>
      <c r="BZ335" s="48">
        <f t="shared" ref="BZ335:BZ349" si="1956">CB335</f>
        <v>13.75</v>
      </c>
      <c r="CA335" s="48">
        <f t="shared" ref="CA335:CA349" si="1957">CB335</f>
        <v>13.75</v>
      </c>
      <c r="CB335" s="48">
        <f>SUM(AX335:AZ335)</f>
        <v>13.75</v>
      </c>
      <c r="CC335" s="48">
        <f t="shared" ref="CC335:CC349" si="1958">CE335</f>
        <v>15.99</v>
      </c>
      <c r="CD335" s="48">
        <f t="shared" ref="CD335:CD349" si="1959">CE335</f>
        <v>15.99</v>
      </c>
      <c r="CE335" s="48">
        <f t="shared" ref="CE335:CE340" si="1960">SUM(BA335:BC335)</f>
        <v>15.99</v>
      </c>
      <c r="CF335" s="48">
        <f t="shared" ref="CF335:CF345" si="1961">CH335</f>
        <v>15.989999999999997</v>
      </c>
      <c r="CG335" s="48">
        <f t="shared" ref="CG335:CG345" si="1962">CH335</f>
        <v>15.989999999999997</v>
      </c>
      <c r="CH335" s="48">
        <f t="shared" ref="CH335:CH340" si="1963">SUM(BD335:BF335)</f>
        <v>15.989999999999997</v>
      </c>
      <c r="CI335" s="48">
        <f t="shared" ref="CI335:CI345" si="1964">CK335</f>
        <v>15.989999999999995</v>
      </c>
      <c r="CJ335" s="48">
        <f t="shared" ref="CJ335:CJ345" si="1965">CK335</f>
        <v>15.989999999999995</v>
      </c>
      <c r="CK335" s="48">
        <f t="shared" ref="CK335:CK340" si="1966">SUM(BG335:BI335)</f>
        <v>15.989999999999995</v>
      </c>
      <c r="CL335" s="48">
        <f t="shared" ref="CL335:CL345" si="1967">CN335</f>
        <v>15.989999999999995</v>
      </c>
      <c r="CM335" s="48">
        <f t="shared" ref="CM335:CM345" si="1968">CN335</f>
        <v>15.989999999999995</v>
      </c>
      <c r="CN335" s="48">
        <f t="shared" si="1937"/>
        <v>15.989999999999995</v>
      </c>
      <c r="CO335" s="406"/>
      <c r="CP335" s="48">
        <f t="shared" si="1938"/>
        <v>29</v>
      </c>
      <c r="CQ335" s="48">
        <f t="shared" si="1938"/>
        <v>32</v>
      </c>
      <c r="CR335" s="48">
        <f t="shared" si="1938"/>
        <v>35</v>
      </c>
      <c r="CS335" s="48">
        <f>AO335</f>
        <v>4.5833329999999997</v>
      </c>
      <c r="CT335" s="48">
        <f t="shared" si="1939"/>
        <v>9.1666600000000003</v>
      </c>
      <c r="CU335" s="48">
        <f t="shared" si="1939"/>
        <v>13.75</v>
      </c>
      <c r="CV335" s="48">
        <f t="shared" si="1939"/>
        <v>18.333300000000001</v>
      </c>
      <c r="CW335" s="48">
        <f t="shared" si="1939"/>
        <v>22.917000000000002</v>
      </c>
      <c r="CX335" s="48">
        <f t="shared" si="1939"/>
        <v>27.5</v>
      </c>
      <c r="CY335" s="48">
        <f t="shared" si="1939"/>
        <v>32.083300000000001</v>
      </c>
      <c r="CZ335" s="48">
        <f t="shared" si="1939"/>
        <v>36.666670000000003</v>
      </c>
      <c r="DA335" s="48">
        <f t="shared" si="1939"/>
        <v>41.25</v>
      </c>
      <c r="DB335" s="48">
        <f t="shared" si="1939"/>
        <v>45.833300000000001</v>
      </c>
      <c r="DC335" s="48">
        <f t="shared" si="1939"/>
        <v>50.416699999999999</v>
      </c>
      <c r="DD335" s="48">
        <f t="shared" si="1939"/>
        <v>55</v>
      </c>
      <c r="DE335" s="48">
        <f>+BA335</f>
        <v>5.33</v>
      </c>
      <c r="DF335" s="48">
        <f t="shared" si="1940"/>
        <v>10.66</v>
      </c>
      <c r="DG335" s="48">
        <f t="shared" si="1940"/>
        <v>15.99</v>
      </c>
      <c r="DH335" s="48">
        <f t="shared" si="1940"/>
        <v>21.32</v>
      </c>
      <c r="DI335" s="48">
        <f t="shared" si="1940"/>
        <v>26.65</v>
      </c>
      <c r="DJ335" s="48">
        <f t="shared" si="1940"/>
        <v>31.979999999999997</v>
      </c>
      <c r="DK335" s="48">
        <f t="shared" si="1940"/>
        <v>37.309999999999995</v>
      </c>
      <c r="DL335" s="48">
        <f t="shared" si="1940"/>
        <v>42.639999999999993</v>
      </c>
      <c r="DM335" s="48">
        <f t="shared" si="1940"/>
        <v>47.969999999999992</v>
      </c>
      <c r="DN335" s="48">
        <f t="shared" si="1940"/>
        <v>53.29999999999999</v>
      </c>
      <c r="DO335" s="48">
        <f t="shared" si="1940"/>
        <v>58.629999999999988</v>
      </c>
      <c r="DP335" s="48">
        <f t="shared" si="1940"/>
        <v>63.959999999999987</v>
      </c>
      <c r="DQ335" s="48"/>
      <c r="DR335" s="48"/>
      <c r="DS335" s="48"/>
      <c r="DT335" s="48"/>
      <c r="DU335" s="48"/>
      <c r="DV335" s="48"/>
      <c r="DW335" s="48"/>
      <c r="DX335" s="48"/>
      <c r="DY335" s="48"/>
      <c r="DZ335" s="1">
        <f>'Input &amp; Calc'!L335</f>
        <v>35</v>
      </c>
      <c r="EA335" s="49">
        <f>DD335</f>
        <v>55</v>
      </c>
      <c r="EB335" s="50">
        <f>DP335</f>
        <v>63.959999999999987</v>
      </c>
      <c r="EC335" s="50"/>
      <c r="ED335" s="408"/>
      <c r="EE335" s="51">
        <f t="shared" si="1941"/>
        <v>5.3299999999999983</v>
      </c>
      <c r="EF335" s="51">
        <f t="shared" si="1942"/>
        <v>15.989999999999995</v>
      </c>
      <c r="EG335" s="51">
        <f>HLOOKUP($EJ$3,Budget,ROW()-1)</f>
        <v>63.959999999999987</v>
      </c>
      <c r="EH335" s="40"/>
      <c r="EI335" s="111" t="s">
        <v>157</v>
      </c>
      <c r="EJ335" s="113">
        <f>HLOOKUP($I$1,YTD,47)</f>
        <v>70</v>
      </c>
      <c r="EK335" s="675"/>
      <c r="EL335" s="37"/>
      <c r="EM335" s="37"/>
      <c r="EN335" s="37"/>
      <c r="EO335" s="49"/>
      <c r="EP335" s="49"/>
      <c r="EQ335" s="49"/>
      <c r="ER335" s="1"/>
      <c r="ES335" s="1"/>
    </row>
    <row r="336" spans="1:149">
      <c r="A336" s="134" t="s">
        <v>22</v>
      </c>
      <c r="B336" s="2" t="s">
        <v>2</v>
      </c>
      <c r="C336" s="3" t="s">
        <v>37</v>
      </c>
      <c r="E336" s="3" t="s">
        <v>16</v>
      </c>
      <c r="F336" s="1"/>
      <c r="G336" s="1" t="s">
        <v>91</v>
      </c>
      <c r="H336" s="1"/>
      <c r="I336" s="18">
        <v>52</v>
      </c>
      <c r="J336" s="21">
        <v>58</v>
      </c>
      <c r="K336" s="21">
        <v>64</v>
      </c>
      <c r="L336" s="21">
        <v>70</v>
      </c>
      <c r="M336" s="20">
        <v>3.75</v>
      </c>
      <c r="N336" s="19">
        <v>7.5</v>
      </c>
      <c r="O336" s="19">
        <v>11.25</v>
      </c>
      <c r="P336" s="19">
        <v>15</v>
      </c>
      <c r="Q336" s="19">
        <v>18.75</v>
      </c>
      <c r="R336" s="19">
        <v>22.5</v>
      </c>
      <c r="S336" s="19">
        <v>26.25</v>
      </c>
      <c r="T336" s="19">
        <v>30</v>
      </c>
      <c r="U336" s="19">
        <v>33.75</v>
      </c>
      <c r="V336" s="19">
        <v>37.5</v>
      </c>
      <c r="W336" s="19">
        <v>41.25</v>
      </c>
      <c r="X336" s="19">
        <v>45</v>
      </c>
      <c r="Y336" s="219">
        <v>4.25</v>
      </c>
      <c r="Z336" s="246">
        <f>Y336+4.25</f>
        <v>8.5</v>
      </c>
      <c r="AA336" s="376">
        <f t="shared" ref="AA336:AJ336" si="1969">Z336+4.25</f>
        <v>12.75</v>
      </c>
      <c r="AB336" s="376">
        <f t="shared" si="1969"/>
        <v>17</v>
      </c>
      <c r="AC336" s="376">
        <f t="shared" si="1969"/>
        <v>21.25</v>
      </c>
      <c r="AD336" s="376">
        <f t="shared" si="1969"/>
        <v>25.5</v>
      </c>
      <c r="AE336" s="376">
        <f t="shared" si="1969"/>
        <v>29.75</v>
      </c>
      <c r="AF336" s="376">
        <f t="shared" si="1969"/>
        <v>34</v>
      </c>
      <c r="AG336" s="376">
        <f t="shared" si="1969"/>
        <v>38.25</v>
      </c>
      <c r="AH336" s="376">
        <f t="shared" si="1969"/>
        <v>42.5</v>
      </c>
      <c r="AI336" s="376">
        <f t="shared" si="1969"/>
        <v>46.75</v>
      </c>
      <c r="AJ336" s="376">
        <f t="shared" si="1969"/>
        <v>51</v>
      </c>
      <c r="AK336" s="408"/>
      <c r="AL336" s="48">
        <f>J336-I336</f>
        <v>6</v>
      </c>
      <c r="AM336" s="48">
        <f t="shared" si="1916"/>
        <v>6</v>
      </c>
      <c r="AN336" s="48">
        <f t="shared" si="1917"/>
        <v>6</v>
      </c>
      <c r="AO336" s="48">
        <f>M336</f>
        <v>3.75</v>
      </c>
      <c r="AP336" s="48">
        <f t="shared" si="1918"/>
        <v>3.75</v>
      </c>
      <c r="AQ336" s="48">
        <f t="shared" si="1919"/>
        <v>3.75</v>
      </c>
      <c r="AR336" s="48">
        <f t="shared" si="1920"/>
        <v>3.75</v>
      </c>
      <c r="AS336" s="48">
        <f t="shared" si="1921"/>
        <v>3.75</v>
      </c>
      <c r="AT336" s="48">
        <f t="shared" si="1922"/>
        <v>3.75</v>
      </c>
      <c r="AU336" s="48">
        <f t="shared" si="1923"/>
        <v>3.75</v>
      </c>
      <c r="AV336" s="48">
        <f t="shared" si="1924"/>
        <v>3.75</v>
      </c>
      <c r="AW336" s="48">
        <f t="shared" si="1925"/>
        <v>3.75</v>
      </c>
      <c r="AX336" s="48">
        <f>V336-U336</f>
        <v>3.75</v>
      </c>
      <c r="AY336" s="48">
        <f t="shared" si="1926"/>
        <v>3.75</v>
      </c>
      <c r="AZ336" s="48">
        <f t="shared" si="1927"/>
        <v>3.75</v>
      </c>
      <c r="BA336" s="48">
        <f>Y336</f>
        <v>4.25</v>
      </c>
      <c r="BB336" s="48">
        <f t="shared" si="1928"/>
        <v>4.25</v>
      </c>
      <c r="BC336" s="48">
        <f t="shared" si="1929"/>
        <v>4.25</v>
      </c>
      <c r="BD336" s="48">
        <f t="shared" si="1930"/>
        <v>4.25</v>
      </c>
      <c r="BE336" s="48">
        <f t="shared" si="1931"/>
        <v>4.25</v>
      </c>
      <c r="BF336" s="48">
        <f t="shared" si="1932"/>
        <v>4.25</v>
      </c>
      <c r="BG336" s="48">
        <f t="shared" si="1933"/>
        <v>4.25</v>
      </c>
      <c r="BH336" s="48">
        <f t="shared" si="1934"/>
        <v>4.25</v>
      </c>
      <c r="BI336" s="48">
        <f t="shared" si="1935"/>
        <v>4.25</v>
      </c>
      <c r="BJ336" s="48">
        <f t="shared" si="1936"/>
        <v>4.25</v>
      </c>
      <c r="BK336" s="48">
        <f t="shared" si="1936"/>
        <v>4.25</v>
      </c>
      <c r="BL336" s="48">
        <f t="shared" si="1936"/>
        <v>4.25</v>
      </c>
      <c r="BM336" s="408"/>
      <c r="BN336" s="48">
        <f t="shared" si="1944"/>
        <v>18</v>
      </c>
      <c r="BO336" s="48">
        <f t="shared" si="1945"/>
        <v>18</v>
      </c>
      <c r="BP336" s="48">
        <f t="shared" si="1946"/>
        <v>18</v>
      </c>
      <c r="BQ336" s="48">
        <f t="shared" si="1947"/>
        <v>11.25</v>
      </c>
      <c r="BR336" s="48">
        <f t="shared" si="1948"/>
        <v>11.25</v>
      </c>
      <c r="BS336" s="48">
        <f t="shared" si="1949"/>
        <v>11.25</v>
      </c>
      <c r="BT336" s="48">
        <f t="shared" si="1950"/>
        <v>11.25</v>
      </c>
      <c r="BU336" s="48">
        <f t="shared" si="1951"/>
        <v>11.25</v>
      </c>
      <c r="BV336" s="48">
        <f t="shared" si="1952"/>
        <v>11.25</v>
      </c>
      <c r="BW336" s="48">
        <f t="shared" si="1953"/>
        <v>11.25</v>
      </c>
      <c r="BX336" s="48">
        <f t="shared" si="1954"/>
        <v>11.25</v>
      </c>
      <c r="BY336" s="48">
        <f t="shared" si="1955"/>
        <v>11.25</v>
      </c>
      <c r="BZ336" s="48">
        <f t="shared" si="1956"/>
        <v>11.25</v>
      </c>
      <c r="CA336" s="48">
        <f t="shared" si="1957"/>
        <v>11.25</v>
      </c>
      <c r="CB336" s="48">
        <f>SUM(AX336:AZ336)</f>
        <v>11.25</v>
      </c>
      <c r="CC336" s="48">
        <f t="shared" si="1958"/>
        <v>12.75</v>
      </c>
      <c r="CD336" s="48">
        <f t="shared" si="1959"/>
        <v>12.75</v>
      </c>
      <c r="CE336" s="48">
        <f t="shared" si="1960"/>
        <v>12.75</v>
      </c>
      <c r="CF336" s="48">
        <f t="shared" si="1961"/>
        <v>12.75</v>
      </c>
      <c r="CG336" s="48">
        <f t="shared" si="1962"/>
        <v>12.75</v>
      </c>
      <c r="CH336" s="48">
        <f t="shared" si="1963"/>
        <v>12.75</v>
      </c>
      <c r="CI336" s="48">
        <f t="shared" si="1964"/>
        <v>12.75</v>
      </c>
      <c r="CJ336" s="48">
        <f t="shared" si="1965"/>
        <v>12.75</v>
      </c>
      <c r="CK336" s="48">
        <f t="shared" si="1966"/>
        <v>12.75</v>
      </c>
      <c r="CL336" s="48">
        <f t="shared" si="1967"/>
        <v>12.75</v>
      </c>
      <c r="CM336" s="48">
        <f t="shared" si="1968"/>
        <v>12.75</v>
      </c>
      <c r="CN336" s="48">
        <f t="shared" si="1937"/>
        <v>12.75</v>
      </c>
      <c r="CO336" s="406"/>
      <c r="CP336" s="48">
        <f t="shared" si="1938"/>
        <v>58</v>
      </c>
      <c r="CQ336" s="48">
        <f t="shared" si="1938"/>
        <v>64</v>
      </c>
      <c r="CR336" s="48">
        <f t="shared" si="1938"/>
        <v>70</v>
      </c>
      <c r="CS336" s="48">
        <f>AO336</f>
        <v>3.75</v>
      </c>
      <c r="CT336" s="48">
        <f t="shared" si="1939"/>
        <v>7.5</v>
      </c>
      <c r="CU336" s="48">
        <f t="shared" si="1939"/>
        <v>11.25</v>
      </c>
      <c r="CV336" s="48">
        <f t="shared" si="1939"/>
        <v>15</v>
      </c>
      <c r="CW336" s="48">
        <f t="shared" si="1939"/>
        <v>18.75</v>
      </c>
      <c r="CX336" s="48">
        <f t="shared" si="1939"/>
        <v>22.5</v>
      </c>
      <c r="CY336" s="48">
        <f t="shared" si="1939"/>
        <v>26.25</v>
      </c>
      <c r="CZ336" s="48">
        <f t="shared" si="1939"/>
        <v>30</v>
      </c>
      <c r="DA336" s="48">
        <f t="shared" si="1939"/>
        <v>33.75</v>
      </c>
      <c r="DB336" s="48">
        <f t="shared" si="1939"/>
        <v>37.5</v>
      </c>
      <c r="DC336" s="48">
        <f t="shared" si="1939"/>
        <v>41.25</v>
      </c>
      <c r="DD336" s="48">
        <f t="shared" si="1939"/>
        <v>45</v>
      </c>
      <c r="DE336" s="48">
        <f>+BA336</f>
        <v>4.25</v>
      </c>
      <c r="DF336" s="48">
        <f t="shared" si="1940"/>
        <v>8.5</v>
      </c>
      <c r="DG336" s="48">
        <f t="shared" si="1940"/>
        <v>12.75</v>
      </c>
      <c r="DH336" s="48">
        <f t="shared" si="1940"/>
        <v>17</v>
      </c>
      <c r="DI336" s="48">
        <f t="shared" si="1940"/>
        <v>21.25</v>
      </c>
      <c r="DJ336" s="48">
        <f t="shared" si="1940"/>
        <v>25.5</v>
      </c>
      <c r="DK336" s="48">
        <f t="shared" si="1940"/>
        <v>29.75</v>
      </c>
      <c r="DL336" s="48">
        <f t="shared" si="1940"/>
        <v>34</v>
      </c>
      <c r="DM336" s="48">
        <f t="shared" si="1940"/>
        <v>38.25</v>
      </c>
      <c r="DN336" s="48">
        <f t="shared" si="1940"/>
        <v>42.5</v>
      </c>
      <c r="DO336" s="48">
        <f t="shared" si="1940"/>
        <v>46.75</v>
      </c>
      <c r="DP336" s="48">
        <f t="shared" si="1940"/>
        <v>51</v>
      </c>
      <c r="DQ336" s="48"/>
      <c r="DR336" s="48"/>
      <c r="DS336" s="48"/>
      <c r="DT336" s="48"/>
      <c r="DU336" s="48"/>
      <c r="DV336" s="48"/>
      <c r="DW336" s="48"/>
      <c r="DX336" s="48"/>
      <c r="DY336" s="48"/>
      <c r="DZ336" s="1">
        <f>'Input &amp; Calc'!L336</f>
        <v>70</v>
      </c>
      <c r="EA336" s="49">
        <f>DD336</f>
        <v>45</v>
      </c>
      <c r="EB336" s="50">
        <f>DP336</f>
        <v>51</v>
      </c>
      <c r="EC336" s="50"/>
      <c r="ED336" s="408"/>
      <c r="EE336" s="51">
        <f t="shared" si="1941"/>
        <v>4.25</v>
      </c>
      <c r="EF336" s="51">
        <f t="shared" si="1942"/>
        <v>12.75</v>
      </c>
      <c r="EG336" s="51">
        <f>HLOOKUP($EJ$3,Budget,ROW()-1)</f>
        <v>51</v>
      </c>
      <c r="EH336" s="40"/>
      <c r="EI336" s="112" t="s">
        <v>156</v>
      </c>
      <c r="EJ336" s="113">
        <f>HLOOKUP($I$1,YTD,48)</f>
        <v>0</v>
      </c>
      <c r="EK336" s="675"/>
      <c r="EL336" s="37"/>
      <c r="EM336" s="37"/>
      <c r="EN336" s="37"/>
      <c r="EO336" s="49"/>
      <c r="EP336" s="49"/>
      <c r="EQ336" s="49"/>
      <c r="ER336" s="1"/>
      <c r="ES336" s="1"/>
    </row>
    <row r="337" spans="1:149">
      <c r="A337" s="134" t="s">
        <v>22</v>
      </c>
      <c r="B337" s="2" t="s">
        <v>3</v>
      </c>
      <c r="C337" s="3" t="s">
        <v>38</v>
      </c>
      <c r="E337" s="3" t="s">
        <v>16</v>
      </c>
      <c r="F337" s="1"/>
      <c r="G337" s="1" t="s">
        <v>91</v>
      </c>
      <c r="H337" s="1"/>
      <c r="I337" s="18">
        <v>15</v>
      </c>
      <c r="J337" s="19">
        <v>16.7</v>
      </c>
      <c r="K337" s="19">
        <v>18.37</v>
      </c>
      <c r="L337" s="19">
        <v>20.04</v>
      </c>
      <c r="M337" s="20">
        <v>1</v>
      </c>
      <c r="N337" s="19">
        <v>2</v>
      </c>
      <c r="O337" s="19">
        <v>3</v>
      </c>
      <c r="P337" s="19">
        <v>4</v>
      </c>
      <c r="Q337" s="19">
        <v>5</v>
      </c>
      <c r="R337" s="19">
        <v>6</v>
      </c>
      <c r="S337" s="19">
        <v>7</v>
      </c>
      <c r="T337" s="19">
        <v>8</v>
      </c>
      <c r="U337" s="19">
        <v>9</v>
      </c>
      <c r="V337" s="19">
        <v>10</v>
      </c>
      <c r="W337" s="19">
        <v>11</v>
      </c>
      <c r="X337" s="19">
        <v>12</v>
      </c>
      <c r="Y337" s="219">
        <v>2.25</v>
      </c>
      <c r="Z337" s="246">
        <f>Y337+2.25</f>
        <v>4.5</v>
      </c>
      <c r="AA337" s="376">
        <f t="shared" ref="AA337:AJ337" si="1970">Z337+2.25</f>
        <v>6.75</v>
      </c>
      <c r="AB337" s="376">
        <f t="shared" si="1970"/>
        <v>9</v>
      </c>
      <c r="AC337" s="376">
        <f t="shared" si="1970"/>
        <v>11.25</v>
      </c>
      <c r="AD337" s="376">
        <f t="shared" si="1970"/>
        <v>13.5</v>
      </c>
      <c r="AE337" s="376">
        <f t="shared" si="1970"/>
        <v>15.75</v>
      </c>
      <c r="AF337" s="376">
        <f t="shared" si="1970"/>
        <v>18</v>
      </c>
      <c r="AG337" s="376">
        <f t="shared" si="1970"/>
        <v>20.25</v>
      </c>
      <c r="AH337" s="376">
        <f t="shared" si="1970"/>
        <v>22.5</v>
      </c>
      <c r="AI337" s="376">
        <f t="shared" si="1970"/>
        <v>24.75</v>
      </c>
      <c r="AJ337" s="376">
        <f t="shared" si="1970"/>
        <v>27</v>
      </c>
      <c r="AK337" s="408"/>
      <c r="AL337" s="48">
        <f>J337-I337</f>
        <v>1.6999999999999993</v>
      </c>
      <c r="AM337" s="48">
        <f t="shared" si="1916"/>
        <v>1.6700000000000017</v>
      </c>
      <c r="AN337" s="48">
        <f t="shared" si="1917"/>
        <v>1.6699999999999982</v>
      </c>
      <c r="AO337" s="48">
        <f>M337</f>
        <v>1</v>
      </c>
      <c r="AP337" s="48">
        <f t="shared" si="1918"/>
        <v>1</v>
      </c>
      <c r="AQ337" s="48">
        <f t="shared" si="1919"/>
        <v>1</v>
      </c>
      <c r="AR337" s="48">
        <f t="shared" si="1920"/>
        <v>1</v>
      </c>
      <c r="AS337" s="48">
        <f t="shared" si="1921"/>
        <v>1</v>
      </c>
      <c r="AT337" s="48">
        <f t="shared" si="1922"/>
        <v>1</v>
      </c>
      <c r="AU337" s="48">
        <f t="shared" si="1923"/>
        <v>1</v>
      </c>
      <c r="AV337" s="48">
        <f t="shared" si="1924"/>
        <v>1</v>
      </c>
      <c r="AW337" s="48">
        <f t="shared" si="1925"/>
        <v>1</v>
      </c>
      <c r="AX337" s="48">
        <f>V337-U337</f>
        <v>1</v>
      </c>
      <c r="AY337" s="48">
        <f t="shared" si="1926"/>
        <v>1</v>
      </c>
      <c r="AZ337" s="48">
        <f t="shared" si="1927"/>
        <v>1</v>
      </c>
      <c r="BA337" s="48">
        <f>Y337</f>
        <v>2.25</v>
      </c>
      <c r="BB337" s="48">
        <f t="shared" si="1928"/>
        <v>2.25</v>
      </c>
      <c r="BC337" s="48">
        <f t="shared" si="1929"/>
        <v>2.25</v>
      </c>
      <c r="BD337" s="48">
        <f t="shared" si="1930"/>
        <v>2.25</v>
      </c>
      <c r="BE337" s="48">
        <f t="shared" si="1931"/>
        <v>2.25</v>
      </c>
      <c r="BF337" s="48">
        <f t="shared" si="1932"/>
        <v>2.25</v>
      </c>
      <c r="BG337" s="48">
        <f t="shared" si="1933"/>
        <v>2.25</v>
      </c>
      <c r="BH337" s="48">
        <f t="shared" si="1934"/>
        <v>2.25</v>
      </c>
      <c r="BI337" s="48">
        <f t="shared" si="1935"/>
        <v>2.25</v>
      </c>
      <c r="BJ337" s="48">
        <f t="shared" si="1936"/>
        <v>2.25</v>
      </c>
      <c r="BK337" s="48">
        <f t="shared" si="1936"/>
        <v>2.25</v>
      </c>
      <c r="BL337" s="48">
        <f t="shared" si="1936"/>
        <v>2.25</v>
      </c>
      <c r="BM337" s="408"/>
      <c r="BN337" s="48">
        <f t="shared" si="1944"/>
        <v>5.0399999999999991</v>
      </c>
      <c r="BO337" s="48">
        <f t="shared" si="1945"/>
        <v>5.0399999999999991</v>
      </c>
      <c r="BP337" s="48">
        <f t="shared" si="1946"/>
        <v>5.0399999999999991</v>
      </c>
      <c r="BQ337" s="48">
        <f t="shared" si="1947"/>
        <v>3</v>
      </c>
      <c r="BR337" s="48">
        <f t="shared" si="1948"/>
        <v>3</v>
      </c>
      <c r="BS337" s="48">
        <f t="shared" si="1949"/>
        <v>3</v>
      </c>
      <c r="BT337" s="48">
        <f t="shared" si="1950"/>
        <v>3</v>
      </c>
      <c r="BU337" s="48">
        <f t="shared" si="1951"/>
        <v>3</v>
      </c>
      <c r="BV337" s="48">
        <f t="shared" si="1952"/>
        <v>3</v>
      </c>
      <c r="BW337" s="48">
        <f t="shared" si="1953"/>
        <v>3</v>
      </c>
      <c r="BX337" s="48">
        <f t="shared" si="1954"/>
        <v>3</v>
      </c>
      <c r="BY337" s="48">
        <f t="shared" si="1955"/>
        <v>3</v>
      </c>
      <c r="BZ337" s="48">
        <f t="shared" si="1956"/>
        <v>3</v>
      </c>
      <c r="CA337" s="48">
        <f t="shared" si="1957"/>
        <v>3</v>
      </c>
      <c r="CB337" s="48">
        <f>SUM(AX337:AZ337)</f>
        <v>3</v>
      </c>
      <c r="CC337" s="48">
        <f t="shared" si="1958"/>
        <v>6.75</v>
      </c>
      <c r="CD337" s="48">
        <f t="shared" si="1959"/>
        <v>6.75</v>
      </c>
      <c r="CE337" s="48">
        <f t="shared" si="1960"/>
        <v>6.75</v>
      </c>
      <c r="CF337" s="48">
        <f t="shared" si="1961"/>
        <v>6.75</v>
      </c>
      <c r="CG337" s="48">
        <f t="shared" si="1962"/>
        <v>6.75</v>
      </c>
      <c r="CH337" s="48">
        <f t="shared" si="1963"/>
        <v>6.75</v>
      </c>
      <c r="CI337" s="48">
        <f t="shared" si="1964"/>
        <v>6.75</v>
      </c>
      <c r="CJ337" s="48">
        <f t="shared" si="1965"/>
        <v>6.75</v>
      </c>
      <c r="CK337" s="48">
        <f t="shared" si="1966"/>
        <v>6.75</v>
      </c>
      <c r="CL337" s="48">
        <f t="shared" si="1967"/>
        <v>6.75</v>
      </c>
      <c r="CM337" s="48">
        <f t="shared" si="1968"/>
        <v>6.75</v>
      </c>
      <c r="CN337" s="48">
        <f t="shared" si="1937"/>
        <v>6.75</v>
      </c>
      <c r="CO337" s="406"/>
      <c r="CP337" s="48">
        <f t="shared" si="1938"/>
        <v>16.7</v>
      </c>
      <c r="CQ337" s="48">
        <f t="shared" si="1938"/>
        <v>18.37</v>
      </c>
      <c r="CR337" s="48">
        <f t="shared" si="1938"/>
        <v>20.04</v>
      </c>
      <c r="CS337" s="48">
        <f>AO337</f>
        <v>1</v>
      </c>
      <c r="CT337" s="48">
        <f t="shared" si="1939"/>
        <v>2</v>
      </c>
      <c r="CU337" s="48">
        <f t="shared" si="1939"/>
        <v>3</v>
      </c>
      <c r="CV337" s="48">
        <f t="shared" si="1939"/>
        <v>4</v>
      </c>
      <c r="CW337" s="48">
        <f t="shared" si="1939"/>
        <v>5</v>
      </c>
      <c r="CX337" s="48">
        <f t="shared" si="1939"/>
        <v>6</v>
      </c>
      <c r="CY337" s="48">
        <f t="shared" si="1939"/>
        <v>7</v>
      </c>
      <c r="CZ337" s="48">
        <f t="shared" si="1939"/>
        <v>8</v>
      </c>
      <c r="DA337" s="48">
        <f t="shared" si="1939"/>
        <v>9</v>
      </c>
      <c r="DB337" s="48">
        <f t="shared" si="1939"/>
        <v>10</v>
      </c>
      <c r="DC337" s="48">
        <f t="shared" si="1939"/>
        <v>11</v>
      </c>
      <c r="DD337" s="48">
        <f t="shared" si="1939"/>
        <v>12</v>
      </c>
      <c r="DE337" s="48">
        <f>+BA337</f>
        <v>2.25</v>
      </c>
      <c r="DF337" s="48">
        <f t="shared" si="1940"/>
        <v>4.5</v>
      </c>
      <c r="DG337" s="48">
        <f t="shared" si="1940"/>
        <v>6.75</v>
      </c>
      <c r="DH337" s="48">
        <f t="shared" si="1940"/>
        <v>9</v>
      </c>
      <c r="DI337" s="48">
        <f t="shared" si="1940"/>
        <v>11.25</v>
      </c>
      <c r="DJ337" s="48">
        <f t="shared" si="1940"/>
        <v>13.5</v>
      </c>
      <c r="DK337" s="48">
        <f t="shared" si="1940"/>
        <v>15.75</v>
      </c>
      <c r="DL337" s="48">
        <f t="shared" si="1940"/>
        <v>18</v>
      </c>
      <c r="DM337" s="48">
        <f t="shared" si="1940"/>
        <v>20.25</v>
      </c>
      <c r="DN337" s="48">
        <f t="shared" si="1940"/>
        <v>22.5</v>
      </c>
      <c r="DO337" s="48">
        <f t="shared" si="1940"/>
        <v>24.75</v>
      </c>
      <c r="DP337" s="48">
        <f t="shared" si="1940"/>
        <v>27</v>
      </c>
      <c r="DQ337" s="48"/>
      <c r="DR337" s="48"/>
      <c r="DS337" s="48"/>
      <c r="DT337" s="48"/>
      <c r="DU337" s="48"/>
      <c r="DV337" s="48"/>
      <c r="DW337" s="48"/>
      <c r="DX337" s="48"/>
      <c r="DY337" s="48"/>
      <c r="DZ337" s="1">
        <f>'Input &amp; Calc'!L337</f>
        <v>20.04</v>
      </c>
      <c r="EA337" s="49">
        <f>DD337</f>
        <v>12</v>
      </c>
      <c r="EB337" s="50">
        <f>DP337</f>
        <v>27</v>
      </c>
      <c r="EC337" s="50"/>
      <c r="ED337" s="408"/>
      <c r="EE337" s="51">
        <f t="shared" si="1941"/>
        <v>2.25</v>
      </c>
      <c r="EF337" s="51">
        <f t="shared" si="1942"/>
        <v>6.75</v>
      </c>
      <c r="EG337" s="51">
        <f>HLOOKUP($EJ$3,Budget,ROW()-1)</f>
        <v>27</v>
      </c>
      <c r="EH337" s="40"/>
      <c r="EI337" s="114" t="s">
        <v>158</v>
      </c>
      <c r="EJ337" s="133">
        <f>I331</f>
        <v>40391</v>
      </c>
      <c r="EK337" s="675"/>
      <c r="EL337" s="37"/>
      <c r="EM337" s="37"/>
      <c r="EN337" s="37"/>
      <c r="EO337" s="49"/>
      <c r="EP337" s="49"/>
      <c r="EQ337" s="49"/>
      <c r="ER337" s="1"/>
      <c r="ES337" s="1"/>
    </row>
    <row r="338" spans="1:149" ht="13.5" thickBot="1">
      <c r="A338" s="134" t="s">
        <v>22</v>
      </c>
      <c r="B338" s="2" t="s">
        <v>94</v>
      </c>
      <c r="C338" s="3" t="s">
        <v>39</v>
      </c>
      <c r="E338" s="3" t="s">
        <v>16</v>
      </c>
      <c r="F338" s="1"/>
      <c r="G338" s="1" t="s">
        <v>91</v>
      </c>
      <c r="H338" s="1"/>
      <c r="I338" s="116">
        <v>1.8</v>
      </c>
      <c r="J338" s="116">
        <v>2</v>
      </c>
      <c r="K338" s="116">
        <v>2.2000000000000002</v>
      </c>
      <c r="L338" s="116">
        <v>2.4</v>
      </c>
      <c r="M338" s="117">
        <v>0.26666659999999998</v>
      </c>
      <c r="N338" s="116">
        <v>0.53332999999999997</v>
      </c>
      <c r="O338" s="116">
        <v>0.8</v>
      </c>
      <c r="P338" s="116">
        <v>1.06667</v>
      </c>
      <c r="Q338" s="116">
        <v>1.333</v>
      </c>
      <c r="R338" s="116">
        <v>1.6</v>
      </c>
      <c r="S338" s="116">
        <v>1.8666700000000001</v>
      </c>
      <c r="T338" s="116">
        <v>2.1333299999999999</v>
      </c>
      <c r="U338" s="116">
        <v>2.4</v>
      </c>
      <c r="V338" s="116">
        <v>2.6667000000000001</v>
      </c>
      <c r="W338" s="116">
        <v>2.9333</v>
      </c>
      <c r="X338" s="116">
        <v>3.2</v>
      </c>
      <c r="Y338" s="221">
        <v>0.20832999999999999</v>
      </c>
      <c r="Z338" s="246">
        <f>Y338+0.20833</f>
        <v>0.41665999999999997</v>
      </c>
      <c r="AA338" s="376">
        <f t="shared" ref="AA338:AJ338" si="1971">Z338+0.20833</f>
        <v>0.62498999999999993</v>
      </c>
      <c r="AB338" s="376">
        <f t="shared" si="1971"/>
        <v>0.83331999999999995</v>
      </c>
      <c r="AC338" s="376">
        <f t="shared" si="1971"/>
        <v>1.04165</v>
      </c>
      <c r="AD338" s="376">
        <f t="shared" si="1971"/>
        <v>1.2499799999999999</v>
      </c>
      <c r="AE338" s="376">
        <f t="shared" si="1971"/>
        <v>1.4583099999999998</v>
      </c>
      <c r="AF338" s="376">
        <f t="shared" si="1971"/>
        <v>1.6666399999999997</v>
      </c>
      <c r="AG338" s="376">
        <f t="shared" si="1971"/>
        <v>1.8749699999999996</v>
      </c>
      <c r="AH338" s="376">
        <f t="shared" si="1971"/>
        <v>2.0832999999999995</v>
      </c>
      <c r="AI338" s="376">
        <f t="shared" si="1971"/>
        <v>2.2916299999999996</v>
      </c>
      <c r="AJ338" s="189">
        <f t="shared" si="1971"/>
        <v>2.4999599999999997</v>
      </c>
      <c r="AK338" s="416"/>
      <c r="AL338" s="118">
        <f>J338-I338</f>
        <v>0.19999999999999996</v>
      </c>
      <c r="AM338" s="51">
        <f t="shared" si="1916"/>
        <v>0.20000000000000018</v>
      </c>
      <c r="AN338" s="51">
        <f t="shared" si="1917"/>
        <v>0.19999999999999973</v>
      </c>
      <c r="AO338" s="119">
        <f>M338</f>
        <v>0.26666659999999998</v>
      </c>
      <c r="AP338" s="118">
        <f t="shared" si="1918"/>
        <v>0.26666339999999999</v>
      </c>
      <c r="AQ338" s="118">
        <f t="shared" si="1919"/>
        <v>0.26667000000000007</v>
      </c>
      <c r="AR338" s="118">
        <f t="shared" si="1920"/>
        <v>0.26666999999999996</v>
      </c>
      <c r="AS338" s="118">
        <f t="shared" si="1921"/>
        <v>0.26632999999999996</v>
      </c>
      <c r="AT338" s="118">
        <f t="shared" si="1922"/>
        <v>0.26700000000000013</v>
      </c>
      <c r="AU338" s="118">
        <f t="shared" si="1923"/>
        <v>0.26666999999999996</v>
      </c>
      <c r="AV338" s="118">
        <f t="shared" si="1924"/>
        <v>0.2666599999999999</v>
      </c>
      <c r="AW338" s="118">
        <f t="shared" si="1925"/>
        <v>0.26666999999999996</v>
      </c>
      <c r="AX338" s="118">
        <f>V338-U338</f>
        <v>0.26670000000000016</v>
      </c>
      <c r="AY338" s="118">
        <f t="shared" si="1926"/>
        <v>0.26659999999999995</v>
      </c>
      <c r="AZ338" s="118">
        <f t="shared" si="1927"/>
        <v>0.26670000000000016</v>
      </c>
      <c r="BA338" s="118">
        <f>Y338</f>
        <v>0.20832999999999999</v>
      </c>
      <c r="BB338" s="118">
        <f t="shared" si="1928"/>
        <v>0.20832999999999999</v>
      </c>
      <c r="BC338" s="118">
        <f t="shared" si="1929"/>
        <v>0.20832999999999996</v>
      </c>
      <c r="BD338" s="118">
        <f t="shared" si="1930"/>
        <v>0.20833000000000002</v>
      </c>
      <c r="BE338" s="118">
        <f t="shared" si="1931"/>
        <v>0.20833000000000002</v>
      </c>
      <c r="BF338" s="118">
        <f t="shared" si="1932"/>
        <v>0.2083299999999999</v>
      </c>
      <c r="BG338" s="118">
        <f t="shared" si="1933"/>
        <v>0.2083299999999999</v>
      </c>
      <c r="BH338" s="118">
        <f t="shared" si="1934"/>
        <v>0.2083299999999999</v>
      </c>
      <c r="BI338" s="118">
        <f t="shared" si="1935"/>
        <v>0.2083299999999999</v>
      </c>
      <c r="BJ338" s="118">
        <f t="shared" si="1936"/>
        <v>0.2083299999999999</v>
      </c>
      <c r="BK338" s="118">
        <f t="shared" si="1936"/>
        <v>0.20833000000000013</v>
      </c>
      <c r="BL338" s="118">
        <f t="shared" si="1936"/>
        <v>0.20833000000000013</v>
      </c>
      <c r="BM338" s="409"/>
      <c r="BN338" s="119">
        <f t="shared" si="1944"/>
        <v>0.59999999999999987</v>
      </c>
      <c r="BO338" s="119">
        <f t="shared" si="1945"/>
        <v>0.59999999999999987</v>
      </c>
      <c r="BP338" s="119">
        <f t="shared" si="1946"/>
        <v>0.59999999999999987</v>
      </c>
      <c r="BQ338" s="119">
        <f t="shared" si="1947"/>
        <v>0.8</v>
      </c>
      <c r="BR338" s="119">
        <f t="shared" si="1948"/>
        <v>0.8</v>
      </c>
      <c r="BS338" s="119">
        <f t="shared" si="1949"/>
        <v>0.8</v>
      </c>
      <c r="BT338" s="119">
        <f t="shared" si="1950"/>
        <v>0.8</v>
      </c>
      <c r="BU338" s="119">
        <f t="shared" si="1951"/>
        <v>0.8</v>
      </c>
      <c r="BV338" s="119">
        <f t="shared" si="1952"/>
        <v>0.8</v>
      </c>
      <c r="BW338" s="119">
        <f t="shared" si="1953"/>
        <v>0.79999999999999982</v>
      </c>
      <c r="BX338" s="119">
        <f t="shared" si="1954"/>
        <v>0.79999999999999982</v>
      </c>
      <c r="BY338" s="119">
        <f t="shared" si="1955"/>
        <v>0.79999999999999982</v>
      </c>
      <c r="BZ338" s="119">
        <f t="shared" si="1956"/>
        <v>0.80000000000000027</v>
      </c>
      <c r="CA338" s="119">
        <f t="shared" si="1957"/>
        <v>0.80000000000000027</v>
      </c>
      <c r="CB338" s="119">
        <f>SUM(AX338:AZ338)</f>
        <v>0.80000000000000027</v>
      </c>
      <c r="CC338" s="119">
        <f t="shared" si="1958"/>
        <v>0.62498999999999993</v>
      </c>
      <c r="CD338" s="119">
        <f t="shared" si="1959"/>
        <v>0.62498999999999993</v>
      </c>
      <c r="CE338" s="119">
        <f t="shared" si="1960"/>
        <v>0.62498999999999993</v>
      </c>
      <c r="CF338" s="119">
        <f t="shared" si="1961"/>
        <v>0.62498999999999993</v>
      </c>
      <c r="CG338" s="119">
        <f t="shared" si="1962"/>
        <v>0.62498999999999993</v>
      </c>
      <c r="CH338" s="119">
        <f t="shared" si="1963"/>
        <v>0.62498999999999993</v>
      </c>
      <c r="CI338" s="119">
        <f t="shared" si="1964"/>
        <v>0.62498999999999971</v>
      </c>
      <c r="CJ338" s="119">
        <f t="shared" si="1965"/>
        <v>0.62498999999999971</v>
      </c>
      <c r="CK338" s="119">
        <f t="shared" si="1966"/>
        <v>0.62498999999999971</v>
      </c>
      <c r="CL338" s="119">
        <f t="shared" si="1967"/>
        <v>0.62499000000000016</v>
      </c>
      <c r="CM338" s="119">
        <f t="shared" si="1968"/>
        <v>0.62499000000000016</v>
      </c>
      <c r="CN338" s="48">
        <f t="shared" si="1937"/>
        <v>0.62499000000000016</v>
      </c>
      <c r="CO338" s="421"/>
      <c r="CP338" s="118">
        <f t="shared" si="1938"/>
        <v>2</v>
      </c>
      <c r="CQ338" s="118">
        <f t="shared" si="1938"/>
        <v>2.2000000000000002</v>
      </c>
      <c r="CR338" s="118">
        <f t="shared" si="1938"/>
        <v>2.4</v>
      </c>
      <c r="CS338" s="118">
        <f>AO338</f>
        <v>0.26666659999999998</v>
      </c>
      <c r="CT338" s="118">
        <f t="shared" si="1939"/>
        <v>0.53332999999999997</v>
      </c>
      <c r="CU338" s="118">
        <f t="shared" si="1939"/>
        <v>0.8</v>
      </c>
      <c r="CV338" s="118">
        <f t="shared" si="1939"/>
        <v>1.06667</v>
      </c>
      <c r="CW338" s="118">
        <f t="shared" si="1939"/>
        <v>1.333</v>
      </c>
      <c r="CX338" s="118">
        <f t="shared" si="1939"/>
        <v>1.6</v>
      </c>
      <c r="CY338" s="118">
        <f t="shared" si="1939"/>
        <v>1.8666700000000001</v>
      </c>
      <c r="CZ338" s="118">
        <f t="shared" si="1939"/>
        <v>2.1333299999999999</v>
      </c>
      <c r="DA338" s="118">
        <f t="shared" si="1939"/>
        <v>2.4</v>
      </c>
      <c r="DB338" s="118">
        <f t="shared" si="1939"/>
        <v>2.6667000000000001</v>
      </c>
      <c r="DC338" s="118">
        <f t="shared" si="1939"/>
        <v>2.9333</v>
      </c>
      <c r="DD338" s="118">
        <f t="shared" si="1939"/>
        <v>3.2</v>
      </c>
      <c r="DE338" s="118">
        <f>+BA338</f>
        <v>0.20832999999999999</v>
      </c>
      <c r="DF338" s="118">
        <f t="shared" si="1940"/>
        <v>0.41665999999999997</v>
      </c>
      <c r="DG338" s="118">
        <f t="shared" si="1940"/>
        <v>0.62498999999999993</v>
      </c>
      <c r="DH338" s="118">
        <f t="shared" si="1940"/>
        <v>0.83331999999999995</v>
      </c>
      <c r="DI338" s="118">
        <f t="shared" si="1940"/>
        <v>1.04165</v>
      </c>
      <c r="DJ338" s="118">
        <f t="shared" si="1940"/>
        <v>1.2499799999999999</v>
      </c>
      <c r="DK338" s="118">
        <f t="shared" si="1940"/>
        <v>1.4583099999999998</v>
      </c>
      <c r="DL338" s="118">
        <f t="shared" si="1940"/>
        <v>1.6666399999999997</v>
      </c>
      <c r="DM338" s="118">
        <f t="shared" si="1940"/>
        <v>1.8749699999999996</v>
      </c>
      <c r="DN338" s="118">
        <f t="shared" si="1940"/>
        <v>2.0832999999999995</v>
      </c>
      <c r="DO338" s="118">
        <f t="shared" si="1940"/>
        <v>2.2916299999999996</v>
      </c>
      <c r="DP338" s="118">
        <f t="shared" si="1940"/>
        <v>2.4999599999999997</v>
      </c>
      <c r="DQ338" s="118"/>
      <c r="DR338" s="118"/>
      <c r="DS338" s="118"/>
      <c r="DT338" s="118"/>
      <c r="DU338" s="118"/>
      <c r="DV338" s="118"/>
      <c r="DW338" s="118"/>
      <c r="DX338" s="118"/>
      <c r="DY338" s="118"/>
      <c r="DZ338" s="121">
        <f>'Input &amp; Calc'!L338</f>
        <v>2.4</v>
      </c>
      <c r="EA338" s="122">
        <f>DD338</f>
        <v>3.2</v>
      </c>
      <c r="EB338" s="120">
        <f>DP338</f>
        <v>2.4999599999999997</v>
      </c>
      <c r="EC338" s="120"/>
      <c r="ED338" s="409"/>
      <c r="EE338" s="118">
        <f t="shared" si="1941"/>
        <v>0.20833000000000013</v>
      </c>
      <c r="EF338" s="118">
        <f t="shared" si="1942"/>
        <v>0.62499000000000016</v>
      </c>
      <c r="EG338" s="118">
        <f>HLOOKUP($EJ$3,Budget,ROW()-1)</f>
        <v>2.4999599999999997</v>
      </c>
      <c r="EH338" s="40"/>
      <c r="EI338" s="1"/>
      <c r="EJ338" s="1"/>
      <c r="EK338" s="675"/>
      <c r="EL338" s="37"/>
      <c r="EM338" s="37"/>
      <c r="EN338" s="37"/>
      <c r="EO338" s="49"/>
      <c r="EP338" s="49"/>
      <c r="EQ338" s="49"/>
      <c r="ER338" s="1"/>
      <c r="ES338" s="1"/>
    </row>
    <row r="339" spans="1:149">
      <c r="A339" s="6" t="s">
        <v>23</v>
      </c>
      <c r="B339" s="2" t="s">
        <v>5</v>
      </c>
      <c r="C339" s="3" t="s">
        <v>42</v>
      </c>
      <c r="E339" s="3" t="s">
        <v>16</v>
      </c>
      <c r="G339" s="3" t="s">
        <v>91</v>
      </c>
      <c r="I339" s="23"/>
      <c r="J339" s="19">
        <v>11.25</v>
      </c>
      <c r="K339" s="19">
        <v>22.5</v>
      </c>
      <c r="L339" s="19">
        <v>33.75</v>
      </c>
      <c r="M339" s="19">
        <v>45</v>
      </c>
      <c r="N339" s="19">
        <v>56.25</v>
      </c>
      <c r="O339" s="19">
        <v>67.5</v>
      </c>
      <c r="P339" s="19">
        <v>78.75</v>
      </c>
      <c r="Q339" s="19">
        <v>90</v>
      </c>
      <c r="R339" s="19">
        <v>101.25</v>
      </c>
      <c r="S339" s="19">
        <v>112.5</v>
      </c>
      <c r="T339" s="19">
        <v>123.75</v>
      </c>
      <c r="U339" s="19">
        <v>135</v>
      </c>
      <c r="V339" s="219">
        <v>14.166</v>
      </c>
      <c r="W339" s="246">
        <f>V339+14.166</f>
        <v>28.332000000000001</v>
      </c>
      <c r="X339" s="376">
        <f t="shared" ref="X339:AG339" si="1972">W339+14.166</f>
        <v>42.498000000000005</v>
      </c>
      <c r="Y339" s="376">
        <f t="shared" si="1972"/>
        <v>56.664000000000001</v>
      </c>
      <c r="Z339" s="376">
        <f t="shared" si="1972"/>
        <v>70.83</v>
      </c>
      <c r="AA339" s="376">
        <f t="shared" si="1972"/>
        <v>84.995999999999995</v>
      </c>
      <c r="AB339" s="376">
        <f t="shared" si="1972"/>
        <v>99.161999999999992</v>
      </c>
      <c r="AC339" s="376">
        <f t="shared" si="1972"/>
        <v>113.32799999999999</v>
      </c>
      <c r="AD339" s="376">
        <f t="shared" si="1972"/>
        <v>127.49399999999999</v>
      </c>
      <c r="AE339" s="376">
        <f t="shared" si="1972"/>
        <v>141.66</v>
      </c>
      <c r="AF339" s="376">
        <f t="shared" si="1972"/>
        <v>155.82599999999999</v>
      </c>
      <c r="AG339" s="189">
        <f t="shared" si="1972"/>
        <v>169.99199999999999</v>
      </c>
      <c r="AH339" s="31">
        <f>203/12</f>
        <v>16.916666666666668</v>
      </c>
      <c r="AI339" s="19">
        <f>AH339+AH339</f>
        <v>33.833333333333336</v>
      </c>
      <c r="AJ339" s="19"/>
      <c r="AK339" s="408"/>
      <c r="AL339" s="40">
        <f>J339</f>
        <v>11.25</v>
      </c>
      <c r="AM339" s="40">
        <f t="shared" si="1916"/>
        <v>11.25</v>
      </c>
      <c r="AN339" s="40">
        <f t="shared" si="1917"/>
        <v>11.25</v>
      </c>
      <c r="AO339" s="40">
        <f>M339-L339</f>
        <v>11.25</v>
      </c>
      <c r="AP339" s="40">
        <f t="shared" si="1918"/>
        <v>11.25</v>
      </c>
      <c r="AQ339" s="40">
        <f t="shared" si="1919"/>
        <v>11.25</v>
      </c>
      <c r="AR339" s="40">
        <f t="shared" si="1920"/>
        <v>11.25</v>
      </c>
      <c r="AS339" s="40">
        <f t="shared" si="1921"/>
        <v>11.25</v>
      </c>
      <c r="AT339" s="40">
        <f t="shared" si="1922"/>
        <v>11.25</v>
      </c>
      <c r="AU339" s="40">
        <f t="shared" si="1923"/>
        <v>11.25</v>
      </c>
      <c r="AV339" s="40">
        <f t="shared" si="1924"/>
        <v>11.25</v>
      </c>
      <c r="AW339" s="40">
        <f t="shared" si="1925"/>
        <v>11.25</v>
      </c>
      <c r="AX339" s="40">
        <f>V339</f>
        <v>14.166</v>
      </c>
      <c r="AY339" s="40">
        <f t="shared" si="1926"/>
        <v>14.166</v>
      </c>
      <c r="AZ339" s="40">
        <f t="shared" si="1927"/>
        <v>14.166000000000004</v>
      </c>
      <c r="BA339" s="40">
        <f>Y339-X339</f>
        <v>14.165999999999997</v>
      </c>
      <c r="BB339" s="40">
        <f t="shared" si="1928"/>
        <v>14.165999999999997</v>
      </c>
      <c r="BC339" s="40">
        <f t="shared" si="1929"/>
        <v>14.165999999999997</v>
      </c>
      <c r="BD339" s="40">
        <f t="shared" si="1930"/>
        <v>14.165999999999997</v>
      </c>
      <c r="BE339" s="40">
        <f t="shared" si="1931"/>
        <v>14.165999999999997</v>
      </c>
      <c r="BF339" s="40">
        <f t="shared" si="1932"/>
        <v>14.165999999999997</v>
      </c>
      <c r="BG339" s="40">
        <f t="shared" si="1933"/>
        <v>14.166000000000011</v>
      </c>
      <c r="BH339" s="40">
        <f t="shared" si="1934"/>
        <v>14.165999999999997</v>
      </c>
      <c r="BI339" s="40">
        <f t="shared" si="1935"/>
        <v>14.165999999999997</v>
      </c>
      <c r="BJ339" s="40">
        <f>AH339</f>
        <v>16.916666666666668</v>
      </c>
      <c r="BK339" s="40">
        <f t="shared" ref="BK339:BL340" si="1973">AI339</f>
        <v>33.833333333333336</v>
      </c>
      <c r="BL339" s="40">
        <f t="shared" si="1973"/>
        <v>0</v>
      </c>
      <c r="BM339" s="408"/>
      <c r="BN339" s="48">
        <f t="shared" si="1944"/>
        <v>33.75</v>
      </c>
      <c r="BO339" s="48">
        <f t="shared" si="1945"/>
        <v>33.75</v>
      </c>
      <c r="BP339" s="48">
        <f t="shared" si="1946"/>
        <v>33.75</v>
      </c>
      <c r="BQ339" s="48">
        <f t="shared" si="1947"/>
        <v>33.75</v>
      </c>
      <c r="BR339" s="48">
        <f t="shared" si="1948"/>
        <v>33.75</v>
      </c>
      <c r="BS339" s="48">
        <f t="shared" si="1949"/>
        <v>33.75</v>
      </c>
      <c r="BT339" s="48">
        <f t="shared" si="1950"/>
        <v>33.75</v>
      </c>
      <c r="BU339" s="48">
        <f t="shared" si="1951"/>
        <v>33.75</v>
      </c>
      <c r="BV339" s="48">
        <f t="shared" si="1952"/>
        <v>33.75</v>
      </c>
      <c r="BW339" s="48">
        <f t="shared" si="1953"/>
        <v>33.75</v>
      </c>
      <c r="BX339" s="48">
        <f t="shared" si="1954"/>
        <v>33.75</v>
      </c>
      <c r="BY339" s="48">
        <f t="shared" si="1955"/>
        <v>33.75</v>
      </c>
      <c r="BZ339" s="48">
        <f t="shared" si="1956"/>
        <v>42.498000000000005</v>
      </c>
      <c r="CA339" s="48">
        <f t="shared" si="1957"/>
        <v>42.498000000000005</v>
      </c>
      <c r="CB339" s="48">
        <f>X339</f>
        <v>42.498000000000005</v>
      </c>
      <c r="CC339" s="48">
        <f t="shared" si="1958"/>
        <v>42.49799999999999</v>
      </c>
      <c r="CD339" s="48">
        <f t="shared" si="1959"/>
        <v>42.49799999999999</v>
      </c>
      <c r="CE339" s="48">
        <f t="shared" si="1960"/>
        <v>42.49799999999999</v>
      </c>
      <c r="CF339" s="48">
        <f t="shared" si="1961"/>
        <v>42.49799999999999</v>
      </c>
      <c r="CG339" s="48">
        <f t="shared" si="1962"/>
        <v>42.49799999999999</v>
      </c>
      <c r="CH339" s="48">
        <f t="shared" si="1963"/>
        <v>42.49799999999999</v>
      </c>
      <c r="CI339" s="48">
        <f t="shared" si="1964"/>
        <v>42.498000000000005</v>
      </c>
      <c r="CJ339" s="48">
        <f t="shared" si="1965"/>
        <v>42.498000000000005</v>
      </c>
      <c r="CK339" s="48">
        <f t="shared" si="1966"/>
        <v>42.498000000000005</v>
      </c>
      <c r="CL339" s="48">
        <f t="shared" si="1967"/>
        <v>50.75</v>
      </c>
      <c r="CM339" s="48">
        <f t="shared" si="1968"/>
        <v>50.75</v>
      </c>
      <c r="CN339" s="48">
        <f>203/4</f>
        <v>50.75</v>
      </c>
      <c r="CO339" s="406"/>
      <c r="CP339" s="48">
        <f>+AL339</f>
        <v>11.25</v>
      </c>
      <c r="CQ339" s="48">
        <f t="shared" ref="CQ339:DA339" si="1974">+CP339+AM339</f>
        <v>22.5</v>
      </c>
      <c r="CR339" s="48">
        <f t="shared" si="1974"/>
        <v>33.75</v>
      </c>
      <c r="CS339" s="48">
        <f t="shared" si="1974"/>
        <v>45</v>
      </c>
      <c r="CT339" s="48">
        <f t="shared" si="1974"/>
        <v>56.25</v>
      </c>
      <c r="CU339" s="48">
        <f t="shared" si="1974"/>
        <v>67.5</v>
      </c>
      <c r="CV339" s="48">
        <f t="shared" si="1974"/>
        <v>78.75</v>
      </c>
      <c r="CW339" s="48">
        <f t="shared" si="1974"/>
        <v>90</v>
      </c>
      <c r="CX339" s="48">
        <f t="shared" si="1974"/>
        <v>101.25</v>
      </c>
      <c r="CY339" s="48">
        <f t="shared" si="1974"/>
        <v>112.5</v>
      </c>
      <c r="CZ339" s="48">
        <f t="shared" si="1974"/>
        <v>123.75</v>
      </c>
      <c r="DA339" s="48">
        <f t="shared" si="1974"/>
        <v>135</v>
      </c>
      <c r="DB339" s="48">
        <f>AX339</f>
        <v>14.166</v>
      </c>
      <c r="DC339" s="48">
        <f t="shared" ref="DC339:DM339" si="1975">+DB339+AY339</f>
        <v>28.332000000000001</v>
      </c>
      <c r="DD339" s="48">
        <f t="shared" si="1975"/>
        <v>42.498000000000005</v>
      </c>
      <c r="DE339" s="48">
        <f t="shared" si="1975"/>
        <v>56.664000000000001</v>
      </c>
      <c r="DF339" s="48">
        <f t="shared" si="1975"/>
        <v>70.83</v>
      </c>
      <c r="DG339" s="48">
        <f t="shared" si="1975"/>
        <v>84.995999999999995</v>
      </c>
      <c r="DH339" s="48">
        <f t="shared" si="1975"/>
        <v>99.161999999999992</v>
      </c>
      <c r="DI339" s="48">
        <f t="shared" si="1975"/>
        <v>113.32799999999999</v>
      </c>
      <c r="DJ339" s="48">
        <f t="shared" si="1975"/>
        <v>127.49399999999999</v>
      </c>
      <c r="DK339" s="48">
        <f t="shared" si="1975"/>
        <v>141.66</v>
      </c>
      <c r="DL339" s="48">
        <f t="shared" si="1975"/>
        <v>155.82599999999999</v>
      </c>
      <c r="DM339" s="48">
        <f t="shared" si="1975"/>
        <v>169.99199999999999</v>
      </c>
      <c r="DN339" s="48">
        <f>+BJ339</f>
        <v>16.916666666666668</v>
      </c>
      <c r="DO339" s="48">
        <f>+DN339+BK339</f>
        <v>50.75</v>
      </c>
      <c r="DP339" s="48">
        <f>+DO339+BL339</f>
        <v>50.75</v>
      </c>
      <c r="DQ339" s="48"/>
      <c r="DR339" s="48"/>
      <c r="DS339" s="48"/>
      <c r="DT339" s="48"/>
      <c r="DU339" s="48"/>
      <c r="DV339" s="48"/>
      <c r="DW339" s="48"/>
      <c r="DX339" s="48"/>
      <c r="DY339" s="48"/>
      <c r="EA339" s="52">
        <f t="shared" ref="EA339:EA353" si="1976">DA339</f>
        <v>135</v>
      </c>
      <c r="EB339" s="52">
        <f t="shared" ref="EB339:EB352" si="1977">DM339</f>
        <v>169.99199999999999</v>
      </c>
      <c r="EC339" s="52"/>
      <c r="ED339" s="429"/>
      <c r="EE339" s="400">
        <f t="shared" si="1941"/>
        <v>33.833333333333336</v>
      </c>
      <c r="EF339" s="51">
        <f t="shared" si="1942"/>
        <v>50.75</v>
      </c>
      <c r="EG339" s="319">
        <v>203</v>
      </c>
      <c r="EH339" s="54"/>
      <c r="EI339" s="54"/>
      <c r="EJ339" s="54"/>
      <c r="EK339" s="675"/>
      <c r="EL339" s="53"/>
      <c r="EM339" s="53"/>
      <c r="EN339" s="53"/>
      <c r="EO339" s="49"/>
      <c r="EP339" s="49"/>
      <c r="EQ339" s="49"/>
    </row>
    <row r="340" spans="1:149">
      <c r="A340" s="6" t="s">
        <v>23</v>
      </c>
      <c r="B340" s="2" t="s">
        <v>4</v>
      </c>
      <c r="C340" s="3" t="s">
        <v>43</v>
      </c>
      <c r="E340" s="3" t="s">
        <v>16</v>
      </c>
      <c r="F340" s="44"/>
      <c r="G340" s="3" t="s">
        <v>91</v>
      </c>
      <c r="I340" s="23"/>
      <c r="J340" s="19">
        <v>3.9375</v>
      </c>
      <c r="K340" s="19">
        <v>7.875</v>
      </c>
      <c r="L340" s="19">
        <v>11.8125</v>
      </c>
      <c r="M340" s="19">
        <v>15.75</v>
      </c>
      <c r="N340" s="19">
        <v>19.6875</v>
      </c>
      <c r="O340" s="19">
        <v>23.625</v>
      </c>
      <c r="P340" s="19">
        <v>27.5625</v>
      </c>
      <c r="Q340" s="19">
        <v>31.55</v>
      </c>
      <c r="R340" s="19">
        <v>35.4375</v>
      </c>
      <c r="S340" s="19">
        <v>39.375</v>
      </c>
      <c r="T340" s="19">
        <v>43.3125</v>
      </c>
      <c r="U340" s="19">
        <v>47.25</v>
      </c>
      <c r="V340" s="219">
        <f>V339*0.35</f>
        <v>4.9581</v>
      </c>
      <c r="W340" s="246">
        <f t="shared" ref="W340:AG340" si="1978">W339*0.35</f>
        <v>9.9161999999999999</v>
      </c>
      <c r="X340" s="376">
        <f t="shared" si="1978"/>
        <v>14.8743</v>
      </c>
      <c r="Y340" s="376">
        <f t="shared" si="1978"/>
        <v>19.8324</v>
      </c>
      <c r="Z340" s="376">
        <f t="shared" si="1978"/>
        <v>24.790499999999998</v>
      </c>
      <c r="AA340" s="376">
        <f t="shared" si="1978"/>
        <v>29.748599999999996</v>
      </c>
      <c r="AB340" s="376">
        <f t="shared" si="1978"/>
        <v>34.706699999999998</v>
      </c>
      <c r="AC340" s="376">
        <f t="shared" si="1978"/>
        <v>39.664799999999993</v>
      </c>
      <c r="AD340" s="376">
        <f t="shared" si="1978"/>
        <v>44.622899999999994</v>
      </c>
      <c r="AE340" s="376">
        <f t="shared" si="1978"/>
        <v>49.580999999999996</v>
      </c>
      <c r="AF340" s="376">
        <f t="shared" si="1978"/>
        <v>54.539099999999998</v>
      </c>
      <c r="AG340" s="263">
        <f t="shared" si="1978"/>
        <v>59.497199999999992</v>
      </c>
      <c r="AH340" s="31">
        <f>91/12</f>
        <v>7.583333333333333</v>
      </c>
      <c r="AI340" s="19">
        <f>AH340+AH340</f>
        <v>15.166666666666666</v>
      </c>
      <c r="AJ340" s="19"/>
      <c r="AK340" s="408"/>
      <c r="AL340" s="40">
        <f>J340</f>
        <v>3.9375</v>
      </c>
      <c r="AM340" s="40">
        <f t="shared" si="1916"/>
        <v>3.9375</v>
      </c>
      <c r="AN340" s="40">
        <f t="shared" si="1917"/>
        <v>3.9375</v>
      </c>
      <c r="AO340" s="40">
        <f>M340-L340</f>
        <v>3.9375</v>
      </c>
      <c r="AP340" s="40">
        <f t="shared" si="1918"/>
        <v>3.9375</v>
      </c>
      <c r="AQ340" s="40">
        <f t="shared" si="1919"/>
        <v>3.9375</v>
      </c>
      <c r="AR340" s="40">
        <f t="shared" si="1920"/>
        <v>3.9375</v>
      </c>
      <c r="AS340" s="40">
        <f t="shared" si="1921"/>
        <v>3.9875000000000007</v>
      </c>
      <c r="AT340" s="40">
        <f t="shared" si="1922"/>
        <v>3.8874999999999993</v>
      </c>
      <c r="AU340" s="40">
        <f t="shared" si="1923"/>
        <v>3.9375</v>
      </c>
      <c r="AV340" s="40">
        <f t="shared" si="1924"/>
        <v>3.9375</v>
      </c>
      <c r="AW340" s="40">
        <f t="shared" si="1925"/>
        <v>3.9375</v>
      </c>
      <c r="AX340" s="40">
        <f>V340</f>
        <v>4.9581</v>
      </c>
      <c r="AY340" s="40">
        <f t="shared" si="1926"/>
        <v>4.9581</v>
      </c>
      <c r="AZ340" s="40">
        <f t="shared" si="1927"/>
        <v>4.9581</v>
      </c>
      <c r="BA340" s="40">
        <f>Y340-X340</f>
        <v>4.9581</v>
      </c>
      <c r="BB340" s="40">
        <f t="shared" si="1928"/>
        <v>4.9580999999999982</v>
      </c>
      <c r="BC340" s="40">
        <f t="shared" si="1929"/>
        <v>4.9580999999999982</v>
      </c>
      <c r="BD340" s="40">
        <f t="shared" si="1930"/>
        <v>4.9581000000000017</v>
      </c>
      <c r="BE340" s="40">
        <f t="shared" si="1931"/>
        <v>4.9580999999999946</v>
      </c>
      <c r="BF340" s="40">
        <f t="shared" si="1932"/>
        <v>4.9581000000000017</v>
      </c>
      <c r="BG340" s="40">
        <f t="shared" si="1933"/>
        <v>4.9581000000000017</v>
      </c>
      <c r="BH340" s="40">
        <f t="shared" si="1934"/>
        <v>4.9581000000000017</v>
      </c>
      <c r="BI340" s="40">
        <f t="shared" si="1935"/>
        <v>4.9580999999999946</v>
      </c>
      <c r="BJ340" s="40">
        <f>AH340</f>
        <v>7.583333333333333</v>
      </c>
      <c r="BK340" s="40">
        <f t="shared" si="1973"/>
        <v>15.166666666666666</v>
      </c>
      <c r="BL340" s="40">
        <f t="shared" si="1973"/>
        <v>0</v>
      </c>
      <c r="BM340" s="408"/>
      <c r="BN340" s="48">
        <f t="shared" si="1944"/>
        <v>11.8125</v>
      </c>
      <c r="BO340" s="48">
        <f t="shared" si="1945"/>
        <v>11.8125</v>
      </c>
      <c r="BP340" s="48">
        <f t="shared" si="1946"/>
        <v>11.8125</v>
      </c>
      <c r="BQ340" s="48">
        <f t="shared" si="1947"/>
        <v>11.8125</v>
      </c>
      <c r="BR340" s="48">
        <f t="shared" si="1948"/>
        <v>11.8125</v>
      </c>
      <c r="BS340" s="48">
        <f t="shared" si="1949"/>
        <v>11.8125</v>
      </c>
      <c r="BT340" s="48">
        <f t="shared" si="1950"/>
        <v>11.8125</v>
      </c>
      <c r="BU340" s="48">
        <f t="shared" si="1951"/>
        <v>11.8125</v>
      </c>
      <c r="BV340" s="48">
        <f t="shared" si="1952"/>
        <v>11.8125</v>
      </c>
      <c r="BW340" s="48">
        <f t="shared" si="1953"/>
        <v>11.8125</v>
      </c>
      <c r="BX340" s="48">
        <f t="shared" si="1954"/>
        <v>11.8125</v>
      </c>
      <c r="BY340" s="48">
        <f t="shared" si="1955"/>
        <v>11.8125</v>
      </c>
      <c r="BZ340" s="48">
        <f t="shared" si="1956"/>
        <v>14.8743</v>
      </c>
      <c r="CA340" s="48">
        <f t="shared" si="1957"/>
        <v>14.8743</v>
      </c>
      <c r="CB340" s="48">
        <f t="shared" ref="CB340:CB347" si="1979">X340</f>
        <v>14.8743</v>
      </c>
      <c r="CC340" s="48">
        <f t="shared" si="1958"/>
        <v>14.874299999999996</v>
      </c>
      <c r="CD340" s="48">
        <f t="shared" si="1959"/>
        <v>14.874299999999996</v>
      </c>
      <c r="CE340" s="48">
        <f t="shared" si="1960"/>
        <v>14.874299999999996</v>
      </c>
      <c r="CF340" s="48">
        <f t="shared" si="1961"/>
        <v>14.874299999999998</v>
      </c>
      <c r="CG340" s="48">
        <f t="shared" si="1962"/>
        <v>14.874299999999998</v>
      </c>
      <c r="CH340" s="48">
        <f t="shared" si="1963"/>
        <v>14.874299999999998</v>
      </c>
      <c r="CI340" s="48">
        <f t="shared" si="1964"/>
        <v>14.874299999999998</v>
      </c>
      <c r="CJ340" s="48">
        <f t="shared" si="1965"/>
        <v>14.874299999999998</v>
      </c>
      <c r="CK340" s="48">
        <f t="shared" si="1966"/>
        <v>14.874299999999998</v>
      </c>
      <c r="CL340" s="48">
        <f t="shared" si="1967"/>
        <v>22.75</v>
      </c>
      <c r="CM340" s="48">
        <f t="shared" si="1968"/>
        <v>22.75</v>
      </c>
      <c r="CN340" s="48">
        <v>22.75</v>
      </c>
      <c r="CO340" s="406"/>
      <c r="CP340" s="48">
        <f t="shared" ref="CP340:DA340" si="1980">I340+AL340</f>
        <v>3.9375</v>
      </c>
      <c r="CQ340" s="48">
        <f t="shared" si="1980"/>
        <v>7.875</v>
      </c>
      <c r="CR340" s="48">
        <f t="shared" si="1980"/>
        <v>11.8125</v>
      </c>
      <c r="CS340" s="48">
        <f t="shared" si="1980"/>
        <v>15.75</v>
      </c>
      <c r="CT340" s="48">
        <f t="shared" si="1980"/>
        <v>19.6875</v>
      </c>
      <c r="CU340" s="48">
        <f t="shared" si="1980"/>
        <v>23.625</v>
      </c>
      <c r="CV340" s="48">
        <f t="shared" si="1980"/>
        <v>27.5625</v>
      </c>
      <c r="CW340" s="48">
        <f t="shared" si="1980"/>
        <v>31.55</v>
      </c>
      <c r="CX340" s="48">
        <f t="shared" si="1980"/>
        <v>35.4375</v>
      </c>
      <c r="CY340" s="48">
        <f t="shared" si="1980"/>
        <v>39.375</v>
      </c>
      <c r="CZ340" s="48">
        <f t="shared" si="1980"/>
        <v>43.3125</v>
      </c>
      <c r="DA340" s="48">
        <f t="shared" si="1980"/>
        <v>47.25</v>
      </c>
      <c r="DB340" s="48">
        <f>AX340</f>
        <v>4.9581</v>
      </c>
      <c r="DC340" s="48">
        <f t="shared" ref="DC340:DM340" si="1981">V340+AY340</f>
        <v>9.9161999999999999</v>
      </c>
      <c r="DD340" s="48">
        <f t="shared" si="1981"/>
        <v>14.8743</v>
      </c>
      <c r="DE340" s="48">
        <f t="shared" si="1981"/>
        <v>19.8324</v>
      </c>
      <c r="DF340" s="48">
        <f t="shared" si="1981"/>
        <v>24.790499999999998</v>
      </c>
      <c r="DG340" s="48">
        <f t="shared" si="1981"/>
        <v>29.748599999999996</v>
      </c>
      <c r="DH340" s="48">
        <f t="shared" si="1981"/>
        <v>34.706699999999998</v>
      </c>
      <c r="DI340" s="48">
        <f t="shared" si="1981"/>
        <v>39.664799999999993</v>
      </c>
      <c r="DJ340" s="48">
        <f t="shared" si="1981"/>
        <v>44.622899999999994</v>
      </c>
      <c r="DK340" s="48">
        <f t="shared" si="1981"/>
        <v>49.580999999999996</v>
      </c>
      <c r="DL340" s="48">
        <f t="shared" si="1981"/>
        <v>54.539099999999998</v>
      </c>
      <c r="DM340" s="48">
        <f t="shared" si="1981"/>
        <v>59.497199999999992</v>
      </c>
      <c r="DN340" s="48">
        <f>BJ340</f>
        <v>7.583333333333333</v>
      </c>
      <c r="DO340" s="48">
        <f>AH340+BK340</f>
        <v>22.75</v>
      </c>
      <c r="DP340" s="48">
        <f>AI340+BL340</f>
        <v>15.166666666666666</v>
      </c>
      <c r="DQ340" s="48"/>
      <c r="DR340" s="48"/>
      <c r="DS340" s="48"/>
      <c r="DT340" s="48"/>
      <c r="DU340" s="48"/>
      <c r="DV340" s="48"/>
      <c r="DW340" s="48"/>
      <c r="DX340" s="48"/>
      <c r="DY340" s="48"/>
      <c r="EA340" s="52">
        <f t="shared" si="1976"/>
        <v>47.25</v>
      </c>
      <c r="EB340" s="52">
        <f t="shared" si="1977"/>
        <v>59.497199999999992</v>
      </c>
      <c r="EC340" s="52"/>
      <c r="ED340" s="429"/>
      <c r="EE340" s="51">
        <f t="shared" si="1941"/>
        <v>15.166666666666666</v>
      </c>
      <c r="EF340" s="51">
        <f t="shared" si="1942"/>
        <v>22.75</v>
      </c>
      <c r="EG340" s="51">
        <v>91</v>
      </c>
      <c r="EH340" s="54"/>
      <c r="EI340" s="54"/>
      <c r="EJ340" s="126"/>
      <c r="EK340" s="675"/>
      <c r="EL340" s="53"/>
      <c r="EM340" s="53"/>
      <c r="EN340" s="53"/>
      <c r="EO340" s="49"/>
      <c r="EP340" s="49"/>
      <c r="EQ340" s="49"/>
    </row>
    <row r="341" spans="1:149">
      <c r="A341" s="6" t="s">
        <v>23</v>
      </c>
      <c r="B341" s="2" t="s">
        <v>6</v>
      </c>
      <c r="C341" s="3" t="s">
        <v>44</v>
      </c>
      <c r="E341" s="3" t="s">
        <v>16</v>
      </c>
      <c r="G341" s="3" t="s">
        <v>89</v>
      </c>
      <c r="I341" s="23"/>
      <c r="J341" s="19">
        <v>1</v>
      </c>
      <c r="K341" s="246">
        <v>1</v>
      </c>
      <c r="L341" s="246">
        <v>1</v>
      </c>
      <c r="M341" s="246">
        <v>1</v>
      </c>
      <c r="N341" s="246">
        <v>1</v>
      </c>
      <c r="O341" s="246">
        <v>1</v>
      </c>
      <c r="P341" s="246">
        <v>1</v>
      </c>
      <c r="Q341" s="246">
        <v>1</v>
      </c>
      <c r="R341" s="246">
        <v>1</v>
      </c>
      <c r="S341" s="246">
        <v>1</v>
      </c>
      <c r="T341" s="246">
        <v>1</v>
      </c>
      <c r="U341" s="246">
        <v>1</v>
      </c>
      <c r="V341" s="254">
        <v>2.9750000000000001</v>
      </c>
      <c r="W341" s="254">
        <f>V341+2.975</f>
        <v>5.95</v>
      </c>
      <c r="X341" s="254">
        <f t="shared" ref="X341:AG341" si="1982">W341+2.975</f>
        <v>8.9250000000000007</v>
      </c>
      <c r="Y341" s="254">
        <f t="shared" si="1982"/>
        <v>11.9</v>
      </c>
      <c r="Z341" s="254">
        <f t="shared" si="1982"/>
        <v>14.875</v>
      </c>
      <c r="AA341" s="254">
        <f t="shared" si="1982"/>
        <v>17.850000000000001</v>
      </c>
      <c r="AB341" s="254">
        <f t="shared" si="1982"/>
        <v>20.825000000000003</v>
      </c>
      <c r="AC341" s="254">
        <f t="shared" si="1982"/>
        <v>23.800000000000004</v>
      </c>
      <c r="AD341" s="254">
        <f t="shared" si="1982"/>
        <v>26.775000000000006</v>
      </c>
      <c r="AE341" s="254">
        <f t="shared" si="1982"/>
        <v>29.750000000000007</v>
      </c>
      <c r="AF341" s="254">
        <f t="shared" si="1982"/>
        <v>32.725000000000009</v>
      </c>
      <c r="AG341" s="263">
        <f t="shared" si="1982"/>
        <v>35.70000000000001</v>
      </c>
      <c r="AH341" s="31"/>
      <c r="AI341" s="19"/>
      <c r="AJ341" s="19"/>
      <c r="AK341" s="408"/>
      <c r="AL341" s="40">
        <f>J341</f>
        <v>1</v>
      </c>
      <c r="AM341" s="40">
        <f t="shared" ref="AM341:AW341" si="1983">K341</f>
        <v>1</v>
      </c>
      <c r="AN341" s="40">
        <f t="shared" si="1983"/>
        <v>1</v>
      </c>
      <c r="AO341" s="40">
        <f t="shared" si="1983"/>
        <v>1</v>
      </c>
      <c r="AP341" s="40">
        <f t="shared" si="1983"/>
        <v>1</v>
      </c>
      <c r="AQ341" s="40">
        <f t="shared" si="1983"/>
        <v>1</v>
      </c>
      <c r="AR341" s="40">
        <f t="shared" si="1983"/>
        <v>1</v>
      </c>
      <c r="AS341" s="40">
        <f t="shared" si="1983"/>
        <v>1</v>
      </c>
      <c r="AT341" s="40">
        <f t="shared" si="1983"/>
        <v>1</v>
      </c>
      <c r="AU341" s="40">
        <f t="shared" si="1983"/>
        <v>1</v>
      </c>
      <c r="AV341" s="40">
        <f t="shared" si="1983"/>
        <v>1</v>
      </c>
      <c r="AW341" s="40">
        <f t="shared" si="1983"/>
        <v>1</v>
      </c>
      <c r="AX341" s="40">
        <f>V341</f>
        <v>2.9750000000000001</v>
      </c>
      <c r="AY341" s="40">
        <f>W341-SUM($AX341:AX341)</f>
        <v>2.9750000000000001</v>
      </c>
      <c r="AZ341" s="40">
        <f>X341-SUM($AX341:AY341)</f>
        <v>2.9750000000000005</v>
      </c>
      <c r="BA341" s="40">
        <f>Y341-SUM($AX341:AZ341)</f>
        <v>2.9749999999999996</v>
      </c>
      <c r="BB341" s="40">
        <f>Z341-SUM($AX341:BA341)</f>
        <v>2.9749999999999996</v>
      </c>
      <c r="BC341" s="40">
        <f>AA341-SUM($AX341:BB341)</f>
        <v>2.9750000000000014</v>
      </c>
      <c r="BD341" s="40">
        <f>AB341-SUM($AX341:BC341)</f>
        <v>2.9750000000000014</v>
      </c>
      <c r="BE341" s="40">
        <f>AC341-SUM($AX341:BD341)</f>
        <v>2.9750000000000014</v>
      </c>
      <c r="BF341" s="40">
        <f>AD341-SUM($AX341:BE341)</f>
        <v>2.9750000000000014</v>
      </c>
      <c r="BG341" s="40">
        <f>AE341-SUM($AX341:BF341)</f>
        <v>2.9750000000000014</v>
      </c>
      <c r="BH341" s="40">
        <f>AF341-SUM($AX341:BG341)</f>
        <v>2.9750000000000014</v>
      </c>
      <c r="BI341" s="40">
        <f>AG341-SUM($AX341:BH341)</f>
        <v>2.9750000000000014</v>
      </c>
      <c r="BJ341" s="40">
        <v>0</v>
      </c>
      <c r="BK341" s="40">
        <v>0</v>
      </c>
      <c r="BL341" s="40">
        <v>0</v>
      </c>
      <c r="BM341" s="408"/>
      <c r="BN341" s="48">
        <f t="shared" si="1944"/>
        <v>3</v>
      </c>
      <c r="BO341" s="48">
        <f t="shared" si="1945"/>
        <v>3</v>
      </c>
      <c r="BP341" s="48">
        <f t="shared" si="1946"/>
        <v>3</v>
      </c>
      <c r="BQ341" s="48">
        <f t="shared" si="1947"/>
        <v>3</v>
      </c>
      <c r="BR341" s="48">
        <f t="shared" si="1948"/>
        <v>3</v>
      </c>
      <c r="BS341" s="48">
        <f t="shared" si="1949"/>
        <v>3</v>
      </c>
      <c r="BT341" s="48">
        <f t="shared" si="1950"/>
        <v>3</v>
      </c>
      <c r="BU341" s="48">
        <f t="shared" si="1951"/>
        <v>3</v>
      </c>
      <c r="BV341" s="48">
        <f t="shared" si="1952"/>
        <v>3</v>
      </c>
      <c r="BW341" s="48">
        <f t="shared" si="1953"/>
        <v>3</v>
      </c>
      <c r="BX341" s="48">
        <f t="shared" si="1954"/>
        <v>3</v>
      </c>
      <c r="BY341" s="48">
        <f t="shared" si="1955"/>
        <v>3</v>
      </c>
      <c r="BZ341" s="48">
        <f t="shared" si="1956"/>
        <v>8.9250000000000007</v>
      </c>
      <c r="CA341" s="48">
        <f t="shared" si="1957"/>
        <v>8.9250000000000007</v>
      </c>
      <c r="CB341" s="48">
        <f t="shared" si="1979"/>
        <v>8.9250000000000007</v>
      </c>
      <c r="CC341" s="48">
        <f t="shared" si="1958"/>
        <v>8.9250000000000007</v>
      </c>
      <c r="CD341" s="48">
        <f t="shared" si="1959"/>
        <v>8.9250000000000007</v>
      </c>
      <c r="CE341" s="48">
        <f>SUM(BA341:BC341)</f>
        <v>8.9250000000000007</v>
      </c>
      <c r="CF341" s="48">
        <f t="shared" si="1961"/>
        <v>8.9250000000000043</v>
      </c>
      <c r="CG341" s="48">
        <f t="shared" si="1962"/>
        <v>8.9250000000000043</v>
      </c>
      <c r="CH341" s="48">
        <f>SUM(BD341:BF341)</f>
        <v>8.9250000000000043</v>
      </c>
      <c r="CI341" s="48">
        <f t="shared" si="1964"/>
        <v>8.9250000000000043</v>
      </c>
      <c r="CJ341" s="48">
        <f t="shared" si="1965"/>
        <v>8.9250000000000043</v>
      </c>
      <c r="CK341" s="48">
        <f>SUM(BG341:BI341)</f>
        <v>8.9250000000000043</v>
      </c>
      <c r="CL341" s="48">
        <f t="shared" si="1967"/>
        <v>0</v>
      </c>
      <c r="CM341" s="48">
        <f t="shared" si="1968"/>
        <v>0</v>
      </c>
      <c r="CN341" s="48">
        <f t="shared" si="1937"/>
        <v>0</v>
      </c>
      <c r="CO341" s="406"/>
      <c r="CP341" s="48">
        <f>AL341</f>
        <v>1</v>
      </c>
      <c r="CQ341" s="48">
        <f t="shared" ref="CQ341:DA341" si="1984">CP341+AM341</f>
        <v>2</v>
      </c>
      <c r="CR341" s="48">
        <f t="shared" si="1984"/>
        <v>3</v>
      </c>
      <c r="CS341" s="48">
        <f t="shared" si="1984"/>
        <v>4</v>
      </c>
      <c r="CT341" s="48">
        <f t="shared" si="1984"/>
        <v>5</v>
      </c>
      <c r="CU341" s="48">
        <f t="shared" si="1984"/>
        <v>6</v>
      </c>
      <c r="CV341" s="48">
        <f t="shared" si="1984"/>
        <v>7</v>
      </c>
      <c r="CW341" s="48">
        <f t="shared" si="1984"/>
        <v>8</v>
      </c>
      <c r="CX341" s="48">
        <f t="shared" si="1984"/>
        <v>9</v>
      </c>
      <c r="CY341" s="48">
        <f t="shared" si="1984"/>
        <v>10</v>
      </c>
      <c r="CZ341" s="48">
        <f t="shared" si="1984"/>
        <v>11</v>
      </c>
      <c r="DA341" s="48">
        <f t="shared" si="1984"/>
        <v>12</v>
      </c>
      <c r="DB341" s="48">
        <f>AX341</f>
        <v>2.9750000000000001</v>
      </c>
      <c r="DC341" s="48">
        <f t="shared" ref="DC341:DM341" si="1985">DB341+AY341</f>
        <v>5.95</v>
      </c>
      <c r="DD341" s="48">
        <f t="shared" si="1985"/>
        <v>8.9250000000000007</v>
      </c>
      <c r="DE341" s="48">
        <f t="shared" si="1985"/>
        <v>11.9</v>
      </c>
      <c r="DF341" s="48">
        <f t="shared" si="1985"/>
        <v>14.875</v>
      </c>
      <c r="DG341" s="48">
        <f t="shared" si="1985"/>
        <v>17.850000000000001</v>
      </c>
      <c r="DH341" s="48">
        <f t="shared" si="1985"/>
        <v>20.825000000000003</v>
      </c>
      <c r="DI341" s="48">
        <f t="shared" si="1985"/>
        <v>23.800000000000004</v>
      </c>
      <c r="DJ341" s="48">
        <f t="shared" si="1985"/>
        <v>26.775000000000006</v>
      </c>
      <c r="DK341" s="48">
        <f t="shared" si="1985"/>
        <v>29.750000000000007</v>
      </c>
      <c r="DL341" s="48">
        <f t="shared" si="1985"/>
        <v>32.725000000000009</v>
      </c>
      <c r="DM341" s="48">
        <f t="shared" si="1985"/>
        <v>35.70000000000001</v>
      </c>
      <c r="DN341" s="48">
        <f>BJ341</f>
        <v>0</v>
      </c>
      <c r="DO341" s="48">
        <f>DN341+BK341</f>
        <v>0</v>
      </c>
      <c r="DP341" s="48">
        <f>DO341+BL341</f>
        <v>0</v>
      </c>
      <c r="DQ341" s="48"/>
      <c r="DR341" s="48"/>
      <c r="DS341" s="48"/>
      <c r="DT341" s="48"/>
      <c r="DU341" s="48"/>
      <c r="DV341" s="48"/>
      <c r="DW341" s="48"/>
      <c r="DX341" s="48"/>
      <c r="DY341" s="48"/>
      <c r="EA341" s="52">
        <f t="shared" si="1976"/>
        <v>12</v>
      </c>
      <c r="EB341" s="52">
        <f t="shared" si="1977"/>
        <v>35.70000000000001</v>
      </c>
      <c r="EC341" s="52"/>
      <c r="ED341" s="429"/>
      <c r="EE341" s="400">
        <f t="shared" si="1941"/>
        <v>0</v>
      </c>
      <c r="EF341" s="319">
        <f t="shared" si="1942"/>
        <v>0</v>
      </c>
      <c r="EG341" s="319">
        <f t="shared" ref="EG341:EG349" si="1986">HLOOKUP($EJ$4,Budget,ROW()-1)</f>
        <v>35.70000000000001</v>
      </c>
      <c r="EH341" s="54"/>
      <c r="EI341" s="54"/>
      <c r="EJ341" s="54"/>
      <c r="EK341" s="675"/>
      <c r="EL341" s="53"/>
      <c r="EM341" s="53"/>
      <c r="EN341" s="53"/>
      <c r="EO341" s="49"/>
      <c r="EP341" s="49"/>
      <c r="EQ341" s="49"/>
    </row>
    <row r="342" spans="1:149">
      <c r="A342" s="15" t="s">
        <v>23</v>
      </c>
      <c r="B342" s="14" t="s">
        <v>7</v>
      </c>
      <c r="C342" s="16" t="s">
        <v>45</v>
      </c>
      <c r="D342" s="16"/>
      <c r="E342" s="16" t="s">
        <v>16</v>
      </c>
      <c r="F342" s="16"/>
      <c r="G342" s="16" t="s">
        <v>89</v>
      </c>
      <c r="H342" s="16"/>
      <c r="I342" s="24"/>
      <c r="J342" s="25">
        <v>0.95</v>
      </c>
      <c r="K342" s="25">
        <v>0.95</v>
      </c>
      <c r="L342" s="25">
        <v>0.95</v>
      </c>
      <c r="M342" s="25">
        <v>0.95</v>
      </c>
      <c r="N342" s="25">
        <v>0.95</v>
      </c>
      <c r="O342" s="25">
        <v>0.95</v>
      </c>
      <c r="P342" s="25">
        <v>0.95</v>
      </c>
      <c r="Q342" s="25">
        <v>0.95</v>
      </c>
      <c r="R342" s="25">
        <v>0.95</v>
      </c>
      <c r="S342" s="25">
        <v>0.95</v>
      </c>
      <c r="T342" s="25">
        <v>0.95</v>
      </c>
      <c r="U342" s="25">
        <v>0.95</v>
      </c>
      <c r="V342" s="220">
        <f>$AG342</f>
        <v>0.95</v>
      </c>
      <c r="W342" s="250">
        <f t="shared" ref="W342:AF342" si="1987">$AG342</f>
        <v>0.95</v>
      </c>
      <c r="X342" s="250">
        <f t="shared" si="1987"/>
        <v>0.95</v>
      </c>
      <c r="Y342" s="250">
        <f t="shared" si="1987"/>
        <v>0.95</v>
      </c>
      <c r="Z342" s="250">
        <f t="shared" si="1987"/>
        <v>0.95</v>
      </c>
      <c r="AA342" s="250">
        <f t="shared" si="1987"/>
        <v>0.95</v>
      </c>
      <c r="AB342" s="250">
        <f t="shared" si="1987"/>
        <v>0.95</v>
      </c>
      <c r="AC342" s="250">
        <f t="shared" si="1987"/>
        <v>0.95</v>
      </c>
      <c r="AD342" s="250">
        <f t="shared" si="1987"/>
        <v>0.95</v>
      </c>
      <c r="AE342" s="250">
        <f t="shared" si="1987"/>
        <v>0.95</v>
      </c>
      <c r="AF342" s="250">
        <f t="shared" si="1987"/>
        <v>0.95</v>
      </c>
      <c r="AG342" s="250">
        <v>0.95</v>
      </c>
      <c r="AH342" s="33">
        <v>0.95</v>
      </c>
      <c r="AI342" s="220">
        <v>0.95</v>
      </c>
      <c r="AJ342" s="220">
        <v>0.95</v>
      </c>
      <c r="AK342" s="412"/>
      <c r="AL342" s="55">
        <f>J342</f>
        <v>0.95</v>
      </c>
      <c r="AM342" s="55">
        <f t="shared" ref="AM342:AW342" si="1988">K342</f>
        <v>0.95</v>
      </c>
      <c r="AN342" s="55">
        <f t="shared" si="1988"/>
        <v>0.95</v>
      </c>
      <c r="AO342" s="55">
        <f t="shared" si="1988"/>
        <v>0.95</v>
      </c>
      <c r="AP342" s="55">
        <f t="shared" si="1988"/>
        <v>0.95</v>
      </c>
      <c r="AQ342" s="55">
        <f t="shared" si="1988"/>
        <v>0.95</v>
      </c>
      <c r="AR342" s="55">
        <f t="shared" si="1988"/>
        <v>0.95</v>
      </c>
      <c r="AS342" s="55">
        <f t="shared" si="1988"/>
        <v>0.95</v>
      </c>
      <c r="AT342" s="55">
        <f t="shared" si="1988"/>
        <v>0.95</v>
      </c>
      <c r="AU342" s="55">
        <f t="shared" si="1988"/>
        <v>0.95</v>
      </c>
      <c r="AV342" s="55">
        <f t="shared" si="1988"/>
        <v>0.95</v>
      </c>
      <c r="AW342" s="55">
        <f t="shared" si="1988"/>
        <v>0.95</v>
      </c>
      <c r="AX342" s="55">
        <f>V342</f>
        <v>0.95</v>
      </c>
      <c r="AY342" s="55">
        <f t="shared" ref="AY342:BI342" si="1989">W342</f>
        <v>0.95</v>
      </c>
      <c r="AZ342" s="55">
        <f t="shared" si="1989"/>
        <v>0.95</v>
      </c>
      <c r="BA342" s="55">
        <f t="shared" si="1989"/>
        <v>0.95</v>
      </c>
      <c r="BB342" s="55">
        <f t="shared" si="1989"/>
        <v>0.95</v>
      </c>
      <c r="BC342" s="55">
        <f t="shared" si="1989"/>
        <v>0.95</v>
      </c>
      <c r="BD342" s="55">
        <f t="shared" si="1989"/>
        <v>0.95</v>
      </c>
      <c r="BE342" s="55">
        <f t="shared" si="1989"/>
        <v>0.95</v>
      </c>
      <c r="BF342" s="55">
        <f t="shared" si="1989"/>
        <v>0.95</v>
      </c>
      <c r="BG342" s="55">
        <f t="shared" si="1989"/>
        <v>0.95</v>
      </c>
      <c r="BH342" s="55">
        <f t="shared" si="1989"/>
        <v>0.95</v>
      </c>
      <c r="BI342" s="55">
        <f t="shared" si="1989"/>
        <v>0.95</v>
      </c>
      <c r="BJ342" s="55">
        <f>AH342</f>
        <v>0.95</v>
      </c>
      <c r="BK342" s="55">
        <f t="shared" ref="BK342:BL342" si="1990">AI342</f>
        <v>0.95</v>
      </c>
      <c r="BL342" s="55">
        <f t="shared" si="1990"/>
        <v>0.95</v>
      </c>
      <c r="BM342" s="410"/>
      <c r="BN342" s="56">
        <f t="shared" si="1944"/>
        <v>0.94999999999999984</v>
      </c>
      <c r="BO342" s="56">
        <f t="shared" si="1945"/>
        <v>0.94999999999999984</v>
      </c>
      <c r="BP342" s="56">
        <f>(AL342*AL341+AM342*AM341+AN342*AN341)/BP341</f>
        <v>0.94999999999999984</v>
      </c>
      <c r="BQ342" s="56">
        <f t="shared" si="1947"/>
        <v>0.94999999999999984</v>
      </c>
      <c r="BR342" s="56">
        <f t="shared" si="1948"/>
        <v>0.94999999999999984</v>
      </c>
      <c r="BS342" s="56">
        <f>(AO342*AO341+AP342*AP341+AQ342*AQ341)/BS341</f>
        <v>0.94999999999999984</v>
      </c>
      <c r="BT342" s="56">
        <f t="shared" si="1950"/>
        <v>0.94999999999999984</v>
      </c>
      <c r="BU342" s="56">
        <f t="shared" si="1951"/>
        <v>0.94999999999999984</v>
      </c>
      <c r="BV342" s="56">
        <f>(AR342*AR341+AS342*AS341+AT342*AT341)/BV341</f>
        <v>0.94999999999999984</v>
      </c>
      <c r="BW342" s="56">
        <f t="shared" si="1953"/>
        <v>0.94999999999999984</v>
      </c>
      <c r="BX342" s="56">
        <f t="shared" si="1954"/>
        <v>0.94999999999999984</v>
      </c>
      <c r="BY342" s="56">
        <f>(AU342*AU341+AV342*AV341+AW342*AW341)/BY341</f>
        <v>0.94999999999999984</v>
      </c>
      <c r="BZ342" s="56">
        <f t="shared" si="1956"/>
        <v>0.95</v>
      </c>
      <c r="CA342" s="56">
        <f t="shared" si="1957"/>
        <v>0.95</v>
      </c>
      <c r="CB342" s="48">
        <f t="shared" si="1979"/>
        <v>0.95</v>
      </c>
      <c r="CC342" s="56">
        <f t="shared" si="1958"/>
        <v>2.8499999999999996</v>
      </c>
      <c r="CD342" s="56">
        <f t="shared" si="1959"/>
        <v>2.8499999999999996</v>
      </c>
      <c r="CE342" s="48">
        <f>SUM(BA342:BC342)</f>
        <v>2.8499999999999996</v>
      </c>
      <c r="CF342" s="56">
        <f t="shared" si="1961"/>
        <v>2.8499999999999996</v>
      </c>
      <c r="CG342" s="56">
        <f t="shared" si="1962"/>
        <v>2.8499999999999996</v>
      </c>
      <c r="CH342" s="48">
        <f>SUM(BD342:BF342)</f>
        <v>2.8499999999999996</v>
      </c>
      <c r="CI342" s="56">
        <f t="shared" si="1964"/>
        <v>2.8499999999999996</v>
      </c>
      <c r="CJ342" s="56">
        <f t="shared" si="1965"/>
        <v>2.8499999999999996</v>
      </c>
      <c r="CK342" s="48">
        <f>SUM(BG342:BI342)</f>
        <v>2.8499999999999996</v>
      </c>
      <c r="CL342" s="56" t="e">
        <f t="shared" si="1967"/>
        <v>#DIV/0!</v>
      </c>
      <c r="CM342" s="56" t="e">
        <f t="shared" si="1968"/>
        <v>#DIV/0!</v>
      </c>
      <c r="CN342" s="56" t="e">
        <f>(BJ342*BJ341+BK342*BK341+BL342*BL341)/CN341</f>
        <v>#DIV/0!</v>
      </c>
      <c r="CO342" s="422"/>
      <c r="CP342" s="56">
        <f t="shared" ref="CP342:DA342" si="1991">CP355/CP341</f>
        <v>0.95</v>
      </c>
      <c r="CQ342" s="56">
        <f t="shared" si="1991"/>
        <v>0.95</v>
      </c>
      <c r="CR342" s="56">
        <f t="shared" si="1991"/>
        <v>0.94999999999999984</v>
      </c>
      <c r="CS342" s="56">
        <f t="shared" si="1991"/>
        <v>0.95</v>
      </c>
      <c r="CT342" s="56">
        <f t="shared" si="1991"/>
        <v>0.95</v>
      </c>
      <c r="CU342" s="56">
        <f t="shared" si="1991"/>
        <v>0.95000000000000007</v>
      </c>
      <c r="CV342" s="56">
        <f t="shared" si="1991"/>
        <v>0.95000000000000007</v>
      </c>
      <c r="CW342" s="56">
        <f t="shared" si="1991"/>
        <v>0.95000000000000007</v>
      </c>
      <c r="CX342" s="56">
        <f t="shared" si="1991"/>
        <v>0.95000000000000007</v>
      </c>
      <c r="CY342" s="56">
        <f t="shared" si="1991"/>
        <v>0.95</v>
      </c>
      <c r="CZ342" s="56">
        <f t="shared" si="1991"/>
        <v>0.95</v>
      </c>
      <c r="DA342" s="56">
        <f t="shared" si="1991"/>
        <v>0.94999999999999984</v>
      </c>
      <c r="DB342" s="56">
        <f t="shared" ref="DB342:DP342" si="1992">DA342</f>
        <v>0.94999999999999984</v>
      </c>
      <c r="DC342" s="56">
        <f t="shared" si="1992"/>
        <v>0.94999999999999984</v>
      </c>
      <c r="DD342" s="56">
        <f t="shared" si="1992"/>
        <v>0.94999999999999984</v>
      </c>
      <c r="DE342" s="56">
        <f t="shared" si="1992"/>
        <v>0.94999999999999984</v>
      </c>
      <c r="DF342" s="56">
        <f t="shared" si="1992"/>
        <v>0.94999999999999984</v>
      </c>
      <c r="DG342" s="56">
        <f t="shared" si="1992"/>
        <v>0.94999999999999984</v>
      </c>
      <c r="DH342" s="56">
        <f t="shared" si="1992"/>
        <v>0.94999999999999984</v>
      </c>
      <c r="DI342" s="56">
        <f t="shared" si="1992"/>
        <v>0.94999999999999984</v>
      </c>
      <c r="DJ342" s="56">
        <f t="shared" si="1992"/>
        <v>0.94999999999999984</v>
      </c>
      <c r="DK342" s="56">
        <f t="shared" si="1992"/>
        <v>0.94999999999999984</v>
      </c>
      <c r="DL342" s="56">
        <f t="shared" si="1992"/>
        <v>0.94999999999999984</v>
      </c>
      <c r="DM342" s="56">
        <f t="shared" si="1992"/>
        <v>0.94999999999999984</v>
      </c>
      <c r="DN342" s="56">
        <f t="shared" si="1992"/>
        <v>0.94999999999999984</v>
      </c>
      <c r="DO342" s="56">
        <f t="shared" si="1992"/>
        <v>0.94999999999999984</v>
      </c>
      <c r="DP342" s="56">
        <f t="shared" si="1992"/>
        <v>0.94999999999999984</v>
      </c>
      <c r="DQ342" s="56"/>
      <c r="DR342" s="56"/>
      <c r="DS342" s="56"/>
      <c r="DT342" s="56"/>
      <c r="DU342" s="56"/>
      <c r="DV342" s="56"/>
      <c r="DW342" s="56"/>
      <c r="DX342" s="56"/>
      <c r="DY342" s="56"/>
      <c r="DZ342" s="14"/>
      <c r="EA342" s="55">
        <f t="shared" si="1976"/>
        <v>0.94999999999999984</v>
      </c>
      <c r="EB342" s="55">
        <f t="shared" si="1977"/>
        <v>0.94999999999999984</v>
      </c>
      <c r="EC342" s="55"/>
      <c r="ED342" s="430"/>
      <c r="EE342" s="56">
        <f t="shared" si="1941"/>
        <v>0.95</v>
      </c>
      <c r="EF342" s="56">
        <f t="shared" si="1941"/>
        <v>0.95</v>
      </c>
      <c r="EG342" s="56">
        <f t="shared" si="1986"/>
        <v>0.94999999999999984</v>
      </c>
      <c r="EH342" s="57"/>
      <c r="EI342" s="57"/>
      <c r="EJ342" s="57"/>
      <c r="EK342" s="675"/>
      <c r="EL342" s="55"/>
      <c r="EM342" s="55"/>
      <c r="EN342" s="55"/>
      <c r="EO342" s="49"/>
      <c r="EP342" s="49"/>
      <c r="EQ342" s="49"/>
      <c r="ER342" s="14"/>
      <c r="ES342" s="14"/>
    </row>
    <row r="343" spans="1:149">
      <c r="A343" s="6" t="s">
        <v>23</v>
      </c>
      <c r="B343" s="2" t="s">
        <v>8</v>
      </c>
      <c r="C343" s="3" t="s">
        <v>86</v>
      </c>
      <c r="E343" s="3" t="s">
        <v>16</v>
      </c>
      <c r="G343" s="3" t="s">
        <v>91</v>
      </c>
      <c r="I343" s="23"/>
      <c r="J343" s="19">
        <v>2.0833333330000001</v>
      </c>
      <c r="K343" s="19">
        <v>4.1666660000000002</v>
      </c>
      <c r="L343" s="19">
        <v>6.25</v>
      </c>
      <c r="M343" s="19">
        <v>8.3333300000000001</v>
      </c>
      <c r="N343" s="19">
        <v>10.416665999999999</v>
      </c>
      <c r="O343" s="19">
        <v>12.5</v>
      </c>
      <c r="P343" s="19">
        <v>14.583299999999999</v>
      </c>
      <c r="Q343" s="19">
        <v>16.667000000000002</v>
      </c>
      <c r="R343" s="19">
        <v>18.75</v>
      </c>
      <c r="S343" s="19">
        <v>20.833300000000001</v>
      </c>
      <c r="T343" s="19">
        <v>22.916699999999999</v>
      </c>
      <c r="U343" s="19">
        <v>25</v>
      </c>
      <c r="V343" s="219">
        <v>1.25</v>
      </c>
      <c r="W343" s="246">
        <f>V343+1.25</f>
        <v>2.5</v>
      </c>
      <c r="X343" s="376">
        <f t="shared" ref="X343:AG343" si="1993">W343+1.25</f>
        <v>3.75</v>
      </c>
      <c r="Y343" s="376">
        <f t="shared" si="1993"/>
        <v>5</v>
      </c>
      <c r="Z343" s="376">
        <f t="shared" si="1993"/>
        <v>6.25</v>
      </c>
      <c r="AA343" s="376">
        <f t="shared" si="1993"/>
        <v>7.5</v>
      </c>
      <c r="AB343" s="376">
        <f t="shared" si="1993"/>
        <v>8.75</v>
      </c>
      <c r="AC343" s="376">
        <f t="shared" si="1993"/>
        <v>10</v>
      </c>
      <c r="AD343" s="376">
        <f t="shared" si="1993"/>
        <v>11.25</v>
      </c>
      <c r="AE343" s="376">
        <f t="shared" si="1993"/>
        <v>12.5</v>
      </c>
      <c r="AF343" s="376">
        <f t="shared" si="1993"/>
        <v>13.75</v>
      </c>
      <c r="AG343" s="376">
        <f t="shared" si="1993"/>
        <v>15</v>
      </c>
      <c r="AH343" s="31"/>
      <c r="AI343" s="19"/>
      <c r="AJ343" s="19"/>
      <c r="AK343" s="408"/>
      <c r="AL343" s="40">
        <f>J343</f>
        <v>2.0833333330000001</v>
      </c>
      <c r="AM343" s="40">
        <f>K343-J343</f>
        <v>2.0833326670000001</v>
      </c>
      <c r="AN343" s="40">
        <f t="shared" ref="AN343:AN349" si="1994">L343-K343</f>
        <v>2.0833339999999998</v>
      </c>
      <c r="AO343" s="40">
        <f t="shared" ref="AO343:AO349" si="1995">M343-L343</f>
        <v>2.0833300000000001</v>
      </c>
      <c r="AP343" s="40">
        <f t="shared" ref="AP343:AP349" si="1996">N343-M343</f>
        <v>2.0833359999999992</v>
      </c>
      <c r="AQ343" s="40">
        <f t="shared" ref="AQ343:AQ349" si="1997">O343-N343</f>
        <v>2.0833340000000007</v>
      </c>
      <c r="AR343" s="40">
        <f t="shared" ref="AR343:AR349" si="1998">P343-O343</f>
        <v>2.0832999999999995</v>
      </c>
      <c r="AS343" s="40">
        <f t="shared" ref="AS343:AS349" si="1999">Q343-P343</f>
        <v>2.0837000000000021</v>
      </c>
      <c r="AT343" s="40">
        <f t="shared" ref="AT343:AT349" si="2000">R343-Q343</f>
        <v>2.0829999999999984</v>
      </c>
      <c r="AU343" s="40">
        <f t="shared" ref="AU343:AU349" si="2001">S343-R343</f>
        <v>2.0833000000000013</v>
      </c>
      <c r="AV343" s="40">
        <f t="shared" ref="AV343:AV349" si="2002">T343-S343</f>
        <v>2.0833999999999975</v>
      </c>
      <c r="AW343" s="40">
        <f t="shared" ref="AW343:AW349" si="2003">U343-T343</f>
        <v>2.0833000000000013</v>
      </c>
      <c r="AX343" s="40">
        <f>V343</f>
        <v>1.25</v>
      </c>
      <c r="AY343" s="40">
        <f t="shared" ref="AY343:AY349" si="2004">W343-V343</f>
        <v>1.25</v>
      </c>
      <c r="AZ343" s="40">
        <f t="shared" ref="AZ343:AZ349" si="2005">X343-W343</f>
        <v>1.25</v>
      </c>
      <c r="BA343" s="40">
        <f t="shared" ref="BA343:BA349" si="2006">Y343-X343</f>
        <v>1.25</v>
      </c>
      <c r="BB343" s="40">
        <f t="shared" ref="BB343:BB349" si="2007">Z343-Y343</f>
        <v>1.25</v>
      </c>
      <c r="BC343" s="40">
        <f t="shared" ref="BC343:BC349" si="2008">AA343-Z343</f>
        <v>1.25</v>
      </c>
      <c r="BD343" s="40">
        <f t="shared" ref="BD343:BD349" si="2009">AB343-AA343</f>
        <v>1.25</v>
      </c>
      <c r="BE343" s="40">
        <f t="shared" ref="BE343:BE349" si="2010">AC343-AB343</f>
        <v>1.25</v>
      </c>
      <c r="BF343" s="40">
        <f t="shared" ref="BF343:BF349" si="2011">AD343-AC343</f>
        <v>1.25</v>
      </c>
      <c r="BG343" s="40">
        <f t="shared" ref="BG343:BG349" si="2012">AE343-AD343</f>
        <v>1.25</v>
      </c>
      <c r="BH343" s="40">
        <f t="shared" ref="BH343:BH349" si="2013">AF343-AE343</f>
        <v>1.25</v>
      </c>
      <c r="BI343" s="40">
        <f t="shared" ref="BI343:BI349" si="2014">AG343-AF343</f>
        <v>1.25</v>
      </c>
      <c r="BJ343" s="40">
        <f t="shared" ref="BJ343:BJ348" si="2015">AH343</f>
        <v>0</v>
      </c>
      <c r="BK343" s="40">
        <f t="shared" ref="BK343:BK349" si="2016">AI343-AH343</f>
        <v>0</v>
      </c>
      <c r="BL343" s="40">
        <f t="shared" ref="BL343:BL349" si="2017">AJ343-AI343</f>
        <v>0</v>
      </c>
      <c r="BM343" s="408"/>
      <c r="BN343" s="48">
        <f t="shared" si="1944"/>
        <v>6.25</v>
      </c>
      <c r="BO343" s="48">
        <f t="shared" si="1945"/>
        <v>6.25</v>
      </c>
      <c r="BP343" s="48">
        <f t="shared" ref="BP343:BP348" si="2018">SUM(AL343:AN343)</f>
        <v>6.25</v>
      </c>
      <c r="BQ343" s="48">
        <f t="shared" si="1947"/>
        <v>6.25</v>
      </c>
      <c r="BR343" s="48">
        <f t="shared" si="1948"/>
        <v>6.25</v>
      </c>
      <c r="BS343" s="48">
        <f t="shared" ref="BS343:BS349" si="2019">SUM(AO343:AQ343)</f>
        <v>6.25</v>
      </c>
      <c r="BT343" s="48">
        <f t="shared" si="1950"/>
        <v>6.25</v>
      </c>
      <c r="BU343" s="48">
        <f t="shared" si="1951"/>
        <v>6.25</v>
      </c>
      <c r="BV343" s="48">
        <f t="shared" ref="BV343:BV349" si="2020">SUM(AR343:AT343)</f>
        <v>6.25</v>
      </c>
      <c r="BW343" s="48">
        <f t="shared" si="1953"/>
        <v>6.25</v>
      </c>
      <c r="BX343" s="48">
        <f t="shared" si="1954"/>
        <v>6.25</v>
      </c>
      <c r="BY343" s="48">
        <f t="shared" ref="BY343:BY349" si="2021">SUM(AU343:AW343)</f>
        <v>6.25</v>
      </c>
      <c r="BZ343" s="48">
        <f t="shared" si="1956"/>
        <v>3.75</v>
      </c>
      <c r="CA343" s="48">
        <f t="shared" si="1957"/>
        <v>3.75</v>
      </c>
      <c r="CB343" s="48">
        <f t="shared" si="1979"/>
        <v>3.75</v>
      </c>
      <c r="CC343" s="48">
        <f t="shared" si="1958"/>
        <v>3.75</v>
      </c>
      <c r="CD343" s="48">
        <f t="shared" si="1959"/>
        <v>3.75</v>
      </c>
      <c r="CE343" s="48">
        <f>SUM(BA343:BC343)</f>
        <v>3.75</v>
      </c>
      <c r="CF343" s="48">
        <f t="shared" si="1961"/>
        <v>3.75</v>
      </c>
      <c r="CG343" s="48">
        <f t="shared" si="1962"/>
        <v>3.75</v>
      </c>
      <c r="CH343" s="48">
        <f>SUM(BD343:BF343)</f>
        <v>3.75</v>
      </c>
      <c r="CI343" s="48">
        <f t="shared" si="1964"/>
        <v>3.75</v>
      </c>
      <c r="CJ343" s="48">
        <f t="shared" si="1965"/>
        <v>3.75</v>
      </c>
      <c r="CK343" s="48">
        <f>SUM(BG343:BI343)</f>
        <v>3.75</v>
      </c>
      <c r="CL343" s="48">
        <f t="shared" si="1967"/>
        <v>0</v>
      </c>
      <c r="CM343" s="48">
        <f t="shared" si="1968"/>
        <v>0</v>
      </c>
      <c r="CN343" s="48">
        <f t="shared" ref="CN343:CN349" si="2022">SUM(BJ343:BL343)</f>
        <v>0</v>
      </c>
      <c r="CO343" s="406"/>
      <c r="CP343" s="48">
        <f>AL343</f>
        <v>2.0833333330000001</v>
      </c>
      <c r="CQ343" s="48">
        <f t="shared" ref="CQ343:CQ349" si="2023">CP343+AM343</f>
        <v>4.1666660000000002</v>
      </c>
      <c r="CR343" s="48">
        <f t="shared" ref="CR343:CR349" si="2024">CQ343+AN343</f>
        <v>6.25</v>
      </c>
      <c r="CS343" s="48">
        <f t="shared" ref="CS343:CS349" si="2025">CR343+AO343</f>
        <v>8.3333300000000001</v>
      </c>
      <c r="CT343" s="48">
        <f t="shared" ref="CT343:CT349" si="2026">CS343+AP343</f>
        <v>10.416665999999999</v>
      </c>
      <c r="CU343" s="48">
        <f t="shared" ref="CU343:CU349" si="2027">CT343+AQ343</f>
        <v>12.5</v>
      </c>
      <c r="CV343" s="48">
        <f t="shared" ref="CV343:CV349" si="2028">CU343+AR343</f>
        <v>14.583299999999999</v>
      </c>
      <c r="CW343" s="48">
        <f t="shared" ref="CW343:CW349" si="2029">CV343+AS343</f>
        <v>16.667000000000002</v>
      </c>
      <c r="CX343" s="48">
        <f t="shared" ref="CX343:CX349" si="2030">CW343+AT343</f>
        <v>18.75</v>
      </c>
      <c r="CY343" s="48">
        <f t="shared" ref="CY343:CY349" si="2031">CX343+AU343</f>
        <v>20.833300000000001</v>
      </c>
      <c r="CZ343" s="48">
        <f t="shared" ref="CZ343:CZ349" si="2032">CY343+AV343</f>
        <v>22.916699999999999</v>
      </c>
      <c r="DA343" s="48">
        <f t="shared" ref="DA343:DA349" si="2033">CZ343+AW343</f>
        <v>25</v>
      </c>
      <c r="DB343" s="48">
        <f>AX343</f>
        <v>1.25</v>
      </c>
      <c r="DC343" s="48">
        <f t="shared" ref="DC343:DC349" si="2034">DB343+AY343</f>
        <v>2.5</v>
      </c>
      <c r="DD343" s="48">
        <f t="shared" ref="DD343:DD349" si="2035">DC343+AZ343</f>
        <v>3.75</v>
      </c>
      <c r="DE343" s="48">
        <f t="shared" ref="DE343:DE349" si="2036">DD343+BA343</f>
        <v>5</v>
      </c>
      <c r="DF343" s="48">
        <f t="shared" ref="DF343:DF349" si="2037">DE343+BB343</f>
        <v>6.25</v>
      </c>
      <c r="DG343" s="48">
        <f t="shared" ref="DG343:DG349" si="2038">DF343+BC343</f>
        <v>7.5</v>
      </c>
      <c r="DH343" s="48">
        <f t="shared" ref="DH343:DH349" si="2039">DG343+BD343</f>
        <v>8.75</v>
      </c>
      <c r="DI343" s="48">
        <f t="shared" ref="DI343:DI349" si="2040">DH343+BE343</f>
        <v>10</v>
      </c>
      <c r="DJ343" s="48">
        <f t="shared" ref="DJ343:DJ349" si="2041">DI343+BF343</f>
        <v>11.25</v>
      </c>
      <c r="DK343" s="48">
        <f t="shared" ref="DK343:DK349" si="2042">DJ343+BG343</f>
        <v>12.5</v>
      </c>
      <c r="DL343" s="48">
        <f t="shared" ref="DL343:DL349" si="2043">DK343+BH343</f>
        <v>13.75</v>
      </c>
      <c r="DM343" s="48">
        <f t="shared" ref="DM343:DM349" si="2044">DL343+BI343</f>
        <v>15</v>
      </c>
      <c r="DN343" s="48">
        <f t="shared" ref="DN343:DN348" si="2045">BJ343</f>
        <v>0</v>
      </c>
      <c r="DO343" s="48">
        <f>DN343+BK343</f>
        <v>0</v>
      </c>
      <c r="DP343" s="48">
        <f>DO343+BL343</f>
        <v>0</v>
      </c>
      <c r="DQ343" s="48"/>
      <c r="DR343" s="48"/>
      <c r="DS343" s="48"/>
      <c r="DT343" s="48"/>
      <c r="DU343" s="48"/>
      <c r="DV343" s="48"/>
      <c r="DW343" s="48"/>
      <c r="DX343" s="48"/>
      <c r="DY343" s="48"/>
      <c r="EA343" s="52">
        <f t="shared" si="1976"/>
        <v>25</v>
      </c>
      <c r="EB343" s="52">
        <f t="shared" si="1977"/>
        <v>15</v>
      </c>
      <c r="EC343" s="52"/>
      <c r="ED343" s="429"/>
      <c r="EE343" s="40">
        <f t="shared" si="1941"/>
        <v>0</v>
      </c>
      <c r="EF343" s="40">
        <f t="shared" si="1942"/>
        <v>0</v>
      </c>
      <c r="EG343" s="51">
        <f t="shared" si="1986"/>
        <v>15</v>
      </c>
      <c r="EH343" s="54"/>
      <c r="EI343" s="54"/>
      <c r="EJ343" s="54"/>
      <c r="EK343" s="675"/>
      <c r="EL343" s="53"/>
      <c r="EM343" s="53"/>
      <c r="EN343" s="53"/>
      <c r="EO343" s="49"/>
      <c r="EP343" s="49"/>
      <c r="EQ343" s="49"/>
    </row>
    <row r="344" spans="1:149">
      <c r="A344" s="6" t="s">
        <v>23</v>
      </c>
      <c r="B344" s="2" t="s">
        <v>9</v>
      </c>
      <c r="C344" s="3" t="s">
        <v>46</v>
      </c>
      <c r="E344" s="3" t="s">
        <v>16</v>
      </c>
      <c r="G344" s="3" t="s">
        <v>91</v>
      </c>
      <c r="I344" s="23"/>
      <c r="J344" s="19">
        <v>82.5</v>
      </c>
      <c r="K344" s="19">
        <v>165</v>
      </c>
      <c r="L344" s="19">
        <v>247.5</v>
      </c>
      <c r="M344" s="19">
        <v>330</v>
      </c>
      <c r="N344" s="19">
        <v>412.5</v>
      </c>
      <c r="O344" s="19">
        <v>495</v>
      </c>
      <c r="P344" s="19">
        <v>577.5</v>
      </c>
      <c r="Q344" s="19">
        <v>660</v>
      </c>
      <c r="R344" s="19">
        <v>742.5</v>
      </c>
      <c r="S344" s="19">
        <v>825</v>
      </c>
      <c r="T344" s="19">
        <v>907.5</v>
      </c>
      <c r="U344" s="19">
        <v>990</v>
      </c>
      <c r="V344" s="219">
        <v>99</v>
      </c>
      <c r="W344" s="246">
        <f>V344+99</f>
        <v>198</v>
      </c>
      <c r="X344" s="376">
        <f t="shared" ref="X344:AG344" si="2046">W344+99</f>
        <v>297</v>
      </c>
      <c r="Y344" s="376">
        <f t="shared" si="2046"/>
        <v>396</v>
      </c>
      <c r="Z344" s="376">
        <f t="shared" si="2046"/>
        <v>495</v>
      </c>
      <c r="AA344" s="376">
        <f t="shared" si="2046"/>
        <v>594</v>
      </c>
      <c r="AB344" s="376">
        <f t="shared" si="2046"/>
        <v>693</v>
      </c>
      <c r="AC344" s="376">
        <f t="shared" si="2046"/>
        <v>792</v>
      </c>
      <c r="AD344" s="376">
        <f t="shared" si="2046"/>
        <v>891</v>
      </c>
      <c r="AE344" s="376">
        <f t="shared" si="2046"/>
        <v>990</v>
      </c>
      <c r="AF344" s="376">
        <f t="shared" si="2046"/>
        <v>1089</v>
      </c>
      <c r="AG344" s="376">
        <f t="shared" si="2046"/>
        <v>1188</v>
      </c>
      <c r="AH344" s="31">
        <f>933/12</f>
        <v>77.75</v>
      </c>
      <c r="AI344" s="19">
        <f>AH344+AH344</f>
        <v>155.5</v>
      </c>
      <c r="AJ344" s="19">
        <f>+AI344+AH344</f>
        <v>233.25</v>
      </c>
      <c r="AK344" s="408"/>
      <c r="AL344" s="40">
        <f t="shared" ref="AL344:AL349" si="2047">J344</f>
        <v>82.5</v>
      </c>
      <c r="AM344" s="40">
        <f t="shared" ref="AM344:AM349" si="2048">K344-J344</f>
        <v>82.5</v>
      </c>
      <c r="AN344" s="40">
        <f t="shared" si="1994"/>
        <v>82.5</v>
      </c>
      <c r="AO344" s="40">
        <f t="shared" si="1995"/>
        <v>82.5</v>
      </c>
      <c r="AP344" s="40">
        <f t="shared" si="1996"/>
        <v>82.5</v>
      </c>
      <c r="AQ344" s="40">
        <f t="shared" si="1997"/>
        <v>82.5</v>
      </c>
      <c r="AR344" s="40">
        <f t="shared" si="1998"/>
        <v>82.5</v>
      </c>
      <c r="AS344" s="40">
        <f t="shared" si="1999"/>
        <v>82.5</v>
      </c>
      <c r="AT344" s="40">
        <f t="shared" si="2000"/>
        <v>82.5</v>
      </c>
      <c r="AU344" s="40">
        <f t="shared" si="2001"/>
        <v>82.5</v>
      </c>
      <c r="AV344" s="40">
        <f t="shared" si="2002"/>
        <v>82.5</v>
      </c>
      <c r="AW344" s="40">
        <f t="shared" si="2003"/>
        <v>82.5</v>
      </c>
      <c r="AX344" s="40">
        <f t="shared" ref="AX344:AX349" si="2049">V344</f>
        <v>99</v>
      </c>
      <c r="AY344" s="40">
        <f t="shared" si="2004"/>
        <v>99</v>
      </c>
      <c r="AZ344" s="40">
        <f t="shared" si="2005"/>
        <v>99</v>
      </c>
      <c r="BA344" s="40">
        <f t="shared" si="2006"/>
        <v>99</v>
      </c>
      <c r="BB344" s="40">
        <f t="shared" si="2007"/>
        <v>99</v>
      </c>
      <c r="BC344" s="40">
        <f t="shared" si="2008"/>
        <v>99</v>
      </c>
      <c r="BD344" s="40">
        <f t="shared" si="2009"/>
        <v>99</v>
      </c>
      <c r="BE344" s="40">
        <f t="shared" si="2010"/>
        <v>99</v>
      </c>
      <c r="BF344" s="40">
        <f t="shared" si="2011"/>
        <v>99</v>
      </c>
      <c r="BG344" s="40">
        <f t="shared" si="2012"/>
        <v>99</v>
      </c>
      <c r="BH344" s="40">
        <f t="shared" si="2013"/>
        <v>99</v>
      </c>
      <c r="BI344" s="40">
        <f t="shared" si="2014"/>
        <v>99</v>
      </c>
      <c r="BJ344" s="40">
        <f t="shared" si="2015"/>
        <v>77.75</v>
      </c>
      <c r="BK344" s="40">
        <f t="shared" ref="BK344" si="2050">AI344</f>
        <v>155.5</v>
      </c>
      <c r="BL344" s="40">
        <f t="shared" ref="BL344" si="2051">AJ344</f>
        <v>233.25</v>
      </c>
      <c r="BM344" s="408"/>
      <c r="BN344" s="48">
        <f t="shared" si="1944"/>
        <v>247.5</v>
      </c>
      <c r="BO344" s="48">
        <f t="shared" si="1945"/>
        <v>247.5</v>
      </c>
      <c r="BP344" s="48">
        <f t="shared" si="2018"/>
        <v>247.5</v>
      </c>
      <c r="BQ344" s="48">
        <f t="shared" si="1947"/>
        <v>247.5</v>
      </c>
      <c r="BR344" s="48">
        <f t="shared" si="1948"/>
        <v>247.5</v>
      </c>
      <c r="BS344" s="48">
        <f t="shared" si="2019"/>
        <v>247.5</v>
      </c>
      <c r="BT344" s="48">
        <f t="shared" si="1950"/>
        <v>247.5</v>
      </c>
      <c r="BU344" s="48">
        <f t="shared" si="1951"/>
        <v>247.5</v>
      </c>
      <c r="BV344" s="48">
        <f t="shared" si="2020"/>
        <v>247.5</v>
      </c>
      <c r="BW344" s="48">
        <f t="shared" si="1953"/>
        <v>247.5</v>
      </c>
      <c r="BX344" s="48">
        <f t="shared" si="1954"/>
        <v>247.5</v>
      </c>
      <c r="BY344" s="48">
        <f t="shared" si="2021"/>
        <v>247.5</v>
      </c>
      <c r="BZ344" s="48">
        <f t="shared" si="1956"/>
        <v>297</v>
      </c>
      <c r="CA344" s="48">
        <f t="shared" si="1957"/>
        <v>297</v>
      </c>
      <c r="CB344" s="48">
        <f t="shared" si="1979"/>
        <v>297</v>
      </c>
      <c r="CC344" s="48">
        <f t="shared" si="1958"/>
        <v>99</v>
      </c>
      <c r="CD344" s="48">
        <f t="shared" si="1959"/>
        <v>99</v>
      </c>
      <c r="CE344" s="56">
        <f>IF(CE343=0,0,(BA344*BA343+BB344*BB343+BC344*BC343)/CE343)</f>
        <v>99</v>
      </c>
      <c r="CF344" s="48">
        <f t="shared" si="1961"/>
        <v>99</v>
      </c>
      <c r="CG344" s="48">
        <f t="shared" si="1962"/>
        <v>99</v>
      </c>
      <c r="CH344" s="56">
        <f>IF(CH343=0,0,(BD344*BD343+BE344*BE343+BF344*BF343)/CH343)</f>
        <v>99</v>
      </c>
      <c r="CI344" s="48">
        <f t="shared" si="1964"/>
        <v>99</v>
      </c>
      <c r="CJ344" s="48">
        <f t="shared" si="1965"/>
        <v>99</v>
      </c>
      <c r="CK344" s="56">
        <f>IF(CK343=0,0,(BG344*BG343+BH344*BH343+BI344*BI343)/CK343)</f>
        <v>99</v>
      </c>
      <c r="CL344" s="48">
        <f t="shared" si="1967"/>
        <v>466.5</v>
      </c>
      <c r="CM344" s="48">
        <f t="shared" si="1968"/>
        <v>466.5</v>
      </c>
      <c r="CN344" s="48">
        <f t="shared" si="2022"/>
        <v>466.5</v>
      </c>
      <c r="CO344" s="406"/>
      <c r="CP344" s="48">
        <f t="shared" ref="CP344:CP349" si="2052">AL344</f>
        <v>82.5</v>
      </c>
      <c r="CQ344" s="48">
        <f t="shared" si="2023"/>
        <v>165</v>
      </c>
      <c r="CR344" s="48">
        <f t="shared" si="2024"/>
        <v>247.5</v>
      </c>
      <c r="CS344" s="48">
        <f t="shared" si="2025"/>
        <v>330</v>
      </c>
      <c r="CT344" s="48">
        <f t="shared" si="2026"/>
        <v>412.5</v>
      </c>
      <c r="CU344" s="48">
        <f t="shared" si="2027"/>
        <v>495</v>
      </c>
      <c r="CV344" s="48">
        <f t="shared" si="2028"/>
        <v>577.5</v>
      </c>
      <c r="CW344" s="48">
        <f t="shared" si="2029"/>
        <v>660</v>
      </c>
      <c r="CX344" s="48">
        <f t="shared" si="2030"/>
        <v>742.5</v>
      </c>
      <c r="CY344" s="48">
        <f t="shared" si="2031"/>
        <v>825</v>
      </c>
      <c r="CZ344" s="48">
        <f t="shared" si="2032"/>
        <v>907.5</v>
      </c>
      <c r="DA344" s="48">
        <f t="shared" si="2033"/>
        <v>990</v>
      </c>
      <c r="DB344" s="48">
        <f t="shared" ref="DB344:DB349" si="2053">AX344</f>
        <v>99</v>
      </c>
      <c r="DC344" s="48">
        <f t="shared" si="2034"/>
        <v>198</v>
      </c>
      <c r="DD344" s="48">
        <f t="shared" si="2035"/>
        <v>297</v>
      </c>
      <c r="DE344" s="48">
        <f t="shared" si="2036"/>
        <v>396</v>
      </c>
      <c r="DF344" s="48">
        <f t="shared" si="2037"/>
        <v>495</v>
      </c>
      <c r="DG344" s="48">
        <f t="shared" si="2038"/>
        <v>594</v>
      </c>
      <c r="DH344" s="48">
        <f t="shared" si="2039"/>
        <v>693</v>
      </c>
      <c r="DI344" s="48">
        <f t="shared" si="2040"/>
        <v>792</v>
      </c>
      <c r="DJ344" s="48">
        <f t="shared" si="2041"/>
        <v>891</v>
      </c>
      <c r="DK344" s="48">
        <f t="shared" si="2042"/>
        <v>990</v>
      </c>
      <c r="DL344" s="48">
        <f t="shared" si="2043"/>
        <v>1089</v>
      </c>
      <c r="DM344" s="48">
        <f t="shared" si="2044"/>
        <v>1188</v>
      </c>
      <c r="DN344" s="48">
        <f t="shared" si="2045"/>
        <v>77.75</v>
      </c>
      <c r="DO344" s="48">
        <f t="shared" ref="DO344:DO349" si="2054">DN344+BK344</f>
        <v>233.25</v>
      </c>
      <c r="DP344" s="48">
        <f t="shared" ref="DP344:DP349" si="2055">DO344+BL344</f>
        <v>466.5</v>
      </c>
      <c r="DQ344" s="48"/>
      <c r="DR344" s="48"/>
      <c r="DS344" s="48"/>
      <c r="DT344" s="48"/>
      <c r="DU344" s="48"/>
      <c r="DV344" s="48"/>
      <c r="DW344" s="48"/>
      <c r="DX344" s="48"/>
      <c r="DY344" s="48"/>
      <c r="EA344" s="52">
        <f t="shared" si="1976"/>
        <v>990</v>
      </c>
      <c r="EB344" s="52">
        <f t="shared" si="1977"/>
        <v>1188</v>
      </c>
      <c r="EC344" s="52"/>
      <c r="ED344" s="429"/>
      <c r="EE344" s="40">
        <f t="shared" si="1941"/>
        <v>155.5</v>
      </c>
      <c r="EF344" s="40">
        <f t="shared" si="1942"/>
        <v>466.5</v>
      </c>
      <c r="EG344" s="51">
        <v>933</v>
      </c>
      <c r="EH344" s="54"/>
      <c r="EI344" s="54"/>
      <c r="EJ344" s="54"/>
      <c r="EK344" s="675"/>
      <c r="EL344" s="53"/>
      <c r="EM344" s="53"/>
      <c r="EN344" s="53"/>
      <c r="EO344" s="49"/>
      <c r="EP344" s="49"/>
      <c r="EQ344" s="49"/>
    </row>
    <row r="345" spans="1:149">
      <c r="A345" s="6" t="s">
        <v>23</v>
      </c>
      <c r="B345" s="2" t="s">
        <v>10</v>
      </c>
      <c r="C345" s="3" t="s">
        <v>47</v>
      </c>
      <c r="E345" s="3" t="s">
        <v>16</v>
      </c>
      <c r="G345" s="3" t="s">
        <v>91</v>
      </c>
      <c r="I345" s="23"/>
      <c r="J345" s="19">
        <f>J344*0.18</f>
        <v>14.85</v>
      </c>
      <c r="K345" s="19">
        <f t="shared" ref="K345:U345" si="2056">K344*0.18</f>
        <v>29.7</v>
      </c>
      <c r="L345" s="19">
        <f t="shared" si="2056"/>
        <v>44.55</v>
      </c>
      <c r="M345" s="19">
        <f t="shared" si="2056"/>
        <v>59.4</v>
      </c>
      <c r="N345" s="19">
        <f t="shared" si="2056"/>
        <v>74.25</v>
      </c>
      <c r="O345" s="19">
        <f t="shared" si="2056"/>
        <v>89.1</v>
      </c>
      <c r="P345" s="19">
        <f t="shared" si="2056"/>
        <v>103.95</v>
      </c>
      <c r="Q345" s="19">
        <f t="shared" si="2056"/>
        <v>118.8</v>
      </c>
      <c r="R345" s="19">
        <f t="shared" si="2056"/>
        <v>133.65</v>
      </c>
      <c r="S345" s="19">
        <f t="shared" si="2056"/>
        <v>148.5</v>
      </c>
      <c r="T345" s="19">
        <f t="shared" si="2056"/>
        <v>163.35</v>
      </c>
      <c r="U345" s="19">
        <f t="shared" si="2056"/>
        <v>178.2</v>
      </c>
      <c r="V345" s="219">
        <v>14.833</v>
      </c>
      <c r="W345" s="246">
        <f>V345+14.833</f>
        <v>29.666</v>
      </c>
      <c r="X345" s="376">
        <f t="shared" ref="X345:AG345" si="2057">W345+14.833</f>
        <v>44.499000000000002</v>
      </c>
      <c r="Y345" s="376">
        <f t="shared" si="2057"/>
        <v>59.332000000000001</v>
      </c>
      <c r="Z345" s="376">
        <f t="shared" si="2057"/>
        <v>74.165000000000006</v>
      </c>
      <c r="AA345" s="376">
        <f t="shared" si="2057"/>
        <v>88.998000000000005</v>
      </c>
      <c r="AB345" s="376">
        <f t="shared" si="2057"/>
        <v>103.831</v>
      </c>
      <c r="AC345" s="376">
        <f t="shared" si="2057"/>
        <v>118.664</v>
      </c>
      <c r="AD345" s="376">
        <f t="shared" si="2057"/>
        <v>133.49700000000001</v>
      </c>
      <c r="AE345" s="376">
        <f t="shared" si="2057"/>
        <v>148.33000000000001</v>
      </c>
      <c r="AF345" s="376">
        <f t="shared" si="2057"/>
        <v>163.16300000000001</v>
      </c>
      <c r="AG345" s="254">
        <f t="shared" si="2057"/>
        <v>177.99600000000001</v>
      </c>
      <c r="AH345" s="31"/>
      <c r="AI345" s="19"/>
      <c r="AJ345" s="19"/>
      <c r="AK345" s="408"/>
      <c r="AL345" s="40">
        <f t="shared" si="2047"/>
        <v>14.85</v>
      </c>
      <c r="AM345" s="40">
        <f t="shared" si="2048"/>
        <v>14.85</v>
      </c>
      <c r="AN345" s="40">
        <f t="shared" si="1994"/>
        <v>14.849999999999998</v>
      </c>
      <c r="AO345" s="40">
        <f t="shared" si="1995"/>
        <v>14.850000000000001</v>
      </c>
      <c r="AP345" s="40">
        <f t="shared" si="1996"/>
        <v>14.850000000000001</v>
      </c>
      <c r="AQ345" s="40">
        <f t="shared" si="1997"/>
        <v>14.849999999999994</v>
      </c>
      <c r="AR345" s="40">
        <f t="shared" si="1998"/>
        <v>14.850000000000009</v>
      </c>
      <c r="AS345" s="40">
        <f t="shared" si="1999"/>
        <v>14.849999999999994</v>
      </c>
      <c r="AT345" s="40">
        <f t="shared" si="2000"/>
        <v>14.850000000000009</v>
      </c>
      <c r="AU345" s="40">
        <f t="shared" si="2001"/>
        <v>14.849999999999994</v>
      </c>
      <c r="AV345" s="40">
        <f t="shared" si="2002"/>
        <v>14.849999999999994</v>
      </c>
      <c r="AW345" s="40">
        <f t="shared" si="2003"/>
        <v>14.849999999999994</v>
      </c>
      <c r="AX345" s="40">
        <f t="shared" si="2049"/>
        <v>14.833</v>
      </c>
      <c r="AY345" s="40">
        <f t="shared" si="2004"/>
        <v>14.833</v>
      </c>
      <c r="AZ345" s="40">
        <f t="shared" si="2005"/>
        <v>14.833000000000002</v>
      </c>
      <c r="BA345" s="40">
        <f t="shared" si="2006"/>
        <v>14.832999999999998</v>
      </c>
      <c r="BB345" s="40">
        <f t="shared" si="2007"/>
        <v>14.833000000000006</v>
      </c>
      <c r="BC345" s="40">
        <f t="shared" si="2008"/>
        <v>14.832999999999998</v>
      </c>
      <c r="BD345" s="40">
        <f t="shared" si="2009"/>
        <v>14.832999999999998</v>
      </c>
      <c r="BE345" s="40">
        <f t="shared" si="2010"/>
        <v>14.832999999999998</v>
      </c>
      <c r="BF345" s="40">
        <f t="shared" si="2011"/>
        <v>14.833000000000013</v>
      </c>
      <c r="BG345" s="40">
        <f t="shared" si="2012"/>
        <v>14.832999999999998</v>
      </c>
      <c r="BH345" s="40">
        <f t="shared" si="2013"/>
        <v>14.832999999999998</v>
      </c>
      <c r="BI345" s="40">
        <f t="shared" si="2014"/>
        <v>14.832999999999998</v>
      </c>
      <c r="BJ345" s="40">
        <f t="shared" si="2015"/>
        <v>0</v>
      </c>
      <c r="BK345" s="40">
        <f t="shared" si="2016"/>
        <v>0</v>
      </c>
      <c r="BL345" s="40">
        <f t="shared" si="2017"/>
        <v>0</v>
      </c>
      <c r="BM345" s="408"/>
      <c r="BN345" s="48">
        <f t="shared" si="1944"/>
        <v>44.55</v>
      </c>
      <c r="BO345" s="48">
        <f t="shared" si="1945"/>
        <v>44.55</v>
      </c>
      <c r="BP345" s="48">
        <f t="shared" si="2018"/>
        <v>44.55</v>
      </c>
      <c r="BQ345" s="48">
        <f t="shared" si="1947"/>
        <v>44.55</v>
      </c>
      <c r="BR345" s="48">
        <f t="shared" si="1948"/>
        <v>44.55</v>
      </c>
      <c r="BS345" s="48">
        <f t="shared" si="2019"/>
        <v>44.55</v>
      </c>
      <c r="BT345" s="48">
        <f t="shared" si="1950"/>
        <v>44.550000000000011</v>
      </c>
      <c r="BU345" s="48">
        <f t="shared" si="1951"/>
        <v>44.550000000000011</v>
      </c>
      <c r="BV345" s="48">
        <f t="shared" si="2020"/>
        <v>44.550000000000011</v>
      </c>
      <c r="BW345" s="48">
        <f t="shared" si="1953"/>
        <v>44.549999999999983</v>
      </c>
      <c r="BX345" s="48">
        <f t="shared" si="1954"/>
        <v>44.549999999999983</v>
      </c>
      <c r="BY345" s="48">
        <f t="shared" si="2021"/>
        <v>44.549999999999983</v>
      </c>
      <c r="BZ345" s="48">
        <f t="shared" si="1956"/>
        <v>44.499000000000002</v>
      </c>
      <c r="CA345" s="48">
        <f t="shared" si="1957"/>
        <v>44.499000000000002</v>
      </c>
      <c r="CB345" s="48">
        <f t="shared" si="1979"/>
        <v>44.499000000000002</v>
      </c>
      <c r="CC345" s="48">
        <f t="shared" si="1958"/>
        <v>44.499000000000002</v>
      </c>
      <c r="CD345" s="48">
        <f t="shared" si="1959"/>
        <v>44.499000000000002</v>
      </c>
      <c r="CE345" s="48">
        <f>SUM(BA345:BC345)</f>
        <v>44.499000000000002</v>
      </c>
      <c r="CF345" s="48">
        <f t="shared" si="1961"/>
        <v>44.499000000000009</v>
      </c>
      <c r="CG345" s="48">
        <f t="shared" si="1962"/>
        <v>44.499000000000009</v>
      </c>
      <c r="CH345" s="48">
        <f>SUM(BD345:BF345)</f>
        <v>44.499000000000009</v>
      </c>
      <c r="CI345" s="48">
        <f t="shared" si="1964"/>
        <v>44.498999999999995</v>
      </c>
      <c r="CJ345" s="48">
        <f t="shared" si="1965"/>
        <v>44.498999999999995</v>
      </c>
      <c r="CK345" s="48">
        <f>SUM(BG345:BI345)</f>
        <v>44.498999999999995</v>
      </c>
      <c r="CL345" s="48">
        <f t="shared" si="1967"/>
        <v>0</v>
      </c>
      <c r="CM345" s="48">
        <f t="shared" si="1968"/>
        <v>0</v>
      </c>
      <c r="CN345" s="48">
        <f t="shared" si="2022"/>
        <v>0</v>
      </c>
      <c r="CO345" s="406"/>
      <c r="CP345" s="48">
        <f t="shared" si="2052"/>
        <v>14.85</v>
      </c>
      <c r="CQ345" s="48">
        <f t="shared" si="2023"/>
        <v>29.7</v>
      </c>
      <c r="CR345" s="48">
        <f t="shared" si="2024"/>
        <v>44.55</v>
      </c>
      <c r="CS345" s="48">
        <f t="shared" si="2025"/>
        <v>59.4</v>
      </c>
      <c r="CT345" s="48">
        <f t="shared" si="2026"/>
        <v>74.25</v>
      </c>
      <c r="CU345" s="48">
        <f t="shared" si="2027"/>
        <v>89.1</v>
      </c>
      <c r="CV345" s="48">
        <f t="shared" si="2028"/>
        <v>103.95</v>
      </c>
      <c r="CW345" s="48">
        <f t="shared" si="2029"/>
        <v>118.8</v>
      </c>
      <c r="CX345" s="48">
        <f t="shared" si="2030"/>
        <v>133.65</v>
      </c>
      <c r="CY345" s="48">
        <f t="shared" si="2031"/>
        <v>148.5</v>
      </c>
      <c r="CZ345" s="48">
        <f t="shared" si="2032"/>
        <v>163.35</v>
      </c>
      <c r="DA345" s="48">
        <f t="shared" si="2033"/>
        <v>178.2</v>
      </c>
      <c r="DB345" s="48">
        <f t="shared" si="2053"/>
        <v>14.833</v>
      </c>
      <c r="DC345" s="48">
        <f t="shared" si="2034"/>
        <v>29.666</v>
      </c>
      <c r="DD345" s="48">
        <f t="shared" si="2035"/>
        <v>44.499000000000002</v>
      </c>
      <c r="DE345" s="48">
        <f t="shared" si="2036"/>
        <v>59.332000000000001</v>
      </c>
      <c r="DF345" s="48">
        <f t="shared" si="2037"/>
        <v>74.165000000000006</v>
      </c>
      <c r="DG345" s="48">
        <f t="shared" si="2038"/>
        <v>88.998000000000005</v>
      </c>
      <c r="DH345" s="48">
        <f t="shared" si="2039"/>
        <v>103.831</v>
      </c>
      <c r="DI345" s="48">
        <f t="shared" si="2040"/>
        <v>118.664</v>
      </c>
      <c r="DJ345" s="48">
        <f t="shared" si="2041"/>
        <v>133.49700000000001</v>
      </c>
      <c r="DK345" s="48">
        <f t="shared" si="2042"/>
        <v>148.33000000000001</v>
      </c>
      <c r="DL345" s="48">
        <f t="shared" si="2043"/>
        <v>163.16300000000001</v>
      </c>
      <c r="DM345" s="48">
        <f t="shared" si="2044"/>
        <v>177.99600000000001</v>
      </c>
      <c r="DN345" s="48">
        <f t="shared" si="2045"/>
        <v>0</v>
      </c>
      <c r="DO345" s="48">
        <f t="shared" si="2054"/>
        <v>0</v>
      </c>
      <c r="DP345" s="48">
        <f t="shared" si="2055"/>
        <v>0</v>
      </c>
      <c r="DQ345" s="48"/>
      <c r="DR345" s="48"/>
      <c r="DS345" s="48"/>
      <c r="DT345" s="48"/>
      <c r="DU345" s="48"/>
      <c r="DV345" s="48"/>
      <c r="DW345" s="48"/>
      <c r="DX345" s="48"/>
      <c r="DY345" s="48"/>
      <c r="EA345" s="52">
        <f t="shared" si="1976"/>
        <v>178.2</v>
      </c>
      <c r="EB345" s="52">
        <f t="shared" si="1977"/>
        <v>177.99600000000001</v>
      </c>
      <c r="EC345" s="52"/>
      <c r="ED345" s="429"/>
      <c r="EE345" s="40">
        <f t="shared" si="1941"/>
        <v>0</v>
      </c>
      <c r="EF345" s="40">
        <f t="shared" si="1942"/>
        <v>0</v>
      </c>
      <c r="EG345" s="51">
        <f t="shared" si="1986"/>
        <v>177.99600000000001</v>
      </c>
      <c r="EH345" s="54"/>
      <c r="EI345" s="54"/>
      <c r="EJ345" s="54"/>
      <c r="EK345" s="675"/>
      <c r="EL345" s="53"/>
      <c r="EM345" s="53"/>
      <c r="EN345" s="53"/>
      <c r="EO345" s="49"/>
      <c r="EP345" s="49"/>
      <c r="EQ345" s="49"/>
    </row>
    <row r="346" spans="1:149">
      <c r="A346" s="6" t="s">
        <v>23</v>
      </c>
      <c r="B346" s="2" t="s">
        <v>11</v>
      </c>
      <c r="C346" s="3" t="s">
        <v>48</v>
      </c>
      <c r="E346" s="3" t="s">
        <v>16</v>
      </c>
      <c r="G346" s="3" t="s">
        <v>91</v>
      </c>
      <c r="I346" s="23"/>
      <c r="J346" s="19">
        <v>15</v>
      </c>
      <c r="K346" s="19">
        <v>30</v>
      </c>
      <c r="L346" s="19">
        <v>45</v>
      </c>
      <c r="M346" s="19">
        <v>60</v>
      </c>
      <c r="N346" s="19">
        <v>75</v>
      </c>
      <c r="O346" s="19">
        <v>90</v>
      </c>
      <c r="P346" s="19">
        <v>105</v>
      </c>
      <c r="Q346" s="19">
        <v>120</v>
      </c>
      <c r="R346" s="19">
        <v>135</v>
      </c>
      <c r="S346" s="19">
        <v>150</v>
      </c>
      <c r="T346" s="19">
        <v>165</v>
      </c>
      <c r="U346" s="19">
        <v>180</v>
      </c>
      <c r="V346" s="219">
        <v>12.75</v>
      </c>
      <c r="W346" s="246">
        <f>V346+12.75</f>
        <v>25.5</v>
      </c>
      <c r="X346" s="376">
        <f t="shared" ref="X346:AG346" si="2058">W346+12.75</f>
        <v>38.25</v>
      </c>
      <c r="Y346" s="376">
        <f t="shared" si="2058"/>
        <v>51</v>
      </c>
      <c r="Z346" s="376">
        <f t="shared" si="2058"/>
        <v>63.75</v>
      </c>
      <c r="AA346" s="376">
        <f t="shared" si="2058"/>
        <v>76.5</v>
      </c>
      <c r="AB346" s="376">
        <f t="shared" si="2058"/>
        <v>89.25</v>
      </c>
      <c r="AC346" s="376">
        <f t="shared" si="2058"/>
        <v>102</v>
      </c>
      <c r="AD346" s="376">
        <f t="shared" si="2058"/>
        <v>114.75</v>
      </c>
      <c r="AE346" s="376">
        <f t="shared" si="2058"/>
        <v>127.5</v>
      </c>
      <c r="AF346" s="376">
        <f t="shared" si="2058"/>
        <v>140.25</v>
      </c>
      <c r="AG346" s="376">
        <f t="shared" si="2058"/>
        <v>153</v>
      </c>
      <c r="AH346" s="31"/>
      <c r="AI346" s="19"/>
      <c r="AJ346" s="19"/>
      <c r="AK346" s="408"/>
      <c r="AL346" s="40">
        <f t="shared" si="2047"/>
        <v>15</v>
      </c>
      <c r="AM346" s="40">
        <f t="shared" si="2048"/>
        <v>15</v>
      </c>
      <c r="AN346" s="40">
        <f t="shared" si="1994"/>
        <v>15</v>
      </c>
      <c r="AO346" s="40">
        <f t="shared" si="1995"/>
        <v>15</v>
      </c>
      <c r="AP346" s="40">
        <f t="shared" si="1996"/>
        <v>15</v>
      </c>
      <c r="AQ346" s="40">
        <f t="shared" si="1997"/>
        <v>15</v>
      </c>
      <c r="AR346" s="40">
        <f t="shared" si="1998"/>
        <v>15</v>
      </c>
      <c r="AS346" s="40">
        <f t="shared" si="1999"/>
        <v>15</v>
      </c>
      <c r="AT346" s="40">
        <f t="shared" si="2000"/>
        <v>15</v>
      </c>
      <c r="AU346" s="40">
        <f t="shared" si="2001"/>
        <v>15</v>
      </c>
      <c r="AV346" s="40">
        <f t="shared" si="2002"/>
        <v>15</v>
      </c>
      <c r="AW346" s="40">
        <f t="shared" si="2003"/>
        <v>15</v>
      </c>
      <c r="AX346" s="40">
        <f t="shared" si="2049"/>
        <v>12.75</v>
      </c>
      <c r="AY346" s="40">
        <f t="shared" si="2004"/>
        <v>12.75</v>
      </c>
      <c r="AZ346" s="40">
        <f t="shared" si="2005"/>
        <v>12.75</v>
      </c>
      <c r="BA346" s="40">
        <f t="shared" si="2006"/>
        <v>12.75</v>
      </c>
      <c r="BB346" s="40">
        <f t="shared" si="2007"/>
        <v>12.75</v>
      </c>
      <c r="BC346" s="40">
        <f t="shared" si="2008"/>
        <v>12.75</v>
      </c>
      <c r="BD346" s="40">
        <f t="shared" si="2009"/>
        <v>12.75</v>
      </c>
      <c r="BE346" s="40">
        <f t="shared" si="2010"/>
        <v>12.75</v>
      </c>
      <c r="BF346" s="40">
        <f t="shared" si="2011"/>
        <v>12.75</v>
      </c>
      <c r="BG346" s="40">
        <f t="shared" si="2012"/>
        <v>12.75</v>
      </c>
      <c r="BH346" s="40">
        <f t="shared" si="2013"/>
        <v>12.75</v>
      </c>
      <c r="BI346" s="40">
        <f t="shared" si="2014"/>
        <v>12.75</v>
      </c>
      <c r="BJ346" s="40">
        <f t="shared" si="2015"/>
        <v>0</v>
      </c>
      <c r="BK346" s="40">
        <f t="shared" si="2016"/>
        <v>0</v>
      </c>
      <c r="BL346" s="40">
        <f t="shared" si="2017"/>
        <v>0</v>
      </c>
      <c r="BM346" s="408"/>
      <c r="BN346" s="48">
        <f t="shared" si="1944"/>
        <v>45</v>
      </c>
      <c r="BO346" s="48">
        <f t="shared" si="1945"/>
        <v>45</v>
      </c>
      <c r="BP346" s="48">
        <f t="shared" si="2018"/>
        <v>45</v>
      </c>
      <c r="BQ346" s="48">
        <f t="shared" si="1947"/>
        <v>45</v>
      </c>
      <c r="BR346" s="48">
        <f t="shared" si="1948"/>
        <v>45</v>
      </c>
      <c r="BS346" s="48">
        <f t="shared" si="2019"/>
        <v>45</v>
      </c>
      <c r="BT346" s="48">
        <f t="shared" si="1950"/>
        <v>45</v>
      </c>
      <c r="BU346" s="48">
        <f t="shared" si="1951"/>
        <v>45</v>
      </c>
      <c r="BV346" s="48">
        <f t="shared" si="2020"/>
        <v>45</v>
      </c>
      <c r="BW346" s="48">
        <f t="shared" si="1953"/>
        <v>45</v>
      </c>
      <c r="BX346" s="48">
        <f t="shared" si="1954"/>
        <v>45</v>
      </c>
      <c r="BY346" s="48">
        <f t="shared" si="2021"/>
        <v>45</v>
      </c>
      <c r="BZ346" s="48">
        <f t="shared" si="1956"/>
        <v>38.25</v>
      </c>
      <c r="CA346" s="48">
        <f t="shared" si="1957"/>
        <v>38.25</v>
      </c>
      <c r="CB346" s="48">
        <f t="shared" si="1979"/>
        <v>38.25</v>
      </c>
      <c r="CC346" s="48">
        <f t="shared" si="1958"/>
        <v>76.5</v>
      </c>
      <c r="CD346" s="48">
        <f t="shared" si="1959"/>
        <v>76.5</v>
      </c>
      <c r="CE346" s="48">
        <f>AA346</f>
        <v>76.5</v>
      </c>
      <c r="CF346" s="48">
        <f>CH346</f>
        <v>114.75</v>
      </c>
      <c r="CG346" s="48">
        <f>CH346</f>
        <v>114.75</v>
      </c>
      <c r="CH346" s="48">
        <f>AD346</f>
        <v>114.75</v>
      </c>
      <c r="CI346" s="48">
        <f>CK346</f>
        <v>153</v>
      </c>
      <c r="CJ346" s="48">
        <f>CK346</f>
        <v>153</v>
      </c>
      <c r="CK346" s="48">
        <f>AG346</f>
        <v>153</v>
      </c>
      <c r="CL346" s="48">
        <f>CN346</f>
        <v>0</v>
      </c>
      <c r="CM346" s="48">
        <f>CN346</f>
        <v>0</v>
      </c>
      <c r="CN346" s="48">
        <f t="shared" si="2022"/>
        <v>0</v>
      </c>
      <c r="CO346" s="406"/>
      <c r="CP346" s="48">
        <f t="shared" si="2052"/>
        <v>15</v>
      </c>
      <c r="CQ346" s="48">
        <f t="shared" si="2023"/>
        <v>30</v>
      </c>
      <c r="CR346" s="48">
        <f t="shared" si="2024"/>
        <v>45</v>
      </c>
      <c r="CS346" s="48">
        <f t="shared" si="2025"/>
        <v>60</v>
      </c>
      <c r="CT346" s="48">
        <f t="shared" si="2026"/>
        <v>75</v>
      </c>
      <c r="CU346" s="48">
        <f t="shared" si="2027"/>
        <v>90</v>
      </c>
      <c r="CV346" s="48">
        <f t="shared" si="2028"/>
        <v>105</v>
      </c>
      <c r="CW346" s="48">
        <f t="shared" si="2029"/>
        <v>120</v>
      </c>
      <c r="CX346" s="48">
        <f t="shared" si="2030"/>
        <v>135</v>
      </c>
      <c r="CY346" s="48">
        <f t="shared" si="2031"/>
        <v>150</v>
      </c>
      <c r="CZ346" s="48">
        <f t="shared" si="2032"/>
        <v>165</v>
      </c>
      <c r="DA346" s="48">
        <f t="shared" si="2033"/>
        <v>180</v>
      </c>
      <c r="DB346" s="48">
        <f t="shared" si="2053"/>
        <v>12.75</v>
      </c>
      <c r="DC346" s="48">
        <f t="shared" si="2034"/>
        <v>25.5</v>
      </c>
      <c r="DD346" s="48">
        <f t="shared" si="2035"/>
        <v>38.25</v>
      </c>
      <c r="DE346" s="48">
        <f t="shared" si="2036"/>
        <v>51</v>
      </c>
      <c r="DF346" s="48">
        <f t="shared" si="2037"/>
        <v>63.75</v>
      </c>
      <c r="DG346" s="48">
        <f t="shared" si="2038"/>
        <v>76.5</v>
      </c>
      <c r="DH346" s="48">
        <f t="shared" si="2039"/>
        <v>89.25</v>
      </c>
      <c r="DI346" s="48">
        <f t="shared" si="2040"/>
        <v>102</v>
      </c>
      <c r="DJ346" s="48">
        <f t="shared" si="2041"/>
        <v>114.75</v>
      </c>
      <c r="DK346" s="48">
        <f t="shared" si="2042"/>
        <v>127.5</v>
      </c>
      <c r="DL346" s="48">
        <f t="shared" si="2043"/>
        <v>140.25</v>
      </c>
      <c r="DM346" s="48">
        <f t="shared" si="2044"/>
        <v>153</v>
      </c>
      <c r="DN346" s="48">
        <f t="shared" si="2045"/>
        <v>0</v>
      </c>
      <c r="DO346" s="48">
        <f t="shared" si="2054"/>
        <v>0</v>
      </c>
      <c r="DP346" s="48">
        <f t="shared" si="2055"/>
        <v>0</v>
      </c>
      <c r="DQ346" s="48"/>
      <c r="DR346" s="48"/>
      <c r="DS346" s="48"/>
      <c r="DT346" s="48"/>
      <c r="DU346" s="48"/>
      <c r="DV346" s="48"/>
      <c r="DW346" s="48"/>
      <c r="DX346" s="48"/>
      <c r="DY346" s="48"/>
      <c r="EA346" s="52">
        <f t="shared" si="1976"/>
        <v>180</v>
      </c>
      <c r="EB346" s="52">
        <f t="shared" si="1977"/>
        <v>153</v>
      </c>
      <c r="EC346" s="52"/>
      <c r="ED346" s="429"/>
      <c r="EE346" s="40">
        <f t="shared" si="1941"/>
        <v>0</v>
      </c>
      <c r="EF346" s="40">
        <f t="shared" si="1942"/>
        <v>0</v>
      </c>
      <c r="EG346" s="51">
        <f t="shared" si="1986"/>
        <v>153</v>
      </c>
      <c r="EH346" s="54"/>
      <c r="EI346" s="54"/>
      <c r="EJ346" s="54"/>
      <c r="EK346" s="675"/>
      <c r="EL346" s="53"/>
      <c r="EM346" s="53"/>
      <c r="EN346" s="53"/>
      <c r="EO346" s="49"/>
      <c r="EP346" s="49"/>
      <c r="EQ346" s="49"/>
    </row>
    <row r="347" spans="1:149">
      <c r="A347" s="6" t="s">
        <v>23</v>
      </c>
      <c r="B347" s="2" t="s">
        <v>12</v>
      </c>
      <c r="C347" s="3" t="s">
        <v>49</v>
      </c>
      <c r="E347" s="3" t="s">
        <v>16</v>
      </c>
      <c r="G347" s="3" t="s">
        <v>91</v>
      </c>
      <c r="I347" s="23"/>
      <c r="J347" s="19">
        <v>5</v>
      </c>
      <c r="K347" s="19">
        <v>10</v>
      </c>
      <c r="L347" s="19">
        <v>15</v>
      </c>
      <c r="M347" s="19">
        <v>20</v>
      </c>
      <c r="N347" s="19">
        <v>25</v>
      </c>
      <c r="O347" s="19">
        <v>30</v>
      </c>
      <c r="P347" s="19">
        <v>35</v>
      </c>
      <c r="Q347" s="19">
        <v>40</v>
      </c>
      <c r="R347" s="19">
        <v>45</v>
      </c>
      <c r="S347" s="19">
        <v>50</v>
      </c>
      <c r="T347" s="19">
        <v>55</v>
      </c>
      <c r="U347" s="19">
        <v>60</v>
      </c>
      <c r="V347" s="219">
        <v>10.833</v>
      </c>
      <c r="W347" s="246">
        <f>V347+10.833</f>
        <v>21.666</v>
      </c>
      <c r="X347" s="376">
        <f t="shared" ref="X347:AG347" si="2059">W347+10.833</f>
        <v>32.499000000000002</v>
      </c>
      <c r="Y347" s="376">
        <f t="shared" si="2059"/>
        <v>43.332000000000001</v>
      </c>
      <c r="Z347" s="376">
        <f t="shared" si="2059"/>
        <v>54.164999999999999</v>
      </c>
      <c r="AA347" s="376">
        <f t="shared" si="2059"/>
        <v>64.998000000000005</v>
      </c>
      <c r="AB347" s="376">
        <f t="shared" si="2059"/>
        <v>75.831000000000003</v>
      </c>
      <c r="AC347" s="376">
        <f t="shared" si="2059"/>
        <v>86.664000000000001</v>
      </c>
      <c r="AD347" s="376">
        <f t="shared" si="2059"/>
        <v>97.497</v>
      </c>
      <c r="AE347" s="376">
        <f t="shared" si="2059"/>
        <v>108.33</v>
      </c>
      <c r="AF347" s="376">
        <f t="shared" si="2059"/>
        <v>119.163</v>
      </c>
      <c r="AG347" s="254">
        <f t="shared" si="2059"/>
        <v>129.99600000000001</v>
      </c>
      <c r="AH347" s="31"/>
      <c r="AI347" s="19"/>
      <c r="AJ347" s="19"/>
      <c r="AK347" s="408"/>
      <c r="AL347" s="40">
        <f t="shared" si="2047"/>
        <v>5</v>
      </c>
      <c r="AM347" s="40">
        <f t="shared" si="2048"/>
        <v>5</v>
      </c>
      <c r="AN347" s="40">
        <f t="shared" si="1994"/>
        <v>5</v>
      </c>
      <c r="AO347" s="40">
        <f t="shared" si="1995"/>
        <v>5</v>
      </c>
      <c r="AP347" s="40">
        <f t="shared" si="1996"/>
        <v>5</v>
      </c>
      <c r="AQ347" s="40">
        <f t="shared" si="1997"/>
        <v>5</v>
      </c>
      <c r="AR347" s="40">
        <f t="shared" si="1998"/>
        <v>5</v>
      </c>
      <c r="AS347" s="40">
        <f t="shared" si="1999"/>
        <v>5</v>
      </c>
      <c r="AT347" s="40">
        <f t="shared" si="2000"/>
        <v>5</v>
      </c>
      <c r="AU347" s="40">
        <f t="shared" si="2001"/>
        <v>5</v>
      </c>
      <c r="AV347" s="40">
        <f t="shared" si="2002"/>
        <v>5</v>
      </c>
      <c r="AW347" s="40">
        <f t="shared" si="2003"/>
        <v>5</v>
      </c>
      <c r="AX347" s="40">
        <f t="shared" si="2049"/>
        <v>10.833</v>
      </c>
      <c r="AY347" s="40">
        <f t="shared" si="2004"/>
        <v>10.833</v>
      </c>
      <c r="AZ347" s="40">
        <f t="shared" si="2005"/>
        <v>10.833000000000002</v>
      </c>
      <c r="BA347" s="40">
        <f t="shared" si="2006"/>
        <v>10.832999999999998</v>
      </c>
      <c r="BB347" s="40">
        <f t="shared" si="2007"/>
        <v>10.832999999999998</v>
      </c>
      <c r="BC347" s="40">
        <f t="shared" si="2008"/>
        <v>10.833000000000006</v>
      </c>
      <c r="BD347" s="40">
        <f t="shared" si="2009"/>
        <v>10.832999999999998</v>
      </c>
      <c r="BE347" s="40">
        <f t="shared" si="2010"/>
        <v>10.832999999999998</v>
      </c>
      <c r="BF347" s="40">
        <f t="shared" si="2011"/>
        <v>10.832999999999998</v>
      </c>
      <c r="BG347" s="40">
        <f t="shared" si="2012"/>
        <v>10.832999999999998</v>
      </c>
      <c r="BH347" s="40">
        <f t="shared" si="2013"/>
        <v>10.832999999999998</v>
      </c>
      <c r="BI347" s="40">
        <f t="shared" si="2014"/>
        <v>10.833000000000013</v>
      </c>
      <c r="BJ347" s="40">
        <f t="shared" si="2015"/>
        <v>0</v>
      </c>
      <c r="BK347" s="40">
        <f t="shared" si="2016"/>
        <v>0</v>
      </c>
      <c r="BL347" s="40">
        <f t="shared" si="2017"/>
        <v>0</v>
      </c>
      <c r="BM347" s="408"/>
      <c r="BN347" s="48">
        <f t="shared" si="1944"/>
        <v>15</v>
      </c>
      <c r="BO347" s="48">
        <f t="shared" si="1945"/>
        <v>15</v>
      </c>
      <c r="BP347" s="48">
        <f t="shared" si="2018"/>
        <v>15</v>
      </c>
      <c r="BQ347" s="48">
        <f t="shared" si="1947"/>
        <v>15</v>
      </c>
      <c r="BR347" s="48">
        <f t="shared" si="1948"/>
        <v>15</v>
      </c>
      <c r="BS347" s="48">
        <f t="shared" si="2019"/>
        <v>15</v>
      </c>
      <c r="BT347" s="48">
        <f t="shared" si="1950"/>
        <v>15</v>
      </c>
      <c r="BU347" s="48">
        <f t="shared" si="1951"/>
        <v>15</v>
      </c>
      <c r="BV347" s="48">
        <f t="shared" si="2020"/>
        <v>15</v>
      </c>
      <c r="BW347" s="48">
        <f t="shared" si="1953"/>
        <v>15</v>
      </c>
      <c r="BX347" s="48">
        <f t="shared" si="1954"/>
        <v>15</v>
      </c>
      <c r="BY347" s="48">
        <f t="shared" si="2021"/>
        <v>15</v>
      </c>
      <c r="BZ347" s="48">
        <f t="shared" si="1956"/>
        <v>32.499000000000002</v>
      </c>
      <c r="CA347" s="48">
        <f t="shared" si="1957"/>
        <v>32.499000000000002</v>
      </c>
      <c r="CB347" s="48">
        <f t="shared" si="1979"/>
        <v>32.499000000000002</v>
      </c>
      <c r="CC347" s="48">
        <f t="shared" si="1958"/>
        <v>64.998000000000005</v>
      </c>
      <c r="CD347" s="48">
        <f t="shared" si="1959"/>
        <v>64.998000000000005</v>
      </c>
      <c r="CE347" s="48">
        <f>AA347</f>
        <v>64.998000000000005</v>
      </c>
      <c r="CF347" s="48">
        <f>CH347</f>
        <v>97.497</v>
      </c>
      <c r="CG347" s="48">
        <f>CH347</f>
        <v>97.497</v>
      </c>
      <c r="CH347" s="48">
        <f>AD347</f>
        <v>97.497</v>
      </c>
      <c r="CI347" s="48">
        <f>CK347</f>
        <v>129.99600000000001</v>
      </c>
      <c r="CJ347" s="48">
        <f>CK347</f>
        <v>129.99600000000001</v>
      </c>
      <c r="CK347" s="48">
        <f>AG347</f>
        <v>129.99600000000001</v>
      </c>
      <c r="CL347" s="48">
        <f>CN347</f>
        <v>0</v>
      </c>
      <c r="CM347" s="48">
        <f>CN347</f>
        <v>0</v>
      </c>
      <c r="CN347" s="48">
        <f t="shared" si="2022"/>
        <v>0</v>
      </c>
      <c r="CO347" s="406"/>
      <c r="CP347" s="48">
        <f t="shared" si="2052"/>
        <v>5</v>
      </c>
      <c r="CQ347" s="48">
        <f t="shared" si="2023"/>
        <v>10</v>
      </c>
      <c r="CR347" s="48">
        <f t="shared" si="2024"/>
        <v>15</v>
      </c>
      <c r="CS347" s="48">
        <f t="shared" si="2025"/>
        <v>20</v>
      </c>
      <c r="CT347" s="48">
        <f t="shared" si="2026"/>
        <v>25</v>
      </c>
      <c r="CU347" s="48">
        <f t="shared" si="2027"/>
        <v>30</v>
      </c>
      <c r="CV347" s="48">
        <f t="shared" si="2028"/>
        <v>35</v>
      </c>
      <c r="CW347" s="48">
        <f t="shared" si="2029"/>
        <v>40</v>
      </c>
      <c r="CX347" s="48">
        <f t="shared" si="2030"/>
        <v>45</v>
      </c>
      <c r="CY347" s="48">
        <f t="shared" si="2031"/>
        <v>50</v>
      </c>
      <c r="CZ347" s="48">
        <f t="shared" si="2032"/>
        <v>55</v>
      </c>
      <c r="DA347" s="48">
        <f t="shared" si="2033"/>
        <v>60</v>
      </c>
      <c r="DB347" s="48">
        <f t="shared" si="2053"/>
        <v>10.833</v>
      </c>
      <c r="DC347" s="48">
        <f t="shared" si="2034"/>
        <v>21.666</v>
      </c>
      <c r="DD347" s="48">
        <f t="shared" si="2035"/>
        <v>32.499000000000002</v>
      </c>
      <c r="DE347" s="48">
        <f t="shared" si="2036"/>
        <v>43.332000000000001</v>
      </c>
      <c r="DF347" s="48">
        <f t="shared" si="2037"/>
        <v>54.164999999999999</v>
      </c>
      <c r="DG347" s="48">
        <f t="shared" si="2038"/>
        <v>64.998000000000005</v>
      </c>
      <c r="DH347" s="48">
        <f t="shared" si="2039"/>
        <v>75.831000000000003</v>
      </c>
      <c r="DI347" s="48">
        <f t="shared" si="2040"/>
        <v>86.664000000000001</v>
      </c>
      <c r="DJ347" s="48">
        <f t="shared" si="2041"/>
        <v>97.497</v>
      </c>
      <c r="DK347" s="48">
        <f t="shared" si="2042"/>
        <v>108.33</v>
      </c>
      <c r="DL347" s="48">
        <f t="shared" si="2043"/>
        <v>119.163</v>
      </c>
      <c r="DM347" s="48">
        <f t="shared" si="2044"/>
        <v>129.99600000000001</v>
      </c>
      <c r="DN347" s="48">
        <f t="shared" si="2045"/>
        <v>0</v>
      </c>
      <c r="DO347" s="48">
        <f t="shared" si="2054"/>
        <v>0</v>
      </c>
      <c r="DP347" s="48">
        <f t="shared" si="2055"/>
        <v>0</v>
      </c>
      <c r="DQ347" s="48"/>
      <c r="DR347" s="48"/>
      <c r="DS347" s="48"/>
      <c r="DT347" s="48"/>
      <c r="DU347" s="48"/>
      <c r="DV347" s="48"/>
      <c r="DW347" s="48"/>
      <c r="DX347" s="48"/>
      <c r="DY347" s="48"/>
      <c r="EA347" s="52">
        <f t="shared" si="1976"/>
        <v>60</v>
      </c>
      <c r="EB347" s="52">
        <f t="shared" si="1977"/>
        <v>129.99600000000001</v>
      </c>
      <c r="EC347" s="52"/>
      <c r="ED347" s="429"/>
      <c r="EE347" s="40">
        <f t="shared" si="1941"/>
        <v>0</v>
      </c>
      <c r="EF347" s="40">
        <f t="shared" si="1942"/>
        <v>0</v>
      </c>
      <c r="EG347" s="51">
        <f t="shared" si="1986"/>
        <v>129.99600000000001</v>
      </c>
      <c r="EH347" s="54"/>
      <c r="EI347" s="54"/>
      <c r="EJ347" s="54"/>
      <c r="EK347" s="675"/>
      <c r="EL347" s="53"/>
      <c r="EM347" s="53"/>
      <c r="EN347" s="53"/>
      <c r="EO347" s="49"/>
      <c r="EP347" s="49"/>
      <c r="EQ347" s="49"/>
    </row>
    <row r="348" spans="1:149">
      <c r="A348" s="6" t="s">
        <v>23</v>
      </c>
      <c r="B348" s="2" t="s">
        <v>143</v>
      </c>
      <c r="C348" s="3" t="s">
        <v>50</v>
      </c>
      <c r="E348" s="3" t="s">
        <v>16</v>
      </c>
      <c r="G348" s="3" t="s">
        <v>91</v>
      </c>
      <c r="I348" s="23"/>
      <c r="J348" s="19">
        <v>0</v>
      </c>
      <c r="K348" s="19">
        <v>0</v>
      </c>
      <c r="L348" s="19">
        <v>2</v>
      </c>
      <c r="M348" s="19">
        <v>2</v>
      </c>
      <c r="N348" s="19">
        <v>2</v>
      </c>
      <c r="O348" s="19">
        <v>2</v>
      </c>
      <c r="P348" s="19">
        <v>4</v>
      </c>
      <c r="Q348" s="19">
        <v>4</v>
      </c>
      <c r="R348" s="19">
        <v>4</v>
      </c>
      <c r="S348" s="19">
        <v>4</v>
      </c>
      <c r="T348" s="19">
        <v>6</v>
      </c>
      <c r="U348" s="19">
        <v>6</v>
      </c>
      <c r="V348" s="219">
        <v>0</v>
      </c>
      <c r="W348" s="246">
        <v>2</v>
      </c>
      <c r="X348" s="246">
        <v>2</v>
      </c>
      <c r="Y348" s="246">
        <v>2</v>
      </c>
      <c r="Z348" s="246">
        <v>2</v>
      </c>
      <c r="AA348" s="246">
        <v>2</v>
      </c>
      <c r="AB348" s="246">
        <v>4</v>
      </c>
      <c r="AC348" s="246">
        <v>4</v>
      </c>
      <c r="AD348" s="246">
        <v>4</v>
      </c>
      <c r="AE348" s="246">
        <v>4</v>
      </c>
      <c r="AF348" s="246">
        <v>6</v>
      </c>
      <c r="AG348" s="246">
        <v>6</v>
      </c>
      <c r="AH348" s="31"/>
      <c r="AI348" s="19"/>
      <c r="AJ348" s="19"/>
      <c r="AK348" s="408"/>
      <c r="AL348" s="40">
        <f t="shared" si="2047"/>
        <v>0</v>
      </c>
      <c r="AM348" s="40">
        <f t="shared" si="2048"/>
        <v>0</v>
      </c>
      <c r="AN348" s="40">
        <f t="shared" si="1994"/>
        <v>2</v>
      </c>
      <c r="AO348" s="40">
        <f t="shared" si="1995"/>
        <v>0</v>
      </c>
      <c r="AP348" s="40">
        <f t="shared" si="1996"/>
        <v>0</v>
      </c>
      <c r="AQ348" s="40">
        <f t="shared" si="1997"/>
        <v>0</v>
      </c>
      <c r="AR348" s="40">
        <f t="shared" si="1998"/>
        <v>2</v>
      </c>
      <c r="AS348" s="40">
        <f t="shared" si="1999"/>
        <v>0</v>
      </c>
      <c r="AT348" s="40">
        <f t="shared" si="2000"/>
        <v>0</v>
      </c>
      <c r="AU348" s="40">
        <f t="shared" si="2001"/>
        <v>0</v>
      </c>
      <c r="AV348" s="40">
        <f t="shared" si="2002"/>
        <v>2</v>
      </c>
      <c r="AW348" s="40">
        <f t="shared" si="2003"/>
        <v>0</v>
      </c>
      <c r="AX348" s="40">
        <f t="shared" si="2049"/>
        <v>0</v>
      </c>
      <c r="AY348" s="40">
        <f t="shared" si="2004"/>
        <v>2</v>
      </c>
      <c r="AZ348" s="40">
        <f t="shared" si="2005"/>
        <v>0</v>
      </c>
      <c r="BA348" s="40">
        <f t="shared" si="2006"/>
        <v>0</v>
      </c>
      <c r="BB348" s="40">
        <f t="shared" si="2007"/>
        <v>0</v>
      </c>
      <c r="BC348" s="40">
        <f t="shared" si="2008"/>
        <v>0</v>
      </c>
      <c r="BD348" s="40">
        <f t="shared" si="2009"/>
        <v>2</v>
      </c>
      <c r="BE348" s="40">
        <f t="shared" si="2010"/>
        <v>0</v>
      </c>
      <c r="BF348" s="40">
        <f t="shared" si="2011"/>
        <v>0</v>
      </c>
      <c r="BG348" s="40">
        <f t="shared" si="2012"/>
        <v>0</v>
      </c>
      <c r="BH348" s="40">
        <f t="shared" si="2013"/>
        <v>2</v>
      </c>
      <c r="BI348" s="40">
        <f t="shared" si="2014"/>
        <v>0</v>
      </c>
      <c r="BJ348" s="40">
        <f t="shared" si="2015"/>
        <v>0</v>
      </c>
      <c r="BK348" s="40">
        <f t="shared" si="2016"/>
        <v>0</v>
      </c>
      <c r="BL348" s="40">
        <f t="shared" si="2017"/>
        <v>0</v>
      </c>
      <c r="BM348" s="408"/>
      <c r="BN348" s="48">
        <f t="shared" si="1944"/>
        <v>2</v>
      </c>
      <c r="BO348" s="48">
        <f t="shared" si="1945"/>
        <v>2</v>
      </c>
      <c r="BP348" s="48">
        <f t="shared" si="2018"/>
        <v>2</v>
      </c>
      <c r="BQ348" s="48">
        <f t="shared" si="1947"/>
        <v>0</v>
      </c>
      <c r="BR348" s="48">
        <f t="shared" si="1948"/>
        <v>0</v>
      </c>
      <c r="BS348" s="48">
        <f t="shared" si="2019"/>
        <v>0</v>
      </c>
      <c r="BT348" s="48">
        <f t="shared" si="1950"/>
        <v>2</v>
      </c>
      <c r="BU348" s="48">
        <f t="shared" si="1951"/>
        <v>2</v>
      </c>
      <c r="BV348" s="48">
        <f t="shared" si="2020"/>
        <v>2</v>
      </c>
      <c r="BW348" s="48">
        <f t="shared" si="1953"/>
        <v>2</v>
      </c>
      <c r="BX348" s="48">
        <f t="shared" si="1954"/>
        <v>2</v>
      </c>
      <c r="BY348" s="48">
        <f t="shared" si="2021"/>
        <v>2</v>
      </c>
      <c r="BZ348" s="48">
        <f t="shared" si="1956"/>
        <v>2</v>
      </c>
      <c r="CA348" s="48">
        <f t="shared" si="1957"/>
        <v>2</v>
      </c>
      <c r="CB348" s="48">
        <f>SUM(AX348:AZ348)</f>
        <v>2</v>
      </c>
      <c r="CC348" s="48">
        <f t="shared" si="1958"/>
        <v>0</v>
      </c>
      <c r="CD348" s="48">
        <f t="shared" si="1959"/>
        <v>0</v>
      </c>
      <c r="CE348" s="48">
        <f>SUM(BA348:BC348)</f>
        <v>0</v>
      </c>
      <c r="CF348" s="48">
        <f>CH348</f>
        <v>2</v>
      </c>
      <c r="CG348" s="48">
        <f>CH348</f>
        <v>2</v>
      </c>
      <c r="CH348" s="48">
        <f>SUM(BD348:BF348)</f>
        <v>2</v>
      </c>
      <c r="CI348" s="48">
        <f>CK348</f>
        <v>2</v>
      </c>
      <c r="CJ348" s="48">
        <f>CK348</f>
        <v>2</v>
      </c>
      <c r="CK348" s="48">
        <f>SUM(BG348:BI348)</f>
        <v>2</v>
      </c>
      <c r="CL348" s="48">
        <f>CN348</f>
        <v>0</v>
      </c>
      <c r="CM348" s="48">
        <f>CN348</f>
        <v>0</v>
      </c>
      <c r="CN348" s="48">
        <f t="shared" si="2022"/>
        <v>0</v>
      </c>
      <c r="CO348" s="406"/>
      <c r="CP348" s="48">
        <f t="shared" si="2052"/>
        <v>0</v>
      </c>
      <c r="CQ348" s="48">
        <f t="shared" si="2023"/>
        <v>0</v>
      </c>
      <c r="CR348" s="48">
        <f t="shared" si="2024"/>
        <v>2</v>
      </c>
      <c r="CS348" s="48">
        <f t="shared" si="2025"/>
        <v>2</v>
      </c>
      <c r="CT348" s="48">
        <f t="shared" si="2026"/>
        <v>2</v>
      </c>
      <c r="CU348" s="48">
        <f t="shared" si="2027"/>
        <v>2</v>
      </c>
      <c r="CV348" s="48">
        <f t="shared" si="2028"/>
        <v>4</v>
      </c>
      <c r="CW348" s="48">
        <f t="shared" si="2029"/>
        <v>4</v>
      </c>
      <c r="CX348" s="48">
        <f t="shared" si="2030"/>
        <v>4</v>
      </c>
      <c r="CY348" s="48">
        <f t="shared" si="2031"/>
        <v>4</v>
      </c>
      <c r="CZ348" s="48">
        <f t="shared" si="2032"/>
        <v>6</v>
      </c>
      <c r="DA348" s="48">
        <f t="shared" si="2033"/>
        <v>6</v>
      </c>
      <c r="DB348" s="48">
        <f t="shared" si="2053"/>
        <v>0</v>
      </c>
      <c r="DC348" s="48">
        <f t="shared" si="2034"/>
        <v>2</v>
      </c>
      <c r="DD348" s="48">
        <f t="shared" si="2035"/>
        <v>2</v>
      </c>
      <c r="DE348" s="48">
        <f t="shared" si="2036"/>
        <v>2</v>
      </c>
      <c r="DF348" s="48">
        <f t="shared" si="2037"/>
        <v>2</v>
      </c>
      <c r="DG348" s="48">
        <f t="shared" si="2038"/>
        <v>2</v>
      </c>
      <c r="DH348" s="48">
        <f t="shared" si="2039"/>
        <v>4</v>
      </c>
      <c r="DI348" s="48">
        <f t="shared" si="2040"/>
        <v>4</v>
      </c>
      <c r="DJ348" s="48">
        <f t="shared" si="2041"/>
        <v>4</v>
      </c>
      <c r="DK348" s="48">
        <f t="shared" si="2042"/>
        <v>4</v>
      </c>
      <c r="DL348" s="48">
        <f t="shared" si="2043"/>
        <v>6</v>
      </c>
      <c r="DM348" s="48">
        <f t="shared" si="2044"/>
        <v>6</v>
      </c>
      <c r="DN348" s="48">
        <f t="shared" si="2045"/>
        <v>0</v>
      </c>
      <c r="DO348" s="48">
        <f t="shared" si="2054"/>
        <v>0</v>
      </c>
      <c r="DP348" s="48">
        <f t="shared" si="2055"/>
        <v>0</v>
      </c>
      <c r="DQ348" s="48"/>
      <c r="DR348" s="48"/>
      <c r="DS348" s="48"/>
      <c r="DT348" s="48"/>
      <c r="DU348" s="48"/>
      <c r="DV348" s="48"/>
      <c r="DW348" s="48"/>
      <c r="DX348" s="48"/>
      <c r="DY348" s="48"/>
      <c r="EA348" s="52">
        <f t="shared" si="1976"/>
        <v>6</v>
      </c>
      <c r="EB348" s="52">
        <f t="shared" si="1977"/>
        <v>6</v>
      </c>
      <c r="EC348" s="52"/>
      <c r="ED348" s="429"/>
      <c r="EE348" s="40">
        <f t="shared" si="1941"/>
        <v>0</v>
      </c>
      <c r="EF348" s="40">
        <f t="shared" si="1942"/>
        <v>0</v>
      </c>
      <c r="EG348" s="51">
        <f t="shared" si="1986"/>
        <v>6</v>
      </c>
      <c r="EH348" s="54"/>
      <c r="EI348" s="54"/>
      <c r="EJ348" s="54"/>
      <c r="EK348" s="675"/>
      <c r="EL348" s="53"/>
      <c r="EM348" s="53"/>
      <c r="EN348" s="53"/>
      <c r="EO348" s="49"/>
      <c r="EP348" s="49"/>
      <c r="EQ348" s="49"/>
    </row>
    <row r="349" spans="1:149">
      <c r="A349" s="6" t="s">
        <v>23</v>
      </c>
      <c r="B349" s="324" t="s">
        <v>202</v>
      </c>
      <c r="C349" s="3" t="s">
        <v>51</v>
      </c>
      <c r="E349" s="3" t="s">
        <v>15</v>
      </c>
      <c r="G349" s="3" t="s">
        <v>91</v>
      </c>
      <c r="I349" s="23"/>
      <c r="J349" s="19">
        <v>0</v>
      </c>
      <c r="K349" s="19">
        <v>0</v>
      </c>
      <c r="L349" s="19">
        <v>0</v>
      </c>
      <c r="M349" s="19">
        <v>0</v>
      </c>
      <c r="N349" s="19">
        <v>0</v>
      </c>
      <c r="O349" s="19">
        <v>2</v>
      </c>
      <c r="P349" s="19">
        <v>2</v>
      </c>
      <c r="Q349" s="19">
        <v>2</v>
      </c>
      <c r="R349" s="19">
        <v>2</v>
      </c>
      <c r="S349" s="19">
        <v>2</v>
      </c>
      <c r="T349" s="19">
        <v>2</v>
      </c>
      <c r="U349" s="19">
        <v>4</v>
      </c>
      <c r="V349" s="219">
        <v>0</v>
      </c>
      <c r="W349" s="246">
        <v>0</v>
      </c>
      <c r="X349" s="246">
        <v>0</v>
      </c>
      <c r="Y349" s="246">
        <f>X349</f>
        <v>0</v>
      </c>
      <c r="Z349" s="246">
        <v>0</v>
      </c>
      <c r="AA349" s="246">
        <v>0</v>
      </c>
      <c r="AB349" s="246">
        <v>2</v>
      </c>
      <c r="AC349" s="246">
        <f>AB349</f>
        <v>2</v>
      </c>
      <c r="AD349" s="246">
        <f>AC349</f>
        <v>2</v>
      </c>
      <c r="AE349" s="246">
        <f>AD349</f>
        <v>2</v>
      </c>
      <c r="AF349" s="246">
        <f>AE349</f>
        <v>2</v>
      </c>
      <c r="AG349" s="246">
        <v>4</v>
      </c>
      <c r="AH349" s="31"/>
      <c r="AI349" s="19"/>
      <c r="AJ349" s="19"/>
      <c r="AK349" s="408"/>
      <c r="AL349" s="40">
        <f t="shared" si="2047"/>
        <v>0</v>
      </c>
      <c r="AM349" s="40">
        <f t="shared" si="2048"/>
        <v>0</v>
      </c>
      <c r="AN349" s="40">
        <f t="shared" si="1994"/>
        <v>0</v>
      </c>
      <c r="AO349" s="40">
        <f t="shared" si="1995"/>
        <v>0</v>
      </c>
      <c r="AP349" s="40">
        <f t="shared" si="1996"/>
        <v>0</v>
      </c>
      <c r="AQ349" s="40">
        <f t="shared" si="1997"/>
        <v>2</v>
      </c>
      <c r="AR349" s="40">
        <f t="shared" si="1998"/>
        <v>0</v>
      </c>
      <c r="AS349" s="40">
        <f t="shared" si="1999"/>
        <v>0</v>
      </c>
      <c r="AT349" s="40">
        <f t="shared" si="2000"/>
        <v>0</v>
      </c>
      <c r="AU349" s="40">
        <f t="shared" si="2001"/>
        <v>0</v>
      </c>
      <c r="AV349" s="40">
        <f t="shared" si="2002"/>
        <v>0</v>
      </c>
      <c r="AW349" s="40">
        <f t="shared" si="2003"/>
        <v>2</v>
      </c>
      <c r="AX349" s="40">
        <f t="shared" si="2049"/>
        <v>0</v>
      </c>
      <c r="AY349" s="40">
        <f t="shared" si="2004"/>
        <v>0</v>
      </c>
      <c r="AZ349" s="40">
        <f t="shared" si="2005"/>
        <v>0</v>
      </c>
      <c r="BA349" s="40">
        <f t="shared" si="2006"/>
        <v>0</v>
      </c>
      <c r="BB349" s="40">
        <f t="shared" si="2007"/>
        <v>0</v>
      </c>
      <c r="BC349" s="40">
        <f t="shared" si="2008"/>
        <v>0</v>
      </c>
      <c r="BD349" s="40">
        <f t="shared" si="2009"/>
        <v>2</v>
      </c>
      <c r="BE349" s="40">
        <f t="shared" si="2010"/>
        <v>0</v>
      </c>
      <c r="BF349" s="40">
        <f t="shared" si="2011"/>
        <v>0</v>
      </c>
      <c r="BG349" s="40">
        <f t="shared" si="2012"/>
        <v>0</v>
      </c>
      <c r="BH349" s="40">
        <f t="shared" si="2013"/>
        <v>0</v>
      </c>
      <c r="BI349" s="40">
        <f t="shared" si="2014"/>
        <v>2</v>
      </c>
      <c r="BJ349" s="40">
        <f>AH349-AG349</f>
        <v>-4</v>
      </c>
      <c r="BK349" s="40">
        <f t="shared" si="2016"/>
        <v>0</v>
      </c>
      <c r="BL349" s="40">
        <f t="shared" si="2017"/>
        <v>0</v>
      </c>
      <c r="BM349" s="408"/>
      <c r="BN349" s="48">
        <f t="shared" si="1944"/>
        <v>0</v>
      </c>
      <c r="BO349" s="48">
        <f t="shared" si="1945"/>
        <v>0</v>
      </c>
      <c r="BP349" s="48">
        <f>SUM(AL349:AN349)</f>
        <v>0</v>
      </c>
      <c r="BQ349" s="48">
        <f t="shared" si="1947"/>
        <v>2</v>
      </c>
      <c r="BR349" s="48">
        <f t="shared" si="1948"/>
        <v>2</v>
      </c>
      <c r="BS349" s="48">
        <f t="shared" si="2019"/>
        <v>2</v>
      </c>
      <c r="BT349" s="48">
        <f t="shared" si="1950"/>
        <v>0</v>
      </c>
      <c r="BU349" s="48">
        <f t="shared" si="1951"/>
        <v>0</v>
      </c>
      <c r="BV349" s="48">
        <f t="shared" si="2020"/>
        <v>0</v>
      </c>
      <c r="BW349" s="48">
        <f t="shared" si="1953"/>
        <v>2</v>
      </c>
      <c r="BX349" s="48">
        <f t="shared" si="1954"/>
        <v>2</v>
      </c>
      <c r="BY349" s="48">
        <f t="shared" si="2021"/>
        <v>2</v>
      </c>
      <c r="BZ349" s="48">
        <f t="shared" si="1956"/>
        <v>0</v>
      </c>
      <c r="CA349" s="48">
        <f t="shared" si="1957"/>
        <v>0</v>
      </c>
      <c r="CB349" s="48">
        <f>SUM(AX349:AZ349)</f>
        <v>0</v>
      </c>
      <c r="CC349" s="48">
        <f t="shared" si="1958"/>
        <v>0</v>
      </c>
      <c r="CD349" s="48">
        <f t="shared" si="1959"/>
        <v>0</v>
      </c>
      <c r="CE349" s="48">
        <f>SUM(BA349:BC349)</f>
        <v>0</v>
      </c>
      <c r="CF349" s="48">
        <f>CH349</f>
        <v>2</v>
      </c>
      <c r="CG349" s="48">
        <f>CH349</f>
        <v>2</v>
      </c>
      <c r="CH349" s="48">
        <f>SUM(BD349:BF349)</f>
        <v>2</v>
      </c>
      <c r="CI349" s="48">
        <f>CK349</f>
        <v>2</v>
      </c>
      <c r="CJ349" s="48">
        <f>CK349</f>
        <v>2</v>
      </c>
      <c r="CK349" s="48">
        <f>SUM(BG349:BI349)</f>
        <v>2</v>
      </c>
      <c r="CL349" s="48">
        <f>CN349</f>
        <v>-4</v>
      </c>
      <c r="CM349" s="48">
        <f>CN349</f>
        <v>-4</v>
      </c>
      <c r="CN349" s="48">
        <f t="shared" si="2022"/>
        <v>-4</v>
      </c>
      <c r="CO349" s="406"/>
      <c r="CP349" s="48">
        <f t="shared" si="2052"/>
        <v>0</v>
      </c>
      <c r="CQ349" s="48">
        <f t="shared" si="2023"/>
        <v>0</v>
      </c>
      <c r="CR349" s="48">
        <f t="shared" si="2024"/>
        <v>0</v>
      </c>
      <c r="CS349" s="48">
        <f t="shared" si="2025"/>
        <v>0</v>
      </c>
      <c r="CT349" s="48">
        <f t="shared" si="2026"/>
        <v>0</v>
      </c>
      <c r="CU349" s="48">
        <f t="shared" si="2027"/>
        <v>2</v>
      </c>
      <c r="CV349" s="48">
        <f t="shared" si="2028"/>
        <v>2</v>
      </c>
      <c r="CW349" s="48">
        <f t="shared" si="2029"/>
        <v>2</v>
      </c>
      <c r="CX349" s="48">
        <f t="shared" si="2030"/>
        <v>2</v>
      </c>
      <c r="CY349" s="48">
        <f t="shared" si="2031"/>
        <v>2</v>
      </c>
      <c r="CZ349" s="48">
        <f t="shared" si="2032"/>
        <v>2</v>
      </c>
      <c r="DA349" s="48">
        <f t="shared" si="2033"/>
        <v>4</v>
      </c>
      <c r="DB349" s="48">
        <f t="shared" si="2053"/>
        <v>0</v>
      </c>
      <c r="DC349" s="48">
        <f t="shared" si="2034"/>
        <v>0</v>
      </c>
      <c r="DD349" s="48">
        <f t="shared" si="2035"/>
        <v>0</v>
      </c>
      <c r="DE349" s="48">
        <f t="shared" si="2036"/>
        <v>0</v>
      </c>
      <c r="DF349" s="48">
        <f t="shared" si="2037"/>
        <v>0</v>
      </c>
      <c r="DG349" s="48">
        <f t="shared" si="2038"/>
        <v>0</v>
      </c>
      <c r="DH349" s="48">
        <f t="shared" si="2039"/>
        <v>2</v>
      </c>
      <c r="DI349" s="48">
        <f t="shared" si="2040"/>
        <v>2</v>
      </c>
      <c r="DJ349" s="48">
        <f t="shared" si="2041"/>
        <v>2</v>
      </c>
      <c r="DK349" s="48">
        <f t="shared" si="2042"/>
        <v>2</v>
      </c>
      <c r="DL349" s="48">
        <f t="shared" si="2043"/>
        <v>2</v>
      </c>
      <c r="DM349" s="48">
        <f t="shared" si="2044"/>
        <v>4</v>
      </c>
      <c r="DN349" s="48">
        <f>DM349+BJ349</f>
        <v>0</v>
      </c>
      <c r="DO349" s="48">
        <f t="shared" si="2054"/>
        <v>0</v>
      </c>
      <c r="DP349" s="48">
        <f t="shared" si="2055"/>
        <v>0</v>
      </c>
      <c r="DQ349" s="48"/>
      <c r="DR349" s="48"/>
      <c r="DS349" s="48"/>
      <c r="DT349" s="48"/>
      <c r="DU349" s="48"/>
      <c r="DV349" s="48"/>
      <c r="DW349" s="48"/>
      <c r="DX349" s="48"/>
      <c r="DY349" s="48"/>
      <c r="EA349" s="52">
        <f t="shared" si="1976"/>
        <v>4</v>
      </c>
      <c r="EB349" s="52">
        <f t="shared" si="1977"/>
        <v>4</v>
      </c>
      <c r="EC349" s="52"/>
      <c r="ED349" s="429"/>
      <c r="EE349" s="40">
        <f t="shared" si="1941"/>
        <v>0</v>
      </c>
      <c r="EF349" s="40">
        <f t="shared" si="1942"/>
        <v>-4</v>
      </c>
      <c r="EG349" s="51">
        <f t="shared" si="1986"/>
        <v>4</v>
      </c>
      <c r="EH349" s="54"/>
      <c r="EI349" s="54"/>
      <c r="EJ349" s="54"/>
      <c r="EK349" s="675"/>
      <c r="EL349" s="53"/>
      <c r="EM349" s="53"/>
      <c r="EN349" s="53"/>
      <c r="EO349" s="49"/>
      <c r="EP349" s="49"/>
      <c r="EQ349" s="49"/>
    </row>
    <row r="350" spans="1:149">
      <c r="A350" s="6" t="s">
        <v>23</v>
      </c>
      <c r="B350" s="2" t="s">
        <v>13</v>
      </c>
      <c r="C350" s="3" t="s">
        <v>52</v>
      </c>
      <c r="E350" s="3" t="s">
        <v>15</v>
      </c>
      <c r="G350" s="3" t="s">
        <v>91</v>
      </c>
      <c r="I350" s="23"/>
      <c r="J350" s="19">
        <v>0</v>
      </c>
      <c r="K350" s="19">
        <v>0</v>
      </c>
      <c r="L350" s="19">
        <v>10500</v>
      </c>
      <c r="M350" s="19">
        <f>L350</f>
        <v>10500</v>
      </c>
      <c r="N350" s="19">
        <f>M350</f>
        <v>10500</v>
      </c>
      <c r="O350" s="19">
        <v>21000</v>
      </c>
      <c r="P350" s="19">
        <f>+O350</f>
        <v>21000</v>
      </c>
      <c r="Q350" s="19">
        <f>+P350</f>
        <v>21000</v>
      </c>
      <c r="R350" s="19">
        <v>31500</v>
      </c>
      <c r="S350" s="19">
        <f>+R350</f>
        <v>31500</v>
      </c>
      <c r="T350" s="19">
        <f>+S350</f>
        <v>31500</v>
      </c>
      <c r="U350" s="19">
        <v>42000</v>
      </c>
      <c r="V350" s="219">
        <v>0</v>
      </c>
      <c r="W350" s="246">
        <v>0</v>
      </c>
      <c r="X350" s="246">
        <v>0</v>
      </c>
      <c r="Y350" s="246">
        <f>X350</f>
        <v>0</v>
      </c>
      <c r="Z350" s="246">
        <v>0</v>
      </c>
      <c r="AA350" s="246">
        <f>ROUND(AG350/2,)</f>
        <v>21000</v>
      </c>
      <c r="AB350" s="246">
        <f t="shared" ref="AB350:AF351" si="2060">+AA350</f>
        <v>21000</v>
      </c>
      <c r="AC350" s="246">
        <f t="shared" si="2060"/>
        <v>21000</v>
      </c>
      <c r="AD350" s="246">
        <f t="shared" si="2060"/>
        <v>21000</v>
      </c>
      <c r="AE350" s="246">
        <f t="shared" si="2060"/>
        <v>21000</v>
      </c>
      <c r="AF350" s="246">
        <f t="shared" si="2060"/>
        <v>21000</v>
      </c>
      <c r="AG350" s="246">
        <v>42000</v>
      </c>
      <c r="AH350" s="31"/>
      <c r="AI350" s="19"/>
      <c r="AJ350" s="19"/>
      <c r="AK350" s="408"/>
      <c r="AL350" s="40" t="s">
        <v>97</v>
      </c>
      <c r="AM350" s="40" t="s">
        <v>97</v>
      </c>
      <c r="AN350" s="40" t="s">
        <v>97</v>
      </c>
      <c r="AO350" s="40" t="s">
        <v>97</v>
      </c>
      <c r="AP350" s="40" t="s">
        <v>97</v>
      </c>
      <c r="AQ350" s="40" t="s">
        <v>97</v>
      </c>
      <c r="AR350" s="40" t="s">
        <v>97</v>
      </c>
      <c r="AS350" s="40" t="s">
        <v>97</v>
      </c>
      <c r="AT350" s="40" t="s">
        <v>97</v>
      </c>
      <c r="AU350" s="40" t="s">
        <v>97</v>
      </c>
      <c r="AV350" s="40" t="s">
        <v>97</v>
      </c>
      <c r="AW350" s="40" t="s">
        <v>97</v>
      </c>
      <c r="AX350" s="40" t="s">
        <v>97</v>
      </c>
      <c r="AY350" s="40" t="s">
        <v>97</v>
      </c>
      <c r="AZ350" s="40" t="s">
        <v>97</v>
      </c>
      <c r="BA350" s="40" t="s">
        <v>97</v>
      </c>
      <c r="BB350" s="40" t="s">
        <v>97</v>
      </c>
      <c r="BC350" s="40" t="s">
        <v>97</v>
      </c>
      <c r="BD350" s="40" t="s">
        <v>97</v>
      </c>
      <c r="BE350" s="40" t="s">
        <v>97</v>
      </c>
      <c r="BF350" s="40" t="s">
        <v>97</v>
      </c>
      <c r="BG350" s="40" t="s">
        <v>97</v>
      </c>
      <c r="BH350" s="40" t="s">
        <v>97</v>
      </c>
      <c r="BI350" s="40" t="s">
        <v>97</v>
      </c>
      <c r="BJ350" s="40" t="s">
        <v>97</v>
      </c>
      <c r="BK350" s="40" t="s">
        <v>97</v>
      </c>
      <c r="BL350" s="40" t="s">
        <v>97</v>
      </c>
      <c r="BM350" s="408"/>
      <c r="BN350" s="40" t="s">
        <v>97</v>
      </c>
      <c r="BO350" s="40" t="s">
        <v>97</v>
      </c>
      <c r="BP350" s="40" t="s">
        <v>97</v>
      </c>
      <c r="BQ350" s="40" t="s">
        <v>97</v>
      </c>
      <c r="BR350" s="40" t="s">
        <v>97</v>
      </c>
      <c r="BS350" s="40" t="s">
        <v>97</v>
      </c>
      <c r="BT350" s="40" t="s">
        <v>97</v>
      </c>
      <c r="BU350" s="40" t="s">
        <v>97</v>
      </c>
      <c r="BV350" s="40" t="s">
        <v>97</v>
      </c>
      <c r="BW350" s="40" t="s">
        <v>97</v>
      </c>
      <c r="BX350" s="40" t="s">
        <v>97</v>
      </c>
      <c r="BY350" s="40" t="s">
        <v>97</v>
      </c>
      <c r="BZ350" s="40" t="s">
        <v>97</v>
      </c>
      <c r="CA350" s="40" t="s">
        <v>97</v>
      </c>
      <c r="CB350" s="40" t="s">
        <v>97</v>
      </c>
      <c r="CC350" s="40" t="s">
        <v>97</v>
      </c>
      <c r="CD350" s="40" t="s">
        <v>97</v>
      </c>
      <c r="CE350" s="40" t="s">
        <v>97</v>
      </c>
      <c r="CF350" s="40" t="s">
        <v>97</v>
      </c>
      <c r="CG350" s="40" t="s">
        <v>97</v>
      </c>
      <c r="CH350" s="40" t="s">
        <v>97</v>
      </c>
      <c r="CI350" s="40" t="s">
        <v>97</v>
      </c>
      <c r="CJ350" s="40" t="s">
        <v>97</v>
      </c>
      <c r="CK350" s="40" t="s">
        <v>97</v>
      </c>
      <c r="CL350" s="40" t="s">
        <v>97</v>
      </c>
      <c r="CM350" s="40" t="s">
        <v>97</v>
      </c>
      <c r="CN350" s="40" t="s">
        <v>97</v>
      </c>
      <c r="CO350" s="406"/>
      <c r="CP350" s="48">
        <f t="shared" ref="CP350:CY351" si="2061">J350</f>
        <v>0</v>
      </c>
      <c r="CQ350" s="48">
        <f t="shared" si="2061"/>
        <v>0</v>
      </c>
      <c r="CR350" s="48">
        <f t="shared" si="2061"/>
        <v>10500</v>
      </c>
      <c r="CS350" s="48">
        <f t="shared" si="2061"/>
        <v>10500</v>
      </c>
      <c r="CT350" s="48">
        <f t="shared" si="2061"/>
        <v>10500</v>
      </c>
      <c r="CU350" s="48">
        <f t="shared" si="2061"/>
        <v>21000</v>
      </c>
      <c r="CV350" s="48">
        <f t="shared" si="2061"/>
        <v>21000</v>
      </c>
      <c r="CW350" s="48">
        <f t="shared" si="2061"/>
        <v>21000</v>
      </c>
      <c r="CX350" s="48">
        <f t="shared" si="2061"/>
        <v>31500</v>
      </c>
      <c r="CY350" s="48">
        <f t="shared" si="2061"/>
        <v>31500</v>
      </c>
      <c r="CZ350" s="48">
        <f t="shared" ref="CZ350:DI351" si="2062">T350</f>
        <v>31500</v>
      </c>
      <c r="DA350" s="48">
        <f t="shared" si="2062"/>
        <v>42000</v>
      </c>
      <c r="DB350" s="48">
        <f t="shared" si="2062"/>
        <v>0</v>
      </c>
      <c r="DC350" s="48">
        <f t="shared" si="2062"/>
        <v>0</v>
      </c>
      <c r="DD350" s="48">
        <f t="shared" si="2062"/>
        <v>0</v>
      </c>
      <c r="DE350" s="48">
        <f t="shared" si="2062"/>
        <v>0</v>
      </c>
      <c r="DF350" s="48">
        <f t="shared" si="2062"/>
        <v>0</v>
      </c>
      <c r="DG350" s="48">
        <f t="shared" si="2062"/>
        <v>21000</v>
      </c>
      <c r="DH350" s="48">
        <f t="shared" si="2062"/>
        <v>21000</v>
      </c>
      <c r="DI350" s="48">
        <f t="shared" si="2062"/>
        <v>21000</v>
      </c>
      <c r="DJ350" s="48">
        <f t="shared" ref="DJ350:DP351" si="2063">AD350</f>
        <v>21000</v>
      </c>
      <c r="DK350" s="48">
        <f t="shared" si="2063"/>
        <v>21000</v>
      </c>
      <c r="DL350" s="48">
        <f t="shared" si="2063"/>
        <v>21000</v>
      </c>
      <c r="DM350" s="48">
        <f t="shared" si="2063"/>
        <v>42000</v>
      </c>
      <c r="DN350" s="48">
        <f t="shared" si="2063"/>
        <v>0</v>
      </c>
      <c r="DO350" s="48">
        <f t="shared" si="2063"/>
        <v>0</v>
      </c>
      <c r="DP350" s="48">
        <f t="shared" si="2063"/>
        <v>0</v>
      </c>
      <c r="DQ350" s="48"/>
      <c r="DR350" s="48"/>
      <c r="DS350" s="48"/>
      <c r="DT350" s="48"/>
      <c r="DU350" s="48"/>
      <c r="DV350" s="48"/>
      <c r="DW350" s="48"/>
      <c r="DX350" s="48"/>
      <c r="DY350" s="48"/>
      <c r="EA350" s="52">
        <f t="shared" si="1976"/>
        <v>42000</v>
      </c>
      <c r="EB350" s="52">
        <f t="shared" si="1977"/>
        <v>42000</v>
      </c>
      <c r="EC350" s="52"/>
      <c r="ED350" s="429"/>
      <c r="EE350" s="40" t="str">
        <f>HLOOKUP($I$1,Month,19)</f>
        <v>N/A</v>
      </c>
      <c r="EF350" s="40" t="str">
        <f>HLOOKUP($I$1,Qtr,19)</f>
        <v>N/A</v>
      </c>
      <c r="EG350" s="51">
        <f>HLOOKUP($EJ$4,Budget,19)</f>
        <v>41153</v>
      </c>
      <c r="EH350" s="54"/>
      <c r="EI350" s="54"/>
      <c r="EJ350" s="54"/>
      <c r="EK350" s="675"/>
      <c r="EL350" s="53"/>
      <c r="EM350" s="53"/>
      <c r="EN350" s="53"/>
      <c r="EO350" s="49"/>
      <c r="EP350" s="49"/>
      <c r="EQ350" s="49"/>
    </row>
    <row r="351" spans="1:149" ht="13.5" thickBot="1">
      <c r="A351" s="6" t="s">
        <v>23</v>
      </c>
      <c r="B351" s="2" t="s">
        <v>14</v>
      </c>
      <c r="C351" s="3" t="s">
        <v>53</v>
      </c>
      <c r="E351" s="3" t="s">
        <v>15</v>
      </c>
      <c r="G351" s="3" t="s">
        <v>91</v>
      </c>
      <c r="I351" s="23"/>
      <c r="J351" s="19">
        <v>0</v>
      </c>
      <c r="K351" s="19">
        <v>0</v>
      </c>
      <c r="L351" s="19">
        <v>21000</v>
      </c>
      <c r="M351" s="19">
        <f>L351</f>
        <v>21000</v>
      </c>
      <c r="N351" s="19">
        <f>M351</f>
        <v>21000</v>
      </c>
      <c r="O351" s="19">
        <v>42000</v>
      </c>
      <c r="P351" s="19">
        <f>+O351</f>
        <v>42000</v>
      </c>
      <c r="Q351" s="19">
        <f>+P351</f>
        <v>42000</v>
      </c>
      <c r="R351" s="19">
        <v>63000</v>
      </c>
      <c r="S351" s="19">
        <f>+R351</f>
        <v>63000</v>
      </c>
      <c r="T351" s="19">
        <f>+S351</f>
        <v>63000</v>
      </c>
      <c r="U351" s="19">
        <v>84000</v>
      </c>
      <c r="V351" s="221">
        <v>0</v>
      </c>
      <c r="W351" s="246">
        <v>0</v>
      </c>
      <c r="X351" s="246">
        <v>0</v>
      </c>
      <c r="Y351" s="246">
        <f>X351</f>
        <v>0</v>
      </c>
      <c r="Z351" s="246">
        <v>0</v>
      </c>
      <c r="AA351" s="246">
        <f>ROUND(AG351/2,0)</f>
        <v>42000</v>
      </c>
      <c r="AB351" s="246">
        <f t="shared" si="2060"/>
        <v>42000</v>
      </c>
      <c r="AC351" s="246">
        <f t="shared" si="2060"/>
        <v>42000</v>
      </c>
      <c r="AD351" s="246">
        <f t="shared" si="2060"/>
        <v>42000</v>
      </c>
      <c r="AE351" s="246">
        <f t="shared" si="2060"/>
        <v>42000</v>
      </c>
      <c r="AF351" s="246">
        <f t="shared" si="2060"/>
        <v>42000</v>
      </c>
      <c r="AG351" s="246">
        <v>84000</v>
      </c>
      <c r="AH351" s="34"/>
      <c r="AI351" s="19"/>
      <c r="AJ351" s="19"/>
      <c r="AK351" s="408"/>
      <c r="AL351" s="40" t="s">
        <v>97</v>
      </c>
      <c r="AM351" s="40" t="s">
        <v>97</v>
      </c>
      <c r="AN351" s="40" t="s">
        <v>97</v>
      </c>
      <c r="AO351" s="40" t="s">
        <v>97</v>
      </c>
      <c r="AP351" s="40" t="s">
        <v>97</v>
      </c>
      <c r="AQ351" s="40" t="s">
        <v>97</v>
      </c>
      <c r="AR351" s="40" t="s">
        <v>97</v>
      </c>
      <c r="AS351" s="40" t="s">
        <v>97</v>
      </c>
      <c r="AT351" s="40" t="s">
        <v>97</v>
      </c>
      <c r="AU351" s="40" t="s">
        <v>97</v>
      </c>
      <c r="AV351" s="40" t="s">
        <v>97</v>
      </c>
      <c r="AW351" s="40" t="s">
        <v>97</v>
      </c>
      <c r="AX351" s="40" t="s">
        <v>97</v>
      </c>
      <c r="AY351" s="40" t="s">
        <v>97</v>
      </c>
      <c r="AZ351" s="40" t="s">
        <v>97</v>
      </c>
      <c r="BA351" s="40" t="s">
        <v>97</v>
      </c>
      <c r="BB351" s="40" t="s">
        <v>97</v>
      </c>
      <c r="BC351" s="40" t="s">
        <v>97</v>
      </c>
      <c r="BD351" s="40" t="s">
        <v>97</v>
      </c>
      <c r="BE351" s="40" t="s">
        <v>97</v>
      </c>
      <c r="BF351" s="40" t="s">
        <v>97</v>
      </c>
      <c r="BG351" s="40" t="s">
        <v>97</v>
      </c>
      <c r="BH351" s="40" t="s">
        <v>97</v>
      </c>
      <c r="BI351" s="40" t="s">
        <v>97</v>
      </c>
      <c r="BJ351" s="40" t="s">
        <v>97</v>
      </c>
      <c r="BK351" s="40" t="s">
        <v>97</v>
      </c>
      <c r="BL351" s="40" t="s">
        <v>97</v>
      </c>
      <c r="BM351" s="408"/>
      <c r="BN351" s="40" t="s">
        <v>97</v>
      </c>
      <c r="BO351" s="40" t="s">
        <v>97</v>
      </c>
      <c r="BP351" s="40" t="s">
        <v>97</v>
      </c>
      <c r="BQ351" s="40" t="s">
        <v>97</v>
      </c>
      <c r="BR351" s="40" t="s">
        <v>97</v>
      </c>
      <c r="BS351" s="40" t="s">
        <v>97</v>
      </c>
      <c r="BT351" s="40" t="s">
        <v>97</v>
      </c>
      <c r="BU351" s="40" t="s">
        <v>97</v>
      </c>
      <c r="BV351" s="40" t="s">
        <v>97</v>
      </c>
      <c r="BW351" s="40" t="s">
        <v>97</v>
      </c>
      <c r="BX351" s="40" t="s">
        <v>97</v>
      </c>
      <c r="BY351" s="40" t="s">
        <v>97</v>
      </c>
      <c r="BZ351" s="40" t="s">
        <v>97</v>
      </c>
      <c r="CA351" s="40" t="s">
        <v>97</v>
      </c>
      <c r="CB351" s="40" t="s">
        <v>97</v>
      </c>
      <c r="CC351" s="40" t="s">
        <v>97</v>
      </c>
      <c r="CD351" s="40" t="s">
        <v>97</v>
      </c>
      <c r="CE351" s="40" t="s">
        <v>97</v>
      </c>
      <c r="CF351" s="40" t="s">
        <v>97</v>
      </c>
      <c r="CG351" s="40" t="s">
        <v>97</v>
      </c>
      <c r="CH351" s="40" t="s">
        <v>97</v>
      </c>
      <c r="CI351" s="40" t="s">
        <v>97</v>
      </c>
      <c r="CJ351" s="40" t="s">
        <v>97</v>
      </c>
      <c r="CK351" s="40" t="s">
        <v>97</v>
      </c>
      <c r="CL351" s="40" t="s">
        <v>97</v>
      </c>
      <c r="CM351" s="40" t="s">
        <v>97</v>
      </c>
      <c r="CN351" s="40" t="s">
        <v>97</v>
      </c>
      <c r="CO351" s="406"/>
      <c r="CP351" s="48">
        <f t="shared" si="2061"/>
        <v>0</v>
      </c>
      <c r="CQ351" s="48">
        <f t="shared" si="2061"/>
        <v>0</v>
      </c>
      <c r="CR351" s="48">
        <f t="shared" si="2061"/>
        <v>21000</v>
      </c>
      <c r="CS351" s="48">
        <f t="shared" si="2061"/>
        <v>21000</v>
      </c>
      <c r="CT351" s="48">
        <f t="shared" si="2061"/>
        <v>21000</v>
      </c>
      <c r="CU351" s="48">
        <f t="shared" si="2061"/>
        <v>42000</v>
      </c>
      <c r="CV351" s="48">
        <f t="shared" si="2061"/>
        <v>42000</v>
      </c>
      <c r="CW351" s="48">
        <f t="shared" si="2061"/>
        <v>42000</v>
      </c>
      <c r="CX351" s="48">
        <f t="shared" si="2061"/>
        <v>63000</v>
      </c>
      <c r="CY351" s="48">
        <f t="shared" si="2061"/>
        <v>63000</v>
      </c>
      <c r="CZ351" s="48">
        <f t="shared" si="2062"/>
        <v>63000</v>
      </c>
      <c r="DA351" s="48">
        <f t="shared" si="2062"/>
        <v>84000</v>
      </c>
      <c r="DB351" s="48">
        <f t="shared" si="2062"/>
        <v>0</v>
      </c>
      <c r="DC351" s="48">
        <f t="shared" si="2062"/>
        <v>0</v>
      </c>
      <c r="DD351" s="48">
        <f t="shared" si="2062"/>
        <v>0</v>
      </c>
      <c r="DE351" s="48">
        <f t="shared" si="2062"/>
        <v>0</v>
      </c>
      <c r="DF351" s="48">
        <f t="shared" si="2062"/>
        <v>0</v>
      </c>
      <c r="DG351" s="48">
        <f t="shared" si="2062"/>
        <v>42000</v>
      </c>
      <c r="DH351" s="48">
        <f t="shared" si="2062"/>
        <v>42000</v>
      </c>
      <c r="DI351" s="48">
        <f t="shared" si="2062"/>
        <v>42000</v>
      </c>
      <c r="DJ351" s="48">
        <f t="shared" si="2063"/>
        <v>42000</v>
      </c>
      <c r="DK351" s="48">
        <f t="shared" si="2063"/>
        <v>42000</v>
      </c>
      <c r="DL351" s="48">
        <f t="shared" si="2063"/>
        <v>42000</v>
      </c>
      <c r="DM351" s="48">
        <f t="shared" si="2063"/>
        <v>84000</v>
      </c>
      <c r="DN351" s="48">
        <f t="shared" si="2063"/>
        <v>0</v>
      </c>
      <c r="DO351" s="48">
        <f t="shared" si="2063"/>
        <v>0</v>
      </c>
      <c r="DP351" s="48">
        <f t="shared" si="2063"/>
        <v>0</v>
      </c>
      <c r="DQ351" s="48"/>
      <c r="DR351" s="48"/>
      <c r="DS351" s="48"/>
      <c r="DT351" s="48"/>
      <c r="DU351" s="48"/>
      <c r="DV351" s="48"/>
      <c r="DW351" s="48"/>
      <c r="DX351" s="48"/>
      <c r="DY351" s="48"/>
      <c r="EA351" s="52">
        <f t="shared" si="1976"/>
        <v>84000</v>
      </c>
      <c r="EB351" s="52">
        <f t="shared" si="1977"/>
        <v>84000</v>
      </c>
      <c r="EC351" s="52"/>
      <c r="ED351" s="429"/>
      <c r="EE351" s="40" t="str">
        <f>HLOOKUP($I$1,Month,20)</f>
        <v>N/A</v>
      </c>
      <c r="EF351" s="40" t="str">
        <f>HLOOKUP($I$1,Qtr,20)</f>
        <v>N/A</v>
      </c>
      <c r="EG351" s="51">
        <f>HLOOKUP($EJ$4,Budget,20)</f>
        <v>81520</v>
      </c>
      <c r="EH351" s="54"/>
      <c r="EI351" s="54"/>
      <c r="EJ351" s="54"/>
      <c r="EK351" s="675"/>
      <c r="EL351" s="53"/>
      <c r="EM351" s="53"/>
      <c r="EN351" s="53"/>
      <c r="EO351" s="49"/>
      <c r="EP351" s="49"/>
      <c r="EQ351" s="49"/>
    </row>
    <row r="352" spans="1:149">
      <c r="A352" s="6" t="s">
        <v>23</v>
      </c>
      <c r="B352" s="2" t="s">
        <v>0</v>
      </c>
      <c r="C352" s="3" t="s">
        <v>40</v>
      </c>
      <c r="G352" s="43" t="s">
        <v>113</v>
      </c>
      <c r="H352" s="28"/>
      <c r="I352" s="29"/>
      <c r="J352" s="30">
        <f t="shared" ref="J352:L353" si="2064">+J334-I334</f>
        <v>18.699999999999989</v>
      </c>
      <c r="K352" s="30">
        <f t="shared" si="2064"/>
        <v>19.170000000000016</v>
      </c>
      <c r="L352" s="30">
        <f t="shared" si="2064"/>
        <v>19.169999999999987</v>
      </c>
      <c r="M352" s="30">
        <f>+M334</f>
        <v>15</v>
      </c>
      <c r="N352" s="30">
        <f t="shared" ref="N352:U352" si="2065">+N334-M334</f>
        <v>15</v>
      </c>
      <c r="O352" s="30">
        <f t="shared" si="2065"/>
        <v>15</v>
      </c>
      <c r="P352" s="30">
        <f t="shared" si="2065"/>
        <v>15</v>
      </c>
      <c r="Q352" s="30">
        <f t="shared" si="2065"/>
        <v>15</v>
      </c>
      <c r="R352" s="30">
        <f t="shared" si="2065"/>
        <v>15</v>
      </c>
      <c r="S352" s="30">
        <f t="shared" si="2065"/>
        <v>15</v>
      </c>
      <c r="T352" s="30">
        <f t="shared" si="2065"/>
        <v>15</v>
      </c>
      <c r="U352" s="30">
        <f t="shared" si="2065"/>
        <v>15</v>
      </c>
      <c r="V352" s="30">
        <v>18</v>
      </c>
      <c r="W352" s="30">
        <f>V352+18</f>
        <v>36</v>
      </c>
      <c r="X352" s="226">
        <f t="shared" ref="X352:AG352" si="2066">W352+18</f>
        <v>54</v>
      </c>
      <c r="Y352" s="226">
        <f t="shared" si="2066"/>
        <v>72</v>
      </c>
      <c r="Z352" s="226">
        <f t="shared" si="2066"/>
        <v>90</v>
      </c>
      <c r="AA352" s="226">
        <f t="shared" si="2066"/>
        <v>108</v>
      </c>
      <c r="AB352" s="226">
        <f t="shared" si="2066"/>
        <v>126</v>
      </c>
      <c r="AC352" s="226">
        <f t="shared" si="2066"/>
        <v>144</v>
      </c>
      <c r="AD352" s="226">
        <f t="shared" si="2066"/>
        <v>162</v>
      </c>
      <c r="AE352" s="226">
        <f t="shared" si="2066"/>
        <v>180</v>
      </c>
      <c r="AF352" s="226">
        <f t="shared" si="2066"/>
        <v>198</v>
      </c>
      <c r="AG352" s="226">
        <f t="shared" si="2066"/>
        <v>216</v>
      </c>
      <c r="AH352" s="30">
        <f>233/12</f>
        <v>19.416666666666668</v>
      </c>
      <c r="AI352" s="226">
        <f t="shared" ref="AI352:AJ352" si="2067">233/12</f>
        <v>19.416666666666668</v>
      </c>
      <c r="AJ352" s="226">
        <f t="shared" si="2067"/>
        <v>19.416666666666668</v>
      </c>
      <c r="AK352" s="408"/>
      <c r="AL352" s="48">
        <f t="shared" ref="AL352:AU354" si="2068">J352</f>
        <v>18.699999999999989</v>
      </c>
      <c r="AM352" s="48">
        <f t="shared" si="2068"/>
        <v>19.170000000000016</v>
      </c>
      <c r="AN352" s="48">
        <f t="shared" si="2068"/>
        <v>19.169999999999987</v>
      </c>
      <c r="AO352" s="48">
        <f t="shared" si="2068"/>
        <v>15</v>
      </c>
      <c r="AP352" s="48">
        <f t="shared" si="2068"/>
        <v>15</v>
      </c>
      <c r="AQ352" s="48">
        <f t="shared" si="2068"/>
        <v>15</v>
      </c>
      <c r="AR352" s="48">
        <f t="shared" si="2068"/>
        <v>15</v>
      </c>
      <c r="AS352" s="48">
        <f t="shared" si="2068"/>
        <v>15</v>
      </c>
      <c r="AT352" s="48">
        <f t="shared" si="2068"/>
        <v>15</v>
      </c>
      <c r="AU352" s="48">
        <f t="shared" si="2068"/>
        <v>15</v>
      </c>
      <c r="AV352" s="48">
        <f t="shared" ref="AV352:BE354" si="2069">T352</f>
        <v>15</v>
      </c>
      <c r="AW352" s="48">
        <f t="shared" si="2069"/>
        <v>15</v>
      </c>
      <c r="AX352" s="48">
        <f t="shared" si="2069"/>
        <v>18</v>
      </c>
      <c r="AY352" s="48">
        <v>18</v>
      </c>
      <c r="AZ352" s="48">
        <v>18</v>
      </c>
      <c r="BA352" s="48">
        <v>18</v>
      </c>
      <c r="BB352" s="48">
        <v>18</v>
      </c>
      <c r="BC352" s="48">
        <v>18</v>
      </c>
      <c r="BD352" s="48">
        <v>18</v>
      </c>
      <c r="BE352" s="48">
        <v>18</v>
      </c>
      <c r="BF352" s="48">
        <v>18</v>
      </c>
      <c r="BG352" s="48">
        <v>18</v>
      </c>
      <c r="BH352" s="48">
        <v>18</v>
      </c>
      <c r="BI352" s="48">
        <v>18</v>
      </c>
      <c r="BJ352" s="48">
        <f t="shared" ref="BF352:BL354" si="2070">AH352</f>
        <v>19.416666666666668</v>
      </c>
      <c r="BK352" s="48">
        <f t="shared" si="2070"/>
        <v>19.416666666666668</v>
      </c>
      <c r="BL352" s="48">
        <f t="shared" si="2070"/>
        <v>19.416666666666668</v>
      </c>
      <c r="BM352" s="408"/>
      <c r="BN352" s="48">
        <f>+AL352</f>
        <v>18.699999999999989</v>
      </c>
      <c r="BO352" s="48">
        <f>+BN352+AM352</f>
        <v>37.870000000000005</v>
      </c>
      <c r="BP352" s="48">
        <f>+BO352+AN352</f>
        <v>57.039999999999992</v>
      </c>
      <c r="BQ352" s="48">
        <f>AO352</f>
        <v>15</v>
      </c>
      <c r="BR352" s="48">
        <f>+BQ352+AP352</f>
        <v>30</v>
      </c>
      <c r="BS352" s="48">
        <f>+BR352+AQ352</f>
        <v>45</v>
      </c>
      <c r="BT352" s="48">
        <f>AR352</f>
        <v>15</v>
      </c>
      <c r="BU352" s="48">
        <f>+BT352+AS352</f>
        <v>30</v>
      </c>
      <c r="BV352" s="48">
        <f>+BU352+AT352</f>
        <v>45</v>
      </c>
      <c r="BW352" s="48">
        <f>AU352</f>
        <v>15</v>
      </c>
      <c r="BX352" s="48">
        <f>+BW352+AV352</f>
        <v>30</v>
      </c>
      <c r="BY352" s="48">
        <f>+BX352+AW352</f>
        <v>45</v>
      </c>
      <c r="BZ352" s="48">
        <v>54</v>
      </c>
      <c r="CA352" s="48">
        <v>54</v>
      </c>
      <c r="CB352" s="48">
        <v>54</v>
      </c>
      <c r="CC352" s="48">
        <v>108</v>
      </c>
      <c r="CD352" s="48">
        <v>108</v>
      </c>
      <c r="CE352" s="48">
        <v>108</v>
      </c>
      <c r="CF352" s="48">
        <v>162</v>
      </c>
      <c r="CG352" s="48">
        <v>162</v>
      </c>
      <c r="CH352" s="48">
        <v>162</v>
      </c>
      <c r="CI352" s="48">
        <v>216</v>
      </c>
      <c r="CJ352" s="48">
        <v>216</v>
      </c>
      <c r="CK352" s="48">
        <v>216</v>
      </c>
      <c r="CL352" s="48">
        <f>CN352</f>
        <v>58.25</v>
      </c>
      <c r="CM352" s="48">
        <f>CN352</f>
        <v>58.25</v>
      </c>
      <c r="CN352" s="48">
        <f>233/4</f>
        <v>58.25</v>
      </c>
      <c r="CO352" s="406"/>
      <c r="CP352" s="40">
        <f>AL352</f>
        <v>18.699999999999989</v>
      </c>
      <c r="CQ352" s="40">
        <f t="shared" ref="CQ352:DA353" si="2071">CP352+AM352</f>
        <v>37.870000000000005</v>
      </c>
      <c r="CR352" s="40">
        <f t="shared" si="2071"/>
        <v>57.039999999999992</v>
      </c>
      <c r="CS352" s="40">
        <f t="shared" si="2071"/>
        <v>72.039999999999992</v>
      </c>
      <c r="CT352" s="40">
        <f t="shared" si="2071"/>
        <v>87.039999999999992</v>
      </c>
      <c r="CU352" s="40">
        <f t="shared" si="2071"/>
        <v>102.03999999999999</v>
      </c>
      <c r="CV352" s="40">
        <f t="shared" si="2071"/>
        <v>117.03999999999999</v>
      </c>
      <c r="CW352" s="40">
        <f t="shared" si="2071"/>
        <v>132.04</v>
      </c>
      <c r="CX352" s="40">
        <f t="shared" si="2071"/>
        <v>147.04</v>
      </c>
      <c r="CY352" s="40">
        <f t="shared" si="2071"/>
        <v>162.04</v>
      </c>
      <c r="CZ352" s="40">
        <f t="shared" si="2071"/>
        <v>177.04</v>
      </c>
      <c r="DA352" s="40">
        <f t="shared" si="2071"/>
        <v>192.04</v>
      </c>
      <c r="DB352" s="40">
        <f>AX352</f>
        <v>18</v>
      </c>
      <c r="DC352" s="40">
        <f>DB352+18</f>
        <v>36</v>
      </c>
      <c r="DD352" s="40">
        <f t="shared" ref="DD352:DM352" si="2072">DC352+18</f>
        <v>54</v>
      </c>
      <c r="DE352" s="40">
        <f t="shared" si="2072"/>
        <v>72</v>
      </c>
      <c r="DF352" s="40">
        <f t="shared" si="2072"/>
        <v>90</v>
      </c>
      <c r="DG352" s="40">
        <f t="shared" si="2072"/>
        <v>108</v>
      </c>
      <c r="DH352" s="40">
        <f t="shared" si="2072"/>
        <v>126</v>
      </c>
      <c r="DI352" s="40">
        <f t="shared" si="2072"/>
        <v>144</v>
      </c>
      <c r="DJ352" s="40">
        <f t="shared" si="2072"/>
        <v>162</v>
      </c>
      <c r="DK352" s="40">
        <f t="shared" si="2072"/>
        <v>180</v>
      </c>
      <c r="DL352" s="40">
        <f t="shared" si="2072"/>
        <v>198</v>
      </c>
      <c r="DM352" s="40">
        <f t="shared" si="2072"/>
        <v>216</v>
      </c>
      <c r="DN352" s="40">
        <f>BJ352</f>
        <v>19.416666666666668</v>
      </c>
      <c r="DO352" s="40">
        <f>DN352+BK352</f>
        <v>38.833333333333336</v>
      </c>
      <c r="DP352" s="40">
        <f>DO352+BL352</f>
        <v>58.25</v>
      </c>
      <c r="DQ352" s="40"/>
      <c r="DR352" s="40"/>
      <c r="DS352" s="40"/>
      <c r="DT352" s="40"/>
      <c r="DU352" s="40"/>
      <c r="DV352" s="40"/>
      <c r="DW352" s="40"/>
      <c r="DX352" s="40"/>
      <c r="DY352" s="40"/>
      <c r="EA352" s="58">
        <f t="shared" si="1976"/>
        <v>192.04</v>
      </c>
      <c r="EB352" s="58">
        <f t="shared" si="1977"/>
        <v>216</v>
      </c>
      <c r="EC352" s="58"/>
      <c r="ED352" s="429"/>
      <c r="EE352" s="40">
        <f>HLOOKUP($I$1,Month,ROW()-1)</f>
        <v>19.416666666666668</v>
      </c>
      <c r="EF352" s="40">
        <f>HLOOKUP($I$1,Qtr,ROW()-1)</f>
        <v>58.25</v>
      </c>
      <c r="EG352" s="40">
        <v>233</v>
      </c>
      <c r="EH352" s="54"/>
      <c r="EI352" s="54"/>
      <c r="EJ352" s="54"/>
      <c r="EK352" s="675"/>
      <c r="EL352" s="53"/>
      <c r="EM352" s="53"/>
      <c r="EN352" s="53"/>
      <c r="EO352" s="49"/>
      <c r="EP352" s="49"/>
      <c r="EQ352" s="49"/>
    </row>
    <row r="353" spans="1:149">
      <c r="A353" s="6" t="s">
        <v>23</v>
      </c>
      <c r="B353" s="2" t="s">
        <v>1</v>
      </c>
      <c r="C353" s="3" t="s">
        <v>41</v>
      </c>
      <c r="G353" s="43" t="s">
        <v>113</v>
      </c>
      <c r="H353" s="28"/>
      <c r="I353" s="29"/>
      <c r="J353" s="30">
        <f t="shared" si="2064"/>
        <v>3</v>
      </c>
      <c r="K353" s="30">
        <f t="shared" si="2064"/>
        <v>3</v>
      </c>
      <c r="L353" s="30">
        <f t="shared" si="2064"/>
        <v>3</v>
      </c>
      <c r="M353" s="30">
        <f>+M335</f>
        <v>4.5833329999999997</v>
      </c>
      <c r="N353" s="30">
        <f t="shared" ref="N353:X353" si="2073">+N335-M335</f>
        <v>4.5833270000000006</v>
      </c>
      <c r="O353" s="30">
        <f t="shared" si="2073"/>
        <v>4.5833399999999997</v>
      </c>
      <c r="P353" s="30">
        <f t="shared" si="2073"/>
        <v>4.5833000000000013</v>
      </c>
      <c r="Q353" s="30">
        <f t="shared" si="2073"/>
        <v>4.5837000000000003</v>
      </c>
      <c r="R353" s="30">
        <f t="shared" si="2073"/>
        <v>4.5829999999999984</v>
      </c>
      <c r="S353" s="30">
        <f t="shared" si="2073"/>
        <v>4.5833000000000013</v>
      </c>
      <c r="T353" s="30">
        <f t="shared" si="2073"/>
        <v>4.5833700000000022</v>
      </c>
      <c r="U353" s="30">
        <f t="shared" si="2073"/>
        <v>4.5833299999999966</v>
      </c>
      <c r="V353" s="30">
        <f t="shared" si="2073"/>
        <v>4.5833000000000013</v>
      </c>
      <c r="W353" s="30">
        <f t="shared" si="2073"/>
        <v>4.5833999999999975</v>
      </c>
      <c r="X353" s="30">
        <f t="shared" si="2073"/>
        <v>4.5833000000000013</v>
      </c>
      <c r="Y353" s="30">
        <f>+Y335</f>
        <v>5.33</v>
      </c>
      <c r="Z353" s="30">
        <f t="shared" ref="Z353:AJ353" si="2074">+Z335-Y335</f>
        <v>5.33</v>
      </c>
      <c r="AA353" s="30">
        <f t="shared" si="2074"/>
        <v>5.33</v>
      </c>
      <c r="AB353" s="30">
        <f t="shared" si="2074"/>
        <v>5.33</v>
      </c>
      <c r="AC353" s="30">
        <f t="shared" si="2074"/>
        <v>5.3299999999999983</v>
      </c>
      <c r="AD353" s="30">
        <f t="shared" si="2074"/>
        <v>5.3299999999999983</v>
      </c>
      <c r="AE353" s="30">
        <f t="shared" si="2074"/>
        <v>5.3299999999999983</v>
      </c>
      <c r="AF353" s="30">
        <f t="shared" si="2074"/>
        <v>5.3299999999999983</v>
      </c>
      <c r="AG353" s="30">
        <f t="shared" si="2074"/>
        <v>5.3299999999999983</v>
      </c>
      <c r="AH353" s="30">
        <f t="shared" si="2074"/>
        <v>5.3299999999999983</v>
      </c>
      <c r="AI353" s="30">
        <f t="shared" si="2074"/>
        <v>5.3299999999999983</v>
      </c>
      <c r="AJ353" s="30">
        <f t="shared" si="2074"/>
        <v>5.3299999999999983</v>
      </c>
      <c r="AK353" s="408"/>
      <c r="AL353" s="48">
        <f t="shared" si="2068"/>
        <v>3</v>
      </c>
      <c r="AM353" s="48">
        <f t="shared" si="2068"/>
        <v>3</v>
      </c>
      <c r="AN353" s="48">
        <f t="shared" si="2068"/>
        <v>3</v>
      </c>
      <c r="AO353" s="48">
        <f t="shared" si="2068"/>
        <v>4.5833329999999997</v>
      </c>
      <c r="AP353" s="48">
        <f t="shared" si="2068"/>
        <v>4.5833270000000006</v>
      </c>
      <c r="AQ353" s="48">
        <f t="shared" si="2068"/>
        <v>4.5833399999999997</v>
      </c>
      <c r="AR353" s="48">
        <f t="shared" si="2068"/>
        <v>4.5833000000000013</v>
      </c>
      <c r="AS353" s="48">
        <f t="shared" si="2068"/>
        <v>4.5837000000000003</v>
      </c>
      <c r="AT353" s="48">
        <f t="shared" si="2068"/>
        <v>4.5829999999999984</v>
      </c>
      <c r="AU353" s="48">
        <f t="shared" si="2068"/>
        <v>4.5833000000000013</v>
      </c>
      <c r="AV353" s="48">
        <f t="shared" si="2069"/>
        <v>4.5833700000000022</v>
      </c>
      <c r="AW353" s="48">
        <f t="shared" si="2069"/>
        <v>4.5833299999999966</v>
      </c>
      <c r="AX353" s="48">
        <f t="shared" si="2069"/>
        <v>4.5833000000000013</v>
      </c>
      <c r="AY353" s="48">
        <f t="shared" si="2069"/>
        <v>4.5833999999999975</v>
      </c>
      <c r="AZ353" s="48">
        <f t="shared" si="2069"/>
        <v>4.5833000000000013</v>
      </c>
      <c r="BA353" s="48">
        <f t="shared" si="2069"/>
        <v>5.33</v>
      </c>
      <c r="BB353" s="48">
        <f t="shared" si="2069"/>
        <v>5.33</v>
      </c>
      <c r="BC353" s="48">
        <f t="shared" si="2069"/>
        <v>5.33</v>
      </c>
      <c r="BD353" s="48">
        <f t="shared" si="2069"/>
        <v>5.33</v>
      </c>
      <c r="BE353" s="48">
        <f t="shared" si="2069"/>
        <v>5.3299999999999983</v>
      </c>
      <c r="BF353" s="48">
        <f t="shared" si="2070"/>
        <v>5.3299999999999983</v>
      </c>
      <c r="BG353" s="48">
        <f t="shared" si="2070"/>
        <v>5.3299999999999983</v>
      </c>
      <c r="BH353" s="48">
        <f t="shared" si="2070"/>
        <v>5.3299999999999983</v>
      </c>
      <c r="BI353" s="48">
        <f t="shared" si="2070"/>
        <v>5.3299999999999983</v>
      </c>
      <c r="BJ353" s="48">
        <f t="shared" si="2070"/>
        <v>5.3299999999999983</v>
      </c>
      <c r="BK353" s="48">
        <f t="shared" si="2070"/>
        <v>5.3299999999999983</v>
      </c>
      <c r="BL353" s="48">
        <f t="shared" si="2070"/>
        <v>5.3299999999999983</v>
      </c>
      <c r="BM353" s="408"/>
      <c r="BN353" s="48">
        <f>+AL353</f>
        <v>3</v>
      </c>
      <c r="BO353" s="48">
        <f>+BN353+AM353</f>
        <v>6</v>
      </c>
      <c r="BP353" s="48">
        <f>+BO353+AN353</f>
        <v>9</v>
      </c>
      <c r="BQ353" s="48">
        <f>AO353</f>
        <v>4.5833329999999997</v>
      </c>
      <c r="BR353" s="48">
        <f>+BQ353+AP353</f>
        <v>9.1666600000000003</v>
      </c>
      <c r="BS353" s="48">
        <f>+BR353+AQ353</f>
        <v>13.75</v>
      </c>
      <c r="BT353" s="48">
        <f>AR353</f>
        <v>4.5833000000000013</v>
      </c>
      <c r="BU353" s="48">
        <f>+BT353+AS353</f>
        <v>9.1670000000000016</v>
      </c>
      <c r="BV353" s="48">
        <f>+BU353+AT353</f>
        <v>13.75</v>
      </c>
      <c r="BW353" s="48">
        <f>AU353</f>
        <v>4.5833000000000013</v>
      </c>
      <c r="BX353" s="48">
        <f>+BW353+AV353</f>
        <v>9.1666700000000034</v>
      </c>
      <c r="BY353" s="48">
        <f>+BX353+AW353</f>
        <v>13.75</v>
      </c>
      <c r="BZ353" s="48">
        <f>AX353</f>
        <v>4.5833000000000013</v>
      </c>
      <c r="CA353" s="48">
        <f>+BZ353+AY353</f>
        <v>9.1666999999999987</v>
      </c>
      <c r="CB353" s="48">
        <f>+CA353+AZ353</f>
        <v>13.75</v>
      </c>
      <c r="CC353" s="48">
        <f>BA353</f>
        <v>5.33</v>
      </c>
      <c r="CD353" s="48">
        <f>+CC353+BB353</f>
        <v>10.66</v>
      </c>
      <c r="CE353" s="48">
        <f>+CD353+BC353</f>
        <v>15.99</v>
      </c>
      <c r="CF353" s="48">
        <f>BD353</f>
        <v>5.33</v>
      </c>
      <c r="CG353" s="48">
        <f>+CF353+BE353</f>
        <v>10.659999999999998</v>
      </c>
      <c r="CH353" s="48">
        <f>+CG353+BF353</f>
        <v>15.989999999999997</v>
      </c>
      <c r="CI353" s="48">
        <f>BG353</f>
        <v>5.3299999999999983</v>
      </c>
      <c r="CJ353" s="48">
        <f>+CI353+BH353</f>
        <v>10.659999999999997</v>
      </c>
      <c r="CK353" s="48">
        <f>+CJ353+BI353</f>
        <v>15.989999999999995</v>
      </c>
      <c r="CL353" s="48">
        <f>BJ353</f>
        <v>5.3299999999999983</v>
      </c>
      <c r="CM353" s="48">
        <f>+CL353+BK353</f>
        <v>10.659999999999997</v>
      </c>
      <c r="CN353" s="48">
        <f>+CM353+BL353</f>
        <v>15.989999999999995</v>
      </c>
      <c r="CO353" s="406"/>
      <c r="CP353" s="40">
        <f>AL353</f>
        <v>3</v>
      </c>
      <c r="CQ353" s="40">
        <f t="shared" si="2071"/>
        <v>6</v>
      </c>
      <c r="CR353" s="40">
        <f t="shared" si="2071"/>
        <v>9</v>
      </c>
      <c r="CS353" s="40">
        <f t="shared" si="2071"/>
        <v>13.583333</v>
      </c>
      <c r="CT353" s="40">
        <f t="shared" si="2071"/>
        <v>18.16666</v>
      </c>
      <c r="CU353" s="40">
        <f t="shared" si="2071"/>
        <v>22.75</v>
      </c>
      <c r="CV353" s="40">
        <f t="shared" si="2071"/>
        <v>27.333300000000001</v>
      </c>
      <c r="CW353" s="40">
        <f t="shared" si="2071"/>
        <v>31.917000000000002</v>
      </c>
      <c r="CX353" s="40">
        <f t="shared" si="2071"/>
        <v>36.5</v>
      </c>
      <c r="CY353" s="40">
        <f t="shared" si="2071"/>
        <v>41.083300000000001</v>
      </c>
      <c r="CZ353" s="40">
        <f t="shared" si="2071"/>
        <v>45.666670000000003</v>
      </c>
      <c r="DA353" s="40">
        <f t="shared" si="2071"/>
        <v>50.25</v>
      </c>
      <c r="DB353" s="40">
        <f>AX353</f>
        <v>4.5833000000000013</v>
      </c>
      <c r="DC353" s="40">
        <f t="shared" ref="DC353:DM353" si="2075">DB353+AY353</f>
        <v>9.1666999999999987</v>
      </c>
      <c r="DD353" s="40">
        <f t="shared" si="2075"/>
        <v>13.75</v>
      </c>
      <c r="DE353" s="40">
        <f t="shared" si="2075"/>
        <v>19.079999999999998</v>
      </c>
      <c r="DF353" s="40">
        <f t="shared" si="2075"/>
        <v>24.409999999999997</v>
      </c>
      <c r="DG353" s="40">
        <f t="shared" si="2075"/>
        <v>29.739999999999995</v>
      </c>
      <c r="DH353" s="40">
        <f t="shared" si="2075"/>
        <v>35.069999999999993</v>
      </c>
      <c r="DI353" s="40">
        <f t="shared" si="2075"/>
        <v>40.399999999999991</v>
      </c>
      <c r="DJ353" s="40">
        <f t="shared" si="2075"/>
        <v>45.72999999999999</v>
      </c>
      <c r="DK353" s="40">
        <f t="shared" si="2075"/>
        <v>51.059999999999988</v>
      </c>
      <c r="DL353" s="40">
        <f t="shared" si="2075"/>
        <v>56.389999999999986</v>
      </c>
      <c r="DM353" s="40">
        <f t="shared" si="2075"/>
        <v>61.719999999999985</v>
      </c>
      <c r="DN353" s="40">
        <f>BJ353</f>
        <v>5.3299999999999983</v>
      </c>
      <c r="DO353" s="40">
        <f>DN353+BK353</f>
        <v>10.659999999999997</v>
      </c>
      <c r="DP353" s="40">
        <f>DO353+BL353</f>
        <v>15.989999999999995</v>
      </c>
      <c r="DQ353" s="40"/>
      <c r="DR353" s="40"/>
      <c r="DS353" s="40"/>
      <c r="DT353" s="40"/>
      <c r="DU353" s="40"/>
      <c r="DV353" s="40"/>
      <c r="DW353" s="40"/>
      <c r="DX353" s="40"/>
      <c r="DY353" s="40"/>
      <c r="EA353" s="59">
        <f t="shared" si="1976"/>
        <v>50.25</v>
      </c>
      <c r="EB353" s="59">
        <f>IF(I331&gt;6/30/10,DM353,"")</f>
        <v>61.719999999999985</v>
      </c>
      <c r="EC353" s="59"/>
      <c r="ED353" s="429"/>
      <c r="EE353" s="40">
        <f>HLOOKUP($I$1,Month,ROW()-1)</f>
        <v>5.3299999999999983</v>
      </c>
      <c r="EF353" s="40">
        <f>HLOOKUP($I$1,Qtr,ROW()-1)</f>
        <v>10.659999999999997</v>
      </c>
      <c r="EG353" s="40">
        <f>HLOOKUP($EJ$4,Budget,ROW()-1)</f>
        <v>61.719999999999985</v>
      </c>
      <c r="EH353" s="54"/>
      <c r="EI353" s="54"/>
      <c r="EJ353" s="54"/>
      <c r="EK353" s="675"/>
      <c r="EL353" s="53"/>
      <c r="EM353" s="53"/>
      <c r="EN353" s="53"/>
      <c r="EO353" s="49"/>
      <c r="EP353" s="49"/>
      <c r="EQ353" s="49"/>
    </row>
    <row r="354" spans="1:149">
      <c r="A354" s="6" t="s">
        <v>23</v>
      </c>
      <c r="B354" s="101" t="s">
        <v>144</v>
      </c>
      <c r="G354" s="43"/>
      <c r="H354" s="28"/>
      <c r="I354" s="29"/>
      <c r="J354" s="102">
        <f>J348/$DA$18</f>
        <v>0</v>
      </c>
      <c r="K354" s="102">
        <f t="shared" ref="K354:U354" si="2076">K348/$DA$18</f>
        <v>0</v>
      </c>
      <c r="L354" s="102">
        <f t="shared" si="2076"/>
        <v>0.16666666666666666</v>
      </c>
      <c r="M354" s="102">
        <f t="shared" si="2076"/>
        <v>0.16666666666666666</v>
      </c>
      <c r="N354" s="102">
        <f t="shared" si="2076"/>
        <v>0.16666666666666666</v>
      </c>
      <c r="O354" s="102">
        <f t="shared" si="2076"/>
        <v>0.16666666666666666</v>
      </c>
      <c r="P354" s="102">
        <f t="shared" si="2076"/>
        <v>0.33333333333333331</v>
      </c>
      <c r="Q354" s="102">
        <f t="shared" si="2076"/>
        <v>0.33333333333333331</v>
      </c>
      <c r="R354" s="102">
        <f t="shared" si="2076"/>
        <v>0.33333333333333331</v>
      </c>
      <c r="S354" s="102">
        <f t="shared" si="2076"/>
        <v>0.33333333333333331</v>
      </c>
      <c r="T354" s="102">
        <f t="shared" si="2076"/>
        <v>0.5</v>
      </c>
      <c r="U354" s="102">
        <f t="shared" si="2076"/>
        <v>0.5</v>
      </c>
      <c r="V354" s="102">
        <f>V348/$DK$18</f>
        <v>0</v>
      </c>
      <c r="W354" s="102">
        <f>W348/$DK$18</f>
        <v>0.25</v>
      </c>
      <c r="X354" s="102">
        <f>X348/$AG$18</f>
        <v>0.16666666666666666</v>
      </c>
      <c r="Y354" s="102">
        <f t="shared" ref="Y354:AH354" si="2077">Y348/$AG$18</f>
        <v>0.16666666666666666</v>
      </c>
      <c r="Z354" s="102">
        <f t="shared" si="2077"/>
        <v>0.16666666666666666</v>
      </c>
      <c r="AA354" s="102">
        <f t="shared" si="2077"/>
        <v>0.16666666666666666</v>
      </c>
      <c r="AB354" s="102">
        <f t="shared" si="2077"/>
        <v>0.33333333333333331</v>
      </c>
      <c r="AC354" s="102">
        <f t="shared" si="2077"/>
        <v>0.33333333333333331</v>
      </c>
      <c r="AD354" s="102">
        <f t="shared" si="2077"/>
        <v>0.33333333333333331</v>
      </c>
      <c r="AE354" s="102">
        <f t="shared" si="2077"/>
        <v>0.33333333333333331</v>
      </c>
      <c r="AF354" s="102">
        <f t="shared" si="2077"/>
        <v>0.5</v>
      </c>
      <c r="AG354" s="102">
        <f t="shared" si="2077"/>
        <v>0.5</v>
      </c>
      <c r="AH354" s="102">
        <f t="shared" si="2077"/>
        <v>0</v>
      </c>
      <c r="AI354" s="102">
        <f>AI348/$DK$18</f>
        <v>0</v>
      </c>
      <c r="AJ354" s="102">
        <f>AJ348/$DK$18</f>
        <v>0</v>
      </c>
      <c r="AK354" s="411"/>
      <c r="AL354" s="99">
        <f t="shared" si="2068"/>
        <v>0</v>
      </c>
      <c r="AM354" s="99">
        <f t="shared" si="2068"/>
        <v>0</v>
      </c>
      <c r="AN354" s="99">
        <f t="shared" si="2068"/>
        <v>0.16666666666666666</v>
      </c>
      <c r="AO354" s="99">
        <f t="shared" si="2068"/>
        <v>0.16666666666666666</v>
      </c>
      <c r="AP354" s="99">
        <f t="shared" si="2068"/>
        <v>0.16666666666666666</v>
      </c>
      <c r="AQ354" s="99">
        <f t="shared" si="2068"/>
        <v>0.16666666666666666</v>
      </c>
      <c r="AR354" s="99">
        <f t="shared" si="2068"/>
        <v>0.33333333333333331</v>
      </c>
      <c r="AS354" s="99">
        <f t="shared" si="2068"/>
        <v>0.33333333333333331</v>
      </c>
      <c r="AT354" s="99">
        <f t="shared" si="2068"/>
        <v>0.33333333333333331</v>
      </c>
      <c r="AU354" s="99">
        <f t="shared" si="2068"/>
        <v>0.33333333333333331</v>
      </c>
      <c r="AV354" s="99">
        <f t="shared" si="2069"/>
        <v>0.5</v>
      </c>
      <c r="AW354" s="99">
        <f t="shared" si="2069"/>
        <v>0.5</v>
      </c>
      <c r="AX354" s="99">
        <f t="shared" si="2069"/>
        <v>0</v>
      </c>
      <c r="AY354" s="99">
        <f t="shared" si="2069"/>
        <v>0.25</v>
      </c>
      <c r="AZ354" s="99">
        <f t="shared" si="2069"/>
        <v>0.16666666666666666</v>
      </c>
      <c r="BA354" s="99">
        <f t="shared" si="2069"/>
        <v>0.16666666666666666</v>
      </c>
      <c r="BB354" s="99">
        <f t="shared" si="2069"/>
        <v>0.16666666666666666</v>
      </c>
      <c r="BC354" s="99">
        <f t="shared" si="2069"/>
        <v>0.16666666666666666</v>
      </c>
      <c r="BD354" s="99">
        <f t="shared" si="2069"/>
        <v>0.33333333333333331</v>
      </c>
      <c r="BE354" s="99">
        <f t="shared" si="2069"/>
        <v>0.33333333333333331</v>
      </c>
      <c r="BF354" s="99">
        <f t="shared" si="2070"/>
        <v>0.33333333333333331</v>
      </c>
      <c r="BG354" s="99">
        <f t="shared" si="2070"/>
        <v>0.33333333333333331</v>
      </c>
      <c r="BH354" s="99">
        <f t="shared" si="2070"/>
        <v>0.5</v>
      </c>
      <c r="BI354" s="99">
        <f t="shared" si="2070"/>
        <v>0.5</v>
      </c>
      <c r="BJ354" s="99">
        <f t="shared" si="2070"/>
        <v>0</v>
      </c>
      <c r="BK354" s="99">
        <f t="shared" si="2070"/>
        <v>0</v>
      </c>
      <c r="BL354" s="99">
        <f t="shared" si="2070"/>
        <v>0</v>
      </c>
      <c r="BM354" s="411"/>
      <c r="BN354" s="99">
        <f>AL354</f>
        <v>0</v>
      </c>
      <c r="BO354" s="99">
        <f>AM354</f>
        <v>0</v>
      </c>
      <c r="BP354" s="99">
        <f>AN354</f>
        <v>0.16666666666666666</v>
      </c>
      <c r="BQ354" s="99">
        <f>AO354</f>
        <v>0.16666666666666666</v>
      </c>
      <c r="BR354" s="99">
        <f>AP354</f>
        <v>0.16666666666666666</v>
      </c>
      <c r="BS354" s="99">
        <f>AQ354</f>
        <v>0.16666666666666666</v>
      </c>
      <c r="BT354" s="99">
        <f>AR354</f>
        <v>0.33333333333333331</v>
      </c>
      <c r="BU354" s="99">
        <f>AS354</f>
        <v>0.33333333333333331</v>
      </c>
      <c r="BV354" s="99">
        <f>AT354</f>
        <v>0.33333333333333331</v>
      </c>
      <c r="BW354" s="99">
        <f>AU354</f>
        <v>0.33333333333333331</v>
      </c>
      <c r="BX354" s="99">
        <f>AV354</f>
        <v>0.5</v>
      </c>
      <c r="BY354" s="99">
        <f>AW354</f>
        <v>0.5</v>
      </c>
      <c r="BZ354" s="99">
        <f>AX354</f>
        <v>0</v>
      </c>
      <c r="CA354" s="99">
        <f>AY354</f>
        <v>0.25</v>
      </c>
      <c r="CB354" s="99">
        <f>AZ354</f>
        <v>0.16666666666666666</v>
      </c>
      <c r="CC354" s="99">
        <f>BA354</f>
        <v>0.16666666666666666</v>
      </c>
      <c r="CD354" s="99">
        <f>BB354</f>
        <v>0.16666666666666666</v>
      </c>
      <c r="CE354" s="99">
        <f>BC354</f>
        <v>0.16666666666666666</v>
      </c>
      <c r="CF354" s="99">
        <f>BD354</f>
        <v>0.33333333333333331</v>
      </c>
      <c r="CG354" s="99">
        <f>BE354</f>
        <v>0.33333333333333331</v>
      </c>
      <c r="CH354" s="99">
        <f>BF354</f>
        <v>0.33333333333333331</v>
      </c>
      <c r="CI354" s="99">
        <f>BG354</f>
        <v>0.33333333333333331</v>
      </c>
      <c r="CJ354" s="99">
        <f>BH354</f>
        <v>0.5</v>
      </c>
      <c r="CK354" s="99">
        <f>BI354</f>
        <v>0.5</v>
      </c>
      <c r="CL354" s="99">
        <f>BJ354</f>
        <v>0</v>
      </c>
      <c r="CM354" s="99">
        <f>BK354</f>
        <v>0</v>
      </c>
      <c r="CN354" s="99">
        <f>BL354</f>
        <v>0</v>
      </c>
      <c r="CO354" s="423"/>
      <c r="CP354" s="99">
        <f t="shared" ref="CP354:DP354" si="2078">BN354</f>
        <v>0</v>
      </c>
      <c r="CQ354" s="99">
        <f t="shared" si="2078"/>
        <v>0</v>
      </c>
      <c r="CR354" s="99">
        <f t="shared" si="2078"/>
        <v>0.16666666666666666</v>
      </c>
      <c r="CS354" s="99">
        <f t="shared" si="2078"/>
        <v>0.16666666666666666</v>
      </c>
      <c r="CT354" s="99">
        <f t="shared" si="2078"/>
        <v>0.16666666666666666</v>
      </c>
      <c r="CU354" s="99">
        <f t="shared" si="2078"/>
        <v>0.16666666666666666</v>
      </c>
      <c r="CV354" s="99">
        <f t="shared" si="2078"/>
        <v>0.33333333333333331</v>
      </c>
      <c r="CW354" s="99">
        <f t="shared" si="2078"/>
        <v>0.33333333333333331</v>
      </c>
      <c r="CX354" s="99">
        <f t="shared" si="2078"/>
        <v>0.33333333333333331</v>
      </c>
      <c r="CY354" s="99">
        <f t="shared" si="2078"/>
        <v>0.33333333333333331</v>
      </c>
      <c r="CZ354" s="99">
        <f t="shared" si="2078"/>
        <v>0.5</v>
      </c>
      <c r="DA354" s="99">
        <f t="shared" si="2078"/>
        <v>0.5</v>
      </c>
      <c r="DB354" s="99">
        <f t="shared" si="2078"/>
        <v>0</v>
      </c>
      <c r="DC354" s="99">
        <f t="shared" si="2078"/>
        <v>0.25</v>
      </c>
      <c r="DD354" s="99">
        <f t="shared" si="2078"/>
        <v>0.16666666666666666</v>
      </c>
      <c r="DE354" s="99">
        <f t="shared" si="2078"/>
        <v>0.16666666666666666</v>
      </c>
      <c r="DF354" s="99">
        <f t="shared" si="2078"/>
        <v>0.16666666666666666</v>
      </c>
      <c r="DG354" s="99">
        <f t="shared" si="2078"/>
        <v>0.16666666666666666</v>
      </c>
      <c r="DH354" s="99">
        <f t="shared" si="2078"/>
        <v>0.33333333333333331</v>
      </c>
      <c r="DI354" s="99">
        <f t="shared" si="2078"/>
        <v>0.33333333333333331</v>
      </c>
      <c r="DJ354" s="99">
        <f t="shared" si="2078"/>
        <v>0.33333333333333331</v>
      </c>
      <c r="DK354" s="99">
        <f t="shared" si="2078"/>
        <v>0.33333333333333331</v>
      </c>
      <c r="DL354" s="99">
        <f t="shared" si="2078"/>
        <v>0.5</v>
      </c>
      <c r="DM354" s="99">
        <f t="shared" si="2078"/>
        <v>0.5</v>
      </c>
      <c r="DN354" s="99">
        <f t="shared" si="2078"/>
        <v>0</v>
      </c>
      <c r="DO354" s="99">
        <f t="shared" si="2078"/>
        <v>0</v>
      </c>
      <c r="DP354" s="99">
        <f t="shared" si="2078"/>
        <v>0</v>
      </c>
      <c r="DQ354" s="99"/>
      <c r="DR354" s="99"/>
      <c r="DS354" s="99"/>
      <c r="DT354" s="99"/>
      <c r="DU354" s="99"/>
      <c r="DV354" s="99"/>
      <c r="DW354" s="99"/>
      <c r="DX354" s="99"/>
      <c r="DY354" s="99"/>
      <c r="EA354" s="40" t="str">
        <f>HLOOKUP($I$1,Month,19)</f>
        <v>N/A</v>
      </c>
      <c r="EB354" s="40" t="str">
        <f>HLOOKUP($I$1,Qtr,19)</f>
        <v>N/A</v>
      </c>
      <c r="EC354" s="40"/>
      <c r="ED354" s="429"/>
      <c r="EE354" s="99">
        <f>HLOOKUP($I$1,Month,ROW()-1)</f>
        <v>0</v>
      </c>
      <c r="EF354" s="99">
        <f>HLOOKUP($I$1,Qtr,ROW()-1)</f>
        <v>0</v>
      </c>
      <c r="EG354" s="127">
        <v>1</v>
      </c>
      <c r="EH354" s="54"/>
      <c r="EI354" s="54"/>
      <c r="EJ354" s="54"/>
      <c r="EK354" s="675"/>
      <c r="EL354" s="136"/>
      <c r="EM354" s="136"/>
      <c r="EN354" s="136"/>
      <c r="EO354" s="49"/>
      <c r="EP354" s="49"/>
      <c r="EQ354" s="49"/>
    </row>
    <row r="355" spans="1:149">
      <c r="A355" s="6" t="s">
        <v>23</v>
      </c>
      <c r="B355" s="2" t="s">
        <v>98</v>
      </c>
      <c r="G355" s="41" t="s">
        <v>92</v>
      </c>
      <c r="H355" s="28"/>
      <c r="I355" s="29"/>
      <c r="J355" s="32">
        <f>J341*J342</f>
        <v>0.95</v>
      </c>
      <c r="K355" s="32">
        <f t="shared" ref="K355:AJ355" si="2079">K341*K342</f>
        <v>0.95</v>
      </c>
      <c r="L355" s="32">
        <f t="shared" si="2079"/>
        <v>0.95</v>
      </c>
      <c r="M355" s="32">
        <f t="shared" si="2079"/>
        <v>0.95</v>
      </c>
      <c r="N355" s="32">
        <f t="shared" si="2079"/>
        <v>0.95</v>
      </c>
      <c r="O355" s="32">
        <f t="shared" si="2079"/>
        <v>0.95</v>
      </c>
      <c r="P355" s="32">
        <f t="shared" si="2079"/>
        <v>0.95</v>
      </c>
      <c r="Q355" s="32">
        <f t="shared" si="2079"/>
        <v>0.95</v>
      </c>
      <c r="R355" s="32">
        <f t="shared" si="2079"/>
        <v>0.95</v>
      </c>
      <c r="S355" s="32">
        <f t="shared" si="2079"/>
        <v>0.95</v>
      </c>
      <c r="T355" s="32">
        <f t="shared" si="2079"/>
        <v>0.95</v>
      </c>
      <c r="U355" s="32">
        <f t="shared" si="2079"/>
        <v>0.95</v>
      </c>
      <c r="V355" s="32">
        <f t="shared" si="2079"/>
        <v>2.8262499999999999</v>
      </c>
      <c r="W355" s="32">
        <f t="shared" si="2079"/>
        <v>5.6524999999999999</v>
      </c>
      <c r="X355" s="32">
        <f t="shared" si="2079"/>
        <v>8.4787499999999998</v>
      </c>
      <c r="Y355" s="32">
        <f t="shared" si="2079"/>
        <v>11.305</v>
      </c>
      <c r="Z355" s="32">
        <f t="shared" si="2079"/>
        <v>14.13125</v>
      </c>
      <c r="AA355" s="32">
        <f t="shared" si="2079"/>
        <v>16.9575</v>
      </c>
      <c r="AB355" s="32">
        <f t="shared" si="2079"/>
        <v>19.783750000000001</v>
      </c>
      <c r="AC355" s="32">
        <f t="shared" si="2079"/>
        <v>22.610000000000003</v>
      </c>
      <c r="AD355" s="32">
        <f t="shared" si="2079"/>
        <v>25.436250000000005</v>
      </c>
      <c r="AE355" s="32">
        <f t="shared" si="2079"/>
        <v>28.262500000000006</v>
      </c>
      <c r="AF355" s="32">
        <f t="shared" si="2079"/>
        <v>31.088750000000008</v>
      </c>
      <c r="AG355" s="32">
        <f t="shared" si="2079"/>
        <v>33.915000000000006</v>
      </c>
      <c r="AH355" s="32">
        <f t="shared" si="2079"/>
        <v>0</v>
      </c>
      <c r="AI355" s="32">
        <f t="shared" si="2079"/>
        <v>0</v>
      </c>
      <c r="AJ355" s="32">
        <f t="shared" si="2079"/>
        <v>0</v>
      </c>
      <c r="AK355" s="408"/>
      <c r="AL355" s="56">
        <f>AL341*AL342</f>
        <v>0.95</v>
      </c>
      <c r="AM355" s="56">
        <f>AM341*AM342</f>
        <v>0.95</v>
      </c>
      <c r="AN355" s="56">
        <f>AN341*AN342</f>
        <v>0.95</v>
      </c>
      <c r="AO355" s="56">
        <f>AO341*AO342</f>
        <v>0.95</v>
      </c>
      <c r="AP355" s="56">
        <f t="shared" ref="AP355:BL355" si="2080">AP341*AP342</f>
        <v>0.95</v>
      </c>
      <c r="AQ355" s="56">
        <f t="shared" si="2080"/>
        <v>0.95</v>
      </c>
      <c r="AR355" s="56">
        <f t="shared" si="2080"/>
        <v>0.95</v>
      </c>
      <c r="AS355" s="56">
        <f t="shared" si="2080"/>
        <v>0.95</v>
      </c>
      <c r="AT355" s="56">
        <f t="shared" si="2080"/>
        <v>0.95</v>
      </c>
      <c r="AU355" s="56">
        <f t="shared" si="2080"/>
        <v>0.95</v>
      </c>
      <c r="AV355" s="56">
        <f t="shared" si="2080"/>
        <v>0.95</v>
      </c>
      <c r="AW355" s="56">
        <f t="shared" si="2080"/>
        <v>0.95</v>
      </c>
      <c r="AX355" s="56">
        <f t="shared" si="2080"/>
        <v>2.8262499999999999</v>
      </c>
      <c r="AY355" s="56">
        <f t="shared" si="2080"/>
        <v>2.8262499999999999</v>
      </c>
      <c r="AZ355" s="56">
        <f t="shared" si="2080"/>
        <v>2.8262500000000004</v>
      </c>
      <c r="BA355" s="56">
        <f t="shared" si="2080"/>
        <v>2.8262499999999995</v>
      </c>
      <c r="BB355" s="56">
        <f t="shared" si="2080"/>
        <v>2.8262499999999995</v>
      </c>
      <c r="BC355" s="56">
        <f t="shared" si="2080"/>
        <v>2.8262500000000013</v>
      </c>
      <c r="BD355" s="56">
        <f t="shared" si="2080"/>
        <v>2.8262500000000013</v>
      </c>
      <c r="BE355" s="56">
        <f t="shared" si="2080"/>
        <v>2.8262500000000013</v>
      </c>
      <c r="BF355" s="56">
        <f t="shared" si="2080"/>
        <v>2.8262500000000013</v>
      </c>
      <c r="BG355" s="56">
        <f t="shared" si="2080"/>
        <v>2.8262500000000013</v>
      </c>
      <c r="BH355" s="56">
        <f t="shared" si="2080"/>
        <v>2.8262500000000013</v>
      </c>
      <c r="BI355" s="56">
        <f t="shared" si="2080"/>
        <v>2.8262500000000013</v>
      </c>
      <c r="BJ355" s="56">
        <f t="shared" si="2080"/>
        <v>0</v>
      </c>
      <c r="BK355" s="56">
        <f t="shared" si="2080"/>
        <v>0</v>
      </c>
      <c r="BL355" s="56">
        <f t="shared" si="2080"/>
        <v>0</v>
      </c>
      <c r="BM355" s="408"/>
      <c r="BN355" s="56">
        <f>+AL355</f>
        <v>0.95</v>
      </c>
      <c r="BO355" s="56">
        <f>+BN355+AM355</f>
        <v>1.9</v>
      </c>
      <c r="BP355" s="56">
        <f>+BO355+AN355</f>
        <v>2.8499999999999996</v>
      </c>
      <c r="BQ355" s="56">
        <f>M355</f>
        <v>0.95</v>
      </c>
      <c r="BR355" s="56">
        <f>+BQ355+AP355</f>
        <v>1.9</v>
      </c>
      <c r="BS355" s="56">
        <f>+BR355+AQ355</f>
        <v>2.8499999999999996</v>
      </c>
      <c r="BT355" s="56">
        <f>P355</f>
        <v>0.95</v>
      </c>
      <c r="BU355" s="56">
        <f>+BT355+AS355</f>
        <v>1.9</v>
      </c>
      <c r="BV355" s="56">
        <f>+BU355+AT355</f>
        <v>2.8499999999999996</v>
      </c>
      <c r="BW355" s="56">
        <f>S355</f>
        <v>0.95</v>
      </c>
      <c r="BX355" s="56">
        <f>+BW355+AV355</f>
        <v>1.9</v>
      </c>
      <c r="BY355" s="56">
        <f>+BX355+AW355</f>
        <v>2.8499999999999996</v>
      </c>
      <c r="BZ355" s="56">
        <f>V355</f>
        <v>2.8262499999999999</v>
      </c>
      <c r="CA355" s="56">
        <f>+BZ355+AY355</f>
        <v>5.6524999999999999</v>
      </c>
      <c r="CB355" s="56">
        <f>+CA355+AZ355</f>
        <v>8.4787499999999998</v>
      </c>
      <c r="CC355" s="56">
        <f>Y355</f>
        <v>11.305</v>
      </c>
      <c r="CD355" s="56">
        <f>+CC355+BB355</f>
        <v>14.13125</v>
      </c>
      <c r="CE355" s="56">
        <f>+CD355+BC355</f>
        <v>16.9575</v>
      </c>
      <c r="CF355" s="56">
        <f>AB355</f>
        <v>19.783750000000001</v>
      </c>
      <c r="CG355" s="56">
        <f>+CF355+BE355</f>
        <v>22.610000000000003</v>
      </c>
      <c r="CH355" s="56">
        <f>+CG355+BF355</f>
        <v>25.436250000000005</v>
      </c>
      <c r="CI355" s="56">
        <f>AE355</f>
        <v>28.262500000000006</v>
      </c>
      <c r="CJ355" s="56">
        <f>+CI355+BH355</f>
        <v>31.088750000000008</v>
      </c>
      <c r="CK355" s="56">
        <f>+CJ355+BI355</f>
        <v>33.915000000000006</v>
      </c>
      <c r="CL355" s="56">
        <f>AH355</f>
        <v>0</v>
      </c>
      <c r="CM355" s="56">
        <f>+CL355+BK355</f>
        <v>0</v>
      </c>
      <c r="CN355" s="56">
        <f>+CM355+BL355</f>
        <v>0</v>
      </c>
      <c r="CO355" s="406"/>
      <c r="CP355" s="60">
        <f>J355</f>
        <v>0.95</v>
      </c>
      <c r="CQ355" s="60">
        <f t="shared" ref="CQ355:DA355" si="2081">CP355+K355</f>
        <v>1.9</v>
      </c>
      <c r="CR355" s="60">
        <f t="shared" si="2081"/>
        <v>2.8499999999999996</v>
      </c>
      <c r="CS355" s="60">
        <f t="shared" si="2081"/>
        <v>3.8</v>
      </c>
      <c r="CT355" s="60">
        <f t="shared" si="2081"/>
        <v>4.75</v>
      </c>
      <c r="CU355" s="60">
        <f t="shared" si="2081"/>
        <v>5.7</v>
      </c>
      <c r="CV355" s="60">
        <f t="shared" si="2081"/>
        <v>6.65</v>
      </c>
      <c r="CW355" s="60">
        <f t="shared" si="2081"/>
        <v>7.6000000000000005</v>
      </c>
      <c r="CX355" s="60">
        <f t="shared" si="2081"/>
        <v>8.5500000000000007</v>
      </c>
      <c r="CY355" s="60">
        <f t="shared" si="2081"/>
        <v>9.5</v>
      </c>
      <c r="CZ355" s="60">
        <f t="shared" si="2081"/>
        <v>10.45</v>
      </c>
      <c r="DA355" s="60">
        <f t="shared" si="2081"/>
        <v>11.399999999999999</v>
      </c>
      <c r="DB355" s="60">
        <f>V355</f>
        <v>2.8262499999999999</v>
      </c>
      <c r="DC355" s="60">
        <f t="shared" ref="DC355:DM355" si="2082">DB355+W355</f>
        <v>8.4787499999999998</v>
      </c>
      <c r="DD355" s="60">
        <f t="shared" si="2082"/>
        <v>16.9575</v>
      </c>
      <c r="DE355" s="60">
        <f t="shared" si="2082"/>
        <v>28.262499999999999</v>
      </c>
      <c r="DF355" s="60">
        <f t="shared" si="2082"/>
        <v>42.393749999999997</v>
      </c>
      <c r="DG355" s="60">
        <f t="shared" si="2082"/>
        <v>59.351249999999993</v>
      </c>
      <c r="DH355" s="60">
        <f t="shared" si="2082"/>
        <v>79.134999999999991</v>
      </c>
      <c r="DI355" s="60">
        <f t="shared" si="2082"/>
        <v>101.74499999999999</v>
      </c>
      <c r="DJ355" s="60">
        <f t="shared" si="2082"/>
        <v>127.18124999999999</v>
      </c>
      <c r="DK355" s="60">
        <f t="shared" si="2082"/>
        <v>155.44374999999999</v>
      </c>
      <c r="DL355" s="60">
        <f t="shared" si="2082"/>
        <v>186.5325</v>
      </c>
      <c r="DM355" s="60">
        <f t="shared" si="2082"/>
        <v>220.44749999999999</v>
      </c>
      <c r="DN355" s="60">
        <f>AH355</f>
        <v>0</v>
      </c>
      <c r="DO355" s="60">
        <f>DN355+AI355</f>
        <v>0</v>
      </c>
      <c r="DP355" s="60">
        <f>DO355+AJ355</f>
        <v>0</v>
      </c>
      <c r="DQ355" s="60"/>
      <c r="DR355" s="60"/>
      <c r="DS355" s="60"/>
      <c r="DT355" s="60"/>
      <c r="DU355" s="60"/>
      <c r="DV355" s="60"/>
      <c r="DW355" s="60"/>
      <c r="DX355" s="60"/>
      <c r="DY355" s="60"/>
      <c r="EA355" s="98">
        <v>0.95</v>
      </c>
      <c r="EB355" s="98">
        <v>0.95</v>
      </c>
      <c r="EC355" s="98"/>
      <c r="ED355" s="429"/>
      <c r="EE355" s="61">
        <f>HLOOKUP($I$1,Month,ROW()-1)</f>
        <v>0</v>
      </c>
      <c r="EF355" s="61">
        <f>HLOOKUP($I$1,Qtr,ROW()-1)</f>
        <v>0</v>
      </c>
      <c r="EG355" s="99">
        <f>HLOOKUP($EJ$4,Budget,ROW()-1)</f>
        <v>0.95</v>
      </c>
      <c r="EH355" s="54"/>
      <c r="EK355" s="675"/>
      <c r="EL355" s="136"/>
      <c r="EM355" s="136"/>
      <c r="EN355" s="136"/>
      <c r="EO355" s="49"/>
      <c r="EP355" s="49"/>
      <c r="EQ355" s="49"/>
    </row>
    <row r="356" spans="1:149">
      <c r="A356" s="6" t="s">
        <v>21</v>
      </c>
      <c r="I356" s="1"/>
      <c r="J356" s="1"/>
      <c r="K356" s="42" t="s">
        <v>114</v>
      </c>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406"/>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406"/>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406"/>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245"/>
      <c r="DR356" s="245"/>
      <c r="DS356" s="245"/>
      <c r="DT356" s="245"/>
      <c r="DU356" s="245"/>
      <c r="DV356" s="245"/>
      <c r="DW356" s="245"/>
      <c r="DX356" s="245"/>
      <c r="DY356" s="245"/>
      <c r="ED356" s="429"/>
      <c r="EE356" s="23"/>
      <c r="EF356" s="23"/>
      <c r="EG356" s="23"/>
      <c r="EH356" s="23"/>
      <c r="EK356" s="23"/>
    </row>
    <row r="357" spans="1:149" ht="12.75" customHeight="1">
      <c r="A357" s="6" t="s">
        <v>22</v>
      </c>
      <c r="B357" s="2" t="s">
        <v>0</v>
      </c>
      <c r="C357" s="3" t="s">
        <v>54</v>
      </c>
      <c r="E357" s="3" t="s">
        <v>16</v>
      </c>
      <c r="G357" s="1" t="s">
        <v>91</v>
      </c>
      <c r="I357" s="237">
        <v>202</v>
      </c>
      <c r="J357" s="240">
        <v>22</v>
      </c>
      <c r="K357" s="238">
        <v>238</v>
      </c>
      <c r="L357" s="238">
        <v>251</v>
      </c>
      <c r="M357" s="239">
        <v>42</v>
      </c>
      <c r="N357" s="238">
        <v>60</v>
      </c>
      <c r="O357" s="19">
        <v>72</v>
      </c>
      <c r="P357" s="19">
        <v>89</v>
      </c>
      <c r="Q357" s="19">
        <v>106</v>
      </c>
      <c r="R357" s="19">
        <v>130</v>
      </c>
      <c r="S357" s="19">
        <v>153</v>
      </c>
      <c r="T357" s="19">
        <v>168</v>
      </c>
      <c r="U357" s="19">
        <v>186</v>
      </c>
      <c r="V357" s="26">
        <v>216</v>
      </c>
      <c r="W357" s="19">
        <v>227</v>
      </c>
      <c r="X357" s="19">
        <v>249</v>
      </c>
      <c r="Y357" s="352">
        <v>56</v>
      </c>
      <c r="Z357" s="19">
        <v>82</v>
      </c>
      <c r="AA357" s="19">
        <v>102</v>
      </c>
      <c r="AB357" s="19">
        <v>128</v>
      </c>
      <c r="AC357" s="19">
        <v>151</v>
      </c>
      <c r="AD357" s="19">
        <v>189</v>
      </c>
      <c r="AE357" s="19">
        <v>221</v>
      </c>
      <c r="AF357" s="19">
        <v>245</v>
      </c>
      <c r="AG357" s="19">
        <v>265</v>
      </c>
      <c r="AH357" s="19">
        <v>284</v>
      </c>
      <c r="AI357" s="19">
        <v>320</v>
      </c>
      <c r="AJ357" s="19"/>
      <c r="AK357" s="408"/>
      <c r="AL357" s="21">
        <f t="shared" ref="AL357:AM361" si="2083">J357-I357</f>
        <v>-180</v>
      </c>
      <c r="AM357" s="21">
        <f t="shared" si="2083"/>
        <v>216</v>
      </c>
      <c r="AN357" s="21">
        <f t="shared" ref="AN357:AN365" si="2084">L357-K357</f>
        <v>13</v>
      </c>
      <c r="AO357" s="21">
        <f>M357</f>
        <v>42</v>
      </c>
      <c r="AP357" s="129">
        <f t="shared" ref="AP357:AP365" si="2085">IF(N357&lt;&gt;"",N357-M357,0)</f>
        <v>18</v>
      </c>
      <c r="AQ357" s="131">
        <f t="shared" ref="AQ357:AQ365" si="2086">IF(O357&lt;&gt;"",O357-N357,0)</f>
        <v>12</v>
      </c>
      <c r="AR357" s="131">
        <f t="shared" ref="AR357:AR376" si="2087">IF(P357&lt;&gt;"",P357-O357,0)</f>
        <v>17</v>
      </c>
      <c r="AS357" s="131">
        <f t="shared" ref="AS357:AS376" si="2088">IF(Q357&lt;&gt;"",Q357-P357,0)</f>
        <v>17</v>
      </c>
      <c r="AT357" s="131">
        <f t="shared" ref="AT357:AT373" si="2089">IF(R357&lt;&gt;"",R357-Q357,0)</f>
        <v>24</v>
      </c>
      <c r="AU357" s="131">
        <f t="shared" ref="AU357:AU373" si="2090">IF(S357&lt;&gt;"",S357-R357,0)</f>
        <v>23</v>
      </c>
      <c r="AV357" s="131">
        <f t="shared" ref="AV357:AV376" si="2091">IF(T357&lt;&gt;"",T357-S357,0)</f>
        <v>15</v>
      </c>
      <c r="AW357" s="131">
        <f t="shared" ref="AW357:AW376" si="2092">IF(U357&lt;&gt;"",U357-T357,0)</f>
        <v>18</v>
      </c>
      <c r="AX357" s="131">
        <f>IF(V357&lt;&gt;"",V357-U357,0)</f>
        <v>30</v>
      </c>
      <c r="AY357" s="131">
        <f t="shared" ref="AY357:AY376" si="2093">IF(W357&lt;&gt;"",W357-V357,0)</f>
        <v>11</v>
      </c>
      <c r="AZ357" s="131">
        <f t="shared" ref="AZ357:AZ376" si="2094">IF(X357&lt;&gt;"",X357-W357,0)</f>
        <v>22</v>
      </c>
      <c r="BA357" s="21">
        <f>Y357</f>
        <v>56</v>
      </c>
      <c r="BB357" s="131">
        <f t="shared" ref="BB357:BB373" si="2095">IF(Z357&lt;&gt;"",Z357-Y357,0)</f>
        <v>26</v>
      </c>
      <c r="BC357" s="131">
        <f t="shared" ref="BC357:BC373" si="2096">IF(AA357&lt;&gt;"",AA357-Z357,0)</f>
        <v>20</v>
      </c>
      <c r="BD357" s="131">
        <f t="shared" ref="BD357:BD373" si="2097">IF(AB357&lt;&gt;"",AB357-AA357,0)</f>
        <v>26</v>
      </c>
      <c r="BE357" s="131">
        <f t="shared" ref="BE357:BE373" si="2098">IF(AC357&lt;&gt;"",AC357-AB357,0)</f>
        <v>23</v>
      </c>
      <c r="BF357" s="131">
        <f t="shared" ref="BF357:BF373" si="2099">IF(AD357&lt;&gt;"",AD357-AC357,0)</f>
        <v>38</v>
      </c>
      <c r="BG357" s="131">
        <f t="shared" ref="BG357:BG373" si="2100">IF(AE357&lt;&gt;"",AE357-AD357,0)</f>
        <v>32</v>
      </c>
      <c r="BH357" s="131">
        <f t="shared" ref="BH357:BH373" si="2101">IF(AF357&lt;&gt;"",AF357-AE357,0)</f>
        <v>24</v>
      </c>
      <c r="BI357" s="131">
        <f t="shared" ref="BI357:BI373" si="2102">IF(AG357&lt;&gt;"",AG357-AF357,0)</f>
        <v>20</v>
      </c>
      <c r="BJ357" s="131">
        <f>IF(AH357&lt;&gt;"",AH357-AG357,0)</f>
        <v>19</v>
      </c>
      <c r="BK357" s="131">
        <f t="shared" ref="BK357:BK373" si="2103">IF(AI357&lt;&gt;"",AI357-AH357,0)</f>
        <v>36</v>
      </c>
      <c r="BL357" s="131">
        <f t="shared" ref="BL357:BL373" si="2104">IF(AJ357&lt;&gt;"",AJ357-AI357,0)</f>
        <v>0</v>
      </c>
      <c r="BM357" s="408"/>
      <c r="BN357" s="48">
        <f>BP357</f>
        <v>49</v>
      </c>
      <c r="BO357" s="48">
        <f>BP357</f>
        <v>49</v>
      </c>
      <c r="BP357" s="48">
        <f>SUM(AL357:AN357)</f>
        <v>49</v>
      </c>
      <c r="BQ357" s="48">
        <f>BS357</f>
        <v>72</v>
      </c>
      <c r="BR357" s="48">
        <f>BS357</f>
        <v>72</v>
      </c>
      <c r="BS357" s="48">
        <f>SUM(AO357:AQ357)</f>
        <v>72</v>
      </c>
      <c r="BT357" s="48">
        <f>BV357</f>
        <v>58</v>
      </c>
      <c r="BU357" s="48">
        <f>BV357</f>
        <v>58</v>
      </c>
      <c r="BV357" s="48">
        <f>SUM(AR357:AT357)</f>
        <v>58</v>
      </c>
      <c r="BW357" s="48">
        <f>BY357</f>
        <v>56</v>
      </c>
      <c r="BX357" s="48">
        <f>BY357</f>
        <v>56</v>
      </c>
      <c r="BY357" s="48">
        <f>SUM(AU357:AW357)</f>
        <v>56</v>
      </c>
      <c r="BZ357" s="48">
        <f>CB357</f>
        <v>63</v>
      </c>
      <c r="CA357" s="48">
        <f>CB357</f>
        <v>63</v>
      </c>
      <c r="CB357" s="48">
        <f>SUM(AX357:AZ357)</f>
        <v>63</v>
      </c>
      <c r="CC357" s="48">
        <f>CE357</f>
        <v>102</v>
      </c>
      <c r="CD357" s="48">
        <f>CE357</f>
        <v>102</v>
      </c>
      <c r="CE357" s="48">
        <f>SUM(BA357:BC357)</f>
        <v>102</v>
      </c>
      <c r="CF357" s="48">
        <f>CH357</f>
        <v>87</v>
      </c>
      <c r="CG357" s="48">
        <f>CH357</f>
        <v>87</v>
      </c>
      <c r="CH357" s="48">
        <f>SUM(BD357:BF357)</f>
        <v>87</v>
      </c>
      <c r="CI357" s="48">
        <f>CK357</f>
        <v>76</v>
      </c>
      <c r="CJ357" s="48">
        <f>CK357</f>
        <v>76</v>
      </c>
      <c r="CK357" s="48">
        <f>SUM(BG357:BI357)</f>
        <v>76</v>
      </c>
      <c r="CL357" s="48">
        <f>CN357</f>
        <v>55</v>
      </c>
      <c r="CM357" s="48">
        <f>CN357</f>
        <v>55</v>
      </c>
      <c r="CN357" s="48">
        <f>SUM(BJ357:BL357)</f>
        <v>55</v>
      </c>
      <c r="CO357" s="406"/>
      <c r="CP357" s="21">
        <f t="shared" ref="CP357:CR361" si="2105">I357+AL357</f>
        <v>22</v>
      </c>
      <c r="CQ357" s="21">
        <f t="shared" si="2105"/>
        <v>238</v>
      </c>
      <c r="CR357" s="21">
        <f t="shared" si="2105"/>
        <v>251</v>
      </c>
      <c r="CS357" s="21">
        <f>AO357</f>
        <v>42</v>
      </c>
      <c r="CT357" s="21">
        <f t="shared" ref="CT357:DD361" si="2106">M357+AP357</f>
        <v>60</v>
      </c>
      <c r="CU357" s="21">
        <f t="shared" si="2106"/>
        <v>72</v>
      </c>
      <c r="CV357" s="21">
        <f t="shared" si="2106"/>
        <v>89</v>
      </c>
      <c r="CW357" s="21">
        <f t="shared" si="2106"/>
        <v>106</v>
      </c>
      <c r="CX357" s="21">
        <f t="shared" si="2106"/>
        <v>130</v>
      </c>
      <c r="CY357" s="21">
        <f t="shared" si="2106"/>
        <v>153</v>
      </c>
      <c r="CZ357" s="21">
        <f t="shared" si="2106"/>
        <v>168</v>
      </c>
      <c r="DA357" s="21">
        <f t="shared" si="2106"/>
        <v>186</v>
      </c>
      <c r="DB357" s="21">
        <f t="shared" si="2106"/>
        <v>216</v>
      </c>
      <c r="DC357" s="21">
        <f t="shared" si="2106"/>
        <v>227</v>
      </c>
      <c r="DD357" s="21">
        <f t="shared" si="2106"/>
        <v>249</v>
      </c>
      <c r="DE357" s="21">
        <f>+BA357</f>
        <v>56</v>
      </c>
      <c r="DF357" s="21">
        <f t="shared" ref="DF357:DP361" si="2107">Y357+BB357</f>
        <v>82</v>
      </c>
      <c r="DG357" s="21">
        <f t="shared" si="2107"/>
        <v>102</v>
      </c>
      <c r="DH357" s="21">
        <f t="shared" si="2107"/>
        <v>128</v>
      </c>
      <c r="DI357" s="21">
        <f t="shared" si="2107"/>
        <v>151</v>
      </c>
      <c r="DJ357" s="21">
        <f t="shared" si="2107"/>
        <v>189</v>
      </c>
      <c r="DK357" s="21">
        <f t="shared" si="2107"/>
        <v>221</v>
      </c>
      <c r="DL357" s="21">
        <f t="shared" si="2107"/>
        <v>245</v>
      </c>
      <c r="DM357" s="21">
        <f t="shared" si="2107"/>
        <v>265</v>
      </c>
      <c r="DN357" s="21">
        <f t="shared" si="2107"/>
        <v>284</v>
      </c>
      <c r="DO357" s="21">
        <f t="shared" si="2107"/>
        <v>320</v>
      </c>
      <c r="DP357" s="21">
        <f t="shared" si="2107"/>
        <v>320</v>
      </c>
      <c r="DQ357" s="248"/>
      <c r="DR357" s="248"/>
      <c r="DS357" s="248"/>
      <c r="DT357" s="248"/>
      <c r="DU357" s="248"/>
      <c r="DV357" s="248"/>
      <c r="DW357" s="248"/>
      <c r="DX357" s="248"/>
      <c r="DY357" s="248"/>
      <c r="ED357" s="429"/>
      <c r="EE357" s="23"/>
      <c r="EF357" s="23"/>
      <c r="EG357" s="23"/>
      <c r="EH357" s="18">
        <f t="shared" ref="EH357:EH374" si="2108">HLOOKUP($I$1,Month,ROW()-1)</f>
        <v>36</v>
      </c>
      <c r="EI357" s="18">
        <f t="shared" ref="EI357:EI374" si="2109">HLOOKUP($I$1,Qtr,ROW()-1)</f>
        <v>55</v>
      </c>
      <c r="EJ357" s="18">
        <f t="shared" ref="EJ357:EJ379" si="2110">HLOOKUP($I$1,YTD,ROW()-1)</f>
        <v>320</v>
      </c>
      <c r="EK357" s="24">
        <f>$EK$1/12</f>
        <v>0.91666666666666663</v>
      </c>
      <c r="EL357" s="14">
        <f t="shared" ref="EL357:EM363" si="2111">EH357/EE334</f>
        <v>2</v>
      </c>
      <c r="EM357" s="14">
        <f t="shared" si="2111"/>
        <v>1.0185185185185186</v>
      </c>
      <c r="EN357" s="14">
        <f>EJ357/EG334</f>
        <v>1.4814814814814814</v>
      </c>
      <c r="EO357" s="46" t="str">
        <f t="shared" ref="EO357:EP363" si="2112">IF(EH357&lt;0,,IF(EH357&lt;EE334,"È",IF(EH357=EE334,"Æ","Ç")))</f>
        <v>Ç</v>
      </c>
      <c r="EP357" s="46" t="str">
        <f t="shared" si="2112"/>
        <v>Ç</v>
      </c>
      <c r="EQ357" s="2">
        <f t="shared" ref="EQ357:EQ372" si="2113">IF(EL357&gt;=0.9,1,IF(EL357&lt;0.75,3,2))</f>
        <v>1</v>
      </c>
      <c r="ER357" s="2">
        <f t="shared" ref="ER357:ER372" si="2114">IF(EM357&gt;=0.9,1,IF(EM357&lt;0.75,3,2))</f>
        <v>1</v>
      </c>
      <c r="ES357" s="2">
        <f t="shared" ref="ES357:ES372" si="2115">IF(EN357&gt;=0.9,1,IF(EN357&lt;0.75,3,2))</f>
        <v>1</v>
      </c>
    </row>
    <row r="358" spans="1:149" ht="12.75" customHeight="1">
      <c r="A358" s="6" t="s">
        <v>22</v>
      </c>
      <c r="B358" s="2" t="s">
        <v>1</v>
      </c>
      <c r="C358" s="3" t="s">
        <v>55</v>
      </c>
      <c r="E358" s="3" t="s">
        <v>16</v>
      </c>
      <c r="G358" s="1" t="s">
        <v>91</v>
      </c>
      <c r="I358" s="237">
        <v>45</v>
      </c>
      <c r="J358" s="238">
        <v>49</v>
      </c>
      <c r="K358" s="238">
        <v>50</v>
      </c>
      <c r="L358" s="238">
        <v>52</v>
      </c>
      <c r="M358" s="239">
        <v>14</v>
      </c>
      <c r="N358" s="238">
        <v>19</v>
      </c>
      <c r="O358" s="19">
        <v>22</v>
      </c>
      <c r="P358" s="19">
        <v>27</v>
      </c>
      <c r="Q358" s="19">
        <v>31</v>
      </c>
      <c r="R358" s="19">
        <v>35</v>
      </c>
      <c r="S358" s="19">
        <v>39</v>
      </c>
      <c r="T358" s="19">
        <v>41</v>
      </c>
      <c r="U358" s="19">
        <v>47</v>
      </c>
      <c r="V358" s="26">
        <v>52</v>
      </c>
      <c r="W358" s="19">
        <v>56</v>
      </c>
      <c r="X358" s="19">
        <v>61</v>
      </c>
      <c r="Y358" s="352">
        <v>11</v>
      </c>
      <c r="Z358" s="19">
        <v>16</v>
      </c>
      <c r="AA358" s="19">
        <v>24</v>
      </c>
      <c r="AB358" s="19">
        <v>31</v>
      </c>
      <c r="AC358" s="19">
        <v>42</v>
      </c>
      <c r="AD358" s="19">
        <v>46</v>
      </c>
      <c r="AE358" s="19">
        <v>53</v>
      </c>
      <c r="AF358" s="19">
        <v>59</v>
      </c>
      <c r="AG358" s="19">
        <v>63</v>
      </c>
      <c r="AH358" s="19">
        <v>69</v>
      </c>
      <c r="AI358" s="19">
        <v>71</v>
      </c>
      <c r="AJ358" s="19"/>
      <c r="AK358" s="408"/>
      <c r="AL358" s="21">
        <f t="shared" si="2083"/>
        <v>4</v>
      </c>
      <c r="AM358" s="21">
        <f t="shared" si="2083"/>
        <v>1</v>
      </c>
      <c r="AN358" s="21">
        <f t="shared" si="2084"/>
        <v>2</v>
      </c>
      <c r="AO358" s="21">
        <f>M358</f>
        <v>14</v>
      </c>
      <c r="AP358" s="129">
        <f t="shared" si="2085"/>
        <v>5</v>
      </c>
      <c r="AQ358" s="129">
        <f t="shared" si="2086"/>
        <v>3</v>
      </c>
      <c r="AR358" s="129">
        <f t="shared" si="2087"/>
        <v>5</v>
      </c>
      <c r="AS358" s="129">
        <f t="shared" si="2088"/>
        <v>4</v>
      </c>
      <c r="AT358" s="129">
        <f t="shared" si="2089"/>
        <v>4</v>
      </c>
      <c r="AU358" s="129">
        <f t="shared" si="2090"/>
        <v>4</v>
      </c>
      <c r="AV358" s="129">
        <f t="shared" si="2091"/>
        <v>2</v>
      </c>
      <c r="AW358" s="129">
        <f t="shared" si="2092"/>
        <v>6</v>
      </c>
      <c r="AX358" s="129">
        <f>IF(V358&lt;&gt;"",V358-U358,0)</f>
        <v>5</v>
      </c>
      <c r="AY358" s="129">
        <f t="shared" si="2093"/>
        <v>4</v>
      </c>
      <c r="AZ358" s="129">
        <f t="shared" si="2094"/>
        <v>5</v>
      </c>
      <c r="BA358" s="21">
        <f>Y358</f>
        <v>11</v>
      </c>
      <c r="BB358" s="129">
        <f t="shared" si="2095"/>
        <v>5</v>
      </c>
      <c r="BC358" s="129">
        <f t="shared" si="2096"/>
        <v>8</v>
      </c>
      <c r="BD358" s="129">
        <f t="shared" si="2097"/>
        <v>7</v>
      </c>
      <c r="BE358" s="129">
        <f t="shared" si="2098"/>
        <v>11</v>
      </c>
      <c r="BF358" s="129">
        <f t="shared" si="2099"/>
        <v>4</v>
      </c>
      <c r="BG358" s="129">
        <f t="shared" si="2100"/>
        <v>7</v>
      </c>
      <c r="BH358" s="129">
        <f t="shared" si="2101"/>
        <v>6</v>
      </c>
      <c r="BI358" s="129">
        <f t="shared" si="2102"/>
        <v>4</v>
      </c>
      <c r="BJ358" s="129">
        <f>IF(AH358&lt;&gt;"",AH358-AG358,0)</f>
        <v>6</v>
      </c>
      <c r="BK358" s="129">
        <f t="shared" si="2103"/>
        <v>2</v>
      </c>
      <c r="BL358" s="129">
        <f t="shared" si="2104"/>
        <v>0</v>
      </c>
      <c r="BM358" s="408"/>
      <c r="BN358" s="48">
        <f t="shared" ref="BN358:BN374" si="2116">BP358</f>
        <v>7</v>
      </c>
      <c r="BO358" s="48">
        <f t="shared" ref="BO358:BO374" si="2117">BP358</f>
        <v>7</v>
      </c>
      <c r="BP358" s="48">
        <f t="shared" ref="BP358:BP363" si="2118">SUM(AL358:AN358)</f>
        <v>7</v>
      </c>
      <c r="BQ358" s="48">
        <f t="shared" ref="BQ358:BQ374" si="2119">BS358</f>
        <v>22</v>
      </c>
      <c r="BR358" s="48">
        <f t="shared" ref="BR358:BR374" si="2120">BS358</f>
        <v>22</v>
      </c>
      <c r="BS358" s="48">
        <f t="shared" ref="BS358:BS363" si="2121">SUM(AO358:AQ358)</f>
        <v>22</v>
      </c>
      <c r="BT358" s="48">
        <f t="shared" ref="BT358:BT374" si="2122">BV358</f>
        <v>13</v>
      </c>
      <c r="BU358" s="48">
        <f t="shared" ref="BU358:BU374" si="2123">BV358</f>
        <v>13</v>
      </c>
      <c r="BV358" s="48">
        <f t="shared" ref="BV358:BV363" si="2124">SUM(AR358:AT358)</f>
        <v>13</v>
      </c>
      <c r="BW358" s="48">
        <f t="shared" ref="BW358:BW374" si="2125">BY358</f>
        <v>12</v>
      </c>
      <c r="BX358" s="48">
        <f t="shared" ref="BX358:BX374" si="2126">BY358</f>
        <v>12</v>
      </c>
      <c r="BY358" s="48">
        <f t="shared" ref="BY358:BY363" si="2127">SUM(AU358:AW358)</f>
        <v>12</v>
      </c>
      <c r="BZ358" s="48">
        <f t="shared" ref="BZ358:BZ374" si="2128">CB358</f>
        <v>14</v>
      </c>
      <c r="CA358" s="48">
        <f t="shared" ref="CA358:CA374" si="2129">CB358</f>
        <v>14</v>
      </c>
      <c r="CB358" s="48">
        <f t="shared" ref="CB358:CB363" si="2130">SUM(AX358:AZ358)</f>
        <v>14</v>
      </c>
      <c r="CC358" s="48">
        <f t="shared" ref="CC358:CC374" si="2131">CE358</f>
        <v>24</v>
      </c>
      <c r="CD358" s="48">
        <f t="shared" ref="CD358:CD374" si="2132">CE358</f>
        <v>24</v>
      </c>
      <c r="CE358" s="48">
        <f t="shared" ref="CE358:CE363" si="2133">SUM(BA358:BC358)</f>
        <v>24</v>
      </c>
      <c r="CF358" s="48">
        <f t="shared" ref="CF358:CF374" si="2134">CH358</f>
        <v>22</v>
      </c>
      <c r="CG358" s="48">
        <f t="shared" ref="CG358:CG374" si="2135">CH358</f>
        <v>22</v>
      </c>
      <c r="CH358" s="48">
        <f t="shared" ref="CH358:CH363" si="2136">SUM(BD358:BF358)</f>
        <v>22</v>
      </c>
      <c r="CI358" s="48">
        <f t="shared" ref="CI358:CI374" si="2137">CK358</f>
        <v>17</v>
      </c>
      <c r="CJ358" s="48">
        <f t="shared" ref="CJ358:CJ374" si="2138">CK358</f>
        <v>17</v>
      </c>
      <c r="CK358" s="48">
        <f t="shared" ref="CK358:CK363" si="2139">SUM(BG358:BI358)</f>
        <v>17</v>
      </c>
      <c r="CL358" s="48">
        <f t="shared" ref="CL358:CL374" si="2140">CN358</f>
        <v>8</v>
      </c>
      <c r="CM358" s="48">
        <f t="shared" ref="CM358:CM374" si="2141">CN358</f>
        <v>8</v>
      </c>
      <c r="CN358" s="48">
        <f t="shared" ref="CN358:CN363" si="2142">SUM(BJ358:BL358)</f>
        <v>8</v>
      </c>
      <c r="CO358" s="406"/>
      <c r="CP358" s="21">
        <f t="shared" si="2105"/>
        <v>49</v>
      </c>
      <c r="CQ358" s="21">
        <f t="shared" si="2105"/>
        <v>50</v>
      </c>
      <c r="CR358" s="21">
        <f t="shared" si="2105"/>
        <v>52</v>
      </c>
      <c r="CS358" s="21">
        <f>AO358</f>
        <v>14</v>
      </c>
      <c r="CT358" s="21">
        <f t="shared" si="2106"/>
        <v>19</v>
      </c>
      <c r="CU358" s="21">
        <f t="shared" si="2106"/>
        <v>22</v>
      </c>
      <c r="CV358" s="21">
        <f t="shared" si="2106"/>
        <v>27</v>
      </c>
      <c r="CW358" s="21">
        <f t="shared" si="2106"/>
        <v>31</v>
      </c>
      <c r="CX358" s="21">
        <f t="shared" si="2106"/>
        <v>35</v>
      </c>
      <c r="CY358" s="21">
        <f t="shared" si="2106"/>
        <v>39</v>
      </c>
      <c r="CZ358" s="21">
        <f t="shared" si="2106"/>
        <v>41</v>
      </c>
      <c r="DA358" s="21">
        <f t="shared" si="2106"/>
        <v>47</v>
      </c>
      <c r="DB358" s="21">
        <f t="shared" si="2106"/>
        <v>52</v>
      </c>
      <c r="DC358" s="21">
        <f t="shared" si="2106"/>
        <v>56</v>
      </c>
      <c r="DD358" s="21">
        <f t="shared" si="2106"/>
        <v>61</v>
      </c>
      <c r="DE358" s="21">
        <f>+BA358</f>
        <v>11</v>
      </c>
      <c r="DF358" s="21">
        <f t="shared" si="2107"/>
        <v>16</v>
      </c>
      <c r="DG358" s="21">
        <f t="shared" si="2107"/>
        <v>24</v>
      </c>
      <c r="DH358" s="21">
        <f t="shared" si="2107"/>
        <v>31</v>
      </c>
      <c r="DI358" s="21">
        <f t="shared" si="2107"/>
        <v>42</v>
      </c>
      <c r="DJ358" s="21">
        <f t="shared" si="2107"/>
        <v>46</v>
      </c>
      <c r="DK358" s="21">
        <f t="shared" si="2107"/>
        <v>53</v>
      </c>
      <c r="DL358" s="21">
        <f t="shared" si="2107"/>
        <v>59</v>
      </c>
      <c r="DM358" s="21">
        <f t="shared" si="2107"/>
        <v>63</v>
      </c>
      <c r="DN358" s="21">
        <f t="shared" si="2107"/>
        <v>69</v>
      </c>
      <c r="DO358" s="21">
        <f t="shared" si="2107"/>
        <v>71</v>
      </c>
      <c r="DP358" s="21">
        <f t="shared" si="2107"/>
        <v>71</v>
      </c>
      <c r="DQ358" s="248"/>
      <c r="DR358" s="248"/>
      <c r="DS358" s="248"/>
      <c r="DT358" s="248"/>
      <c r="DU358" s="248"/>
      <c r="DV358" s="248"/>
      <c r="DW358" s="248"/>
      <c r="DX358" s="248"/>
      <c r="DY358" s="248"/>
      <c r="ED358" s="429"/>
      <c r="EE358" s="23"/>
      <c r="EF358" s="23"/>
      <c r="EG358" s="23"/>
      <c r="EH358" s="18">
        <f t="shared" si="2108"/>
        <v>2</v>
      </c>
      <c r="EI358" s="18">
        <f t="shared" si="2109"/>
        <v>8</v>
      </c>
      <c r="EJ358" s="18">
        <f t="shared" si="2110"/>
        <v>71</v>
      </c>
      <c r="EK358" s="24">
        <f>$EK$1/12</f>
        <v>0.91666666666666663</v>
      </c>
      <c r="EL358" s="14">
        <f t="shared" si="2111"/>
        <v>0.37523452157598514</v>
      </c>
      <c r="EM358" s="14">
        <f t="shared" si="2111"/>
        <v>0.50031269543464685</v>
      </c>
      <c r="EN358" s="14">
        <f>EJ358/EG335</f>
        <v>1.1100687929956226</v>
      </c>
      <c r="EO358" s="46" t="str">
        <f t="shared" si="2112"/>
        <v>È</v>
      </c>
      <c r="EP358" s="46" t="str">
        <f>IF(EI358&lt;0,,IF(EI358&gt;EF335,"È",IF(EI358=EF335,"Æ","Ç")))</f>
        <v>Ç</v>
      </c>
      <c r="EQ358" s="2">
        <f t="shared" si="2113"/>
        <v>3</v>
      </c>
      <c r="ER358" s="2">
        <f t="shared" si="2114"/>
        <v>3</v>
      </c>
      <c r="ES358" s="2">
        <f t="shared" si="2115"/>
        <v>1</v>
      </c>
    </row>
    <row r="359" spans="1:149" ht="12.75" customHeight="1">
      <c r="A359" s="6" t="s">
        <v>22</v>
      </c>
      <c r="B359" s="2" t="s">
        <v>2</v>
      </c>
      <c r="C359" s="3" t="s">
        <v>56</v>
      </c>
      <c r="E359" s="3" t="s">
        <v>16</v>
      </c>
      <c r="G359" s="1" t="s">
        <v>91</v>
      </c>
      <c r="I359" s="237">
        <v>33</v>
      </c>
      <c r="J359" s="238">
        <v>39</v>
      </c>
      <c r="K359" s="238">
        <v>44</v>
      </c>
      <c r="L359" s="238">
        <v>45</v>
      </c>
      <c r="M359" s="239">
        <v>5</v>
      </c>
      <c r="N359" s="238">
        <v>8</v>
      </c>
      <c r="O359" s="19">
        <v>12</v>
      </c>
      <c r="P359" s="19">
        <v>14</v>
      </c>
      <c r="Q359" s="19">
        <v>17</v>
      </c>
      <c r="R359" s="19">
        <v>18</v>
      </c>
      <c r="S359" s="19">
        <v>26</v>
      </c>
      <c r="T359" s="19">
        <v>31</v>
      </c>
      <c r="U359" s="19">
        <v>34</v>
      </c>
      <c r="V359" s="26">
        <v>39</v>
      </c>
      <c r="W359" s="19">
        <v>46</v>
      </c>
      <c r="X359" s="19">
        <v>51</v>
      </c>
      <c r="Y359" s="352">
        <v>2</v>
      </c>
      <c r="Z359" s="19">
        <v>5</v>
      </c>
      <c r="AA359" s="19">
        <v>9</v>
      </c>
      <c r="AB359" s="19">
        <v>16</v>
      </c>
      <c r="AC359" s="19">
        <v>25</v>
      </c>
      <c r="AD359" s="19">
        <v>27</v>
      </c>
      <c r="AE359" s="19">
        <v>34</v>
      </c>
      <c r="AF359" s="19">
        <v>34</v>
      </c>
      <c r="AG359" s="19">
        <v>44</v>
      </c>
      <c r="AH359" s="19">
        <v>50</v>
      </c>
      <c r="AI359" s="19">
        <v>54</v>
      </c>
      <c r="AJ359" s="19"/>
      <c r="AK359" s="408"/>
      <c r="AL359" s="21">
        <f t="shared" si="2083"/>
        <v>6</v>
      </c>
      <c r="AM359" s="21">
        <f t="shared" si="2083"/>
        <v>5</v>
      </c>
      <c r="AN359" s="21">
        <f t="shared" si="2084"/>
        <v>1</v>
      </c>
      <c r="AO359" s="21">
        <f>M359</f>
        <v>5</v>
      </c>
      <c r="AP359" s="129">
        <f t="shared" si="2085"/>
        <v>3</v>
      </c>
      <c r="AQ359" s="129">
        <f t="shared" si="2086"/>
        <v>4</v>
      </c>
      <c r="AR359" s="129">
        <f t="shared" si="2087"/>
        <v>2</v>
      </c>
      <c r="AS359" s="129">
        <f t="shared" si="2088"/>
        <v>3</v>
      </c>
      <c r="AT359" s="129">
        <f t="shared" si="2089"/>
        <v>1</v>
      </c>
      <c r="AU359" s="129">
        <f t="shared" si="2090"/>
        <v>8</v>
      </c>
      <c r="AV359" s="129">
        <f t="shared" si="2091"/>
        <v>5</v>
      </c>
      <c r="AW359" s="129">
        <f t="shared" si="2092"/>
        <v>3</v>
      </c>
      <c r="AX359" s="129">
        <f>IF(V359&lt;&gt;"",V359-U359,0)</f>
        <v>5</v>
      </c>
      <c r="AY359" s="129">
        <f t="shared" si="2093"/>
        <v>7</v>
      </c>
      <c r="AZ359" s="129">
        <f t="shared" si="2094"/>
        <v>5</v>
      </c>
      <c r="BA359" s="21">
        <f>Y359</f>
        <v>2</v>
      </c>
      <c r="BB359" s="129">
        <f t="shared" si="2095"/>
        <v>3</v>
      </c>
      <c r="BC359" s="129">
        <f t="shared" si="2096"/>
        <v>4</v>
      </c>
      <c r="BD359" s="129">
        <f t="shared" si="2097"/>
        <v>7</v>
      </c>
      <c r="BE359" s="129">
        <f t="shared" si="2098"/>
        <v>9</v>
      </c>
      <c r="BF359" s="129">
        <f t="shared" si="2099"/>
        <v>2</v>
      </c>
      <c r="BG359" s="129">
        <f t="shared" si="2100"/>
        <v>7</v>
      </c>
      <c r="BH359" s="129">
        <f t="shared" si="2101"/>
        <v>0</v>
      </c>
      <c r="BI359" s="129">
        <f t="shared" si="2102"/>
        <v>10</v>
      </c>
      <c r="BJ359" s="129">
        <f>IF(AH359&lt;&gt;"",AH359-AG359,0)</f>
        <v>6</v>
      </c>
      <c r="BK359" s="129">
        <f t="shared" si="2103"/>
        <v>4</v>
      </c>
      <c r="BL359" s="129">
        <f t="shared" si="2104"/>
        <v>0</v>
      </c>
      <c r="BM359" s="408"/>
      <c r="BN359" s="48">
        <f t="shared" si="2116"/>
        <v>12</v>
      </c>
      <c r="BO359" s="48">
        <f t="shared" si="2117"/>
        <v>12</v>
      </c>
      <c r="BP359" s="48">
        <f t="shared" si="2118"/>
        <v>12</v>
      </c>
      <c r="BQ359" s="48">
        <f t="shared" si="2119"/>
        <v>12</v>
      </c>
      <c r="BR359" s="48">
        <f t="shared" si="2120"/>
        <v>12</v>
      </c>
      <c r="BS359" s="48">
        <f t="shared" si="2121"/>
        <v>12</v>
      </c>
      <c r="BT359" s="48">
        <f t="shared" si="2122"/>
        <v>6</v>
      </c>
      <c r="BU359" s="48">
        <f t="shared" si="2123"/>
        <v>6</v>
      </c>
      <c r="BV359" s="48">
        <f t="shared" si="2124"/>
        <v>6</v>
      </c>
      <c r="BW359" s="48">
        <f t="shared" si="2125"/>
        <v>16</v>
      </c>
      <c r="BX359" s="48">
        <f t="shared" si="2126"/>
        <v>16</v>
      </c>
      <c r="BY359" s="48">
        <f t="shared" si="2127"/>
        <v>16</v>
      </c>
      <c r="BZ359" s="48">
        <f t="shared" si="2128"/>
        <v>17</v>
      </c>
      <c r="CA359" s="48">
        <f t="shared" si="2129"/>
        <v>17</v>
      </c>
      <c r="CB359" s="48">
        <f t="shared" si="2130"/>
        <v>17</v>
      </c>
      <c r="CC359" s="48">
        <f t="shared" si="2131"/>
        <v>9</v>
      </c>
      <c r="CD359" s="48">
        <f t="shared" si="2132"/>
        <v>9</v>
      </c>
      <c r="CE359" s="48">
        <f t="shared" si="2133"/>
        <v>9</v>
      </c>
      <c r="CF359" s="48">
        <f t="shared" si="2134"/>
        <v>18</v>
      </c>
      <c r="CG359" s="48">
        <f t="shared" si="2135"/>
        <v>18</v>
      </c>
      <c r="CH359" s="48">
        <f t="shared" si="2136"/>
        <v>18</v>
      </c>
      <c r="CI359" s="48">
        <f t="shared" si="2137"/>
        <v>17</v>
      </c>
      <c r="CJ359" s="48">
        <f t="shared" si="2138"/>
        <v>17</v>
      </c>
      <c r="CK359" s="48">
        <f t="shared" si="2139"/>
        <v>17</v>
      </c>
      <c r="CL359" s="48">
        <f t="shared" si="2140"/>
        <v>10</v>
      </c>
      <c r="CM359" s="48">
        <f t="shared" si="2141"/>
        <v>10</v>
      </c>
      <c r="CN359" s="48">
        <f t="shared" si="2142"/>
        <v>10</v>
      </c>
      <c r="CO359" s="406"/>
      <c r="CP359" s="21">
        <f t="shared" si="2105"/>
        <v>39</v>
      </c>
      <c r="CQ359" s="21">
        <f t="shared" si="2105"/>
        <v>44</v>
      </c>
      <c r="CR359" s="21">
        <f t="shared" si="2105"/>
        <v>45</v>
      </c>
      <c r="CS359" s="21">
        <f>AO359</f>
        <v>5</v>
      </c>
      <c r="CT359" s="21">
        <f t="shared" si="2106"/>
        <v>8</v>
      </c>
      <c r="CU359" s="21">
        <f t="shared" si="2106"/>
        <v>12</v>
      </c>
      <c r="CV359" s="21">
        <f t="shared" si="2106"/>
        <v>14</v>
      </c>
      <c r="CW359" s="21">
        <f t="shared" si="2106"/>
        <v>17</v>
      </c>
      <c r="CX359" s="21">
        <f t="shared" si="2106"/>
        <v>18</v>
      </c>
      <c r="CY359" s="21">
        <f t="shared" si="2106"/>
        <v>26</v>
      </c>
      <c r="CZ359" s="21">
        <f t="shared" si="2106"/>
        <v>31</v>
      </c>
      <c r="DA359" s="21">
        <f t="shared" si="2106"/>
        <v>34</v>
      </c>
      <c r="DB359" s="21">
        <f t="shared" si="2106"/>
        <v>39</v>
      </c>
      <c r="DC359" s="21">
        <f t="shared" si="2106"/>
        <v>46</v>
      </c>
      <c r="DD359" s="21">
        <f t="shared" si="2106"/>
        <v>51</v>
      </c>
      <c r="DE359" s="21">
        <f>+BA359</f>
        <v>2</v>
      </c>
      <c r="DF359" s="21">
        <f t="shared" si="2107"/>
        <v>5</v>
      </c>
      <c r="DG359" s="21">
        <f t="shared" si="2107"/>
        <v>9</v>
      </c>
      <c r="DH359" s="21">
        <f t="shared" si="2107"/>
        <v>16</v>
      </c>
      <c r="DI359" s="21">
        <f t="shared" si="2107"/>
        <v>25</v>
      </c>
      <c r="DJ359" s="21">
        <f t="shared" si="2107"/>
        <v>27</v>
      </c>
      <c r="DK359" s="21">
        <f t="shared" si="2107"/>
        <v>34</v>
      </c>
      <c r="DL359" s="21">
        <f t="shared" si="2107"/>
        <v>34</v>
      </c>
      <c r="DM359" s="21">
        <f t="shared" si="2107"/>
        <v>44</v>
      </c>
      <c r="DN359" s="21">
        <f t="shared" si="2107"/>
        <v>50</v>
      </c>
      <c r="DO359" s="21">
        <f t="shared" si="2107"/>
        <v>54</v>
      </c>
      <c r="DP359" s="21">
        <f t="shared" si="2107"/>
        <v>54</v>
      </c>
      <c r="DQ359" s="248"/>
      <c r="DR359" s="248"/>
      <c r="DS359" s="248"/>
      <c r="DT359" s="248"/>
      <c r="DU359" s="248"/>
      <c r="DV359" s="248"/>
      <c r="DW359" s="248"/>
      <c r="DX359" s="248"/>
      <c r="DY359" s="248"/>
      <c r="ED359" s="429"/>
      <c r="EE359" s="23"/>
      <c r="EF359" s="23"/>
      <c r="EG359" s="23"/>
      <c r="EH359" s="18">
        <f t="shared" si="2108"/>
        <v>4</v>
      </c>
      <c r="EI359" s="18">
        <f t="shared" si="2109"/>
        <v>10</v>
      </c>
      <c r="EJ359" s="18">
        <f t="shared" si="2110"/>
        <v>54</v>
      </c>
      <c r="EK359" s="24">
        <f>$EK$1/12</f>
        <v>0.91666666666666663</v>
      </c>
      <c r="EL359" s="14">
        <f t="shared" si="2111"/>
        <v>0.94117647058823528</v>
      </c>
      <c r="EM359" s="14">
        <f t="shared" si="2111"/>
        <v>0.78431372549019607</v>
      </c>
      <c r="EN359" s="14">
        <f>EJ359/EG336</f>
        <v>1.0588235294117647</v>
      </c>
      <c r="EO359" s="46" t="str">
        <f t="shared" si="2112"/>
        <v>È</v>
      </c>
      <c r="EP359" s="46" t="str">
        <f>IF(EI359&lt;0,,IF(EI359&gt;EF336,"È",IF(EI359=EF336,"Æ","Ç")))</f>
        <v>Ç</v>
      </c>
      <c r="EQ359" s="2">
        <f t="shared" si="2113"/>
        <v>1</v>
      </c>
      <c r="ER359" s="2">
        <f t="shared" si="2114"/>
        <v>2</v>
      </c>
      <c r="ES359" s="2">
        <f t="shared" si="2115"/>
        <v>1</v>
      </c>
    </row>
    <row r="360" spans="1:149" ht="12.75" customHeight="1">
      <c r="A360" s="6" t="s">
        <v>22</v>
      </c>
      <c r="B360" s="2" t="s">
        <v>3</v>
      </c>
      <c r="C360" s="3" t="s">
        <v>57</v>
      </c>
      <c r="E360" s="3" t="s">
        <v>16</v>
      </c>
      <c r="G360" s="1" t="s">
        <v>91</v>
      </c>
      <c r="I360" s="237">
        <v>11</v>
      </c>
      <c r="J360" s="240">
        <v>12</v>
      </c>
      <c r="K360" s="240">
        <v>12</v>
      </c>
      <c r="L360" s="240">
        <v>14</v>
      </c>
      <c r="M360" s="241">
        <v>3</v>
      </c>
      <c r="N360" s="240">
        <v>5</v>
      </c>
      <c r="O360" s="21">
        <v>6</v>
      </c>
      <c r="P360" s="21">
        <v>7</v>
      </c>
      <c r="Q360" s="21">
        <v>8</v>
      </c>
      <c r="R360" s="21">
        <v>9</v>
      </c>
      <c r="S360" s="21">
        <v>11</v>
      </c>
      <c r="T360" s="21">
        <v>11</v>
      </c>
      <c r="U360" s="21">
        <v>12</v>
      </c>
      <c r="V360" s="27">
        <v>12</v>
      </c>
      <c r="W360" s="21">
        <v>13</v>
      </c>
      <c r="X360" s="21">
        <v>16</v>
      </c>
      <c r="Y360" s="353">
        <v>1</v>
      </c>
      <c r="Z360" s="21">
        <v>2</v>
      </c>
      <c r="AA360" s="21">
        <v>7</v>
      </c>
      <c r="AB360" s="21">
        <v>7</v>
      </c>
      <c r="AC360" s="21">
        <v>7</v>
      </c>
      <c r="AD360" s="21">
        <v>8</v>
      </c>
      <c r="AE360" s="21">
        <v>18</v>
      </c>
      <c r="AF360" s="21">
        <v>19</v>
      </c>
      <c r="AG360" s="21">
        <v>21</v>
      </c>
      <c r="AH360" s="21">
        <v>27</v>
      </c>
      <c r="AI360" s="21">
        <v>31</v>
      </c>
      <c r="AJ360" s="21"/>
      <c r="AK360" s="408"/>
      <c r="AL360" s="21">
        <f t="shared" si="2083"/>
        <v>1</v>
      </c>
      <c r="AM360" s="21">
        <f t="shared" si="2083"/>
        <v>0</v>
      </c>
      <c r="AN360" s="21">
        <f t="shared" si="2084"/>
        <v>2</v>
      </c>
      <c r="AO360" s="21">
        <f>M360</f>
        <v>3</v>
      </c>
      <c r="AP360" s="129">
        <f t="shared" si="2085"/>
        <v>2</v>
      </c>
      <c r="AQ360" s="129">
        <f t="shared" si="2086"/>
        <v>1</v>
      </c>
      <c r="AR360" s="129">
        <f t="shared" si="2087"/>
        <v>1</v>
      </c>
      <c r="AS360" s="129">
        <f t="shared" si="2088"/>
        <v>1</v>
      </c>
      <c r="AT360" s="129">
        <f t="shared" si="2089"/>
        <v>1</v>
      </c>
      <c r="AU360" s="129">
        <f t="shared" si="2090"/>
        <v>2</v>
      </c>
      <c r="AV360" s="129">
        <f t="shared" si="2091"/>
        <v>0</v>
      </c>
      <c r="AW360" s="129">
        <f t="shared" si="2092"/>
        <v>1</v>
      </c>
      <c r="AX360" s="129">
        <f>IF(V360&lt;&gt;"",V360-U360,0)</f>
        <v>0</v>
      </c>
      <c r="AY360" s="129">
        <f t="shared" si="2093"/>
        <v>1</v>
      </c>
      <c r="AZ360" s="129">
        <f t="shared" si="2094"/>
        <v>3</v>
      </c>
      <c r="BA360" s="21">
        <f>Y360</f>
        <v>1</v>
      </c>
      <c r="BB360" s="129">
        <f t="shared" si="2095"/>
        <v>1</v>
      </c>
      <c r="BC360" s="129">
        <f t="shared" si="2096"/>
        <v>5</v>
      </c>
      <c r="BD360" s="129">
        <f t="shared" si="2097"/>
        <v>0</v>
      </c>
      <c r="BE360" s="129">
        <f t="shared" si="2098"/>
        <v>0</v>
      </c>
      <c r="BF360" s="129">
        <f t="shared" si="2099"/>
        <v>1</v>
      </c>
      <c r="BG360" s="129">
        <f t="shared" si="2100"/>
        <v>10</v>
      </c>
      <c r="BH360" s="129">
        <f t="shared" si="2101"/>
        <v>1</v>
      </c>
      <c r="BI360" s="129">
        <f t="shared" si="2102"/>
        <v>2</v>
      </c>
      <c r="BJ360" s="129">
        <f>IF(AH360&lt;&gt;"",AH360-AG360,0)</f>
        <v>6</v>
      </c>
      <c r="BK360" s="129">
        <f t="shared" si="2103"/>
        <v>4</v>
      </c>
      <c r="BL360" s="129">
        <f t="shared" si="2104"/>
        <v>0</v>
      </c>
      <c r="BM360" s="408"/>
      <c r="BN360" s="48">
        <f t="shared" si="2116"/>
        <v>3</v>
      </c>
      <c r="BO360" s="48">
        <f t="shared" si="2117"/>
        <v>3</v>
      </c>
      <c r="BP360" s="48">
        <f t="shared" si="2118"/>
        <v>3</v>
      </c>
      <c r="BQ360" s="48">
        <f t="shared" si="2119"/>
        <v>6</v>
      </c>
      <c r="BR360" s="48">
        <f t="shared" si="2120"/>
        <v>6</v>
      </c>
      <c r="BS360" s="48">
        <f t="shared" si="2121"/>
        <v>6</v>
      </c>
      <c r="BT360" s="48">
        <f t="shared" si="2122"/>
        <v>3</v>
      </c>
      <c r="BU360" s="48">
        <f t="shared" si="2123"/>
        <v>3</v>
      </c>
      <c r="BV360" s="48">
        <f t="shared" si="2124"/>
        <v>3</v>
      </c>
      <c r="BW360" s="48">
        <f t="shared" si="2125"/>
        <v>3</v>
      </c>
      <c r="BX360" s="48">
        <f t="shared" si="2126"/>
        <v>3</v>
      </c>
      <c r="BY360" s="48">
        <f t="shared" si="2127"/>
        <v>3</v>
      </c>
      <c r="BZ360" s="48">
        <f t="shared" si="2128"/>
        <v>4</v>
      </c>
      <c r="CA360" s="48">
        <f t="shared" si="2129"/>
        <v>4</v>
      </c>
      <c r="CB360" s="48">
        <f t="shared" si="2130"/>
        <v>4</v>
      </c>
      <c r="CC360" s="48">
        <f t="shared" si="2131"/>
        <v>7</v>
      </c>
      <c r="CD360" s="48">
        <f t="shared" si="2132"/>
        <v>7</v>
      </c>
      <c r="CE360" s="48">
        <f t="shared" si="2133"/>
        <v>7</v>
      </c>
      <c r="CF360" s="48">
        <f t="shared" si="2134"/>
        <v>1</v>
      </c>
      <c r="CG360" s="48">
        <f t="shared" si="2135"/>
        <v>1</v>
      </c>
      <c r="CH360" s="48">
        <f t="shared" si="2136"/>
        <v>1</v>
      </c>
      <c r="CI360" s="48">
        <f t="shared" si="2137"/>
        <v>13</v>
      </c>
      <c r="CJ360" s="48">
        <f t="shared" si="2138"/>
        <v>13</v>
      </c>
      <c r="CK360" s="48">
        <f t="shared" si="2139"/>
        <v>13</v>
      </c>
      <c r="CL360" s="48">
        <f t="shared" si="2140"/>
        <v>10</v>
      </c>
      <c r="CM360" s="48">
        <f t="shared" si="2141"/>
        <v>10</v>
      </c>
      <c r="CN360" s="48">
        <f t="shared" si="2142"/>
        <v>10</v>
      </c>
      <c r="CO360" s="406"/>
      <c r="CP360" s="21">
        <f t="shared" si="2105"/>
        <v>12</v>
      </c>
      <c r="CQ360" s="21">
        <f t="shared" si="2105"/>
        <v>12</v>
      </c>
      <c r="CR360" s="21">
        <f t="shared" si="2105"/>
        <v>14</v>
      </c>
      <c r="CS360" s="21">
        <f>AO360</f>
        <v>3</v>
      </c>
      <c r="CT360" s="21">
        <f t="shared" si="2106"/>
        <v>5</v>
      </c>
      <c r="CU360" s="21">
        <f t="shared" si="2106"/>
        <v>6</v>
      </c>
      <c r="CV360" s="21">
        <f t="shared" si="2106"/>
        <v>7</v>
      </c>
      <c r="CW360" s="21">
        <f t="shared" si="2106"/>
        <v>8</v>
      </c>
      <c r="CX360" s="21">
        <f t="shared" si="2106"/>
        <v>9</v>
      </c>
      <c r="CY360" s="21">
        <f t="shared" si="2106"/>
        <v>11</v>
      </c>
      <c r="CZ360" s="21">
        <f t="shared" si="2106"/>
        <v>11</v>
      </c>
      <c r="DA360" s="21">
        <f t="shared" si="2106"/>
        <v>12</v>
      </c>
      <c r="DB360" s="21">
        <f t="shared" si="2106"/>
        <v>12</v>
      </c>
      <c r="DC360" s="21">
        <f t="shared" si="2106"/>
        <v>13</v>
      </c>
      <c r="DD360" s="21">
        <f t="shared" si="2106"/>
        <v>16</v>
      </c>
      <c r="DE360" s="21">
        <f>+BA360</f>
        <v>1</v>
      </c>
      <c r="DF360" s="21">
        <f t="shared" si="2107"/>
        <v>2</v>
      </c>
      <c r="DG360" s="21">
        <f t="shared" si="2107"/>
        <v>7</v>
      </c>
      <c r="DH360" s="21">
        <f t="shared" si="2107"/>
        <v>7</v>
      </c>
      <c r="DI360" s="21">
        <f t="shared" si="2107"/>
        <v>7</v>
      </c>
      <c r="DJ360" s="21">
        <f t="shared" si="2107"/>
        <v>8</v>
      </c>
      <c r="DK360" s="21">
        <f t="shared" si="2107"/>
        <v>18</v>
      </c>
      <c r="DL360" s="21">
        <f t="shared" si="2107"/>
        <v>19</v>
      </c>
      <c r="DM360" s="21">
        <f t="shared" si="2107"/>
        <v>21</v>
      </c>
      <c r="DN360" s="21">
        <f t="shared" si="2107"/>
        <v>27</v>
      </c>
      <c r="DO360" s="21">
        <f t="shared" si="2107"/>
        <v>31</v>
      </c>
      <c r="DP360" s="21">
        <f t="shared" si="2107"/>
        <v>31</v>
      </c>
      <c r="DQ360" s="248"/>
      <c r="DR360" s="248"/>
      <c r="DS360" s="248"/>
      <c r="DT360" s="248"/>
      <c r="DU360" s="248"/>
      <c r="DV360" s="248"/>
      <c r="DW360" s="248"/>
      <c r="DX360" s="248"/>
      <c r="DY360" s="248"/>
      <c r="ED360" s="429"/>
      <c r="EE360" s="23"/>
      <c r="EF360" s="23"/>
      <c r="EG360" s="23"/>
      <c r="EH360" s="18">
        <f t="shared" si="2108"/>
        <v>4</v>
      </c>
      <c r="EI360" s="18">
        <f t="shared" si="2109"/>
        <v>10</v>
      </c>
      <c r="EJ360" s="18">
        <f t="shared" si="2110"/>
        <v>31</v>
      </c>
      <c r="EK360" s="24">
        <f>$EK$1/12</f>
        <v>0.91666666666666663</v>
      </c>
      <c r="EL360" s="14">
        <f t="shared" si="2111"/>
        <v>1.7777777777777777</v>
      </c>
      <c r="EM360" s="14">
        <f t="shared" si="2111"/>
        <v>1.4814814814814814</v>
      </c>
      <c r="EN360" s="14">
        <f>EJ360/EG337</f>
        <v>1.1481481481481481</v>
      </c>
      <c r="EO360" s="46" t="str">
        <f t="shared" si="2112"/>
        <v>Ç</v>
      </c>
      <c r="EP360" s="46" t="str">
        <f>IF(EI360&lt;0,,IF(EI360&gt;EF337,"È",IF(EI360=EF337,"Æ","Ç")))</f>
        <v>È</v>
      </c>
      <c r="EQ360" s="2">
        <f t="shared" si="2113"/>
        <v>1</v>
      </c>
      <c r="ER360" s="2">
        <f t="shared" si="2114"/>
        <v>1</v>
      </c>
      <c r="ES360" s="2">
        <f t="shared" si="2115"/>
        <v>1</v>
      </c>
    </row>
    <row r="361" spans="1:149" ht="12.75" customHeight="1" thickBot="1">
      <c r="A361" s="6" t="s">
        <v>22</v>
      </c>
      <c r="B361" s="2" t="s">
        <v>94</v>
      </c>
      <c r="C361" s="3" t="s">
        <v>58</v>
      </c>
      <c r="E361" s="3" t="s">
        <v>16</v>
      </c>
      <c r="G361" s="1" t="s">
        <v>91</v>
      </c>
      <c r="I361" s="243">
        <v>4.0506169999999999</v>
      </c>
      <c r="J361" s="243">
        <v>4.1026170000000004</v>
      </c>
      <c r="K361" s="243">
        <v>4.3266169999999997</v>
      </c>
      <c r="L361" s="243">
        <v>4.4846170000000001</v>
      </c>
      <c r="M361" s="244">
        <v>0.01</v>
      </c>
      <c r="N361" s="243">
        <v>1.01E-2</v>
      </c>
      <c r="O361" s="116">
        <v>0.01</v>
      </c>
      <c r="P361" s="116">
        <v>1.85</v>
      </c>
      <c r="Q361" s="116">
        <v>1.85</v>
      </c>
      <c r="R361" s="116">
        <v>1.85</v>
      </c>
      <c r="S361" s="116">
        <v>1.85</v>
      </c>
      <c r="T361" s="116">
        <v>1.85</v>
      </c>
      <c r="U361" s="116">
        <v>1.86</v>
      </c>
      <c r="V361" s="123">
        <v>1.86</v>
      </c>
      <c r="W361" s="116">
        <v>1.86</v>
      </c>
      <c r="X361" s="116">
        <v>2.0225</v>
      </c>
      <c r="Y361" s="354">
        <v>0</v>
      </c>
      <c r="Z361" s="116">
        <v>0</v>
      </c>
      <c r="AA361" s="116">
        <v>6.7500000000000004E-2</v>
      </c>
      <c r="AB361" s="116">
        <v>0.1075</v>
      </c>
      <c r="AC361" s="116">
        <v>0.19320000000000001</v>
      </c>
      <c r="AD361" s="116">
        <v>0.2772</v>
      </c>
      <c r="AE361" s="116">
        <v>1.16445</v>
      </c>
      <c r="AF361" s="116">
        <v>3.702</v>
      </c>
      <c r="AG361" s="116">
        <v>4.3028500000000003</v>
      </c>
      <c r="AH361" s="116">
        <v>4.4820000000000002</v>
      </c>
      <c r="AI361" s="116">
        <v>4.4983500000000003</v>
      </c>
      <c r="AJ361" s="116"/>
      <c r="AK361" s="416"/>
      <c r="AL361" s="116">
        <f t="shared" si="2083"/>
        <v>5.200000000000049E-2</v>
      </c>
      <c r="AM361" s="116">
        <f t="shared" si="2083"/>
        <v>0.22399999999999931</v>
      </c>
      <c r="AN361" s="116">
        <f t="shared" si="2084"/>
        <v>0.15800000000000036</v>
      </c>
      <c r="AO361" s="116">
        <f>M361</f>
        <v>0.01</v>
      </c>
      <c r="AP361" s="129">
        <f t="shared" si="2085"/>
        <v>9.9999999999999395E-5</v>
      </c>
      <c r="AQ361" s="129">
        <f t="shared" si="2086"/>
        <v>-9.9999999999999395E-5</v>
      </c>
      <c r="AR361" s="129">
        <f t="shared" si="2087"/>
        <v>1.84</v>
      </c>
      <c r="AS361" s="129">
        <f t="shared" si="2088"/>
        <v>0</v>
      </c>
      <c r="AT361" s="129">
        <f t="shared" si="2089"/>
        <v>0</v>
      </c>
      <c r="AU361" s="129">
        <f t="shared" si="2090"/>
        <v>0</v>
      </c>
      <c r="AV361" s="129">
        <f t="shared" si="2091"/>
        <v>0</v>
      </c>
      <c r="AW361" s="129">
        <f t="shared" si="2092"/>
        <v>1.0000000000000009E-2</v>
      </c>
      <c r="AX361" s="129">
        <f>IF(V361&lt;&gt;"",V361-U361,0)</f>
        <v>0</v>
      </c>
      <c r="AY361" s="129">
        <f t="shared" si="2093"/>
        <v>0</v>
      </c>
      <c r="AZ361" s="129">
        <f t="shared" si="2094"/>
        <v>0.16249999999999987</v>
      </c>
      <c r="BA361" s="116">
        <f>Y361</f>
        <v>0</v>
      </c>
      <c r="BB361" s="129">
        <f t="shared" si="2095"/>
        <v>0</v>
      </c>
      <c r="BC361" s="129">
        <f t="shared" si="2096"/>
        <v>6.7500000000000004E-2</v>
      </c>
      <c r="BD361" s="129">
        <f t="shared" si="2097"/>
        <v>3.9999999999999994E-2</v>
      </c>
      <c r="BE361" s="129">
        <f t="shared" si="2098"/>
        <v>8.5700000000000012E-2</v>
      </c>
      <c r="BF361" s="129">
        <f t="shared" si="2099"/>
        <v>8.3999999999999991E-2</v>
      </c>
      <c r="BG361" s="129">
        <f t="shared" si="2100"/>
        <v>0.88724999999999998</v>
      </c>
      <c r="BH361" s="129">
        <f t="shared" si="2101"/>
        <v>2.53755</v>
      </c>
      <c r="BI361" s="129">
        <f t="shared" si="2102"/>
        <v>0.60085000000000033</v>
      </c>
      <c r="BJ361" s="585">
        <f>AH361</f>
        <v>4.4820000000000002</v>
      </c>
      <c r="BK361" s="129">
        <f t="shared" si="2103"/>
        <v>1.6350000000000087E-2</v>
      </c>
      <c r="BL361" s="129">
        <f t="shared" si="2104"/>
        <v>0</v>
      </c>
      <c r="BM361" s="409"/>
      <c r="BN361" s="119">
        <f t="shared" si="2116"/>
        <v>0.43400000000000016</v>
      </c>
      <c r="BO361" s="119">
        <f t="shared" si="2117"/>
        <v>0.43400000000000016</v>
      </c>
      <c r="BP361" s="119">
        <f t="shared" si="2118"/>
        <v>0.43400000000000016</v>
      </c>
      <c r="BQ361" s="119">
        <f t="shared" si="2119"/>
        <v>0.01</v>
      </c>
      <c r="BR361" s="119">
        <f t="shared" si="2120"/>
        <v>0.01</v>
      </c>
      <c r="BS361" s="119">
        <f t="shared" si="2121"/>
        <v>0.01</v>
      </c>
      <c r="BT361" s="119">
        <f t="shared" si="2122"/>
        <v>1.84</v>
      </c>
      <c r="BU361" s="119">
        <f t="shared" si="2123"/>
        <v>1.84</v>
      </c>
      <c r="BV361" s="119">
        <f t="shared" si="2124"/>
        <v>1.84</v>
      </c>
      <c r="BW361" s="119">
        <f t="shared" si="2125"/>
        <v>1.0000000000000009E-2</v>
      </c>
      <c r="BX361" s="119">
        <f t="shared" si="2126"/>
        <v>1.0000000000000009E-2</v>
      </c>
      <c r="BY361" s="119">
        <f t="shared" si="2127"/>
        <v>1.0000000000000009E-2</v>
      </c>
      <c r="BZ361" s="119">
        <f t="shared" si="2128"/>
        <v>0.16249999999999987</v>
      </c>
      <c r="CA361" s="119">
        <f t="shared" si="2129"/>
        <v>0.16249999999999987</v>
      </c>
      <c r="CB361" s="119">
        <f t="shared" si="2130"/>
        <v>0.16249999999999987</v>
      </c>
      <c r="CC361" s="119">
        <f t="shared" si="2131"/>
        <v>6.7500000000000004E-2</v>
      </c>
      <c r="CD361" s="119">
        <f t="shared" si="2132"/>
        <v>6.7500000000000004E-2</v>
      </c>
      <c r="CE361" s="119">
        <f t="shared" si="2133"/>
        <v>6.7500000000000004E-2</v>
      </c>
      <c r="CF361" s="119">
        <f t="shared" si="2134"/>
        <v>0.2097</v>
      </c>
      <c r="CG361" s="119">
        <f t="shared" si="2135"/>
        <v>0.2097</v>
      </c>
      <c r="CH361" s="119">
        <f t="shared" si="2136"/>
        <v>0.2097</v>
      </c>
      <c r="CI361" s="119">
        <f t="shared" si="2137"/>
        <v>4.0256500000000006</v>
      </c>
      <c r="CJ361" s="119">
        <f t="shared" si="2138"/>
        <v>4.0256500000000006</v>
      </c>
      <c r="CK361" s="119">
        <f t="shared" si="2139"/>
        <v>4.0256500000000006</v>
      </c>
      <c r="CL361" s="119">
        <f t="shared" si="2140"/>
        <v>4.4983500000000003</v>
      </c>
      <c r="CM361" s="119">
        <f t="shared" si="2141"/>
        <v>4.4983500000000003</v>
      </c>
      <c r="CN361" s="119">
        <f t="shared" si="2142"/>
        <v>4.4983500000000003</v>
      </c>
      <c r="CO361" s="421"/>
      <c r="CP361" s="116">
        <f t="shared" si="2105"/>
        <v>4.1026170000000004</v>
      </c>
      <c r="CQ361" s="116">
        <f t="shared" si="2105"/>
        <v>4.3266169999999997</v>
      </c>
      <c r="CR361" s="116">
        <f t="shared" si="2105"/>
        <v>4.4846170000000001</v>
      </c>
      <c r="CS361" s="116">
        <f>AO361</f>
        <v>0.01</v>
      </c>
      <c r="CT361" s="116">
        <f t="shared" si="2106"/>
        <v>1.01E-2</v>
      </c>
      <c r="CU361" s="116">
        <f t="shared" si="2106"/>
        <v>0.01</v>
      </c>
      <c r="CV361" s="116">
        <f t="shared" si="2106"/>
        <v>1.85</v>
      </c>
      <c r="CW361" s="116">
        <f t="shared" si="2106"/>
        <v>1.85</v>
      </c>
      <c r="CX361" s="116">
        <f t="shared" si="2106"/>
        <v>1.85</v>
      </c>
      <c r="CY361" s="116">
        <f t="shared" si="2106"/>
        <v>1.85</v>
      </c>
      <c r="CZ361" s="116">
        <f t="shared" si="2106"/>
        <v>1.85</v>
      </c>
      <c r="DA361" s="116">
        <f t="shared" si="2106"/>
        <v>1.86</v>
      </c>
      <c r="DB361" s="116">
        <f t="shared" si="2106"/>
        <v>1.86</v>
      </c>
      <c r="DC361" s="116">
        <f t="shared" si="2106"/>
        <v>1.86</v>
      </c>
      <c r="DD361" s="116">
        <f t="shared" si="2106"/>
        <v>2.0225</v>
      </c>
      <c r="DE361" s="116">
        <f>+BA361</f>
        <v>0</v>
      </c>
      <c r="DF361" s="116">
        <f t="shared" si="2107"/>
        <v>0</v>
      </c>
      <c r="DG361" s="116">
        <f t="shared" si="2107"/>
        <v>6.7500000000000004E-2</v>
      </c>
      <c r="DH361" s="116">
        <f t="shared" si="2107"/>
        <v>0.1075</v>
      </c>
      <c r="DI361" s="116">
        <f t="shared" si="2107"/>
        <v>0.19320000000000001</v>
      </c>
      <c r="DJ361" s="116">
        <f t="shared" si="2107"/>
        <v>0.2772</v>
      </c>
      <c r="DK361" s="116">
        <f t="shared" si="2107"/>
        <v>1.16445</v>
      </c>
      <c r="DL361" s="116">
        <f t="shared" si="2107"/>
        <v>3.702</v>
      </c>
      <c r="DM361" s="116">
        <f t="shared" si="2107"/>
        <v>4.3028500000000003</v>
      </c>
      <c r="DN361" s="116">
        <f t="shared" si="2107"/>
        <v>8.7848500000000005</v>
      </c>
      <c r="DO361" s="116">
        <f t="shared" si="2107"/>
        <v>4.4983500000000003</v>
      </c>
      <c r="DP361" s="116">
        <f t="shared" si="2107"/>
        <v>4.4983500000000003</v>
      </c>
      <c r="DQ361" s="243"/>
      <c r="DR361" s="243"/>
      <c r="DS361" s="243"/>
      <c r="DT361" s="243"/>
      <c r="DU361" s="243"/>
      <c r="DV361" s="243"/>
      <c r="DW361" s="243"/>
      <c r="DX361" s="243"/>
      <c r="DY361" s="243"/>
      <c r="DZ361" s="124"/>
      <c r="EA361" s="124"/>
      <c r="EB361" s="124"/>
      <c r="EC361" s="124"/>
      <c r="ED361" s="431"/>
      <c r="EE361" s="125"/>
      <c r="EF361" s="125"/>
      <c r="EG361" s="125"/>
      <c r="EH361" s="116">
        <f t="shared" si="2108"/>
        <v>1.6350000000000087E-2</v>
      </c>
      <c r="EI361" s="116">
        <f t="shared" si="2109"/>
        <v>4.4983500000000003</v>
      </c>
      <c r="EJ361" s="116">
        <f t="shared" si="2110"/>
        <v>4.4983500000000003</v>
      </c>
      <c r="EK361" s="24">
        <f>$EK$1/12</f>
        <v>0.91666666666666663</v>
      </c>
      <c r="EL361" s="14">
        <f t="shared" si="2111"/>
        <v>7.8481255700091568E-2</v>
      </c>
      <c r="EM361" s="14">
        <f t="shared" si="2111"/>
        <v>7.1974751596025524</v>
      </c>
      <c r="EN361" s="14">
        <f>EJ361/EG338</f>
        <v>1.7993687899006388</v>
      </c>
      <c r="EO361" s="46" t="str">
        <f>IF(EH361&lt;0,,IF(EH361&gt;EE338,"È",IF(EH361=EE338,"Æ","Ç")))</f>
        <v>Ç</v>
      </c>
      <c r="EP361" s="46" t="str">
        <f>IF(EI361&lt;0,,IF(EI361&gt;EF338,"È",IF(EI361=EF338,"Æ","Ç")))</f>
        <v>È</v>
      </c>
      <c r="EQ361" s="2">
        <f t="shared" si="2113"/>
        <v>3</v>
      </c>
      <c r="ER361" s="2">
        <f t="shared" si="2114"/>
        <v>1</v>
      </c>
      <c r="ES361" s="2">
        <f t="shared" si="2115"/>
        <v>1</v>
      </c>
    </row>
    <row r="362" spans="1:149" ht="12.75" customHeight="1">
      <c r="A362" s="6" t="s">
        <v>23</v>
      </c>
      <c r="B362" s="2" t="s">
        <v>5</v>
      </c>
      <c r="C362" s="3" t="s">
        <v>61</v>
      </c>
      <c r="E362" s="3" t="s">
        <v>16</v>
      </c>
      <c r="G362" s="3" t="s">
        <v>91</v>
      </c>
      <c r="I362" s="242"/>
      <c r="J362" s="238">
        <v>19</v>
      </c>
      <c r="K362" s="238">
        <v>34</v>
      </c>
      <c r="L362" s="238">
        <v>46</v>
      </c>
      <c r="M362" s="238">
        <v>65</v>
      </c>
      <c r="N362" s="238">
        <v>79</v>
      </c>
      <c r="O362" s="19">
        <v>89</v>
      </c>
      <c r="P362" s="19">
        <v>101</v>
      </c>
      <c r="Q362" s="19">
        <v>115</v>
      </c>
      <c r="R362" s="19">
        <v>137</v>
      </c>
      <c r="S362" s="19">
        <v>157</v>
      </c>
      <c r="T362" s="19">
        <v>171</v>
      </c>
      <c r="U362" s="19">
        <v>187</v>
      </c>
      <c r="V362" s="31">
        <v>25</v>
      </c>
      <c r="W362" s="19">
        <v>36</v>
      </c>
      <c r="X362" s="19">
        <v>56</v>
      </c>
      <c r="Y362" s="351">
        <v>92</v>
      </c>
      <c r="Z362" s="19">
        <v>110</v>
      </c>
      <c r="AA362" s="19">
        <v>123</v>
      </c>
      <c r="AB362" s="19">
        <v>144</v>
      </c>
      <c r="AC362" s="19">
        <v>161</v>
      </c>
      <c r="AD362" s="19">
        <v>196</v>
      </c>
      <c r="AE362" s="19">
        <v>220</v>
      </c>
      <c r="AF362" s="19">
        <v>239</v>
      </c>
      <c r="AG362" s="19">
        <v>255</v>
      </c>
      <c r="AH362" s="376">
        <v>19</v>
      </c>
      <c r="AI362" s="19">
        <v>51</v>
      </c>
      <c r="AJ362" s="19"/>
      <c r="AK362" s="408"/>
      <c r="AL362" s="19">
        <f t="shared" ref="AL362:AL378" si="2143">J362</f>
        <v>19</v>
      </c>
      <c r="AM362" s="19">
        <f>K362-J362</f>
        <v>15</v>
      </c>
      <c r="AN362" s="19">
        <f t="shared" si="2084"/>
        <v>12</v>
      </c>
      <c r="AO362" s="19">
        <f>M362-L362</f>
        <v>19</v>
      </c>
      <c r="AP362" s="129">
        <f t="shared" si="2085"/>
        <v>14</v>
      </c>
      <c r="AQ362" s="129">
        <f t="shared" si="2086"/>
        <v>10</v>
      </c>
      <c r="AR362" s="129">
        <f t="shared" si="2087"/>
        <v>12</v>
      </c>
      <c r="AS362" s="129">
        <f t="shared" si="2088"/>
        <v>14</v>
      </c>
      <c r="AT362" s="129">
        <f t="shared" si="2089"/>
        <v>22</v>
      </c>
      <c r="AU362" s="129">
        <f t="shared" si="2090"/>
        <v>20</v>
      </c>
      <c r="AV362" s="129">
        <f t="shared" si="2091"/>
        <v>14</v>
      </c>
      <c r="AW362" s="129">
        <f t="shared" si="2092"/>
        <v>16</v>
      </c>
      <c r="AX362" s="19">
        <f t="shared" ref="AX362:AX376" si="2144">V362</f>
        <v>25</v>
      </c>
      <c r="AY362" s="129">
        <f t="shared" si="2093"/>
        <v>11</v>
      </c>
      <c r="AZ362" s="129">
        <f t="shared" si="2094"/>
        <v>20</v>
      </c>
      <c r="BA362" s="129">
        <f t="shared" ref="BA362:BA376" si="2145">IF(Y362&lt;&gt;"",Y362-X362,0)</f>
        <v>36</v>
      </c>
      <c r="BB362" s="129">
        <f t="shared" si="2095"/>
        <v>18</v>
      </c>
      <c r="BC362" s="129">
        <f t="shared" si="2096"/>
        <v>13</v>
      </c>
      <c r="BD362" s="129">
        <f t="shared" si="2097"/>
        <v>21</v>
      </c>
      <c r="BE362" s="129">
        <f t="shared" si="2098"/>
        <v>17</v>
      </c>
      <c r="BF362" s="129">
        <f t="shared" si="2099"/>
        <v>35</v>
      </c>
      <c r="BG362" s="129">
        <f t="shared" si="2100"/>
        <v>24</v>
      </c>
      <c r="BH362" s="129">
        <f t="shared" si="2101"/>
        <v>19</v>
      </c>
      <c r="BI362" s="129">
        <f t="shared" si="2102"/>
        <v>16</v>
      </c>
      <c r="BJ362" s="19">
        <f t="shared" ref="BJ362:BJ373" si="2146">AH362</f>
        <v>19</v>
      </c>
      <c r="BK362" s="129">
        <f t="shared" si="2103"/>
        <v>32</v>
      </c>
      <c r="BL362" s="129">
        <f t="shared" si="2104"/>
        <v>0</v>
      </c>
      <c r="BM362" s="408"/>
      <c r="BN362" s="48">
        <f t="shared" si="2116"/>
        <v>46</v>
      </c>
      <c r="BO362" s="48">
        <f t="shared" si="2117"/>
        <v>46</v>
      </c>
      <c r="BP362" s="48">
        <f t="shared" si="2118"/>
        <v>46</v>
      </c>
      <c r="BQ362" s="48">
        <f t="shared" si="2119"/>
        <v>43</v>
      </c>
      <c r="BR362" s="48">
        <f t="shared" si="2120"/>
        <v>43</v>
      </c>
      <c r="BS362" s="48">
        <f t="shared" si="2121"/>
        <v>43</v>
      </c>
      <c r="BT362" s="48">
        <f t="shared" si="2122"/>
        <v>48</v>
      </c>
      <c r="BU362" s="48">
        <f t="shared" si="2123"/>
        <v>48</v>
      </c>
      <c r="BV362" s="48">
        <f t="shared" si="2124"/>
        <v>48</v>
      </c>
      <c r="BW362" s="48">
        <f t="shared" si="2125"/>
        <v>50</v>
      </c>
      <c r="BX362" s="48">
        <f t="shared" si="2126"/>
        <v>50</v>
      </c>
      <c r="BY362" s="48">
        <f t="shared" si="2127"/>
        <v>50</v>
      </c>
      <c r="BZ362" s="48">
        <f t="shared" si="2128"/>
        <v>56</v>
      </c>
      <c r="CA362" s="48">
        <f t="shared" si="2129"/>
        <v>56</v>
      </c>
      <c r="CB362" s="48">
        <f t="shared" si="2130"/>
        <v>56</v>
      </c>
      <c r="CC362" s="48">
        <f t="shared" si="2131"/>
        <v>67</v>
      </c>
      <c r="CD362" s="48">
        <f t="shared" si="2132"/>
        <v>67</v>
      </c>
      <c r="CE362" s="48">
        <f t="shared" si="2133"/>
        <v>67</v>
      </c>
      <c r="CF362" s="48">
        <f t="shared" si="2134"/>
        <v>73</v>
      </c>
      <c r="CG362" s="48">
        <f t="shared" si="2135"/>
        <v>73</v>
      </c>
      <c r="CH362" s="48">
        <f t="shared" si="2136"/>
        <v>73</v>
      </c>
      <c r="CI362" s="48">
        <f t="shared" si="2137"/>
        <v>59</v>
      </c>
      <c r="CJ362" s="48">
        <f t="shared" si="2138"/>
        <v>59</v>
      </c>
      <c r="CK362" s="48">
        <f t="shared" si="2139"/>
        <v>59</v>
      </c>
      <c r="CL362" s="48">
        <f t="shared" si="2140"/>
        <v>51</v>
      </c>
      <c r="CM362" s="48">
        <f t="shared" si="2141"/>
        <v>51</v>
      </c>
      <c r="CN362" s="48">
        <f t="shared" si="2142"/>
        <v>51</v>
      </c>
      <c r="CO362" s="406"/>
      <c r="CP362" s="21">
        <f>+AL362</f>
        <v>19</v>
      </c>
      <c r="CQ362" s="21">
        <f t="shared" ref="CQ362:DA362" si="2147">+CP362+AM362</f>
        <v>34</v>
      </c>
      <c r="CR362" s="21">
        <f t="shared" si="2147"/>
        <v>46</v>
      </c>
      <c r="CS362" s="21">
        <f t="shared" si="2147"/>
        <v>65</v>
      </c>
      <c r="CT362" s="21">
        <f t="shared" si="2147"/>
        <v>79</v>
      </c>
      <c r="CU362" s="21">
        <f t="shared" si="2147"/>
        <v>89</v>
      </c>
      <c r="CV362" s="21">
        <f t="shared" si="2147"/>
        <v>101</v>
      </c>
      <c r="CW362" s="21">
        <f t="shared" si="2147"/>
        <v>115</v>
      </c>
      <c r="CX362" s="21">
        <f t="shared" si="2147"/>
        <v>137</v>
      </c>
      <c r="CY362" s="21">
        <f t="shared" si="2147"/>
        <v>157</v>
      </c>
      <c r="CZ362" s="21">
        <f t="shared" si="2147"/>
        <v>171</v>
      </c>
      <c r="DA362" s="21">
        <f t="shared" si="2147"/>
        <v>187</v>
      </c>
      <c r="DB362" s="21">
        <f>AX362</f>
        <v>25</v>
      </c>
      <c r="DC362" s="21">
        <f t="shared" ref="DC362:DM362" si="2148">+DB362+AY362</f>
        <v>36</v>
      </c>
      <c r="DD362" s="21">
        <f t="shared" si="2148"/>
        <v>56</v>
      </c>
      <c r="DE362" s="21">
        <f t="shared" si="2148"/>
        <v>92</v>
      </c>
      <c r="DF362" s="21">
        <f t="shared" si="2148"/>
        <v>110</v>
      </c>
      <c r="DG362" s="21">
        <f t="shared" si="2148"/>
        <v>123</v>
      </c>
      <c r="DH362" s="21">
        <f t="shared" si="2148"/>
        <v>144</v>
      </c>
      <c r="DI362" s="21">
        <f t="shared" si="2148"/>
        <v>161</v>
      </c>
      <c r="DJ362" s="21">
        <f t="shared" si="2148"/>
        <v>196</v>
      </c>
      <c r="DK362" s="21">
        <f t="shared" si="2148"/>
        <v>220</v>
      </c>
      <c r="DL362" s="21">
        <f t="shared" si="2148"/>
        <v>239</v>
      </c>
      <c r="DM362" s="21">
        <f t="shared" si="2148"/>
        <v>255</v>
      </c>
      <c r="DN362" s="21">
        <f>+BJ362</f>
        <v>19</v>
      </c>
      <c r="DO362" s="21">
        <f>+DN362+BK362</f>
        <v>51</v>
      </c>
      <c r="DP362" s="21">
        <f>+DO362+BL362</f>
        <v>51</v>
      </c>
      <c r="DQ362" s="248"/>
      <c r="DR362" s="248"/>
      <c r="DS362" s="248"/>
      <c r="DT362" s="248"/>
      <c r="DU362" s="248"/>
      <c r="DV362" s="248"/>
      <c r="DW362" s="248"/>
      <c r="DX362" s="248"/>
      <c r="DY362" s="248"/>
      <c r="ED362" s="429"/>
      <c r="EE362" s="23"/>
      <c r="EF362" s="23"/>
      <c r="EG362" s="23"/>
      <c r="EH362" s="18">
        <f t="shared" si="2108"/>
        <v>32</v>
      </c>
      <c r="EI362" s="18">
        <f t="shared" si="2109"/>
        <v>51</v>
      </c>
      <c r="EJ362" s="18">
        <f t="shared" si="2110"/>
        <v>51</v>
      </c>
      <c r="EK362" s="24">
        <f>$EK$2/12</f>
        <v>0.16666666666666666</v>
      </c>
      <c r="EL362" s="14">
        <f t="shared" si="2111"/>
        <v>0.94581280788177335</v>
      </c>
      <c r="EM362" s="14">
        <f t="shared" si="2111"/>
        <v>1.0049261083743843</v>
      </c>
      <c r="EN362" s="14">
        <f>EJ362/EK362/EG339</f>
        <v>1.5073891625615763</v>
      </c>
      <c r="EO362" s="46" t="str">
        <f t="shared" si="2112"/>
        <v>È</v>
      </c>
      <c r="EP362" s="46" t="str">
        <f t="shared" si="2112"/>
        <v>Ç</v>
      </c>
      <c r="EQ362" s="2">
        <f t="shared" si="2113"/>
        <v>1</v>
      </c>
      <c r="ER362" s="2">
        <f t="shared" si="2114"/>
        <v>1</v>
      </c>
      <c r="ES362" s="2">
        <f t="shared" si="2115"/>
        <v>1</v>
      </c>
    </row>
    <row r="363" spans="1:149" ht="12.75" customHeight="1">
      <c r="A363" s="6" t="s">
        <v>23</v>
      </c>
      <c r="B363" s="2" t="s">
        <v>4</v>
      </c>
      <c r="C363" s="3" t="s">
        <v>62</v>
      </c>
      <c r="E363" s="3" t="s">
        <v>16</v>
      </c>
      <c r="G363" s="3" t="s">
        <v>91</v>
      </c>
      <c r="I363" s="242"/>
      <c r="J363" s="238">
        <v>7</v>
      </c>
      <c r="K363" s="238">
        <v>12</v>
      </c>
      <c r="L363" s="238">
        <v>17</v>
      </c>
      <c r="M363" s="238">
        <v>25</v>
      </c>
      <c r="N363" s="238">
        <v>30</v>
      </c>
      <c r="O363" s="19">
        <v>36</v>
      </c>
      <c r="P363" s="19">
        <v>41</v>
      </c>
      <c r="Q363" s="19">
        <v>47</v>
      </c>
      <c r="R363" s="19">
        <v>56</v>
      </c>
      <c r="S363" s="19">
        <v>61</v>
      </c>
      <c r="T363" s="19">
        <v>70</v>
      </c>
      <c r="U363" s="19">
        <v>74</v>
      </c>
      <c r="V363" s="31">
        <v>7</v>
      </c>
      <c r="W363" s="19">
        <v>9</v>
      </c>
      <c r="X363" s="19">
        <v>17</v>
      </c>
      <c r="Y363" s="351">
        <v>36</v>
      </c>
      <c r="Z363" s="19">
        <v>42</v>
      </c>
      <c r="AA363" s="19">
        <v>51</v>
      </c>
      <c r="AB363" s="19">
        <v>58</v>
      </c>
      <c r="AC363" s="19">
        <v>65</v>
      </c>
      <c r="AD363" s="19">
        <v>82</v>
      </c>
      <c r="AE363" s="19">
        <v>99</v>
      </c>
      <c r="AF363" s="19">
        <v>105</v>
      </c>
      <c r="AG363" s="19">
        <v>111</v>
      </c>
      <c r="AH363" s="31">
        <v>8</v>
      </c>
      <c r="AI363" s="19">
        <v>18</v>
      </c>
      <c r="AJ363" s="19"/>
      <c r="AK363" s="408"/>
      <c r="AL363" s="19">
        <f t="shared" si="2143"/>
        <v>7</v>
      </c>
      <c r="AM363" s="19">
        <f>K363-J363</f>
        <v>5</v>
      </c>
      <c r="AN363" s="19">
        <f t="shared" si="2084"/>
        <v>5</v>
      </c>
      <c r="AO363" s="19">
        <f>M363-L363</f>
        <v>8</v>
      </c>
      <c r="AP363" s="129">
        <f t="shared" si="2085"/>
        <v>5</v>
      </c>
      <c r="AQ363" s="129">
        <f t="shared" si="2086"/>
        <v>6</v>
      </c>
      <c r="AR363" s="129">
        <f t="shared" si="2087"/>
        <v>5</v>
      </c>
      <c r="AS363" s="129">
        <f t="shared" si="2088"/>
        <v>6</v>
      </c>
      <c r="AT363" s="129">
        <f t="shared" si="2089"/>
        <v>9</v>
      </c>
      <c r="AU363" s="129">
        <f t="shared" si="2090"/>
        <v>5</v>
      </c>
      <c r="AV363" s="129">
        <f t="shared" si="2091"/>
        <v>9</v>
      </c>
      <c r="AW363" s="129">
        <f t="shared" si="2092"/>
        <v>4</v>
      </c>
      <c r="AX363" s="19">
        <f t="shared" si="2144"/>
        <v>7</v>
      </c>
      <c r="AY363" s="129">
        <f t="shared" si="2093"/>
        <v>2</v>
      </c>
      <c r="AZ363" s="129">
        <f t="shared" si="2094"/>
        <v>8</v>
      </c>
      <c r="BA363" s="129">
        <f t="shared" si="2145"/>
        <v>19</v>
      </c>
      <c r="BB363" s="129">
        <f t="shared" si="2095"/>
        <v>6</v>
      </c>
      <c r="BC363" s="129">
        <f t="shared" si="2096"/>
        <v>9</v>
      </c>
      <c r="BD363" s="129">
        <f t="shared" si="2097"/>
        <v>7</v>
      </c>
      <c r="BE363" s="129">
        <f t="shared" si="2098"/>
        <v>7</v>
      </c>
      <c r="BF363" s="129">
        <f t="shared" si="2099"/>
        <v>17</v>
      </c>
      <c r="BG363" s="129">
        <f t="shared" si="2100"/>
        <v>17</v>
      </c>
      <c r="BH363" s="129">
        <f t="shared" si="2101"/>
        <v>6</v>
      </c>
      <c r="BI363" s="129">
        <f t="shared" si="2102"/>
        <v>6</v>
      </c>
      <c r="BJ363" s="19">
        <f t="shared" si="2146"/>
        <v>8</v>
      </c>
      <c r="BK363" s="129">
        <f t="shared" si="2103"/>
        <v>10</v>
      </c>
      <c r="BL363" s="129">
        <f t="shared" si="2104"/>
        <v>0</v>
      </c>
      <c r="BM363" s="408"/>
      <c r="BN363" s="48">
        <f t="shared" si="2116"/>
        <v>17</v>
      </c>
      <c r="BO363" s="48">
        <f t="shared" si="2117"/>
        <v>17</v>
      </c>
      <c r="BP363" s="48">
        <f t="shared" si="2118"/>
        <v>17</v>
      </c>
      <c r="BQ363" s="48">
        <f t="shared" si="2119"/>
        <v>19</v>
      </c>
      <c r="BR363" s="48">
        <f t="shared" si="2120"/>
        <v>19</v>
      </c>
      <c r="BS363" s="48">
        <f t="shared" si="2121"/>
        <v>19</v>
      </c>
      <c r="BT363" s="48">
        <f t="shared" si="2122"/>
        <v>20</v>
      </c>
      <c r="BU363" s="48">
        <f t="shared" si="2123"/>
        <v>20</v>
      </c>
      <c r="BV363" s="48">
        <f t="shared" si="2124"/>
        <v>20</v>
      </c>
      <c r="BW363" s="48">
        <f t="shared" si="2125"/>
        <v>18</v>
      </c>
      <c r="BX363" s="48">
        <f t="shared" si="2126"/>
        <v>18</v>
      </c>
      <c r="BY363" s="48">
        <f t="shared" si="2127"/>
        <v>18</v>
      </c>
      <c r="BZ363" s="48">
        <f t="shared" si="2128"/>
        <v>17</v>
      </c>
      <c r="CA363" s="48">
        <f t="shared" si="2129"/>
        <v>17</v>
      </c>
      <c r="CB363" s="48">
        <f t="shared" si="2130"/>
        <v>17</v>
      </c>
      <c r="CC363" s="48">
        <f t="shared" si="2131"/>
        <v>34</v>
      </c>
      <c r="CD363" s="48">
        <f t="shared" si="2132"/>
        <v>34</v>
      </c>
      <c r="CE363" s="48">
        <f t="shared" si="2133"/>
        <v>34</v>
      </c>
      <c r="CF363" s="48">
        <f t="shared" si="2134"/>
        <v>31</v>
      </c>
      <c r="CG363" s="48">
        <f t="shared" si="2135"/>
        <v>31</v>
      </c>
      <c r="CH363" s="48">
        <f t="shared" si="2136"/>
        <v>31</v>
      </c>
      <c r="CI363" s="48">
        <f t="shared" si="2137"/>
        <v>29</v>
      </c>
      <c r="CJ363" s="48">
        <f t="shared" si="2138"/>
        <v>29</v>
      </c>
      <c r="CK363" s="48">
        <f t="shared" si="2139"/>
        <v>29</v>
      </c>
      <c r="CL363" s="48">
        <f t="shared" si="2140"/>
        <v>18</v>
      </c>
      <c r="CM363" s="48">
        <f t="shared" si="2141"/>
        <v>18</v>
      </c>
      <c r="CN363" s="48">
        <f t="shared" si="2142"/>
        <v>18</v>
      </c>
      <c r="CO363" s="406"/>
      <c r="CP363" s="21">
        <f>+AL363</f>
        <v>7</v>
      </c>
      <c r="CQ363" s="21">
        <f t="shared" ref="CQ363:CR365" si="2149">+CP363+AM363</f>
        <v>12</v>
      </c>
      <c r="CR363" s="21">
        <f t="shared" si="2149"/>
        <v>17</v>
      </c>
      <c r="CS363" s="21">
        <f t="shared" ref="CS363:DA365" si="2150">L363+AO363</f>
        <v>25</v>
      </c>
      <c r="CT363" s="21">
        <f t="shared" si="2150"/>
        <v>30</v>
      </c>
      <c r="CU363" s="21">
        <f t="shared" si="2150"/>
        <v>36</v>
      </c>
      <c r="CV363" s="21">
        <f t="shared" si="2150"/>
        <v>41</v>
      </c>
      <c r="CW363" s="21">
        <f t="shared" si="2150"/>
        <v>47</v>
      </c>
      <c r="CX363" s="21">
        <f t="shared" si="2150"/>
        <v>56</v>
      </c>
      <c r="CY363" s="21">
        <f t="shared" si="2150"/>
        <v>61</v>
      </c>
      <c r="CZ363" s="21">
        <f t="shared" si="2150"/>
        <v>70</v>
      </c>
      <c r="DA363" s="21">
        <f t="shared" si="2150"/>
        <v>74</v>
      </c>
      <c r="DB363" s="21">
        <f>AX363</f>
        <v>7</v>
      </c>
      <c r="DC363" s="21">
        <f t="shared" ref="DC363:DM365" si="2151">V363+AY363</f>
        <v>9</v>
      </c>
      <c r="DD363" s="21">
        <f t="shared" si="2151"/>
        <v>17</v>
      </c>
      <c r="DE363" s="21">
        <f t="shared" si="2151"/>
        <v>36</v>
      </c>
      <c r="DF363" s="21">
        <f t="shared" si="2151"/>
        <v>42</v>
      </c>
      <c r="DG363" s="21">
        <f t="shared" si="2151"/>
        <v>51</v>
      </c>
      <c r="DH363" s="21">
        <f t="shared" si="2151"/>
        <v>58</v>
      </c>
      <c r="DI363" s="21">
        <f t="shared" si="2151"/>
        <v>65</v>
      </c>
      <c r="DJ363" s="21">
        <f t="shared" si="2151"/>
        <v>82</v>
      </c>
      <c r="DK363" s="21">
        <f t="shared" si="2151"/>
        <v>99</v>
      </c>
      <c r="DL363" s="21">
        <f t="shared" si="2151"/>
        <v>105</v>
      </c>
      <c r="DM363" s="21">
        <f t="shared" si="2151"/>
        <v>111</v>
      </c>
      <c r="DN363" s="21">
        <f>BJ363</f>
        <v>8</v>
      </c>
      <c r="DO363" s="21">
        <f t="shared" ref="DO363:DP365" si="2152">AH363+BK363</f>
        <v>18</v>
      </c>
      <c r="DP363" s="21">
        <f t="shared" si="2152"/>
        <v>18</v>
      </c>
      <c r="DQ363" s="248"/>
      <c r="DR363" s="248"/>
      <c r="DS363" s="248"/>
      <c r="DT363" s="248"/>
      <c r="DU363" s="248"/>
      <c r="DV363" s="248"/>
      <c r="DW363" s="248"/>
      <c r="DX363" s="248"/>
      <c r="DY363" s="248"/>
      <c r="ED363" s="429"/>
      <c r="EE363" s="23"/>
      <c r="EF363" s="23"/>
      <c r="EG363" s="23"/>
      <c r="EH363" s="18">
        <f t="shared" si="2108"/>
        <v>10</v>
      </c>
      <c r="EI363" s="18">
        <f t="shared" si="2109"/>
        <v>18</v>
      </c>
      <c r="EJ363" s="18">
        <f t="shared" si="2110"/>
        <v>18</v>
      </c>
      <c r="EK363" s="24">
        <f t="shared" ref="EK363:EK379" si="2153">$EK$2/12</f>
        <v>0.16666666666666666</v>
      </c>
      <c r="EL363" s="14">
        <f t="shared" si="2111"/>
        <v>0.65934065934065933</v>
      </c>
      <c r="EM363" s="14">
        <f t="shared" si="2111"/>
        <v>0.79120879120879117</v>
      </c>
      <c r="EN363" s="14">
        <f>EJ363/EK363/EG340</f>
        <v>1.1868131868131868</v>
      </c>
      <c r="EO363" s="46" t="str">
        <f t="shared" si="2112"/>
        <v>È</v>
      </c>
      <c r="EP363" s="46" t="str">
        <f t="shared" si="2112"/>
        <v>È</v>
      </c>
      <c r="EQ363" s="2">
        <f t="shared" si="2113"/>
        <v>3</v>
      </c>
      <c r="ER363" s="2">
        <f t="shared" si="2114"/>
        <v>2</v>
      </c>
      <c r="ES363" s="2">
        <f t="shared" si="2115"/>
        <v>1</v>
      </c>
    </row>
    <row r="364" spans="1:149" ht="12.75" customHeight="1">
      <c r="A364" s="6" t="s">
        <v>23</v>
      </c>
      <c r="B364" s="2" t="s">
        <v>162</v>
      </c>
      <c r="C364" s="3" t="s">
        <v>62</v>
      </c>
      <c r="E364" s="3" t="s">
        <v>16</v>
      </c>
      <c r="G364" s="3" t="s">
        <v>91</v>
      </c>
      <c r="I364" s="242"/>
      <c r="J364" s="238">
        <v>32</v>
      </c>
      <c r="K364" s="238">
        <v>51</v>
      </c>
      <c r="L364" s="238">
        <v>67</v>
      </c>
      <c r="M364" s="238">
        <v>95</v>
      </c>
      <c r="N364" s="238">
        <v>113</v>
      </c>
      <c r="O364" s="19">
        <v>123</v>
      </c>
      <c r="P364" s="19">
        <v>138</v>
      </c>
      <c r="Q364" s="19">
        <v>152</v>
      </c>
      <c r="R364" s="19">
        <v>174</v>
      </c>
      <c r="S364" s="19">
        <v>197</v>
      </c>
      <c r="T364" s="19">
        <v>212</v>
      </c>
      <c r="U364" s="19">
        <v>230</v>
      </c>
      <c r="V364" s="31">
        <v>49</v>
      </c>
      <c r="W364" s="19">
        <v>65</v>
      </c>
      <c r="X364" s="19">
        <v>89</v>
      </c>
      <c r="Y364" s="351">
        <v>132</v>
      </c>
      <c r="Z364" s="19">
        <v>154</v>
      </c>
      <c r="AA364" s="19">
        <v>173</v>
      </c>
      <c r="AB364" s="19">
        <v>196</v>
      </c>
      <c r="AC364" s="19">
        <v>217</v>
      </c>
      <c r="AD364" s="19">
        <v>254</v>
      </c>
      <c r="AE364" s="19">
        <v>282</v>
      </c>
      <c r="AF364" s="19">
        <v>306</v>
      </c>
      <c r="AG364" s="19">
        <v>325</v>
      </c>
      <c r="AH364" s="31">
        <v>42</v>
      </c>
      <c r="AI364" s="19">
        <v>84</v>
      </c>
      <c r="AJ364" s="19"/>
      <c r="AK364" s="408"/>
      <c r="AL364" s="19">
        <f t="shared" si="2143"/>
        <v>32</v>
      </c>
      <c r="AM364" s="19">
        <f>K364-J364</f>
        <v>19</v>
      </c>
      <c r="AN364" s="19">
        <f t="shared" si="2084"/>
        <v>16</v>
      </c>
      <c r="AO364" s="19">
        <f>M364-L364</f>
        <v>28</v>
      </c>
      <c r="AP364" s="129">
        <f t="shared" si="2085"/>
        <v>18</v>
      </c>
      <c r="AQ364" s="129">
        <f t="shared" si="2086"/>
        <v>10</v>
      </c>
      <c r="AR364" s="129">
        <f t="shared" si="2087"/>
        <v>15</v>
      </c>
      <c r="AS364" s="129">
        <f t="shared" si="2088"/>
        <v>14</v>
      </c>
      <c r="AT364" s="129">
        <f t="shared" si="2089"/>
        <v>22</v>
      </c>
      <c r="AU364" s="129">
        <f t="shared" si="2090"/>
        <v>23</v>
      </c>
      <c r="AV364" s="129">
        <f t="shared" si="2091"/>
        <v>15</v>
      </c>
      <c r="AW364" s="129">
        <f t="shared" si="2092"/>
        <v>18</v>
      </c>
      <c r="AX364" s="19">
        <f t="shared" si="2144"/>
        <v>49</v>
      </c>
      <c r="AY364" s="129">
        <f t="shared" si="2093"/>
        <v>16</v>
      </c>
      <c r="AZ364" s="129">
        <f t="shared" si="2094"/>
        <v>24</v>
      </c>
      <c r="BA364" s="129">
        <f t="shared" si="2145"/>
        <v>43</v>
      </c>
      <c r="BB364" s="129">
        <f t="shared" si="2095"/>
        <v>22</v>
      </c>
      <c r="BC364" s="129">
        <f t="shared" si="2096"/>
        <v>19</v>
      </c>
      <c r="BD364" s="129">
        <f t="shared" si="2097"/>
        <v>23</v>
      </c>
      <c r="BE364" s="129">
        <f t="shared" si="2098"/>
        <v>21</v>
      </c>
      <c r="BF364" s="129">
        <f t="shared" si="2099"/>
        <v>37</v>
      </c>
      <c r="BG364" s="129">
        <f t="shared" si="2100"/>
        <v>28</v>
      </c>
      <c r="BH364" s="129">
        <f t="shared" si="2101"/>
        <v>24</v>
      </c>
      <c r="BI364" s="129">
        <f t="shared" si="2102"/>
        <v>19</v>
      </c>
      <c r="BJ364" s="19">
        <f t="shared" si="2146"/>
        <v>42</v>
      </c>
      <c r="BK364" s="129">
        <f t="shared" si="2103"/>
        <v>42</v>
      </c>
      <c r="BL364" s="129">
        <f t="shared" si="2104"/>
        <v>0</v>
      </c>
      <c r="BM364" s="408"/>
      <c r="BN364" s="48">
        <f t="shared" si="2116"/>
        <v>67</v>
      </c>
      <c r="BO364" s="48">
        <f t="shared" si="2117"/>
        <v>67</v>
      </c>
      <c r="BP364" s="48">
        <f>SUM(AL364:AN364)</f>
        <v>67</v>
      </c>
      <c r="BQ364" s="48">
        <f t="shared" si="2119"/>
        <v>56</v>
      </c>
      <c r="BR364" s="48">
        <f t="shared" si="2120"/>
        <v>56</v>
      </c>
      <c r="BS364" s="48">
        <f>SUM(AO364:AQ364)</f>
        <v>56</v>
      </c>
      <c r="BT364" s="48">
        <f t="shared" si="2122"/>
        <v>51</v>
      </c>
      <c r="BU364" s="48">
        <f t="shared" si="2123"/>
        <v>51</v>
      </c>
      <c r="BV364" s="48">
        <f>SUM(AR364:AT364)</f>
        <v>51</v>
      </c>
      <c r="BW364" s="48">
        <f t="shared" si="2125"/>
        <v>56</v>
      </c>
      <c r="BX364" s="48">
        <f t="shared" si="2126"/>
        <v>56</v>
      </c>
      <c r="BY364" s="48">
        <f>SUM(AU364:AW364)</f>
        <v>56</v>
      </c>
      <c r="BZ364" s="48">
        <f t="shared" si="2128"/>
        <v>89</v>
      </c>
      <c r="CA364" s="48">
        <f t="shared" si="2129"/>
        <v>89</v>
      </c>
      <c r="CB364" s="48">
        <f>SUM(AX364:AZ364)</f>
        <v>89</v>
      </c>
      <c r="CC364" s="48">
        <f t="shared" si="2131"/>
        <v>84</v>
      </c>
      <c r="CD364" s="48">
        <f t="shared" si="2132"/>
        <v>84</v>
      </c>
      <c r="CE364" s="48">
        <f>SUM(BA364:BC364)</f>
        <v>84</v>
      </c>
      <c r="CF364" s="48">
        <f t="shared" si="2134"/>
        <v>81</v>
      </c>
      <c r="CG364" s="48">
        <f t="shared" si="2135"/>
        <v>81</v>
      </c>
      <c r="CH364" s="48">
        <f>SUM(BD364:BF364)</f>
        <v>81</v>
      </c>
      <c r="CI364" s="48">
        <f t="shared" si="2137"/>
        <v>71</v>
      </c>
      <c r="CJ364" s="48">
        <f t="shared" si="2138"/>
        <v>71</v>
      </c>
      <c r="CK364" s="48">
        <f>SUM(BG364:BI364)</f>
        <v>71</v>
      </c>
      <c r="CL364" s="48">
        <f t="shared" si="2140"/>
        <v>84</v>
      </c>
      <c r="CM364" s="48">
        <f t="shared" si="2141"/>
        <v>84</v>
      </c>
      <c r="CN364" s="48">
        <f>SUM(BJ364:BL364)</f>
        <v>84</v>
      </c>
      <c r="CO364" s="406"/>
      <c r="CP364" s="21">
        <f>+AL364</f>
        <v>32</v>
      </c>
      <c r="CQ364" s="21">
        <f t="shared" si="2149"/>
        <v>51</v>
      </c>
      <c r="CR364" s="21">
        <f t="shared" si="2149"/>
        <v>67</v>
      </c>
      <c r="CS364" s="21">
        <f t="shared" si="2150"/>
        <v>95</v>
      </c>
      <c r="CT364" s="21">
        <f t="shared" si="2150"/>
        <v>113</v>
      </c>
      <c r="CU364" s="21">
        <f t="shared" si="2150"/>
        <v>123</v>
      </c>
      <c r="CV364" s="21">
        <f t="shared" si="2150"/>
        <v>138</v>
      </c>
      <c r="CW364" s="21">
        <f t="shared" si="2150"/>
        <v>152</v>
      </c>
      <c r="CX364" s="21">
        <f t="shared" si="2150"/>
        <v>174</v>
      </c>
      <c r="CY364" s="21">
        <f t="shared" si="2150"/>
        <v>197</v>
      </c>
      <c r="CZ364" s="21">
        <f t="shared" si="2150"/>
        <v>212</v>
      </c>
      <c r="DA364" s="21">
        <f t="shared" si="2150"/>
        <v>230</v>
      </c>
      <c r="DB364" s="21">
        <f>AX364</f>
        <v>49</v>
      </c>
      <c r="DC364" s="21">
        <f t="shared" si="2151"/>
        <v>65</v>
      </c>
      <c r="DD364" s="21">
        <f t="shared" si="2151"/>
        <v>89</v>
      </c>
      <c r="DE364" s="21">
        <f t="shared" si="2151"/>
        <v>132</v>
      </c>
      <c r="DF364" s="21">
        <f t="shared" si="2151"/>
        <v>154</v>
      </c>
      <c r="DG364" s="21">
        <f t="shared" si="2151"/>
        <v>173</v>
      </c>
      <c r="DH364" s="21">
        <f t="shared" si="2151"/>
        <v>196</v>
      </c>
      <c r="DI364" s="21">
        <f t="shared" si="2151"/>
        <v>217</v>
      </c>
      <c r="DJ364" s="21">
        <f t="shared" si="2151"/>
        <v>254</v>
      </c>
      <c r="DK364" s="21">
        <f t="shared" si="2151"/>
        <v>282</v>
      </c>
      <c r="DL364" s="21">
        <f t="shared" si="2151"/>
        <v>306</v>
      </c>
      <c r="DM364" s="21">
        <f t="shared" si="2151"/>
        <v>325</v>
      </c>
      <c r="DN364" s="21">
        <f>BJ364</f>
        <v>42</v>
      </c>
      <c r="DO364" s="21">
        <f t="shared" si="2152"/>
        <v>84</v>
      </c>
      <c r="DP364" s="21">
        <f t="shared" si="2152"/>
        <v>84</v>
      </c>
      <c r="DQ364" s="248"/>
      <c r="DR364" s="248"/>
      <c r="DS364" s="248"/>
      <c r="DT364" s="248"/>
      <c r="DU364" s="248"/>
      <c r="DV364" s="248"/>
      <c r="DW364" s="248"/>
      <c r="DX364" s="248"/>
      <c r="DY364" s="248"/>
      <c r="ED364" s="429"/>
      <c r="EE364" s="23"/>
      <c r="EF364" s="23"/>
      <c r="EG364" s="23"/>
      <c r="EH364" s="18">
        <f t="shared" si="2108"/>
        <v>42</v>
      </c>
      <c r="EI364" s="18">
        <f t="shared" si="2109"/>
        <v>84</v>
      </c>
      <c r="EJ364" s="18">
        <f t="shared" si="2110"/>
        <v>84</v>
      </c>
      <c r="EK364" s="24">
        <f t="shared" si="2153"/>
        <v>0.16666666666666666</v>
      </c>
      <c r="EL364" s="14"/>
      <c r="EM364" s="14"/>
      <c r="EN364" s="14"/>
      <c r="EO364" s="46" t="str">
        <f>IF(EH364&lt;0,,IF(EH364&lt;EE342,"È",IF(EH364=EE342,"Æ","Ç")))</f>
        <v>Ç</v>
      </c>
      <c r="EP364" s="46" t="str">
        <f>IF(EI364&lt;0,,IF(EI364&lt;EF342,"È",IF(EI364=EF342,"Æ","Ç")))</f>
        <v>Ç</v>
      </c>
      <c r="EQ364" s="2">
        <f t="shared" si="2113"/>
        <v>3</v>
      </c>
      <c r="ER364" s="2">
        <f t="shared" si="2114"/>
        <v>3</v>
      </c>
      <c r="ES364" s="2">
        <f t="shared" si="2115"/>
        <v>3</v>
      </c>
    </row>
    <row r="365" spans="1:149" ht="12.75" customHeight="1">
      <c r="A365" s="6" t="s">
        <v>23</v>
      </c>
      <c r="B365" s="2" t="s">
        <v>163</v>
      </c>
      <c r="C365" s="3" t="s">
        <v>62</v>
      </c>
      <c r="E365" s="3" t="s">
        <v>16</v>
      </c>
      <c r="G365" s="3" t="s">
        <v>91</v>
      </c>
      <c r="I365" s="242"/>
      <c r="J365" s="238">
        <v>12</v>
      </c>
      <c r="K365" s="238">
        <v>15</v>
      </c>
      <c r="L365" s="238">
        <v>19</v>
      </c>
      <c r="M365" s="238">
        <v>23</v>
      </c>
      <c r="N365" s="238">
        <v>28</v>
      </c>
      <c r="O365" s="19">
        <v>30</v>
      </c>
      <c r="P365" s="19">
        <v>35</v>
      </c>
      <c r="Q365" s="19">
        <v>38</v>
      </c>
      <c r="R365" s="19">
        <v>41</v>
      </c>
      <c r="S365" s="19">
        <v>45</v>
      </c>
      <c r="T365" s="19">
        <v>47</v>
      </c>
      <c r="U365" s="19">
        <v>53</v>
      </c>
      <c r="V365" s="31">
        <v>13</v>
      </c>
      <c r="W365" s="19">
        <v>19</v>
      </c>
      <c r="X365" s="19">
        <v>24</v>
      </c>
      <c r="Y365" s="351">
        <v>28</v>
      </c>
      <c r="Z365" s="19">
        <v>32</v>
      </c>
      <c r="AA365" s="19">
        <v>40</v>
      </c>
      <c r="AB365" s="19">
        <v>46</v>
      </c>
      <c r="AC365" s="19">
        <v>56</v>
      </c>
      <c r="AD365" s="19">
        <v>59</v>
      </c>
      <c r="AE365" s="19">
        <v>66</v>
      </c>
      <c r="AF365" s="19">
        <v>72</v>
      </c>
      <c r="AG365" s="19">
        <v>76</v>
      </c>
      <c r="AH365" s="31">
        <v>13</v>
      </c>
      <c r="AI365" s="19">
        <v>18</v>
      </c>
      <c r="AJ365" s="19"/>
      <c r="AK365" s="408"/>
      <c r="AL365" s="19">
        <f t="shared" si="2143"/>
        <v>12</v>
      </c>
      <c r="AM365" s="19">
        <f>K365-J365</f>
        <v>3</v>
      </c>
      <c r="AN365" s="19">
        <f t="shared" si="2084"/>
        <v>4</v>
      </c>
      <c r="AO365" s="19">
        <f>M365-L365</f>
        <v>4</v>
      </c>
      <c r="AP365" s="129">
        <f t="shared" si="2085"/>
        <v>5</v>
      </c>
      <c r="AQ365" s="129">
        <f t="shared" si="2086"/>
        <v>2</v>
      </c>
      <c r="AR365" s="129">
        <f t="shared" si="2087"/>
        <v>5</v>
      </c>
      <c r="AS365" s="129">
        <f t="shared" si="2088"/>
        <v>3</v>
      </c>
      <c r="AT365" s="129">
        <f t="shared" si="2089"/>
        <v>3</v>
      </c>
      <c r="AU365" s="129">
        <f t="shared" si="2090"/>
        <v>4</v>
      </c>
      <c r="AV365" s="129">
        <f t="shared" si="2091"/>
        <v>2</v>
      </c>
      <c r="AW365" s="129">
        <f t="shared" si="2092"/>
        <v>6</v>
      </c>
      <c r="AX365" s="19">
        <f t="shared" si="2144"/>
        <v>13</v>
      </c>
      <c r="AY365" s="129">
        <f t="shared" si="2093"/>
        <v>6</v>
      </c>
      <c r="AZ365" s="129">
        <f t="shared" si="2094"/>
        <v>5</v>
      </c>
      <c r="BA365" s="129">
        <f t="shared" si="2145"/>
        <v>4</v>
      </c>
      <c r="BB365" s="129">
        <f t="shared" si="2095"/>
        <v>4</v>
      </c>
      <c r="BC365" s="129">
        <f t="shared" si="2096"/>
        <v>8</v>
      </c>
      <c r="BD365" s="129">
        <f t="shared" si="2097"/>
        <v>6</v>
      </c>
      <c r="BE365" s="129">
        <f t="shared" si="2098"/>
        <v>10</v>
      </c>
      <c r="BF365" s="129">
        <f t="shared" si="2099"/>
        <v>3</v>
      </c>
      <c r="BG365" s="129">
        <f t="shared" si="2100"/>
        <v>7</v>
      </c>
      <c r="BH365" s="129">
        <f t="shared" si="2101"/>
        <v>6</v>
      </c>
      <c r="BI365" s="129">
        <f t="shared" si="2102"/>
        <v>4</v>
      </c>
      <c r="BJ365" s="19">
        <f t="shared" si="2146"/>
        <v>13</v>
      </c>
      <c r="BK365" s="129">
        <f t="shared" si="2103"/>
        <v>5</v>
      </c>
      <c r="BL365" s="129">
        <f t="shared" si="2104"/>
        <v>0</v>
      </c>
      <c r="BM365" s="408"/>
      <c r="BN365" s="48">
        <f t="shared" si="2116"/>
        <v>19</v>
      </c>
      <c r="BO365" s="48">
        <f t="shared" si="2117"/>
        <v>19</v>
      </c>
      <c r="BP365" s="48">
        <f>SUM(AL365:AN365)</f>
        <v>19</v>
      </c>
      <c r="BQ365" s="48">
        <f t="shared" si="2119"/>
        <v>11</v>
      </c>
      <c r="BR365" s="48">
        <f t="shared" si="2120"/>
        <v>11</v>
      </c>
      <c r="BS365" s="48">
        <f>SUM(AO365:AQ365)</f>
        <v>11</v>
      </c>
      <c r="BT365" s="48">
        <f t="shared" si="2122"/>
        <v>11</v>
      </c>
      <c r="BU365" s="48">
        <f t="shared" si="2123"/>
        <v>11</v>
      </c>
      <c r="BV365" s="48">
        <f>SUM(AR365:AT365)</f>
        <v>11</v>
      </c>
      <c r="BW365" s="48">
        <f t="shared" si="2125"/>
        <v>12</v>
      </c>
      <c r="BX365" s="48">
        <f t="shared" si="2126"/>
        <v>12</v>
      </c>
      <c r="BY365" s="48">
        <f>SUM(AU365:AW365)</f>
        <v>12</v>
      </c>
      <c r="BZ365" s="48">
        <f t="shared" si="2128"/>
        <v>24</v>
      </c>
      <c r="CA365" s="48">
        <f t="shared" si="2129"/>
        <v>24</v>
      </c>
      <c r="CB365" s="48">
        <f>SUM(AX365:AZ365)</f>
        <v>24</v>
      </c>
      <c r="CC365" s="48">
        <f t="shared" si="2131"/>
        <v>16</v>
      </c>
      <c r="CD365" s="48">
        <f t="shared" si="2132"/>
        <v>16</v>
      </c>
      <c r="CE365" s="48">
        <f>SUM(BA365:BC365)</f>
        <v>16</v>
      </c>
      <c r="CF365" s="48">
        <f t="shared" si="2134"/>
        <v>19</v>
      </c>
      <c r="CG365" s="48">
        <f t="shared" si="2135"/>
        <v>19</v>
      </c>
      <c r="CH365" s="48">
        <f>SUM(BD365:BF365)</f>
        <v>19</v>
      </c>
      <c r="CI365" s="48">
        <f t="shared" si="2137"/>
        <v>17</v>
      </c>
      <c r="CJ365" s="48">
        <f t="shared" si="2138"/>
        <v>17</v>
      </c>
      <c r="CK365" s="48">
        <f>SUM(BG365:BI365)</f>
        <v>17</v>
      </c>
      <c r="CL365" s="48">
        <f t="shared" si="2140"/>
        <v>18</v>
      </c>
      <c r="CM365" s="48">
        <f t="shared" si="2141"/>
        <v>18</v>
      </c>
      <c r="CN365" s="48">
        <f>SUM(BJ365:BL365)</f>
        <v>18</v>
      </c>
      <c r="CO365" s="406"/>
      <c r="CP365" s="21">
        <f>+AL365</f>
        <v>12</v>
      </c>
      <c r="CQ365" s="21">
        <f t="shared" si="2149"/>
        <v>15</v>
      </c>
      <c r="CR365" s="21">
        <f t="shared" si="2149"/>
        <v>19</v>
      </c>
      <c r="CS365" s="21">
        <f t="shared" si="2150"/>
        <v>23</v>
      </c>
      <c r="CT365" s="21">
        <f t="shared" si="2150"/>
        <v>28</v>
      </c>
      <c r="CU365" s="21">
        <f t="shared" si="2150"/>
        <v>30</v>
      </c>
      <c r="CV365" s="21">
        <f t="shared" si="2150"/>
        <v>35</v>
      </c>
      <c r="CW365" s="21">
        <f t="shared" si="2150"/>
        <v>38</v>
      </c>
      <c r="CX365" s="21">
        <f t="shared" si="2150"/>
        <v>41</v>
      </c>
      <c r="CY365" s="21">
        <f t="shared" si="2150"/>
        <v>45</v>
      </c>
      <c r="CZ365" s="21">
        <f t="shared" si="2150"/>
        <v>47</v>
      </c>
      <c r="DA365" s="21">
        <f t="shared" si="2150"/>
        <v>53</v>
      </c>
      <c r="DB365" s="21">
        <f>AX365</f>
        <v>13</v>
      </c>
      <c r="DC365" s="21">
        <f t="shared" si="2151"/>
        <v>19</v>
      </c>
      <c r="DD365" s="21">
        <f t="shared" si="2151"/>
        <v>24</v>
      </c>
      <c r="DE365" s="21">
        <f t="shared" si="2151"/>
        <v>28</v>
      </c>
      <c r="DF365" s="21">
        <f t="shared" si="2151"/>
        <v>32</v>
      </c>
      <c r="DG365" s="21">
        <f t="shared" si="2151"/>
        <v>40</v>
      </c>
      <c r="DH365" s="21">
        <f t="shared" si="2151"/>
        <v>46</v>
      </c>
      <c r="DI365" s="21">
        <f t="shared" si="2151"/>
        <v>56</v>
      </c>
      <c r="DJ365" s="21">
        <f t="shared" si="2151"/>
        <v>59</v>
      </c>
      <c r="DK365" s="21">
        <f t="shared" si="2151"/>
        <v>66</v>
      </c>
      <c r="DL365" s="21">
        <f t="shared" si="2151"/>
        <v>72</v>
      </c>
      <c r="DM365" s="21">
        <f t="shared" si="2151"/>
        <v>76</v>
      </c>
      <c r="DN365" s="21">
        <f>BJ365</f>
        <v>13</v>
      </c>
      <c r="DO365" s="21">
        <f t="shared" si="2152"/>
        <v>18</v>
      </c>
      <c r="DP365" s="21">
        <f t="shared" si="2152"/>
        <v>18</v>
      </c>
      <c r="DQ365" s="248"/>
      <c r="DR365" s="248"/>
      <c r="DS365" s="248"/>
      <c r="DT365" s="248"/>
      <c r="DU365" s="248"/>
      <c r="DV365" s="248"/>
      <c r="DW365" s="248"/>
      <c r="DX365" s="248"/>
      <c r="DY365" s="248"/>
      <c r="ED365" s="429"/>
      <c r="EE365" s="23"/>
      <c r="EF365" s="23"/>
      <c r="EG365" s="23"/>
      <c r="EH365" s="18">
        <f t="shared" si="2108"/>
        <v>5</v>
      </c>
      <c r="EI365" s="18">
        <f t="shared" si="2109"/>
        <v>18</v>
      </c>
      <c r="EJ365" s="18">
        <f t="shared" si="2110"/>
        <v>18</v>
      </c>
      <c r="EK365" s="24">
        <f t="shared" si="2153"/>
        <v>0.16666666666666666</v>
      </c>
      <c r="EL365" s="14"/>
      <c r="EM365" s="14"/>
      <c r="EN365" s="14"/>
      <c r="EO365" s="46" t="str">
        <f>IF(EH365&lt;0,,IF(EH365&lt;EE341,"È",IF(EH365=EE341,"Æ","Ç")))</f>
        <v>Ç</v>
      </c>
      <c r="EP365" s="46" t="str">
        <f>IF(EI365&lt;0,,IF(EI365&lt;EF341,"È",IF(EI365=EF341,"Æ","Ç")))</f>
        <v>Ç</v>
      </c>
      <c r="EQ365" s="2">
        <f t="shared" si="2113"/>
        <v>3</v>
      </c>
      <c r="ER365" s="2">
        <f t="shared" si="2114"/>
        <v>3</v>
      </c>
      <c r="ES365" s="2">
        <f t="shared" si="2115"/>
        <v>3</v>
      </c>
    </row>
    <row r="366" spans="1:149" ht="12.75" customHeight="1">
      <c r="A366" s="6" t="s">
        <v>23</v>
      </c>
      <c r="B366" s="2" t="s">
        <v>6</v>
      </c>
      <c r="C366" s="3" t="s">
        <v>63</v>
      </c>
      <c r="E366" s="3" t="s">
        <v>16</v>
      </c>
      <c r="G366" s="3" t="s">
        <v>89</v>
      </c>
      <c r="I366" s="242"/>
      <c r="J366" s="238">
        <v>0</v>
      </c>
      <c r="K366" s="238">
        <v>3</v>
      </c>
      <c r="L366" s="238">
        <v>3</v>
      </c>
      <c r="M366" s="238">
        <v>1</v>
      </c>
      <c r="N366" s="238">
        <v>3</v>
      </c>
      <c r="O366" s="19">
        <v>5</v>
      </c>
      <c r="P366" s="19">
        <v>2</v>
      </c>
      <c r="Q366" s="19">
        <v>4</v>
      </c>
      <c r="R366" s="19">
        <v>4</v>
      </c>
      <c r="S366" s="19">
        <v>7</v>
      </c>
      <c r="T366" s="19">
        <v>3</v>
      </c>
      <c r="U366" s="19">
        <v>4</v>
      </c>
      <c r="V366" s="31">
        <v>3</v>
      </c>
      <c r="W366" s="19">
        <v>5</v>
      </c>
      <c r="X366" s="19">
        <v>5</v>
      </c>
      <c r="Y366" s="351">
        <v>5</v>
      </c>
      <c r="Z366" s="19">
        <v>2</v>
      </c>
      <c r="AA366" s="19">
        <v>5</v>
      </c>
      <c r="AB366" s="19">
        <v>6</v>
      </c>
      <c r="AC366" s="19">
        <v>5</v>
      </c>
      <c r="AD366" s="19">
        <v>8</v>
      </c>
      <c r="AE366" s="19">
        <v>11</v>
      </c>
      <c r="AF366" s="19">
        <v>4</v>
      </c>
      <c r="AG366" s="19">
        <v>8</v>
      </c>
      <c r="AH366" s="31">
        <v>2</v>
      </c>
      <c r="AI366" s="19">
        <v>3</v>
      </c>
      <c r="AJ366" s="19"/>
      <c r="AK366" s="408"/>
      <c r="AL366" s="19">
        <f t="shared" si="2143"/>
        <v>0</v>
      </c>
      <c r="AM366" s="246">
        <f t="shared" ref="AM366:AV366" si="2154">K366</f>
        <v>3</v>
      </c>
      <c r="AN366" s="246">
        <f t="shared" si="2154"/>
        <v>3</v>
      </c>
      <c r="AO366" s="246">
        <f t="shared" si="2154"/>
        <v>1</v>
      </c>
      <c r="AP366" s="246">
        <f t="shared" si="2154"/>
        <v>3</v>
      </c>
      <c r="AQ366" s="246">
        <f t="shared" si="2154"/>
        <v>5</v>
      </c>
      <c r="AR366" s="246">
        <f t="shared" si="2154"/>
        <v>2</v>
      </c>
      <c r="AS366" s="246">
        <f t="shared" si="2154"/>
        <v>4</v>
      </c>
      <c r="AT366" s="246">
        <f t="shared" si="2154"/>
        <v>4</v>
      </c>
      <c r="AU366" s="246">
        <f t="shared" si="2154"/>
        <v>7</v>
      </c>
      <c r="AV366" s="246">
        <f t="shared" si="2154"/>
        <v>3</v>
      </c>
      <c r="AW366" s="376">
        <f>U366</f>
        <v>4</v>
      </c>
      <c r="AX366" s="376">
        <f t="shared" si="2144"/>
        <v>3</v>
      </c>
      <c r="AY366" s="376">
        <f t="shared" ref="AY366:BI366" si="2155">W366</f>
        <v>5</v>
      </c>
      <c r="AZ366" s="376">
        <f t="shared" si="2155"/>
        <v>5</v>
      </c>
      <c r="BA366" s="376">
        <f t="shared" si="2155"/>
        <v>5</v>
      </c>
      <c r="BB366" s="376">
        <f t="shared" si="2155"/>
        <v>2</v>
      </c>
      <c r="BC366" s="376">
        <f t="shared" si="2155"/>
        <v>5</v>
      </c>
      <c r="BD366" s="376">
        <f t="shared" si="2155"/>
        <v>6</v>
      </c>
      <c r="BE366" s="376">
        <f t="shared" si="2155"/>
        <v>5</v>
      </c>
      <c r="BF366" s="376">
        <f t="shared" si="2155"/>
        <v>8</v>
      </c>
      <c r="BG366" s="376">
        <f t="shared" si="2155"/>
        <v>11</v>
      </c>
      <c r="BH366" s="376">
        <f t="shared" si="2155"/>
        <v>4</v>
      </c>
      <c r="BI366" s="376">
        <f t="shared" si="2155"/>
        <v>8</v>
      </c>
      <c r="BJ366" s="376">
        <f t="shared" si="2146"/>
        <v>2</v>
      </c>
      <c r="BK366" s="376">
        <f>AI366</f>
        <v>3</v>
      </c>
      <c r="BL366" s="376">
        <f>AJ366</f>
        <v>0</v>
      </c>
      <c r="BM366" s="408"/>
      <c r="BN366" s="48">
        <f t="shared" si="2116"/>
        <v>6</v>
      </c>
      <c r="BO366" s="48">
        <f t="shared" si="2117"/>
        <v>6</v>
      </c>
      <c r="BP366" s="48">
        <f>SUM(AL366:AN366)</f>
        <v>6</v>
      </c>
      <c r="BQ366" s="48">
        <f t="shared" si="2119"/>
        <v>9</v>
      </c>
      <c r="BR366" s="48">
        <f t="shared" si="2120"/>
        <v>9</v>
      </c>
      <c r="BS366" s="48">
        <f>SUM(AO366:AQ366)</f>
        <v>9</v>
      </c>
      <c r="BT366" s="48">
        <f t="shared" si="2122"/>
        <v>10</v>
      </c>
      <c r="BU366" s="48">
        <f t="shared" si="2123"/>
        <v>10</v>
      </c>
      <c r="BV366" s="48">
        <f>SUM(AR366:AT366)</f>
        <v>10</v>
      </c>
      <c r="BW366" s="48">
        <f t="shared" si="2125"/>
        <v>14</v>
      </c>
      <c r="BX366" s="48">
        <f t="shared" si="2126"/>
        <v>14</v>
      </c>
      <c r="BY366" s="48">
        <f>SUM(AU366:AW366)</f>
        <v>14</v>
      </c>
      <c r="BZ366" s="48">
        <f t="shared" si="2128"/>
        <v>13</v>
      </c>
      <c r="CA366" s="48">
        <f t="shared" si="2129"/>
        <v>13</v>
      </c>
      <c r="CB366" s="48">
        <f>SUM(AX366:AZ366)</f>
        <v>13</v>
      </c>
      <c r="CC366" s="48">
        <f t="shared" si="2131"/>
        <v>12</v>
      </c>
      <c r="CD366" s="48">
        <f t="shared" si="2132"/>
        <v>12</v>
      </c>
      <c r="CE366" s="48">
        <f>SUM(BA366:BC366)</f>
        <v>12</v>
      </c>
      <c r="CF366" s="48">
        <f t="shared" si="2134"/>
        <v>19</v>
      </c>
      <c r="CG366" s="48">
        <f t="shared" si="2135"/>
        <v>19</v>
      </c>
      <c r="CH366" s="48">
        <f>SUM(BD366:BF366)</f>
        <v>19</v>
      </c>
      <c r="CI366" s="48">
        <f t="shared" si="2137"/>
        <v>23</v>
      </c>
      <c r="CJ366" s="48">
        <f t="shared" si="2138"/>
        <v>23</v>
      </c>
      <c r="CK366" s="48">
        <f>SUM(BG366:BI366)</f>
        <v>23</v>
      </c>
      <c r="CL366" s="48">
        <f t="shared" si="2140"/>
        <v>5</v>
      </c>
      <c r="CM366" s="48">
        <f t="shared" si="2141"/>
        <v>5</v>
      </c>
      <c r="CN366" s="48">
        <f>SUM(BJ366:BL366)</f>
        <v>5</v>
      </c>
      <c r="CO366" s="406"/>
      <c r="CP366" s="21">
        <f>+J366</f>
        <v>0</v>
      </c>
      <c r="CQ366" s="21">
        <f t="shared" ref="CQ366:DA366" si="2156">+CP366+K366</f>
        <v>3</v>
      </c>
      <c r="CR366" s="21">
        <f t="shared" si="2156"/>
        <v>6</v>
      </c>
      <c r="CS366" s="21">
        <f t="shared" si="2156"/>
        <v>7</v>
      </c>
      <c r="CT366" s="21">
        <f t="shared" si="2156"/>
        <v>10</v>
      </c>
      <c r="CU366" s="21">
        <f t="shared" si="2156"/>
        <v>15</v>
      </c>
      <c r="CV366" s="21">
        <f t="shared" si="2156"/>
        <v>17</v>
      </c>
      <c r="CW366" s="21">
        <f t="shared" si="2156"/>
        <v>21</v>
      </c>
      <c r="CX366" s="21">
        <f t="shared" si="2156"/>
        <v>25</v>
      </c>
      <c r="CY366" s="21">
        <f t="shared" si="2156"/>
        <v>32</v>
      </c>
      <c r="CZ366" s="21">
        <f t="shared" si="2156"/>
        <v>35</v>
      </c>
      <c r="DA366" s="21">
        <f t="shared" si="2156"/>
        <v>39</v>
      </c>
      <c r="DB366" s="21">
        <f>+V366</f>
        <v>3</v>
      </c>
      <c r="DC366" s="21">
        <f t="shared" ref="DC366:DM366" si="2157">+DB366+W366</f>
        <v>8</v>
      </c>
      <c r="DD366" s="21">
        <f t="shared" si="2157"/>
        <v>13</v>
      </c>
      <c r="DE366" s="21">
        <f t="shared" si="2157"/>
        <v>18</v>
      </c>
      <c r="DF366" s="21">
        <f t="shared" si="2157"/>
        <v>20</v>
      </c>
      <c r="DG366" s="21">
        <f t="shared" si="2157"/>
        <v>25</v>
      </c>
      <c r="DH366" s="21">
        <f t="shared" si="2157"/>
        <v>31</v>
      </c>
      <c r="DI366" s="21">
        <f t="shared" si="2157"/>
        <v>36</v>
      </c>
      <c r="DJ366" s="21">
        <f t="shared" si="2157"/>
        <v>44</v>
      </c>
      <c r="DK366" s="21">
        <f t="shared" si="2157"/>
        <v>55</v>
      </c>
      <c r="DL366" s="21">
        <f t="shared" si="2157"/>
        <v>59</v>
      </c>
      <c r="DM366" s="21">
        <f t="shared" si="2157"/>
        <v>67</v>
      </c>
      <c r="DN366" s="21">
        <f>BJ366</f>
        <v>2</v>
      </c>
      <c r="DO366" s="21">
        <f>DN366+BK366</f>
        <v>5</v>
      </c>
      <c r="DP366" s="21">
        <f>DO366+BL366</f>
        <v>5</v>
      </c>
      <c r="DQ366" s="248"/>
      <c r="DR366" s="248"/>
      <c r="DS366" s="248"/>
      <c r="DT366" s="248"/>
      <c r="DU366" s="248"/>
      <c r="DV366" s="248"/>
      <c r="DW366" s="248"/>
      <c r="DX366" s="248"/>
      <c r="DY366" s="248"/>
      <c r="ED366" s="429"/>
      <c r="EE366" s="23"/>
      <c r="EF366" s="23"/>
      <c r="EG366" s="23"/>
      <c r="EH366" s="18">
        <f t="shared" si="2108"/>
        <v>3</v>
      </c>
      <c r="EI366" s="18">
        <f t="shared" si="2109"/>
        <v>5</v>
      </c>
      <c r="EJ366" s="18">
        <f t="shared" si="2110"/>
        <v>5</v>
      </c>
      <c r="EK366" s="24">
        <f t="shared" si="2153"/>
        <v>0.16666666666666666</v>
      </c>
      <c r="EL366" s="14" t="e">
        <f t="shared" ref="EL366:EN373" si="2158">EH366/EE341</f>
        <v>#DIV/0!</v>
      </c>
      <c r="EM366" s="14" t="e">
        <f t="shared" si="2158"/>
        <v>#DIV/0!</v>
      </c>
      <c r="EN366" s="14">
        <f>EJ366/EK366/EG341</f>
        <v>0.8403361344537813</v>
      </c>
      <c r="EO366" s="46" t="str">
        <f t="shared" ref="EO366:EO378" si="2159">IF(EH366&lt;0,,IF(EH366&lt;EE341,"È",IF(EH366=EE341,"Æ","Ç")))</f>
        <v>Ç</v>
      </c>
      <c r="EP366" s="46" t="str">
        <f t="shared" ref="EP366:EP378" si="2160">IF(EI366&lt;0,,IF(EI366&lt;EF341,"È",IF(EI366=EF341,"Æ","Ç")))</f>
        <v>Ç</v>
      </c>
      <c r="EQ366" s="2" t="e">
        <f t="shared" si="2113"/>
        <v>#DIV/0!</v>
      </c>
      <c r="ER366" s="2" t="e">
        <f t="shared" si="2114"/>
        <v>#DIV/0!</v>
      </c>
      <c r="ES366" s="2">
        <f t="shared" si="2115"/>
        <v>2</v>
      </c>
    </row>
    <row r="367" spans="1:149" s="266" customFormat="1" ht="12.75" customHeight="1">
      <c r="A367" s="299" t="s">
        <v>23</v>
      </c>
      <c r="B367" s="266" t="s">
        <v>7</v>
      </c>
      <c r="C367" s="300" t="s">
        <v>64</v>
      </c>
      <c r="D367" s="300"/>
      <c r="E367" s="300" t="s">
        <v>16</v>
      </c>
      <c r="F367" s="300"/>
      <c r="G367" s="300" t="s">
        <v>89</v>
      </c>
      <c r="H367" s="300"/>
      <c r="I367" s="301"/>
      <c r="J367" s="302">
        <v>0</v>
      </c>
      <c r="K367" s="302">
        <v>1</v>
      </c>
      <c r="L367" s="302">
        <v>0.8</v>
      </c>
      <c r="M367" s="302">
        <v>1</v>
      </c>
      <c r="N367" s="302">
        <v>1</v>
      </c>
      <c r="O367" s="302">
        <v>1</v>
      </c>
      <c r="P367" s="302">
        <v>1</v>
      </c>
      <c r="Q367" s="302">
        <v>1</v>
      </c>
      <c r="R367" s="302">
        <v>0.8</v>
      </c>
      <c r="S367" s="302">
        <v>1</v>
      </c>
      <c r="T367" s="302">
        <v>1</v>
      </c>
      <c r="U367" s="302">
        <v>1</v>
      </c>
      <c r="V367" s="303">
        <v>1</v>
      </c>
      <c r="W367" s="302">
        <v>1</v>
      </c>
      <c r="X367" s="302">
        <v>0.8</v>
      </c>
      <c r="Y367" s="355">
        <v>1</v>
      </c>
      <c r="Z367" s="302">
        <v>1</v>
      </c>
      <c r="AA367" s="302">
        <v>1</v>
      </c>
      <c r="AB367" s="302">
        <v>1</v>
      </c>
      <c r="AC367" s="302">
        <v>1</v>
      </c>
      <c r="AD367" s="302">
        <v>0.98</v>
      </c>
      <c r="AE367" s="302">
        <v>1</v>
      </c>
      <c r="AF367" s="302">
        <v>0.9</v>
      </c>
      <c r="AG367" s="302">
        <v>1</v>
      </c>
      <c r="AH367" s="303">
        <v>1</v>
      </c>
      <c r="AI367" s="302">
        <v>1</v>
      </c>
      <c r="AJ367" s="302"/>
      <c r="AK367" s="417"/>
      <c r="AL367" s="266">
        <f t="shared" si="2143"/>
        <v>0</v>
      </c>
      <c r="AM367" s="266">
        <f>K367</f>
        <v>1</v>
      </c>
      <c r="AN367" s="266">
        <f>L367</f>
        <v>0.8</v>
      </c>
      <c r="AO367" s="266">
        <f>M367</f>
        <v>1</v>
      </c>
      <c r="AP367" s="289">
        <f>IF(N367&lt;&gt;"",N367,0)</f>
        <v>1</v>
      </c>
      <c r="AQ367" s="289">
        <f t="shared" ref="AQ367:AW367" si="2161">IF(O367&lt;&gt;"",O367,0)</f>
        <v>1</v>
      </c>
      <c r="AR367" s="289">
        <f t="shared" si="2161"/>
        <v>1</v>
      </c>
      <c r="AS367" s="289">
        <f t="shared" si="2161"/>
        <v>1</v>
      </c>
      <c r="AT367" s="289">
        <f t="shared" si="2161"/>
        <v>0.8</v>
      </c>
      <c r="AU367" s="289">
        <f t="shared" si="2161"/>
        <v>1</v>
      </c>
      <c r="AV367" s="289">
        <f t="shared" si="2161"/>
        <v>1</v>
      </c>
      <c r="AW367" s="289">
        <f t="shared" si="2161"/>
        <v>1</v>
      </c>
      <c r="AX367" s="266">
        <f t="shared" si="2144"/>
        <v>1</v>
      </c>
      <c r="AY367" s="289">
        <f t="shared" ref="AY367:BI367" si="2162">IF(W367&lt;&gt;"",W367,0)</f>
        <v>1</v>
      </c>
      <c r="AZ367" s="289">
        <f t="shared" si="2162"/>
        <v>0.8</v>
      </c>
      <c r="BA367" s="289">
        <f t="shared" si="2162"/>
        <v>1</v>
      </c>
      <c r="BB367" s="289">
        <f t="shared" si="2162"/>
        <v>1</v>
      </c>
      <c r="BC367" s="289">
        <f t="shared" si="2162"/>
        <v>1</v>
      </c>
      <c r="BD367" s="289">
        <f t="shared" si="2162"/>
        <v>1</v>
      </c>
      <c r="BE367" s="289">
        <f t="shared" si="2162"/>
        <v>1</v>
      </c>
      <c r="BF367" s="289">
        <f t="shared" si="2162"/>
        <v>0.98</v>
      </c>
      <c r="BG367" s="289">
        <f t="shared" si="2162"/>
        <v>1</v>
      </c>
      <c r="BH367" s="289">
        <f t="shared" si="2162"/>
        <v>0.9</v>
      </c>
      <c r="BI367" s="289">
        <f t="shared" si="2162"/>
        <v>1</v>
      </c>
      <c r="BJ367" s="266">
        <f t="shared" si="2146"/>
        <v>1</v>
      </c>
      <c r="BK367" s="289">
        <f t="shared" si="2103"/>
        <v>0</v>
      </c>
      <c r="BL367" s="289">
        <f t="shared" si="2104"/>
        <v>0</v>
      </c>
      <c r="BM367" s="411"/>
      <c r="BN367" s="99">
        <f t="shared" si="2116"/>
        <v>0.9</v>
      </c>
      <c r="BO367" s="99">
        <f t="shared" si="2117"/>
        <v>0.9</v>
      </c>
      <c r="BP367" s="99">
        <f>(AL367*AL366+AM367*AM366+AN367*AN366)/BP366</f>
        <v>0.9</v>
      </c>
      <c r="BQ367" s="99">
        <f t="shared" si="2119"/>
        <v>1</v>
      </c>
      <c r="BR367" s="99">
        <f t="shared" si="2120"/>
        <v>1</v>
      </c>
      <c r="BS367" s="99">
        <f>(AO367*AO366+AP367*AP366+AQ367*AQ366)/BS366</f>
        <v>1</v>
      </c>
      <c r="BT367" s="99">
        <f t="shared" si="2122"/>
        <v>0.91999999999999993</v>
      </c>
      <c r="BU367" s="99">
        <f t="shared" si="2123"/>
        <v>0.91999999999999993</v>
      </c>
      <c r="BV367" s="99">
        <f>(AR367*AR366+AS367*AS366+AT367*AT366)/BV366</f>
        <v>0.91999999999999993</v>
      </c>
      <c r="BW367" s="99">
        <f t="shared" si="2125"/>
        <v>1</v>
      </c>
      <c r="BX367" s="99">
        <f t="shared" si="2126"/>
        <v>1</v>
      </c>
      <c r="BY367" s="99">
        <f>(AU367*AU366+AV367*AV366+AW367*AW366)/BY366</f>
        <v>1</v>
      </c>
      <c r="BZ367" s="99">
        <f t="shared" si="2128"/>
        <v>0.92307692307692313</v>
      </c>
      <c r="CA367" s="99">
        <f t="shared" si="2129"/>
        <v>0.92307692307692313</v>
      </c>
      <c r="CB367" s="99">
        <f>(AX367*AX366+AY367*AY366+AZ367*AZ366)/CB366</f>
        <v>0.92307692307692313</v>
      </c>
      <c r="CC367" s="99">
        <f t="shared" si="2131"/>
        <v>1</v>
      </c>
      <c r="CD367" s="99">
        <f t="shared" si="2132"/>
        <v>1</v>
      </c>
      <c r="CE367" s="99">
        <f>IF(CE366&lt;&gt;0,(BA367*BA366+BB367*BB366+BC367*BC366)/CE366,0)</f>
        <v>1</v>
      </c>
      <c r="CF367" s="99">
        <f t="shared" si="2134"/>
        <v>0.991578947368421</v>
      </c>
      <c r="CG367" s="99">
        <f t="shared" si="2135"/>
        <v>0.991578947368421</v>
      </c>
      <c r="CH367" s="99">
        <f>(BD367*BD366+BE367*BE366+BF367*BF366)/CH366</f>
        <v>0.991578947368421</v>
      </c>
      <c r="CI367" s="99">
        <f t="shared" si="2137"/>
        <v>0.98260869565217401</v>
      </c>
      <c r="CJ367" s="99">
        <f t="shared" si="2138"/>
        <v>0.98260869565217401</v>
      </c>
      <c r="CK367" s="99">
        <f>(BG367*BG366+BH367*BH366+BI367*BI366)/CK366</f>
        <v>0.98260869565217401</v>
      </c>
      <c r="CL367" s="99">
        <f t="shared" si="2140"/>
        <v>0.4</v>
      </c>
      <c r="CM367" s="99">
        <f t="shared" si="2141"/>
        <v>0.4</v>
      </c>
      <c r="CN367" s="99">
        <f>(BJ367*BJ366+BK367*BK366+BL367*BL366)/CN366</f>
        <v>0.4</v>
      </c>
      <c r="CO367" s="423"/>
      <c r="CP367" s="302">
        <f>J367</f>
        <v>0</v>
      </c>
      <c r="CQ367" s="302">
        <f t="shared" ref="CQ367:DP367" si="2163">CQ379/CQ366</f>
        <v>1</v>
      </c>
      <c r="CR367" s="302">
        <f t="shared" si="2163"/>
        <v>0.9</v>
      </c>
      <c r="CS367" s="302">
        <f t="shared" si="2163"/>
        <v>0.91428571428571437</v>
      </c>
      <c r="CT367" s="302">
        <f t="shared" si="2163"/>
        <v>0.94000000000000006</v>
      </c>
      <c r="CU367" s="302">
        <f t="shared" si="2163"/>
        <v>0.96000000000000008</v>
      </c>
      <c r="CV367" s="302">
        <f t="shared" si="2163"/>
        <v>0.96470588235294108</v>
      </c>
      <c r="CW367" s="302">
        <f t="shared" si="2163"/>
        <v>0.97142857142857131</v>
      </c>
      <c r="CX367" s="302">
        <f t="shared" si="2163"/>
        <v>0.94399999999999995</v>
      </c>
      <c r="CY367" s="302">
        <f t="shared" si="2163"/>
        <v>0.95624999999999993</v>
      </c>
      <c r="CZ367" s="302">
        <f t="shared" si="2163"/>
        <v>0.95999999999999985</v>
      </c>
      <c r="DA367" s="302">
        <f t="shared" si="2163"/>
        <v>0.96410256410256401</v>
      </c>
      <c r="DB367" s="302">
        <f t="shared" si="2163"/>
        <v>1</v>
      </c>
      <c r="DC367" s="302">
        <f t="shared" si="2163"/>
        <v>1</v>
      </c>
      <c r="DD367" s="302">
        <f t="shared" si="2163"/>
        <v>0.92307692307692313</v>
      </c>
      <c r="DE367" s="302">
        <f t="shared" si="2163"/>
        <v>0.94444444444444442</v>
      </c>
      <c r="DF367" s="302">
        <f t="shared" si="2163"/>
        <v>0.95</v>
      </c>
      <c r="DG367" s="302">
        <f t="shared" si="2163"/>
        <v>0.96</v>
      </c>
      <c r="DH367" s="302">
        <f t="shared" si="2163"/>
        <v>0.967741935483871</v>
      </c>
      <c r="DI367" s="302">
        <f t="shared" si="2163"/>
        <v>0.97222222222222221</v>
      </c>
      <c r="DJ367" s="302">
        <f t="shared" si="2163"/>
        <v>0.97363636363636374</v>
      </c>
      <c r="DK367" s="302">
        <f t="shared" si="2163"/>
        <v>0.97890909090909095</v>
      </c>
      <c r="DL367" s="302">
        <f t="shared" si="2163"/>
        <v>0.97355932203389839</v>
      </c>
      <c r="DM367" s="302">
        <f t="shared" si="2163"/>
        <v>0.97671641791044772</v>
      </c>
      <c r="DN367" s="302">
        <f t="shared" si="2163"/>
        <v>1</v>
      </c>
      <c r="DO367" s="302">
        <f t="shared" si="2163"/>
        <v>1</v>
      </c>
      <c r="DP367" s="302">
        <f t="shared" si="2163"/>
        <v>1</v>
      </c>
      <c r="DQ367" s="355"/>
      <c r="DR367" s="355"/>
      <c r="DS367" s="355"/>
      <c r="DT367" s="355"/>
      <c r="DU367" s="355"/>
      <c r="DV367" s="355"/>
      <c r="DW367" s="355"/>
      <c r="DX367" s="355"/>
      <c r="DY367" s="355"/>
      <c r="ED367" s="433"/>
      <c r="EE367" s="301"/>
      <c r="EF367" s="301"/>
      <c r="EG367" s="301"/>
      <c r="EH367" s="355">
        <f t="shared" si="2108"/>
        <v>0</v>
      </c>
      <c r="EI367" s="355">
        <f t="shared" si="2109"/>
        <v>0.4</v>
      </c>
      <c r="EJ367" s="355">
        <f t="shared" si="2110"/>
        <v>1</v>
      </c>
      <c r="EK367" s="301">
        <f t="shared" si="2153"/>
        <v>0.16666666666666666</v>
      </c>
      <c r="EL367" s="266">
        <f>EH367</f>
        <v>0</v>
      </c>
      <c r="EM367" s="266">
        <f>EI367</f>
        <v>0.4</v>
      </c>
      <c r="EN367" s="266">
        <f>EJ367</f>
        <v>1</v>
      </c>
      <c r="EO367" s="304" t="str">
        <f t="shared" si="2159"/>
        <v>È</v>
      </c>
      <c r="EP367" s="304" t="str">
        <f>IF(EI367&lt;0,,IF(EI367&lt;EF342,"È",IF(EI367=EF342,"Æ","Ç")))</f>
        <v>È</v>
      </c>
      <c r="EQ367" s="266">
        <f t="shared" si="2113"/>
        <v>3</v>
      </c>
      <c r="ER367" s="266">
        <f t="shared" si="2114"/>
        <v>3</v>
      </c>
      <c r="ES367" s="266">
        <f t="shared" si="2115"/>
        <v>1</v>
      </c>
    </row>
    <row r="368" spans="1:149" ht="12.75" customHeight="1">
      <c r="A368" s="6" t="s">
        <v>23</v>
      </c>
      <c r="B368" s="2" t="s">
        <v>8</v>
      </c>
      <c r="C368" s="3" t="s">
        <v>87</v>
      </c>
      <c r="E368" s="3" t="s">
        <v>16</v>
      </c>
      <c r="G368" s="3" t="s">
        <v>91</v>
      </c>
      <c r="I368" s="242"/>
      <c r="J368" s="238">
        <v>0</v>
      </c>
      <c r="K368" s="238">
        <v>0</v>
      </c>
      <c r="L368" s="238">
        <v>0</v>
      </c>
      <c r="M368" s="238">
        <v>1</v>
      </c>
      <c r="N368" s="238">
        <v>1</v>
      </c>
      <c r="O368" s="19">
        <v>1</v>
      </c>
      <c r="P368" s="19">
        <v>3</v>
      </c>
      <c r="Q368" s="19">
        <v>3</v>
      </c>
      <c r="R368" s="19">
        <v>4</v>
      </c>
      <c r="S368" s="19">
        <v>4</v>
      </c>
      <c r="T368" s="19">
        <v>5</v>
      </c>
      <c r="U368" s="19">
        <v>12</v>
      </c>
      <c r="V368" s="31">
        <v>0</v>
      </c>
      <c r="W368" s="19">
        <v>1</v>
      </c>
      <c r="X368" s="19">
        <v>1</v>
      </c>
      <c r="Y368" s="351">
        <v>15</v>
      </c>
      <c r="Z368" s="19">
        <v>16</v>
      </c>
      <c r="AA368" s="19">
        <v>16</v>
      </c>
      <c r="AB368" s="19">
        <v>16</v>
      </c>
      <c r="AC368" s="19">
        <v>16</v>
      </c>
      <c r="AD368" s="19">
        <v>16</v>
      </c>
      <c r="AE368" s="19">
        <v>18</v>
      </c>
      <c r="AF368" s="19">
        <v>18</v>
      </c>
      <c r="AG368" s="19">
        <v>15</v>
      </c>
      <c r="AH368" s="31">
        <v>0</v>
      </c>
      <c r="AI368" s="19">
        <v>0</v>
      </c>
      <c r="AJ368" s="19"/>
      <c r="AK368" s="408"/>
      <c r="AL368" s="19">
        <f t="shared" si="2143"/>
        <v>0</v>
      </c>
      <c r="AM368" s="19">
        <f>K368-J368</f>
        <v>0</v>
      </c>
      <c r="AN368" s="19">
        <f t="shared" ref="AN368:AN374" si="2164">L368-K368</f>
        <v>0</v>
      </c>
      <c r="AO368" s="19">
        <f t="shared" ref="AO368:AO374" si="2165">M368-L368</f>
        <v>1</v>
      </c>
      <c r="AP368" s="129">
        <f t="shared" ref="AP368:AP373" si="2166">IF(N368&lt;&gt;"",N368-M368,0)</f>
        <v>0</v>
      </c>
      <c r="AQ368" s="129">
        <f t="shared" ref="AQ368:AQ376" si="2167">IF(O368&lt;&gt;"",O368-N368,0)</f>
        <v>0</v>
      </c>
      <c r="AR368" s="129">
        <f t="shared" si="2087"/>
        <v>2</v>
      </c>
      <c r="AS368" s="129">
        <f t="shared" si="2088"/>
        <v>0</v>
      </c>
      <c r="AT368" s="129">
        <f t="shared" si="2089"/>
        <v>1</v>
      </c>
      <c r="AU368" s="129">
        <f t="shared" si="2090"/>
        <v>0</v>
      </c>
      <c r="AV368" s="129">
        <f t="shared" si="2091"/>
        <v>1</v>
      </c>
      <c r="AW368" s="129">
        <f t="shared" si="2092"/>
        <v>7</v>
      </c>
      <c r="AX368" s="19">
        <f t="shared" si="2144"/>
        <v>0</v>
      </c>
      <c r="AY368" s="129">
        <f t="shared" si="2093"/>
        <v>1</v>
      </c>
      <c r="AZ368" s="129">
        <f t="shared" si="2094"/>
        <v>0</v>
      </c>
      <c r="BA368" s="129">
        <f t="shared" si="2145"/>
        <v>14</v>
      </c>
      <c r="BB368" s="129">
        <f t="shared" si="2095"/>
        <v>1</v>
      </c>
      <c r="BC368" s="129">
        <f t="shared" si="2096"/>
        <v>0</v>
      </c>
      <c r="BD368" s="129">
        <f t="shared" si="2097"/>
        <v>0</v>
      </c>
      <c r="BE368" s="129">
        <f t="shared" si="2098"/>
        <v>0</v>
      </c>
      <c r="BF368" s="129">
        <f t="shared" si="2099"/>
        <v>0</v>
      </c>
      <c r="BG368" s="129">
        <f t="shared" si="2100"/>
        <v>2</v>
      </c>
      <c r="BH368" s="129">
        <f t="shared" si="2101"/>
        <v>0</v>
      </c>
      <c r="BI368" s="129">
        <f t="shared" si="2102"/>
        <v>-3</v>
      </c>
      <c r="BJ368" s="19">
        <f t="shared" si="2146"/>
        <v>0</v>
      </c>
      <c r="BK368" s="129">
        <f t="shared" si="2103"/>
        <v>0</v>
      </c>
      <c r="BL368" s="129">
        <f t="shared" si="2104"/>
        <v>0</v>
      </c>
      <c r="BM368" s="408"/>
      <c r="BN368" s="48">
        <f t="shared" si="2116"/>
        <v>0</v>
      </c>
      <c r="BO368" s="48">
        <f t="shared" si="2117"/>
        <v>0</v>
      </c>
      <c r="BP368" s="48">
        <f t="shared" ref="BP368:BP373" si="2168">SUM(AL368:AN368)</f>
        <v>0</v>
      </c>
      <c r="BQ368" s="48">
        <f t="shared" si="2119"/>
        <v>1</v>
      </c>
      <c r="BR368" s="48">
        <f t="shared" si="2120"/>
        <v>1</v>
      </c>
      <c r="BS368" s="48">
        <f t="shared" ref="BS368:BS373" si="2169">SUM(AO368:AQ368)</f>
        <v>1</v>
      </c>
      <c r="BT368" s="48">
        <f t="shared" si="2122"/>
        <v>3</v>
      </c>
      <c r="BU368" s="48">
        <f t="shared" si="2123"/>
        <v>3</v>
      </c>
      <c r="BV368" s="48">
        <f t="shared" ref="BV368:BV373" si="2170">SUM(AR368:AT368)</f>
        <v>3</v>
      </c>
      <c r="BW368" s="48">
        <f t="shared" si="2125"/>
        <v>8</v>
      </c>
      <c r="BX368" s="48">
        <f t="shared" si="2126"/>
        <v>8</v>
      </c>
      <c r="BY368" s="48">
        <f t="shared" ref="BY368:BY373" si="2171">SUM(AU368:AW368)</f>
        <v>8</v>
      </c>
      <c r="BZ368" s="48">
        <f t="shared" si="2128"/>
        <v>1</v>
      </c>
      <c r="CA368" s="48">
        <f t="shared" si="2129"/>
        <v>1</v>
      </c>
      <c r="CB368" s="48">
        <f t="shared" ref="CB368:CB373" si="2172">SUM(AX368:AZ368)</f>
        <v>1</v>
      </c>
      <c r="CC368" s="48">
        <f t="shared" si="2131"/>
        <v>15</v>
      </c>
      <c r="CD368" s="48">
        <f t="shared" si="2132"/>
        <v>15</v>
      </c>
      <c r="CE368" s="48">
        <f t="shared" ref="CE368:CE373" si="2173">SUM(BA368:BC368)</f>
        <v>15</v>
      </c>
      <c r="CF368" s="48">
        <f t="shared" si="2134"/>
        <v>0</v>
      </c>
      <c r="CG368" s="48">
        <f t="shared" si="2135"/>
        <v>0</v>
      </c>
      <c r="CH368" s="48">
        <f t="shared" ref="CH368:CH373" si="2174">SUM(BD368:BF368)</f>
        <v>0</v>
      </c>
      <c r="CI368" s="48">
        <f t="shared" si="2137"/>
        <v>-1</v>
      </c>
      <c r="CJ368" s="48">
        <f t="shared" si="2138"/>
        <v>-1</v>
      </c>
      <c r="CK368" s="48">
        <f t="shared" ref="CK368:CK373" si="2175">SUM(BG368:BI368)</f>
        <v>-1</v>
      </c>
      <c r="CL368" s="48">
        <f t="shared" si="2140"/>
        <v>0</v>
      </c>
      <c r="CM368" s="48">
        <f t="shared" si="2141"/>
        <v>0</v>
      </c>
      <c r="CN368" s="48">
        <f t="shared" ref="CN368:CN373" si="2176">SUM(BJ368:BL368)</f>
        <v>0</v>
      </c>
      <c r="CO368" s="406"/>
      <c r="CP368" s="21">
        <f>AL368</f>
        <v>0</v>
      </c>
      <c r="CQ368" s="21">
        <f>CP368+AM368</f>
        <v>0</v>
      </c>
      <c r="CR368" s="21">
        <f t="shared" ref="CR368:CR374" si="2177">CQ368+AN368</f>
        <v>0</v>
      </c>
      <c r="CS368" s="21">
        <f t="shared" ref="CS368:CS374" si="2178">CR368+AO368</f>
        <v>1</v>
      </c>
      <c r="CT368" s="21">
        <f t="shared" ref="CT368:CT374" si="2179">CS368+AP368</f>
        <v>1</v>
      </c>
      <c r="CU368" s="21">
        <f t="shared" ref="CU368:CU374" si="2180">CT368+AQ368</f>
        <v>1</v>
      </c>
      <c r="CV368" s="21">
        <f t="shared" ref="CV368:CV374" si="2181">CU368+AR368</f>
        <v>3</v>
      </c>
      <c r="CW368" s="21">
        <f t="shared" ref="CW368:CW374" si="2182">CV368+AS368</f>
        <v>3</v>
      </c>
      <c r="CX368" s="21">
        <f t="shared" ref="CX368:CX374" si="2183">CW368+AT368</f>
        <v>4</v>
      </c>
      <c r="CY368" s="21">
        <f t="shared" ref="CY368:CY374" si="2184">CX368+AU368</f>
        <v>4</v>
      </c>
      <c r="CZ368" s="21">
        <f t="shared" ref="CZ368:CZ374" si="2185">CY368+AV368</f>
        <v>5</v>
      </c>
      <c r="DA368" s="21">
        <f t="shared" ref="DA368:DA374" si="2186">CZ368+AW368</f>
        <v>12</v>
      </c>
      <c r="DB368" s="21">
        <f>AX368</f>
        <v>0</v>
      </c>
      <c r="DC368" s="21">
        <f t="shared" ref="DC368:DC374" si="2187">DB368+AY368</f>
        <v>1</v>
      </c>
      <c r="DD368" s="21">
        <f t="shared" ref="DD368:DD374" si="2188">DC368+AZ368</f>
        <v>1</v>
      </c>
      <c r="DE368" s="21">
        <f t="shared" ref="DE368:DE374" si="2189">DD368+BA368</f>
        <v>15</v>
      </c>
      <c r="DF368" s="21">
        <f t="shared" ref="DF368:DF374" si="2190">DE368+BB368</f>
        <v>16</v>
      </c>
      <c r="DG368" s="21">
        <f t="shared" ref="DG368:DG374" si="2191">DF368+BC368</f>
        <v>16</v>
      </c>
      <c r="DH368" s="21">
        <f t="shared" ref="DH368:DH374" si="2192">DG368+BD368</f>
        <v>16</v>
      </c>
      <c r="DI368" s="21">
        <f t="shared" ref="DI368:DI374" si="2193">DH368+BE368</f>
        <v>16</v>
      </c>
      <c r="DJ368" s="21">
        <f t="shared" ref="DJ368:DJ374" si="2194">DI368+BF368</f>
        <v>16</v>
      </c>
      <c r="DK368" s="21">
        <f t="shared" ref="DK368:DK374" si="2195">DJ368+BG368</f>
        <v>18</v>
      </c>
      <c r="DL368" s="21">
        <f t="shared" ref="DL368:DL374" si="2196">DK368+BH368</f>
        <v>18</v>
      </c>
      <c r="DM368" s="21">
        <f t="shared" ref="DM368:DM374" si="2197">DL368+BI368</f>
        <v>15</v>
      </c>
      <c r="DN368" s="21">
        <f t="shared" ref="DN368:DN373" si="2198">BJ368</f>
        <v>0</v>
      </c>
      <c r="DO368" s="21">
        <f t="shared" ref="DO368:DO374" si="2199">DN368+BK368</f>
        <v>0</v>
      </c>
      <c r="DP368" s="21">
        <f t="shared" ref="DP368:DP374" si="2200">DO368+BL368</f>
        <v>0</v>
      </c>
      <c r="DQ368" s="248"/>
      <c r="DR368" s="248"/>
      <c r="DS368" s="248"/>
      <c r="DT368" s="248"/>
      <c r="DU368" s="248"/>
      <c r="DV368" s="248"/>
      <c r="DW368" s="248"/>
      <c r="DX368" s="248"/>
      <c r="DY368" s="248"/>
      <c r="ED368" s="429"/>
      <c r="EE368" s="23"/>
      <c r="EF368" s="23"/>
      <c r="EG368" s="23"/>
      <c r="EH368" s="18">
        <f t="shared" si="2108"/>
        <v>0</v>
      </c>
      <c r="EI368" s="18">
        <f t="shared" si="2109"/>
        <v>0</v>
      </c>
      <c r="EJ368" s="18">
        <f t="shared" si="2110"/>
        <v>0</v>
      </c>
      <c r="EK368" s="24">
        <f t="shared" si="2153"/>
        <v>0.16666666666666666</v>
      </c>
      <c r="EL368" s="14" t="e">
        <f t="shared" si="2158"/>
        <v>#DIV/0!</v>
      </c>
      <c r="EM368" s="14" t="e">
        <f t="shared" si="2158"/>
        <v>#DIV/0!</v>
      </c>
      <c r="EN368" s="14">
        <f>EJ368/EK368/EG343</f>
        <v>0</v>
      </c>
      <c r="EO368" s="46" t="str">
        <f t="shared" si="2159"/>
        <v>Æ</v>
      </c>
      <c r="EP368" s="46" t="str">
        <f t="shared" si="2160"/>
        <v>Æ</v>
      </c>
      <c r="EQ368" s="2" t="e">
        <f t="shared" si="2113"/>
        <v>#DIV/0!</v>
      </c>
      <c r="ER368" s="2" t="e">
        <f t="shared" si="2114"/>
        <v>#DIV/0!</v>
      </c>
      <c r="ES368" s="2">
        <f t="shared" si="2115"/>
        <v>3</v>
      </c>
    </row>
    <row r="369" spans="1:149" ht="12.75" customHeight="1">
      <c r="A369" s="6" t="s">
        <v>23</v>
      </c>
      <c r="B369" s="2" t="s">
        <v>9</v>
      </c>
      <c r="C369" s="3" t="s">
        <v>65</v>
      </c>
      <c r="E369" s="3" t="s">
        <v>16</v>
      </c>
      <c r="G369" s="3" t="s">
        <v>91</v>
      </c>
      <c r="I369" s="242"/>
      <c r="J369" s="238">
        <v>71.08</v>
      </c>
      <c r="K369" s="238">
        <v>167.5</v>
      </c>
      <c r="L369" s="238">
        <v>221.37</v>
      </c>
      <c r="M369" s="238">
        <v>427.16</v>
      </c>
      <c r="N369" s="238">
        <v>831.75</v>
      </c>
      <c r="O369" s="19">
        <v>1232.3900000000001</v>
      </c>
      <c r="P369" s="19">
        <v>1303.42</v>
      </c>
      <c r="Q369" s="19">
        <v>1374.78</v>
      </c>
      <c r="R369" s="19">
        <v>1444.59</v>
      </c>
      <c r="S369" s="19">
        <v>1727.15</v>
      </c>
      <c r="T369" s="19">
        <v>1840.16</v>
      </c>
      <c r="U369" s="19">
        <v>1907.91</v>
      </c>
      <c r="V369" s="31">
        <v>145.46</v>
      </c>
      <c r="W369" s="19">
        <v>245.46</v>
      </c>
      <c r="X369" s="19">
        <v>355.47</v>
      </c>
      <c r="Y369" s="351">
        <v>458.72</v>
      </c>
      <c r="Z369" s="19">
        <v>532.97</v>
      </c>
      <c r="AA369" s="19">
        <v>592.44000000000005</v>
      </c>
      <c r="AB369" s="19">
        <v>689.44</v>
      </c>
      <c r="AC369" s="19">
        <v>791.16</v>
      </c>
      <c r="AD369" s="19">
        <v>916.37</v>
      </c>
      <c r="AE369" s="19">
        <v>1017.51</v>
      </c>
      <c r="AF369" s="19">
        <v>1113.93</v>
      </c>
      <c r="AG369" s="19">
        <v>1214.03</v>
      </c>
      <c r="AH369" s="31">
        <v>108.91</v>
      </c>
      <c r="AI369" s="19">
        <v>220.21</v>
      </c>
      <c r="AJ369" s="19"/>
      <c r="AK369" s="408"/>
      <c r="AL369" s="19">
        <f t="shared" si="2143"/>
        <v>71.08</v>
      </c>
      <c r="AM369" s="19">
        <f t="shared" ref="AM369:AM374" si="2201">K369-J369</f>
        <v>96.42</v>
      </c>
      <c r="AN369" s="19">
        <f t="shared" si="2164"/>
        <v>53.870000000000005</v>
      </c>
      <c r="AO369" s="19">
        <f t="shared" si="2165"/>
        <v>205.79000000000002</v>
      </c>
      <c r="AP369" s="130">
        <f t="shared" si="2166"/>
        <v>404.59</v>
      </c>
      <c r="AQ369" s="130">
        <f t="shared" si="2167"/>
        <v>400.6400000000001</v>
      </c>
      <c r="AR369" s="130">
        <f t="shared" si="2087"/>
        <v>71.029999999999973</v>
      </c>
      <c r="AS369" s="130">
        <f t="shared" si="2088"/>
        <v>71.3599999999999</v>
      </c>
      <c r="AT369" s="130">
        <f t="shared" si="2089"/>
        <v>69.809999999999945</v>
      </c>
      <c r="AU369" s="130">
        <f t="shared" si="2090"/>
        <v>282.56000000000017</v>
      </c>
      <c r="AV369" s="130">
        <f t="shared" si="2091"/>
        <v>113.00999999999999</v>
      </c>
      <c r="AW369" s="130">
        <f t="shared" si="2092"/>
        <v>67.75</v>
      </c>
      <c r="AX369" s="19">
        <f t="shared" si="2144"/>
        <v>145.46</v>
      </c>
      <c r="AY369" s="130">
        <f t="shared" si="2093"/>
        <v>100</v>
      </c>
      <c r="AZ369" s="130">
        <f t="shared" si="2094"/>
        <v>110.01000000000002</v>
      </c>
      <c r="BA369" s="130">
        <f t="shared" si="2145"/>
        <v>103.25</v>
      </c>
      <c r="BB369" s="130">
        <f t="shared" si="2095"/>
        <v>74.25</v>
      </c>
      <c r="BC369" s="130">
        <f t="shared" si="2096"/>
        <v>59.470000000000027</v>
      </c>
      <c r="BD369" s="130">
        <f t="shared" si="2097"/>
        <v>97</v>
      </c>
      <c r="BE369" s="130">
        <f t="shared" si="2098"/>
        <v>101.71999999999991</v>
      </c>
      <c r="BF369" s="130">
        <f t="shared" si="2099"/>
        <v>125.21000000000004</v>
      </c>
      <c r="BG369" s="130">
        <f t="shared" si="2100"/>
        <v>101.13999999999999</v>
      </c>
      <c r="BH369" s="130">
        <f t="shared" si="2101"/>
        <v>96.420000000000073</v>
      </c>
      <c r="BI369" s="130">
        <f t="shared" si="2102"/>
        <v>100.09999999999991</v>
      </c>
      <c r="BJ369" s="19">
        <f t="shared" si="2146"/>
        <v>108.91</v>
      </c>
      <c r="BK369" s="130">
        <f t="shared" si="2103"/>
        <v>111.30000000000001</v>
      </c>
      <c r="BL369" s="130">
        <f t="shared" si="2104"/>
        <v>0</v>
      </c>
      <c r="BM369" s="408"/>
      <c r="BN369" s="48">
        <f t="shared" si="2116"/>
        <v>221.37</v>
      </c>
      <c r="BO369" s="48">
        <f t="shared" si="2117"/>
        <v>221.37</v>
      </c>
      <c r="BP369" s="48">
        <f t="shared" si="2168"/>
        <v>221.37</v>
      </c>
      <c r="BQ369" s="48">
        <f t="shared" si="2119"/>
        <v>1011.0200000000001</v>
      </c>
      <c r="BR369" s="48">
        <f t="shared" si="2120"/>
        <v>1011.0200000000001</v>
      </c>
      <c r="BS369" s="48">
        <f t="shared" si="2169"/>
        <v>1011.0200000000001</v>
      </c>
      <c r="BT369" s="48">
        <f t="shared" si="2122"/>
        <v>212.19999999999982</v>
      </c>
      <c r="BU369" s="48">
        <f t="shared" si="2123"/>
        <v>212.19999999999982</v>
      </c>
      <c r="BV369" s="48">
        <f t="shared" si="2170"/>
        <v>212.19999999999982</v>
      </c>
      <c r="BW369" s="48">
        <f t="shared" si="2125"/>
        <v>463.32000000000016</v>
      </c>
      <c r="BX369" s="48">
        <f t="shared" si="2126"/>
        <v>463.32000000000016</v>
      </c>
      <c r="BY369" s="48">
        <f t="shared" si="2171"/>
        <v>463.32000000000016</v>
      </c>
      <c r="BZ369" s="48">
        <f t="shared" si="2128"/>
        <v>355.47</v>
      </c>
      <c r="CA369" s="48">
        <f t="shared" si="2129"/>
        <v>355.47</v>
      </c>
      <c r="CB369" s="48">
        <f t="shared" si="2172"/>
        <v>355.47</v>
      </c>
      <c r="CC369" s="48">
        <f t="shared" si="2131"/>
        <v>236.97000000000003</v>
      </c>
      <c r="CD369" s="48">
        <f t="shared" si="2132"/>
        <v>236.97000000000003</v>
      </c>
      <c r="CE369" s="48">
        <f t="shared" si="2173"/>
        <v>236.97000000000003</v>
      </c>
      <c r="CF369" s="48">
        <f t="shared" si="2134"/>
        <v>323.92999999999995</v>
      </c>
      <c r="CG369" s="48">
        <f t="shared" si="2135"/>
        <v>323.92999999999995</v>
      </c>
      <c r="CH369" s="48">
        <f t="shared" si="2174"/>
        <v>323.92999999999995</v>
      </c>
      <c r="CI369" s="48">
        <f t="shared" si="2137"/>
        <v>297.65999999999997</v>
      </c>
      <c r="CJ369" s="48">
        <f t="shared" si="2138"/>
        <v>297.65999999999997</v>
      </c>
      <c r="CK369" s="48">
        <f t="shared" si="2175"/>
        <v>297.65999999999997</v>
      </c>
      <c r="CL369" s="48">
        <f t="shared" si="2140"/>
        <v>220.21</v>
      </c>
      <c r="CM369" s="48">
        <f t="shared" si="2141"/>
        <v>220.21</v>
      </c>
      <c r="CN369" s="48">
        <f t="shared" si="2176"/>
        <v>220.21</v>
      </c>
      <c r="CO369" s="406"/>
      <c r="CP369" s="21">
        <f t="shared" ref="CP369:CP374" si="2202">AL369</f>
        <v>71.08</v>
      </c>
      <c r="CQ369" s="21">
        <f t="shared" ref="CQ369:CQ374" si="2203">CP369+AM369</f>
        <v>167.5</v>
      </c>
      <c r="CR369" s="21">
        <f t="shared" si="2177"/>
        <v>221.37</v>
      </c>
      <c r="CS369" s="21">
        <f t="shared" si="2178"/>
        <v>427.16</v>
      </c>
      <c r="CT369" s="21">
        <f t="shared" si="2179"/>
        <v>831.75</v>
      </c>
      <c r="CU369" s="21">
        <f t="shared" si="2180"/>
        <v>1232.3900000000001</v>
      </c>
      <c r="CV369" s="21">
        <f t="shared" si="2181"/>
        <v>1303.42</v>
      </c>
      <c r="CW369" s="21">
        <f t="shared" si="2182"/>
        <v>1374.78</v>
      </c>
      <c r="CX369" s="21">
        <f t="shared" si="2183"/>
        <v>1444.59</v>
      </c>
      <c r="CY369" s="21">
        <f t="shared" si="2184"/>
        <v>1727.15</v>
      </c>
      <c r="CZ369" s="21">
        <f t="shared" si="2185"/>
        <v>1840.16</v>
      </c>
      <c r="DA369" s="21">
        <f t="shared" si="2186"/>
        <v>1907.91</v>
      </c>
      <c r="DB369" s="21">
        <f t="shared" ref="DB369:DB374" si="2204">AX369</f>
        <v>145.46</v>
      </c>
      <c r="DC369" s="21">
        <f t="shared" si="2187"/>
        <v>245.46</v>
      </c>
      <c r="DD369" s="21">
        <f t="shared" si="2188"/>
        <v>355.47</v>
      </c>
      <c r="DE369" s="21">
        <f t="shared" si="2189"/>
        <v>458.72</v>
      </c>
      <c r="DF369" s="21">
        <f t="shared" si="2190"/>
        <v>532.97</v>
      </c>
      <c r="DG369" s="21">
        <f t="shared" si="2191"/>
        <v>592.44000000000005</v>
      </c>
      <c r="DH369" s="21">
        <f t="shared" si="2192"/>
        <v>689.44</v>
      </c>
      <c r="DI369" s="21">
        <f t="shared" si="2193"/>
        <v>791.16</v>
      </c>
      <c r="DJ369" s="21">
        <f t="shared" si="2194"/>
        <v>916.37</v>
      </c>
      <c r="DK369" s="21">
        <f t="shared" si="2195"/>
        <v>1017.51</v>
      </c>
      <c r="DL369" s="21">
        <f t="shared" si="2196"/>
        <v>1113.93</v>
      </c>
      <c r="DM369" s="21">
        <f t="shared" si="2197"/>
        <v>1214.03</v>
      </c>
      <c r="DN369" s="21">
        <f t="shared" si="2198"/>
        <v>108.91</v>
      </c>
      <c r="DO369" s="21">
        <f t="shared" si="2199"/>
        <v>220.21</v>
      </c>
      <c r="DP369" s="21">
        <f t="shared" si="2200"/>
        <v>220.21</v>
      </c>
      <c r="DQ369" s="248"/>
      <c r="DR369" s="248"/>
      <c r="DS369" s="248"/>
      <c r="DT369" s="248"/>
      <c r="DU369" s="248"/>
      <c r="DV369" s="248"/>
      <c r="DW369" s="248"/>
      <c r="DX369" s="248"/>
      <c r="DY369" s="248"/>
      <c r="ED369" s="429"/>
      <c r="EE369" s="23"/>
      <c r="EF369" s="23"/>
      <c r="EG369" s="23"/>
      <c r="EH369" s="18">
        <f t="shared" si="2108"/>
        <v>111.30000000000001</v>
      </c>
      <c r="EI369" s="18">
        <f t="shared" si="2109"/>
        <v>220.21</v>
      </c>
      <c r="EJ369" s="18">
        <f t="shared" si="2110"/>
        <v>220.21</v>
      </c>
      <c r="EK369" s="24">
        <f t="shared" si="2153"/>
        <v>0.16666666666666666</v>
      </c>
      <c r="EL369" s="14">
        <f t="shared" si="2158"/>
        <v>0.71575562700964634</v>
      </c>
      <c r="EM369" s="14">
        <f t="shared" si="2158"/>
        <v>0.47204715969989286</v>
      </c>
      <c r="EN369" s="14">
        <f>EJ369/EK369/EG344</f>
        <v>1.4161414790996787</v>
      </c>
      <c r="EO369" s="46" t="str">
        <f t="shared" si="2159"/>
        <v>È</v>
      </c>
      <c r="EP369" s="46" t="str">
        <f t="shared" si="2160"/>
        <v>È</v>
      </c>
      <c r="EQ369" s="2">
        <f t="shared" si="2113"/>
        <v>3</v>
      </c>
      <c r="ER369" s="2">
        <f t="shared" si="2114"/>
        <v>3</v>
      </c>
      <c r="ES369" s="2">
        <f t="shared" si="2115"/>
        <v>1</v>
      </c>
    </row>
    <row r="370" spans="1:149" ht="12.75" customHeight="1">
      <c r="A370" s="6" t="s">
        <v>23</v>
      </c>
      <c r="B370" s="2" t="s">
        <v>10</v>
      </c>
      <c r="C370" s="3" t="s">
        <v>66</v>
      </c>
      <c r="E370" s="3" t="s">
        <v>16</v>
      </c>
      <c r="G370" s="3" t="s">
        <v>91</v>
      </c>
      <c r="I370" s="242"/>
      <c r="J370" s="238">
        <v>9.5</v>
      </c>
      <c r="K370" s="238">
        <v>49.09</v>
      </c>
      <c r="L370" s="238">
        <v>62.34</v>
      </c>
      <c r="M370" s="238">
        <v>72.59</v>
      </c>
      <c r="N370" s="238">
        <v>78.61</v>
      </c>
      <c r="O370" s="19">
        <v>80.14</v>
      </c>
      <c r="P370" s="19">
        <v>84.39</v>
      </c>
      <c r="Q370" s="19">
        <v>98.39</v>
      </c>
      <c r="R370" s="19">
        <v>105.92</v>
      </c>
      <c r="S370" s="19">
        <v>118.98</v>
      </c>
      <c r="T370" s="19">
        <v>131.72999999999999</v>
      </c>
      <c r="U370" s="19">
        <v>154.22999999999999</v>
      </c>
      <c r="V370" s="31">
        <v>43.61</v>
      </c>
      <c r="W370" s="19">
        <v>102.11</v>
      </c>
      <c r="X370" s="19">
        <v>147.61000000000001</v>
      </c>
      <c r="Y370" s="351">
        <v>172.36</v>
      </c>
      <c r="Z370" s="19">
        <v>187.36</v>
      </c>
      <c r="AA370" s="19">
        <v>211.56</v>
      </c>
      <c r="AB370" s="19">
        <v>237.56</v>
      </c>
      <c r="AC370" s="19">
        <v>277.92</v>
      </c>
      <c r="AD370" s="19">
        <v>303.27</v>
      </c>
      <c r="AE370" s="19">
        <v>337.81</v>
      </c>
      <c r="AF370" s="19">
        <v>365.11</v>
      </c>
      <c r="AG370" s="19">
        <v>400.86</v>
      </c>
      <c r="AH370" s="31">
        <v>33.549999999999997</v>
      </c>
      <c r="AI370" s="19">
        <v>66.8</v>
      </c>
      <c r="AJ370" s="19"/>
      <c r="AK370" s="408"/>
      <c r="AL370" s="19">
        <f t="shared" si="2143"/>
        <v>9.5</v>
      </c>
      <c r="AM370" s="19">
        <f t="shared" si="2201"/>
        <v>39.590000000000003</v>
      </c>
      <c r="AN370" s="19">
        <f t="shared" si="2164"/>
        <v>13.25</v>
      </c>
      <c r="AO370" s="19">
        <f t="shared" si="2165"/>
        <v>10.25</v>
      </c>
      <c r="AP370" s="129">
        <f t="shared" si="2166"/>
        <v>6.019999999999996</v>
      </c>
      <c r="AQ370" s="129">
        <f t="shared" si="2167"/>
        <v>1.5300000000000011</v>
      </c>
      <c r="AR370" s="129">
        <f t="shared" si="2087"/>
        <v>4.25</v>
      </c>
      <c r="AS370" s="129">
        <f t="shared" si="2088"/>
        <v>14</v>
      </c>
      <c r="AT370" s="129">
        <f t="shared" si="2089"/>
        <v>7.5300000000000011</v>
      </c>
      <c r="AU370" s="129">
        <f t="shared" si="2090"/>
        <v>13.060000000000002</v>
      </c>
      <c r="AV370" s="129">
        <f t="shared" si="2091"/>
        <v>12.749999999999986</v>
      </c>
      <c r="AW370" s="129">
        <f t="shared" si="2092"/>
        <v>22.5</v>
      </c>
      <c r="AX370" s="19">
        <f t="shared" si="2144"/>
        <v>43.61</v>
      </c>
      <c r="AY370" s="129">
        <f t="shared" si="2093"/>
        <v>58.5</v>
      </c>
      <c r="AZ370" s="129">
        <f t="shared" si="2094"/>
        <v>45.500000000000014</v>
      </c>
      <c r="BA370" s="129">
        <f t="shared" si="2145"/>
        <v>24.75</v>
      </c>
      <c r="BB370" s="129">
        <f t="shared" si="2095"/>
        <v>15</v>
      </c>
      <c r="BC370" s="129">
        <f t="shared" si="2096"/>
        <v>24.199999999999989</v>
      </c>
      <c r="BD370" s="129">
        <f t="shared" si="2097"/>
        <v>26</v>
      </c>
      <c r="BE370" s="129">
        <f t="shared" si="2098"/>
        <v>40.360000000000014</v>
      </c>
      <c r="BF370" s="129">
        <f t="shared" si="2099"/>
        <v>25.349999999999966</v>
      </c>
      <c r="BG370" s="129">
        <f t="shared" si="2100"/>
        <v>34.54000000000002</v>
      </c>
      <c r="BH370" s="129">
        <f t="shared" si="2101"/>
        <v>27.300000000000011</v>
      </c>
      <c r="BI370" s="129">
        <f t="shared" si="2102"/>
        <v>35.75</v>
      </c>
      <c r="BJ370" s="19">
        <f t="shared" si="2146"/>
        <v>33.549999999999997</v>
      </c>
      <c r="BK370" s="129">
        <f t="shared" si="2103"/>
        <v>33.25</v>
      </c>
      <c r="BL370" s="129">
        <f t="shared" si="2104"/>
        <v>0</v>
      </c>
      <c r="BM370" s="408"/>
      <c r="BN370" s="48">
        <f t="shared" si="2116"/>
        <v>62.34</v>
      </c>
      <c r="BO370" s="48">
        <f t="shared" si="2117"/>
        <v>62.34</v>
      </c>
      <c r="BP370" s="48">
        <f t="shared" si="2168"/>
        <v>62.34</v>
      </c>
      <c r="BQ370" s="48">
        <f t="shared" si="2119"/>
        <v>17.799999999999997</v>
      </c>
      <c r="BR370" s="48">
        <f t="shared" si="2120"/>
        <v>17.799999999999997</v>
      </c>
      <c r="BS370" s="48">
        <f t="shared" si="2169"/>
        <v>17.799999999999997</v>
      </c>
      <c r="BT370" s="48">
        <f t="shared" si="2122"/>
        <v>25.78</v>
      </c>
      <c r="BU370" s="48">
        <f t="shared" si="2123"/>
        <v>25.78</v>
      </c>
      <c r="BV370" s="48">
        <f t="shared" si="2170"/>
        <v>25.78</v>
      </c>
      <c r="BW370" s="48">
        <f t="shared" si="2125"/>
        <v>48.309999999999988</v>
      </c>
      <c r="BX370" s="48">
        <f t="shared" si="2126"/>
        <v>48.309999999999988</v>
      </c>
      <c r="BY370" s="48">
        <f t="shared" si="2171"/>
        <v>48.309999999999988</v>
      </c>
      <c r="BZ370" s="48">
        <f t="shared" si="2128"/>
        <v>147.61000000000001</v>
      </c>
      <c r="CA370" s="48">
        <f t="shared" si="2129"/>
        <v>147.61000000000001</v>
      </c>
      <c r="CB370" s="48">
        <f t="shared" si="2172"/>
        <v>147.61000000000001</v>
      </c>
      <c r="CC370" s="48">
        <f t="shared" si="2131"/>
        <v>63.949999999999989</v>
      </c>
      <c r="CD370" s="48">
        <f t="shared" si="2132"/>
        <v>63.949999999999989</v>
      </c>
      <c r="CE370" s="48">
        <f t="shared" si="2173"/>
        <v>63.949999999999989</v>
      </c>
      <c r="CF370" s="48">
        <f t="shared" si="2134"/>
        <v>91.70999999999998</v>
      </c>
      <c r="CG370" s="48">
        <f t="shared" si="2135"/>
        <v>91.70999999999998</v>
      </c>
      <c r="CH370" s="48">
        <f t="shared" si="2174"/>
        <v>91.70999999999998</v>
      </c>
      <c r="CI370" s="48">
        <f t="shared" si="2137"/>
        <v>97.590000000000032</v>
      </c>
      <c r="CJ370" s="48">
        <f t="shared" si="2138"/>
        <v>97.590000000000032</v>
      </c>
      <c r="CK370" s="48">
        <f t="shared" si="2175"/>
        <v>97.590000000000032</v>
      </c>
      <c r="CL370" s="48">
        <f t="shared" si="2140"/>
        <v>66.8</v>
      </c>
      <c r="CM370" s="48">
        <f t="shared" si="2141"/>
        <v>66.8</v>
      </c>
      <c r="CN370" s="48">
        <f t="shared" si="2176"/>
        <v>66.8</v>
      </c>
      <c r="CO370" s="406"/>
      <c r="CP370" s="21">
        <f t="shared" si="2202"/>
        <v>9.5</v>
      </c>
      <c r="CQ370" s="21">
        <f t="shared" si="2203"/>
        <v>49.09</v>
      </c>
      <c r="CR370" s="21">
        <f t="shared" si="2177"/>
        <v>62.34</v>
      </c>
      <c r="CS370" s="21">
        <f t="shared" si="2178"/>
        <v>72.59</v>
      </c>
      <c r="CT370" s="21">
        <f t="shared" si="2179"/>
        <v>78.61</v>
      </c>
      <c r="CU370" s="21">
        <f t="shared" si="2180"/>
        <v>80.14</v>
      </c>
      <c r="CV370" s="21">
        <f t="shared" si="2181"/>
        <v>84.39</v>
      </c>
      <c r="CW370" s="21">
        <f t="shared" si="2182"/>
        <v>98.39</v>
      </c>
      <c r="CX370" s="21">
        <f t="shared" si="2183"/>
        <v>105.92</v>
      </c>
      <c r="CY370" s="21">
        <f t="shared" si="2184"/>
        <v>118.98</v>
      </c>
      <c r="CZ370" s="21">
        <f t="shared" si="2185"/>
        <v>131.72999999999999</v>
      </c>
      <c r="DA370" s="21">
        <f t="shared" si="2186"/>
        <v>154.22999999999999</v>
      </c>
      <c r="DB370" s="21">
        <f t="shared" si="2204"/>
        <v>43.61</v>
      </c>
      <c r="DC370" s="21">
        <f t="shared" si="2187"/>
        <v>102.11</v>
      </c>
      <c r="DD370" s="21">
        <f t="shared" si="2188"/>
        <v>147.61000000000001</v>
      </c>
      <c r="DE370" s="21">
        <f t="shared" si="2189"/>
        <v>172.36</v>
      </c>
      <c r="DF370" s="21">
        <f t="shared" si="2190"/>
        <v>187.36</v>
      </c>
      <c r="DG370" s="21">
        <f t="shared" si="2191"/>
        <v>211.56</v>
      </c>
      <c r="DH370" s="21">
        <f t="shared" si="2192"/>
        <v>237.56</v>
      </c>
      <c r="DI370" s="21">
        <f t="shared" si="2193"/>
        <v>277.92</v>
      </c>
      <c r="DJ370" s="21">
        <f t="shared" si="2194"/>
        <v>303.27</v>
      </c>
      <c r="DK370" s="21">
        <f t="shared" si="2195"/>
        <v>337.81</v>
      </c>
      <c r="DL370" s="21">
        <f t="shared" si="2196"/>
        <v>365.11</v>
      </c>
      <c r="DM370" s="21">
        <f t="shared" si="2197"/>
        <v>400.86</v>
      </c>
      <c r="DN370" s="21">
        <f t="shared" si="2198"/>
        <v>33.549999999999997</v>
      </c>
      <c r="DO370" s="21">
        <f t="shared" si="2199"/>
        <v>66.8</v>
      </c>
      <c r="DP370" s="21">
        <f t="shared" si="2200"/>
        <v>66.8</v>
      </c>
      <c r="DQ370" s="248"/>
      <c r="DR370" s="248"/>
      <c r="DS370" s="248"/>
      <c r="DT370" s="248"/>
      <c r="DU370" s="248"/>
      <c r="DV370" s="248"/>
      <c r="DW370" s="248"/>
      <c r="DX370" s="248"/>
      <c r="DY370" s="248"/>
      <c r="ED370" s="429"/>
      <c r="EE370" s="23"/>
      <c r="EF370" s="23"/>
      <c r="EG370" s="23"/>
      <c r="EH370" s="18">
        <f t="shared" si="2108"/>
        <v>33.25</v>
      </c>
      <c r="EI370" s="18">
        <f t="shared" si="2109"/>
        <v>66.8</v>
      </c>
      <c r="EJ370" s="18">
        <f t="shared" si="2110"/>
        <v>66.8</v>
      </c>
      <c r="EK370" s="24">
        <f t="shared" si="2153"/>
        <v>0.16666666666666666</v>
      </c>
      <c r="EL370" s="14" t="e">
        <f t="shared" si="2158"/>
        <v>#DIV/0!</v>
      </c>
      <c r="EM370" s="14" t="e">
        <f t="shared" si="2158"/>
        <v>#DIV/0!</v>
      </c>
      <c r="EN370" s="14">
        <f>EJ370/EK370/EG345</f>
        <v>2.2517359940672823</v>
      </c>
      <c r="EO370" s="46" t="str">
        <f t="shared" si="2159"/>
        <v>Ç</v>
      </c>
      <c r="EP370" s="46" t="str">
        <f t="shared" si="2160"/>
        <v>Ç</v>
      </c>
      <c r="EQ370" s="2" t="e">
        <f t="shared" si="2113"/>
        <v>#DIV/0!</v>
      </c>
      <c r="ER370" s="2" t="e">
        <f t="shared" si="2114"/>
        <v>#DIV/0!</v>
      </c>
      <c r="ES370" s="2">
        <f t="shared" si="2115"/>
        <v>1</v>
      </c>
    </row>
    <row r="371" spans="1:149" ht="12.75" customHeight="1">
      <c r="A371" s="6" t="s">
        <v>23</v>
      </c>
      <c r="B371" s="2" t="s">
        <v>11</v>
      </c>
      <c r="C371" s="3" t="s">
        <v>67</v>
      </c>
      <c r="E371" s="3" t="s">
        <v>16</v>
      </c>
      <c r="G371" s="3" t="s">
        <v>91</v>
      </c>
      <c r="I371" s="242"/>
      <c r="J371" s="238">
        <v>21</v>
      </c>
      <c r="K371" s="238">
        <v>36</v>
      </c>
      <c r="L371" s="238">
        <v>48</v>
      </c>
      <c r="M371" s="238">
        <v>67</v>
      </c>
      <c r="N371" s="238">
        <v>83</v>
      </c>
      <c r="O371" s="19">
        <v>93</v>
      </c>
      <c r="P371" s="19">
        <v>105</v>
      </c>
      <c r="Q371" s="19">
        <v>119</v>
      </c>
      <c r="R371" s="19">
        <v>141</v>
      </c>
      <c r="S371" s="19">
        <v>163</v>
      </c>
      <c r="T371" s="19">
        <v>177</v>
      </c>
      <c r="U371" s="19">
        <v>194</v>
      </c>
      <c r="V371" s="31">
        <v>26</v>
      </c>
      <c r="W371" s="19">
        <v>37</v>
      </c>
      <c r="X371" s="19">
        <v>59</v>
      </c>
      <c r="Y371" s="351">
        <v>96</v>
      </c>
      <c r="Z371" s="19">
        <v>117</v>
      </c>
      <c r="AA371" s="19">
        <v>130</v>
      </c>
      <c r="AB371" s="19">
        <v>152</v>
      </c>
      <c r="AC371" s="19">
        <v>170</v>
      </c>
      <c r="AD371" s="19">
        <v>206</v>
      </c>
      <c r="AE371" s="19">
        <v>230</v>
      </c>
      <c r="AF371" s="19">
        <v>249</v>
      </c>
      <c r="AG371" s="19">
        <v>265</v>
      </c>
      <c r="AH371" s="31">
        <v>20</v>
      </c>
      <c r="AI371" s="19">
        <v>54</v>
      </c>
      <c r="AJ371" s="19"/>
      <c r="AK371" s="408"/>
      <c r="AL371" s="19">
        <f t="shared" si="2143"/>
        <v>21</v>
      </c>
      <c r="AM371" s="19">
        <f t="shared" si="2201"/>
        <v>15</v>
      </c>
      <c r="AN371" s="19">
        <f t="shared" si="2164"/>
        <v>12</v>
      </c>
      <c r="AO371" s="19">
        <f t="shared" si="2165"/>
        <v>19</v>
      </c>
      <c r="AP371" s="129">
        <f t="shared" si="2166"/>
        <v>16</v>
      </c>
      <c r="AQ371" s="129">
        <f t="shared" si="2167"/>
        <v>10</v>
      </c>
      <c r="AR371" s="129">
        <f t="shared" si="2087"/>
        <v>12</v>
      </c>
      <c r="AS371" s="129">
        <f t="shared" si="2088"/>
        <v>14</v>
      </c>
      <c r="AT371" s="129">
        <f t="shared" si="2089"/>
        <v>22</v>
      </c>
      <c r="AU371" s="129">
        <f t="shared" si="2090"/>
        <v>22</v>
      </c>
      <c r="AV371" s="129">
        <f t="shared" si="2091"/>
        <v>14</v>
      </c>
      <c r="AW371" s="129">
        <f t="shared" si="2092"/>
        <v>17</v>
      </c>
      <c r="AX371" s="19">
        <f t="shared" si="2144"/>
        <v>26</v>
      </c>
      <c r="AY371" s="129">
        <f t="shared" si="2093"/>
        <v>11</v>
      </c>
      <c r="AZ371" s="129">
        <f t="shared" si="2094"/>
        <v>22</v>
      </c>
      <c r="BA371" s="129">
        <f t="shared" si="2145"/>
        <v>37</v>
      </c>
      <c r="BB371" s="129">
        <f t="shared" si="2095"/>
        <v>21</v>
      </c>
      <c r="BC371" s="129">
        <f t="shared" si="2096"/>
        <v>13</v>
      </c>
      <c r="BD371" s="129">
        <f t="shared" si="2097"/>
        <v>22</v>
      </c>
      <c r="BE371" s="129">
        <f t="shared" si="2098"/>
        <v>18</v>
      </c>
      <c r="BF371" s="129">
        <f t="shared" si="2099"/>
        <v>36</v>
      </c>
      <c r="BG371" s="129">
        <f t="shared" si="2100"/>
        <v>24</v>
      </c>
      <c r="BH371" s="129">
        <f t="shared" si="2101"/>
        <v>19</v>
      </c>
      <c r="BI371" s="129">
        <f t="shared" si="2102"/>
        <v>16</v>
      </c>
      <c r="BJ371" s="19">
        <f t="shared" si="2146"/>
        <v>20</v>
      </c>
      <c r="BK371" s="129">
        <f t="shared" si="2103"/>
        <v>34</v>
      </c>
      <c r="BL371" s="129">
        <f t="shared" si="2104"/>
        <v>0</v>
      </c>
      <c r="BM371" s="408"/>
      <c r="BN371" s="48">
        <f t="shared" si="2116"/>
        <v>48</v>
      </c>
      <c r="BO371" s="48">
        <f t="shared" si="2117"/>
        <v>48</v>
      </c>
      <c r="BP371" s="48">
        <f t="shared" si="2168"/>
        <v>48</v>
      </c>
      <c r="BQ371" s="48">
        <f t="shared" si="2119"/>
        <v>45</v>
      </c>
      <c r="BR371" s="48">
        <f t="shared" si="2120"/>
        <v>45</v>
      </c>
      <c r="BS371" s="48">
        <f t="shared" si="2169"/>
        <v>45</v>
      </c>
      <c r="BT371" s="48">
        <f t="shared" si="2122"/>
        <v>48</v>
      </c>
      <c r="BU371" s="48">
        <f t="shared" si="2123"/>
        <v>48</v>
      </c>
      <c r="BV371" s="48">
        <f t="shared" si="2170"/>
        <v>48</v>
      </c>
      <c r="BW371" s="48">
        <f t="shared" si="2125"/>
        <v>53</v>
      </c>
      <c r="BX371" s="48">
        <f t="shared" si="2126"/>
        <v>53</v>
      </c>
      <c r="BY371" s="48">
        <f t="shared" si="2171"/>
        <v>53</v>
      </c>
      <c r="BZ371" s="48">
        <f t="shared" si="2128"/>
        <v>59</v>
      </c>
      <c r="CA371" s="48">
        <f t="shared" si="2129"/>
        <v>59</v>
      </c>
      <c r="CB371" s="48">
        <f t="shared" si="2172"/>
        <v>59</v>
      </c>
      <c r="CC371" s="48">
        <f t="shared" si="2131"/>
        <v>71</v>
      </c>
      <c r="CD371" s="48">
        <f t="shared" si="2132"/>
        <v>71</v>
      </c>
      <c r="CE371" s="48">
        <f t="shared" si="2173"/>
        <v>71</v>
      </c>
      <c r="CF371" s="48">
        <f t="shared" si="2134"/>
        <v>76</v>
      </c>
      <c r="CG371" s="48">
        <f t="shared" si="2135"/>
        <v>76</v>
      </c>
      <c r="CH371" s="48">
        <f t="shared" si="2174"/>
        <v>76</v>
      </c>
      <c r="CI371" s="48">
        <f t="shared" si="2137"/>
        <v>59</v>
      </c>
      <c r="CJ371" s="48">
        <f t="shared" si="2138"/>
        <v>59</v>
      </c>
      <c r="CK371" s="48">
        <f t="shared" si="2175"/>
        <v>59</v>
      </c>
      <c r="CL371" s="48">
        <f t="shared" si="2140"/>
        <v>54</v>
      </c>
      <c r="CM371" s="48">
        <f t="shared" si="2141"/>
        <v>54</v>
      </c>
      <c r="CN371" s="48">
        <f t="shared" si="2176"/>
        <v>54</v>
      </c>
      <c r="CO371" s="406"/>
      <c r="CP371" s="21">
        <f t="shared" si="2202"/>
        <v>21</v>
      </c>
      <c r="CQ371" s="21">
        <f t="shared" si="2203"/>
        <v>36</v>
      </c>
      <c r="CR371" s="21">
        <f t="shared" si="2177"/>
        <v>48</v>
      </c>
      <c r="CS371" s="21">
        <f t="shared" si="2178"/>
        <v>67</v>
      </c>
      <c r="CT371" s="21">
        <f t="shared" si="2179"/>
        <v>83</v>
      </c>
      <c r="CU371" s="21">
        <f t="shared" si="2180"/>
        <v>93</v>
      </c>
      <c r="CV371" s="21">
        <f t="shared" si="2181"/>
        <v>105</v>
      </c>
      <c r="CW371" s="21">
        <f t="shared" si="2182"/>
        <v>119</v>
      </c>
      <c r="CX371" s="21">
        <f t="shared" si="2183"/>
        <v>141</v>
      </c>
      <c r="CY371" s="21">
        <f t="shared" si="2184"/>
        <v>163</v>
      </c>
      <c r="CZ371" s="21">
        <f t="shared" si="2185"/>
        <v>177</v>
      </c>
      <c r="DA371" s="21">
        <f t="shared" si="2186"/>
        <v>194</v>
      </c>
      <c r="DB371" s="21">
        <f t="shared" si="2204"/>
        <v>26</v>
      </c>
      <c r="DC371" s="21">
        <f t="shared" si="2187"/>
        <v>37</v>
      </c>
      <c r="DD371" s="21">
        <f t="shared" si="2188"/>
        <v>59</v>
      </c>
      <c r="DE371" s="21">
        <f t="shared" si="2189"/>
        <v>96</v>
      </c>
      <c r="DF371" s="21">
        <f t="shared" si="2190"/>
        <v>117</v>
      </c>
      <c r="DG371" s="21">
        <f t="shared" si="2191"/>
        <v>130</v>
      </c>
      <c r="DH371" s="21">
        <f t="shared" si="2192"/>
        <v>152</v>
      </c>
      <c r="DI371" s="21">
        <f t="shared" si="2193"/>
        <v>170</v>
      </c>
      <c r="DJ371" s="21">
        <f t="shared" si="2194"/>
        <v>206</v>
      </c>
      <c r="DK371" s="21">
        <f t="shared" si="2195"/>
        <v>230</v>
      </c>
      <c r="DL371" s="21">
        <f t="shared" si="2196"/>
        <v>249</v>
      </c>
      <c r="DM371" s="21">
        <f t="shared" si="2197"/>
        <v>265</v>
      </c>
      <c r="DN371" s="21">
        <f t="shared" si="2198"/>
        <v>20</v>
      </c>
      <c r="DO371" s="21">
        <f t="shared" si="2199"/>
        <v>54</v>
      </c>
      <c r="DP371" s="21">
        <f t="shared" si="2200"/>
        <v>54</v>
      </c>
      <c r="DQ371" s="248"/>
      <c r="DR371" s="248"/>
      <c r="DS371" s="248"/>
      <c r="DT371" s="248"/>
      <c r="DU371" s="248"/>
      <c r="DV371" s="248"/>
      <c r="DW371" s="248"/>
      <c r="DX371" s="248"/>
      <c r="DY371" s="248"/>
      <c r="ED371" s="429"/>
      <c r="EE371" s="23"/>
      <c r="EF371" s="23"/>
      <c r="EG371" s="23"/>
      <c r="EH371" s="18">
        <f t="shared" si="2108"/>
        <v>34</v>
      </c>
      <c r="EI371" s="18">
        <f t="shared" si="2109"/>
        <v>54</v>
      </c>
      <c r="EJ371" s="18">
        <f t="shared" si="2110"/>
        <v>54</v>
      </c>
      <c r="EK371" s="24">
        <f t="shared" si="2153"/>
        <v>0.16666666666666666</v>
      </c>
      <c r="EL371" s="14" t="e">
        <f t="shared" si="2158"/>
        <v>#DIV/0!</v>
      </c>
      <c r="EM371" s="14" t="e">
        <f t="shared" si="2158"/>
        <v>#DIV/0!</v>
      </c>
      <c r="EN371" s="14">
        <f>EJ371/EG346</f>
        <v>0.35294117647058826</v>
      </c>
      <c r="EO371" s="46" t="str">
        <f t="shared" si="2159"/>
        <v>Ç</v>
      </c>
      <c r="EP371" s="46" t="str">
        <f t="shared" si="2160"/>
        <v>Ç</v>
      </c>
      <c r="EQ371" s="2" t="e">
        <f t="shared" si="2113"/>
        <v>#DIV/0!</v>
      </c>
      <c r="ER371" s="2" t="e">
        <f t="shared" si="2114"/>
        <v>#DIV/0!</v>
      </c>
      <c r="ES371" s="2">
        <f t="shared" si="2115"/>
        <v>3</v>
      </c>
    </row>
    <row r="372" spans="1:149" ht="12.75" customHeight="1">
      <c r="A372" s="6" t="s">
        <v>23</v>
      </c>
      <c r="B372" s="2" t="s">
        <v>12</v>
      </c>
      <c r="C372" s="3" t="s">
        <v>68</v>
      </c>
      <c r="E372" s="3" t="s">
        <v>16</v>
      </c>
      <c r="G372" s="3" t="s">
        <v>91</v>
      </c>
      <c r="I372" s="242"/>
      <c r="J372" s="238">
        <v>9</v>
      </c>
      <c r="K372" s="238">
        <v>17</v>
      </c>
      <c r="L372" s="238">
        <v>20</v>
      </c>
      <c r="M372" s="238">
        <v>27</v>
      </c>
      <c r="N372" s="238">
        <v>37</v>
      </c>
      <c r="O372" s="19">
        <v>43</v>
      </c>
      <c r="P372" s="19">
        <v>62</v>
      </c>
      <c r="Q372" s="19">
        <v>77</v>
      </c>
      <c r="R372" s="19">
        <v>100</v>
      </c>
      <c r="S372" s="19">
        <v>122</v>
      </c>
      <c r="T372" s="19">
        <v>136</v>
      </c>
      <c r="U372" s="19">
        <v>155</v>
      </c>
      <c r="V372" s="31">
        <v>31</v>
      </c>
      <c r="W372" s="19">
        <v>43</v>
      </c>
      <c r="X372" s="19">
        <v>65</v>
      </c>
      <c r="Y372" s="351">
        <v>109</v>
      </c>
      <c r="Z372" s="19">
        <v>134</v>
      </c>
      <c r="AA372" s="19">
        <v>149</v>
      </c>
      <c r="AB372" s="19">
        <v>180</v>
      </c>
      <c r="AC372" s="19">
        <v>198</v>
      </c>
      <c r="AD372" s="19">
        <v>237</v>
      </c>
      <c r="AE372" s="19">
        <v>264</v>
      </c>
      <c r="AF372" s="19">
        <v>292</v>
      </c>
      <c r="AG372" s="19">
        <v>316</v>
      </c>
      <c r="AH372" s="31">
        <v>25</v>
      </c>
      <c r="AI372" s="19">
        <v>66</v>
      </c>
      <c r="AJ372" s="19"/>
      <c r="AK372" s="408"/>
      <c r="AL372" s="19">
        <f t="shared" si="2143"/>
        <v>9</v>
      </c>
      <c r="AM372" s="19">
        <f t="shared" si="2201"/>
        <v>8</v>
      </c>
      <c r="AN372" s="19">
        <f t="shared" si="2164"/>
        <v>3</v>
      </c>
      <c r="AO372" s="19">
        <f t="shared" si="2165"/>
        <v>7</v>
      </c>
      <c r="AP372" s="129">
        <f t="shared" si="2166"/>
        <v>10</v>
      </c>
      <c r="AQ372" s="129">
        <f t="shared" si="2167"/>
        <v>6</v>
      </c>
      <c r="AR372" s="129">
        <f t="shared" si="2087"/>
        <v>19</v>
      </c>
      <c r="AS372" s="129">
        <f t="shared" si="2088"/>
        <v>15</v>
      </c>
      <c r="AT372" s="129">
        <f t="shared" si="2089"/>
        <v>23</v>
      </c>
      <c r="AU372" s="129">
        <f t="shared" si="2090"/>
        <v>22</v>
      </c>
      <c r="AV372" s="129">
        <f t="shared" si="2091"/>
        <v>14</v>
      </c>
      <c r="AW372" s="129">
        <f t="shared" si="2092"/>
        <v>19</v>
      </c>
      <c r="AX372" s="19">
        <f t="shared" si="2144"/>
        <v>31</v>
      </c>
      <c r="AY372" s="129">
        <f t="shared" si="2093"/>
        <v>12</v>
      </c>
      <c r="AZ372" s="129">
        <f t="shared" si="2094"/>
        <v>22</v>
      </c>
      <c r="BA372" s="129">
        <f t="shared" si="2145"/>
        <v>44</v>
      </c>
      <c r="BB372" s="129">
        <f t="shared" si="2095"/>
        <v>25</v>
      </c>
      <c r="BC372" s="129">
        <f t="shared" si="2096"/>
        <v>15</v>
      </c>
      <c r="BD372" s="129">
        <f t="shared" si="2097"/>
        <v>31</v>
      </c>
      <c r="BE372" s="129">
        <f t="shared" si="2098"/>
        <v>18</v>
      </c>
      <c r="BF372" s="129">
        <f t="shared" si="2099"/>
        <v>39</v>
      </c>
      <c r="BG372" s="129">
        <f t="shared" si="2100"/>
        <v>27</v>
      </c>
      <c r="BH372" s="129">
        <f t="shared" si="2101"/>
        <v>28</v>
      </c>
      <c r="BI372" s="129">
        <f t="shared" si="2102"/>
        <v>24</v>
      </c>
      <c r="BJ372" s="19">
        <f t="shared" si="2146"/>
        <v>25</v>
      </c>
      <c r="BK372" s="129">
        <f t="shared" si="2103"/>
        <v>41</v>
      </c>
      <c r="BL372" s="129">
        <f t="shared" si="2104"/>
        <v>0</v>
      </c>
      <c r="BM372" s="408"/>
      <c r="BN372" s="48">
        <f t="shared" si="2116"/>
        <v>20</v>
      </c>
      <c r="BO372" s="48">
        <f t="shared" si="2117"/>
        <v>20</v>
      </c>
      <c r="BP372" s="48">
        <f t="shared" si="2168"/>
        <v>20</v>
      </c>
      <c r="BQ372" s="48">
        <f t="shared" si="2119"/>
        <v>23</v>
      </c>
      <c r="BR372" s="48">
        <f t="shared" si="2120"/>
        <v>23</v>
      </c>
      <c r="BS372" s="48">
        <f t="shared" si="2169"/>
        <v>23</v>
      </c>
      <c r="BT372" s="48">
        <f t="shared" si="2122"/>
        <v>57</v>
      </c>
      <c r="BU372" s="48">
        <f t="shared" si="2123"/>
        <v>57</v>
      </c>
      <c r="BV372" s="48">
        <f t="shared" si="2170"/>
        <v>57</v>
      </c>
      <c r="BW372" s="48">
        <f t="shared" si="2125"/>
        <v>55</v>
      </c>
      <c r="BX372" s="48">
        <f t="shared" si="2126"/>
        <v>55</v>
      </c>
      <c r="BY372" s="48">
        <f t="shared" si="2171"/>
        <v>55</v>
      </c>
      <c r="BZ372" s="48">
        <f t="shared" si="2128"/>
        <v>65</v>
      </c>
      <c r="CA372" s="48">
        <f t="shared" si="2129"/>
        <v>65</v>
      </c>
      <c r="CB372" s="48">
        <f t="shared" si="2172"/>
        <v>65</v>
      </c>
      <c r="CC372" s="48">
        <f t="shared" si="2131"/>
        <v>84</v>
      </c>
      <c r="CD372" s="48">
        <f t="shared" si="2132"/>
        <v>84</v>
      </c>
      <c r="CE372" s="48">
        <f t="shared" si="2173"/>
        <v>84</v>
      </c>
      <c r="CF372" s="48">
        <f t="shared" si="2134"/>
        <v>88</v>
      </c>
      <c r="CG372" s="48">
        <f t="shared" si="2135"/>
        <v>88</v>
      </c>
      <c r="CH372" s="48">
        <f t="shared" si="2174"/>
        <v>88</v>
      </c>
      <c r="CI372" s="48">
        <f t="shared" si="2137"/>
        <v>79</v>
      </c>
      <c r="CJ372" s="48">
        <f t="shared" si="2138"/>
        <v>79</v>
      </c>
      <c r="CK372" s="48">
        <f t="shared" si="2175"/>
        <v>79</v>
      </c>
      <c r="CL372" s="48">
        <f t="shared" si="2140"/>
        <v>66</v>
      </c>
      <c r="CM372" s="48">
        <f t="shared" si="2141"/>
        <v>66</v>
      </c>
      <c r="CN372" s="48">
        <f t="shared" si="2176"/>
        <v>66</v>
      </c>
      <c r="CO372" s="406"/>
      <c r="CP372" s="21">
        <f t="shared" si="2202"/>
        <v>9</v>
      </c>
      <c r="CQ372" s="21">
        <f t="shared" si="2203"/>
        <v>17</v>
      </c>
      <c r="CR372" s="21">
        <f t="shared" si="2177"/>
        <v>20</v>
      </c>
      <c r="CS372" s="21">
        <f t="shared" si="2178"/>
        <v>27</v>
      </c>
      <c r="CT372" s="21">
        <f t="shared" si="2179"/>
        <v>37</v>
      </c>
      <c r="CU372" s="21">
        <f t="shared" si="2180"/>
        <v>43</v>
      </c>
      <c r="CV372" s="21">
        <f t="shared" si="2181"/>
        <v>62</v>
      </c>
      <c r="CW372" s="21">
        <f t="shared" si="2182"/>
        <v>77</v>
      </c>
      <c r="CX372" s="21">
        <f t="shared" si="2183"/>
        <v>100</v>
      </c>
      <c r="CY372" s="21">
        <f t="shared" si="2184"/>
        <v>122</v>
      </c>
      <c r="CZ372" s="21">
        <f t="shared" si="2185"/>
        <v>136</v>
      </c>
      <c r="DA372" s="21">
        <f t="shared" si="2186"/>
        <v>155</v>
      </c>
      <c r="DB372" s="21">
        <f t="shared" si="2204"/>
        <v>31</v>
      </c>
      <c r="DC372" s="21">
        <f t="shared" si="2187"/>
        <v>43</v>
      </c>
      <c r="DD372" s="21">
        <f t="shared" si="2188"/>
        <v>65</v>
      </c>
      <c r="DE372" s="21">
        <f t="shared" si="2189"/>
        <v>109</v>
      </c>
      <c r="DF372" s="21">
        <f t="shared" si="2190"/>
        <v>134</v>
      </c>
      <c r="DG372" s="21">
        <f t="shared" si="2191"/>
        <v>149</v>
      </c>
      <c r="DH372" s="21">
        <f t="shared" si="2192"/>
        <v>180</v>
      </c>
      <c r="DI372" s="21">
        <f t="shared" si="2193"/>
        <v>198</v>
      </c>
      <c r="DJ372" s="21">
        <f t="shared" si="2194"/>
        <v>237</v>
      </c>
      <c r="DK372" s="21">
        <f t="shared" si="2195"/>
        <v>264</v>
      </c>
      <c r="DL372" s="21">
        <f t="shared" si="2196"/>
        <v>292</v>
      </c>
      <c r="DM372" s="21">
        <f t="shared" si="2197"/>
        <v>316</v>
      </c>
      <c r="DN372" s="21">
        <f t="shared" si="2198"/>
        <v>25</v>
      </c>
      <c r="DO372" s="21">
        <f t="shared" si="2199"/>
        <v>66</v>
      </c>
      <c r="DP372" s="21">
        <f t="shared" si="2200"/>
        <v>66</v>
      </c>
      <c r="DQ372" s="248"/>
      <c r="DR372" s="248"/>
      <c r="DS372" s="248"/>
      <c r="DT372" s="248"/>
      <c r="DU372" s="248"/>
      <c r="DV372" s="248"/>
      <c r="DW372" s="248"/>
      <c r="DX372" s="248"/>
      <c r="DY372" s="248"/>
      <c r="ED372" s="429"/>
      <c r="EE372" s="23"/>
      <c r="EF372" s="23"/>
      <c r="EG372" s="23"/>
      <c r="EH372" s="18">
        <f t="shared" si="2108"/>
        <v>41</v>
      </c>
      <c r="EI372" s="18">
        <f t="shared" si="2109"/>
        <v>66</v>
      </c>
      <c r="EJ372" s="18">
        <f t="shared" si="2110"/>
        <v>66</v>
      </c>
      <c r="EK372" s="24">
        <f t="shared" si="2153"/>
        <v>0.16666666666666666</v>
      </c>
      <c r="EL372" s="14" t="e">
        <f t="shared" si="2158"/>
        <v>#DIV/0!</v>
      </c>
      <c r="EM372" s="14" t="e">
        <f t="shared" si="2158"/>
        <v>#DIV/0!</v>
      </c>
      <c r="EN372" s="14">
        <f t="shared" si="2158"/>
        <v>0.50770792947475307</v>
      </c>
      <c r="EO372" s="46" t="str">
        <f t="shared" si="2159"/>
        <v>Ç</v>
      </c>
      <c r="EP372" s="46" t="str">
        <f t="shared" si="2160"/>
        <v>Ç</v>
      </c>
      <c r="EQ372" s="2" t="e">
        <f t="shared" si="2113"/>
        <v>#DIV/0!</v>
      </c>
      <c r="ER372" s="2" t="e">
        <f t="shared" si="2114"/>
        <v>#DIV/0!</v>
      </c>
      <c r="ES372" s="2">
        <f t="shared" si="2115"/>
        <v>3</v>
      </c>
    </row>
    <row r="373" spans="1:149" ht="12.75" customHeight="1">
      <c r="A373" s="6" t="s">
        <v>23</v>
      </c>
      <c r="B373" s="2" t="s">
        <v>17</v>
      </c>
      <c r="C373" s="3" t="s">
        <v>69</v>
      </c>
      <c r="E373" s="3" t="s">
        <v>18</v>
      </c>
      <c r="G373" s="3" t="s">
        <v>91</v>
      </c>
      <c r="I373" s="242"/>
      <c r="J373" s="238">
        <v>0</v>
      </c>
      <c r="K373" s="238">
        <v>0</v>
      </c>
      <c r="L373" s="238">
        <v>2</v>
      </c>
      <c r="M373" s="238">
        <v>2</v>
      </c>
      <c r="N373" s="238">
        <v>2</v>
      </c>
      <c r="O373" s="19">
        <v>2</v>
      </c>
      <c r="P373" s="19">
        <v>4</v>
      </c>
      <c r="Q373" s="19">
        <v>4</v>
      </c>
      <c r="R373" s="246">
        <v>4</v>
      </c>
      <c r="S373" s="19">
        <v>4</v>
      </c>
      <c r="T373" s="19">
        <v>7</v>
      </c>
      <c r="U373" s="19">
        <v>7</v>
      </c>
      <c r="V373" s="31">
        <v>0</v>
      </c>
      <c r="W373" s="19">
        <v>2</v>
      </c>
      <c r="X373" s="19">
        <v>2</v>
      </c>
      <c r="Y373" s="351">
        <v>2</v>
      </c>
      <c r="Z373" s="19">
        <v>2</v>
      </c>
      <c r="AA373" s="19">
        <v>2</v>
      </c>
      <c r="AB373" s="19">
        <v>4</v>
      </c>
      <c r="AC373" s="19">
        <v>4</v>
      </c>
      <c r="AD373" s="19">
        <v>4</v>
      </c>
      <c r="AE373" s="19">
        <v>4</v>
      </c>
      <c r="AF373" s="19"/>
      <c r="AG373" s="19">
        <v>1</v>
      </c>
      <c r="AH373" s="31"/>
      <c r="AI373" s="19"/>
      <c r="AJ373" s="19"/>
      <c r="AK373" s="408"/>
      <c r="AL373" s="19">
        <f t="shared" si="2143"/>
        <v>0</v>
      </c>
      <c r="AM373" s="19">
        <f t="shared" si="2201"/>
        <v>0</v>
      </c>
      <c r="AN373" s="19">
        <f t="shared" si="2164"/>
        <v>2</v>
      </c>
      <c r="AO373" s="19">
        <f t="shared" si="2165"/>
        <v>0</v>
      </c>
      <c r="AP373" s="129">
        <f t="shared" si="2166"/>
        <v>0</v>
      </c>
      <c r="AQ373" s="129">
        <f t="shared" si="2167"/>
        <v>0</v>
      </c>
      <c r="AR373" s="129">
        <f t="shared" si="2087"/>
        <v>2</v>
      </c>
      <c r="AS373" s="129">
        <f t="shared" si="2088"/>
        <v>0</v>
      </c>
      <c r="AT373" s="129">
        <f t="shared" si="2089"/>
        <v>0</v>
      </c>
      <c r="AU373" s="129">
        <f t="shared" si="2090"/>
        <v>0</v>
      </c>
      <c r="AV373" s="129">
        <f t="shared" si="2091"/>
        <v>3</v>
      </c>
      <c r="AW373" s="129">
        <f t="shared" si="2092"/>
        <v>0</v>
      </c>
      <c r="AX373" s="19">
        <f t="shared" si="2144"/>
        <v>0</v>
      </c>
      <c r="AY373" s="129">
        <f t="shared" si="2093"/>
        <v>2</v>
      </c>
      <c r="AZ373" s="129">
        <f t="shared" si="2094"/>
        <v>0</v>
      </c>
      <c r="BA373" s="129">
        <f t="shared" si="2145"/>
        <v>0</v>
      </c>
      <c r="BB373" s="129">
        <f t="shared" si="2095"/>
        <v>0</v>
      </c>
      <c r="BC373" s="129">
        <f t="shared" si="2096"/>
        <v>0</v>
      </c>
      <c r="BD373" s="129">
        <f t="shared" si="2097"/>
        <v>2</v>
      </c>
      <c r="BE373" s="129">
        <f t="shared" si="2098"/>
        <v>0</v>
      </c>
      <c r="BF373" s="129">
        <f t="shared" si="2099"/>
        <v>0</v>
      </c>
      <c r="BG373" s="129">
        <f t="shared" si="2100"/>
        <v>0</v>
      </c>
      <c r="BH373" s="129">
        <f t="shared" si="2101"/>
        <v>0</v>
      </c>
      <c r="BI373" s="129">
        <f t="shared" si="2102"/>
        <v>1</v>
      </c>
      <c r="BJ373" s="19">
        <f t="shared" si="2146"/>
        <v>0</v>
      </c>
      <c r="BK373" s="129">
        <f t="shared" si="2103"/>
        <v>0</v>
      </c>
      <c r="BL373" s="129">
        <f t="shared" si="2104"/>
        <v>0</v>
      </c>
      <c r="BM373" s="408"/>
      <c r="BN373" s="48">
        <f t="shared" si="2116"/>
        <v>2</v>
      </c>
      <c r="BO373" s="48">
        <f t="shared" si="2117"/>
        <v>2</v>
      </c>
      <c r="BP373" s="48">
        <f t="shared" si="2168"/>
        <v>2</v>
      </c>
      <c r="BQ373" s="48">
        <f t="shared" si="2119"/>
        <v>0</v>
      </c>
      <c r="BR373" s="48">
        <f t="shared" si="2120"/>
        <v>0</v>
      </c>
      <c r="BS373" s="48">
        <f t="shared" si="2169"/>
        <v>0</v>
      </c>
      <c r="BT373" s="48">
        <f t="shared" si="2122"/>
        <v>2</v>
      </c>
      <c r="BU373" s="48">
        <f t="shared" si="2123"/>
        <v>2</v>
      </c>
      <c r="BV373" s="48">
        <f t="shared" si="2170"/>
        <v>2</v>
      </c>
      <c r="BW373" s="48">
        <f t="shared" si="2125"/>
        <v>3</v>
      </c>
      <c r="BX373" s="48">
        <f t="shared" si="2126"/>
        <v>3</v>
      </c>
      <c r="BY373" s="48">
        <f t="shared" si="2171"/>
        <v>3</v>
      </c>
      <c r="BZ373" s="48">
        <f t="shared" si="2128"/>
        <v>2</v>
      </c>
      <c r="CA373" s="48">
        <f t="shared" si="2129"/>
        <v>2</v>
      </c>
      <c r="CB373" s="48">
        <f t="shared" si="2172"/>
        <v>2</v>
      </c>
      <c r="CC373" s="48">
        <f t="shared" si="2131"/>
        <v>0</v>
      </c>
      <c r="CD373" s="48">
        <f t="shared" si="2132"/>
        <v>0</v>
      </c>
      <c r="CE373" s="48">
        <f t="shared" si="2173"/>
        <v>0</v>
      </c>
      <c r="CF373" s="48">
        <f t="shared" si="2134"/>
        <v>2</v>
      </c>
      <c r="CG373" s="48">
        <f t="shared" si="2135"/>
        <v>2</v>
      </c>
      <c r="CH373" s="48">
        <f t="shared" si="2174"/>
        <v>2</v>
      </c>
      <c r="CI373" s="48">
        <f t="shared" si="2137"/>
        <v>1</v>
      </c>
      <c r="CJ373" s="48">
        <f t="shared" si="2138"/>
        <v>1</v>
      </c>
      <c r="CK373" s="48">
        <f t="shared" si="2175"/>
        <v>1</v>
      </c>
      <c r="CL373" s="48">
        <f t="shared" si="2140"/>
        <v>0</v>
      </c>
      <c r="CM373" s="48">
        <f t="shared" si="2141"/>
        <v>0</v>
      </c>
      <c r="CN373" s="48">
        <f t="shared" si="2176"/>
        <v>0</v>
      </c>
      <c r="CO373" s="406"/>
      <c r="CP373" s="21">
        <f t="shared" si="2202"/>
        <v>0</v>
      </c>
      <c r="CQ373" s="21">
        <f t="shared" si="2203"/>
        <v>0</v>
      </c>
      <c r="CR373" s="21">
        <f t="shared" si="2177"/>
        <v>2</v>
      </c>
      <c r="CS373" s="21">
        <f t="shared" si="2178"/>
        <v>2</v>
      </c>
      <c r="CT373" s="21">
        <f t="shared" si="2179"/>
        <v>2</v>
      </c>
      <c r="CU373" s="21">
        <f t="shared" si="2180"/>
        <v>2</v>
      </c>
      <c r="CV373" s="21">
        <f t="shared" si="2181"/>
        <v>4</v>
      </c>
      <c r="CW373" s="21">
        <f t="shared" si="2182"/>
        <v>4</v>
      </c>
      <c r="CX373" s="21">
        <f t="shared" si="2183"/>
        <v>4</v>
      </c>
      <c r="CY373" s="21">
        <f t="shared" si="2184"/>
        <v>4</v>
      </c>
      <c r="CZ373" s="21">
        <f t="shared" si="2185"/>
        <v>7</v>
      </c>
      <c r="DA373" s="21">
        <f t="shared" si="2186"/>
        <v>7</v>
      </c>
      <c r="DB373" s="21">
        <f t="shared" si="2204"/>
        <v>0</v>
      </c>
      <c r="DC373" s="21">
        <f t="shared" si="2187"/>
        <v>2</v>
      </c>
      <c r="DD373" s="21">
        <f t="shared" si="2188"/>
        <v>2</v>
      </c>
      <c r="DE373" s="21">
        <f t="shared" si="2189"/>
        <v>2</v>
      </c>
      <c r="DF373" s="21">
        <f t="shared" si="2190"/>
        <v>2</v>
      </c>
      <c r="DG373" s="21">
        <f t="shared" si="2191"/>
        <v>2</v>
      </c>
      <c r="DH373" s="21">
        <f t="shared" si="2192"/>
        <v>4</v>
      </c>
      <c r="DI373" s="21">
        <f t="shared" si="2193"/>
        <v>4</v>
      </c>
      <c r="DJ373" s="21">
        <f t="shared" si="2194"/>
        <v>4</v>
      </c>
      <c r="DK373" s="21">
        <f t="shared" si="2195"/>
        <v>4</v>
      </c>
      <c r="DL373" s="21">
        <f t="shared" si="2196"/>
        <v>4</v>
      </c>
      <c r="DM373" s="21">
        <f t="shared" si="2197"/>
        <v>5</v>
      </c>
      <c r="DN373" s="21">
        <f t="shared" si="2198"/>
        <v>0</v>
      </c>
      <c r="DO373" s="21">
        <f t="shared" si="2199"/>
        <v>0</v>
      </c>
      <c r="DP373" s="21">
        <f t="shared" si="2200"/>
        <v>0</v>
      </c>
      <c r="DQ373" s="248"/>
      <c r="DR373" s="248"/>
      <c r="DS373" s="248"/>
      <c r="DT373" s="248"/>
      <c r="DU373" s="248"/>
      <c r="DV373" s="248"/>
      <c r="DW373" s="248"/>
      <c r="DX373" s="248"/>
      <c r="DY373" s="248"/>
      <c r="ED373" s="429"/>
      <c r="EE373" s="23"/>
      <c r="EF373" s="23"/>
      <c r="EG373" s="23"/>
      <c r="EH373" s="18">
        <f t="shared" si="2108"/>
        <v>0</v>
      </c>
      <c r="EI373" s="18">
        <f t="shared" si="2109"/>
        <v>0</v>
      </c>
      <c r="EJ373" s="18">
        <f t="shared" si="2110"/>
        <v>0</v>
      </c>
      <c r="EK373" s="24">
        <f t="shared" si="2153"/>
        <v>0.16666666666666666</v>
      </c>
      <c r="EL373" s="14">
        <f>IF(EE348=0,0,EH373/EE348)</f>
        <v>0</v>
      </c>
      <c r="EM373" s="14" t="str">
        <f>IF(EF348=0,"",EI373/EF348)</f>
        <v/>
      </c>
      <c r="EN373" s="14">
        <f t="shared" si="2158"/>
        <v>0</v>
      </c>
      <c r="EO373" s="46" t="str">
        <f t="shared" si="2159"/>
        <v>Æ</v>
      </c>
      <c r="EP373" s="46" t="str">
        <f t="shared" si="2160"/>
        <v>Æ</v>
      </c>
      <c r="EQ373" s="24" t="str">
        <f>IF(EJ348&lt;&gt;0,EM373/EJ348,"N/A")</f>
        <v>N/A</v>
      </c>
      <c r="ER373" s="2">
        <f>IF(EM373&gt;=0.9,1,IF(EM373&gt;0.75,2,3))</f>
        <v>1</v>
      </c>
      <c r="ES373" s="2">
        <f>IF(EN373="","",IF(EN373&gt;=0.9,1,IF(EN373&lt;0.75,3,2)))</f>
        <v>3</v>
      </c>
    </row>
    <row r="374" spans="1:149" ht="12.75" customHeight="1">
      <c r="A374" s="6" t="s">
        <v>23</v>
      </c>
      <c r="B374" s="324" t="s">
        <v>202</v>
      </c>
      <c r="C374" s="3" t="s">
        <v>70</v>
      </c>
      <c r="E374" s="3" t="s">
        <v>15</v>
      </c>
      <c r="G374" s="3" t="s">
        <v>91</v>
      </c>
      <c r="I374" s="242"/>
      <c r="J374" s="238">
        <v>0</v>
      </c>
      <c r="K374" s="238">
        <v>0</v>
      </c>
      <c r="L374" s="238">
        <v>0</v>
      </c>
      <c r="M374" s="238">
        <v>0</v>
      </c>
      <c r="N374" s="238">
        <v>0</v>
      </c>
      <c r="O374" s="19">
        <v>2</v>
      </c>
      <c r="P374" s="19">
        <v>2</v>
      </c>
      <c r="Q374" s="19">
        <v>2</v>
      </c>
      <c r="R374" s="246">
        <v>2</v>
      </c>
      <c r="S374" s="19">
        <v>2</v>
      </c>
      <c r="T374" s="19">
        <v>2</v>
      </c>
      <c r="U374" s="19">
        <v>4</v>
      </c>
      <c r="V374" s="31">
        <v>0</v>
      </c>
      <c r="W374" s="19">
        <v>0</v>
      </c>
      <c r="X374" s="19">
        <v>0</v>
      </c>
      <c r="Y374" s="351">
        <v>0</v>
      </c>
      <c r="Z374" s="19">
        <v>0</v>
      </c>
      <c r="AA374" s="19">
        <v>0</v>
      </c>
      <c r="AB374" s="19">
        <v>3</v>
      </c>
      <c r="AC374" s="19">
        <v>3</v>
      </c>
      <c r="AD374" s="19">
        <v>3</v>
      </c>
      <c r="AE374" s="19">
        <v>3</v>
      </c>
      <c r="AF374" s="19">
        <v>3</v>
      </c>
      <c r="AG374" s="19">
        <v>4</v>
      </c>
      <c r="AH374" s="31"/>
      <c r="AI374" s="19"/>
      <c r="AJ374" s="19"/>
      <c r="AK374" s="408"/>
      <c r="AL374" s="40">
        <f t="shared" si="2143"/>
        <v>0</v>
      </c>
      <c r="AM374" s="40">
        <f t="shared" si="2201"/>
        <v>0</v>
      </c>
      <c r="AN374" s="40">
        <f t="shared" si="2164"/>
        <v>0</v>
      </c>
      <c r="AO374" s="40">
        <f t="shared" si="2165"/>
        <v>0</v>
      </c>
      <c r="AP374" s="40">
        <f t="shared" ref="AP374:AW374" si="2205">N374-M374</f>
        <v>0</v>
      </c>
      <c r="AQ374" s="40">
        <f t="shared" si="2205"/>
        <v>2</v>
      </c>
      <c r="AR374" s="40">
        <f t="shared" si="2205"/>
        <v>0</v>
      </c>
      <c r="AS374" s="40">
        <f t="shared" si="2205"/>
        <v>0</v>
      </c>
      <c r="AT374" s="40">
        <f t="shared" si="2205"/>
        <v>0</v>
      </c>
      <c r="AU374" s="40">
        <f t="shared" si="2205"/>
        <v>0</v>
      </c>
      <c r="AV374" s="40">
        <f t="shared" si="2205"/>
        <v>0</v>
      </c>
      <c r="AW374" s="40">
        <f t="shared" si="2205"/>
        <v>2</v>
      </c>
      <c r="AX374" s="40">
        <f t="shared" si="2144"/>
        <v>0</v>
      </c>
      <c r="AY374" s="40">
        <f t="shared" ref="AY374:BL375" si="2206">W374-V374</f>
        <v>0</v>
      </c>
      <c r="AZ374" s="40">
        <f t="shared" si="2206"/>
        <v>0</v>
      </c>
      <c r="BA374" s="40">
        <f t="shared" si="2206"/>
        <v>0</v>
      </c>
      <c r="BB374" s="40">
        <f t="shared" si="2206"/>
        <v>0</v>
      </c>
      <c r="BC374" s="40">
        <f t="shared" si="2206"/>
        <v>0</v>
      </c>
      <c r="BD374" s="40">
        <f t="shared" si="2206"/>
        <v>3</v>
      </c>
      <c r="BE374" s="40">
        <f t="shared" si="2206"/>
        <v>0</v>
      </c>
      <c r="BF374" s="40">
        <f t="shared" si="2206"/>
        <v>0</v>
      </c>
      <c r="BG374" s="40">
        <f t="shared" si="2206"/>
        <v>0</v>
      </c>
      <c r="BH374" s="40">
        <f t="shared" si="2206"/>
        <v>0</v>
      </c>
      <c r="BI374" s="40">
        <f t="shared" si="2206"/>
        <v>1</v>
      </c>
      <c r="BJ374" s="40">
        <f t="shared" si="2206"/>
        <v>-4</v>
      </c>
      <c r="BK374" s="40">
        <f t="shared" si="2206"/>
        <v>0</v>
      </c>
      <c r="BL374" s="40">
        <f t="shared" si="2206"/>
        <v>0</v>
      </c>
      <c r="BM374" s="408"/>
      <c r="BN374" s="48">
        <f t="shared" si="2116"/>
        <v>0</v>
      </c>
      <c r="BO374" s="48">
        <f t="shared" si="2117"/>
        <v>0</v>
      </c>
      <c r="BP374" s="48">
        <f>SUM(AL374:AN374)</f>
        <v>0</v>
      </c>
      <c r="BQ374" s="48">
        <f t="shared" si="2119"/>
        <v>2</v>
      </c>
      <c r="BR374" s="48">
        <f t="shared" si="2120"/>
        <v>2</v>
      </c>
      <c r="BS374" s="48">
        <f>SUM(AO374:AQ374)</f>
        <v>2</v>
      </c>
      <c r="BT374" s="48">
        <f t="shared" si="2122"/>
        <v>0</v>
      </c>
      <c r="BU374" s="48">
        <f t="shared" si="2123"/>
        <v>0</v>
      </c>
      <c r="BV374" s="48">
        <f>SUM(AR374:AT374)</f>
        <v>0</v>
      </c>
      <c r="BW374" s="48">
        <f t="shared" si="2125"/>
        <v>2</v>
      </c>
      <c r="BX374" s="48">
        <f t="shared" si="2126"/>
        <v>2</v>
      </c>
      <c r="BY374" s="48">
        <f>SUM(AU374:AW374)</f>
        <v>2</v>
      </c>
      <c r="BZ374" s="48">
        <f t="shared" si="2128"/>
        <v>0</v>
      </c>
      <c r="CA374" s="48">
        <f t="shared" si="2129"/>
        <v>0</v>
      </c>
      <c r="CB374" s="48">
        <f>SUM(AX374:AZ374)</f>
        <v>0</v>
      </c>
      <c r="CC374" s="48">
        <f t="shared" si="2131"/>
        <v>0</v>
      </c>
      <c r="CD374" s="48">
        <f t="shared" si="2132"/>
        <v>0</v>
      </c>
      <c r="CE374" s="48">
        <f>SUM(BA374:BC374)</f>
        <v>0</v>
      </c>
      <c r="CF374" s="48">
        <f t="shared" si="2134"/>
        <v>3</v>
      </c>
      <c r="CG374" s="48">
        <f t="shared" si="2135"/>
        <v>3</v>
      </c>
      <c r="CH374" s="48">
        <f>SUM(BD374:BF374)</f>
        <v>3</v>
      </c>
      <c r="CI374" s="48">
        <f t="shared" si="2137"/>
        <v>1</v>
      </c>
      <c r="CJ374" s="48">
        <f t="shared" si="2138"/>
        <v>1</v>
      </c>
      <c r="CK374" s="48">
        <f>SUM(BG374:BI374)</f>
        <v>1</v>
      </c>
      <c r="CL374" s="48">
        <f t="shared" si="2140"/>
        <v>-4</v>
      </c>
      <c r="CM374" s="48">
        <f t="shared" si="2141"/>
        <v>-4</v>
      </c>
      <c r="CN374" s="48">
        <f>SUM(BJ374:BL374)</f>
        <v>-4</v>
      </c>
      <c r="CO374" s="406"/>
      <c r="CP374" s="48">
        <f t="shared" si="2202"/>
        <v>0</v>
      </c>
      <c r="CQ374" s="48">
        <f t="shared" si="2203"/>
        <v>0</v>
      </c>
      <c r="CR374" s="48">
        <f t="shared" si="2177"/>
        <v>0</v>
      </c>
      <c r="CS374" s="48">
        <f t="shared" si="2178"/>
        <v>0</v>
      </c>
      <c r="CT374" s="48">
        <f t="shared" si="2179"/>
        <v>0</v>
      </c>
      <c r="CU374" s="48">
        <f t="shared" si="2180"/>
        <v>2</v>
      </c>
      <c r="CV374" s="48">
        <f t="shared" si="2181"/>
        <v>2</v>
      </c>
      <c r="CW374" s="48">
        <f t="shared" si="2182"/>
        <v>2</v>
      </c>
      <c r="CX374" s="48">
        <f t="shared" si="2183"/>
        <v>2</v>
      </c>
      <c r="CY374" s="48">
        <f t="shared" si="2184"/>
        <v>2</v>
      </c>
      <c r="CZ374" s="48">
        <f t="shared" si="2185"/>
        <v>2</v>
      </c>
      <c r="DA374" s="48">
        <f t="shared" si="2186"/>
        <v>4</v>
      </c>
      <c r="DB374" s="48">
        <f t="shared" si="2204"/>
        <v>0</v>
      </c>
      <c r="DC374" s="48">
        <f t="shared" si="2187"/>
        <v>0</v>
      </c>
      <c r="DD374" s="48">
        <f t="shared" si="2188"/>
        <v>0</v>
      </c>
      <c r="DE374" s="48">
        <f t="shared" si="2189"/>
        <v>0</v>
      </c>
      <c r="DF374" s="48">
        <f t="shared" si="2190"/>
        <v>0</v>
      </c>
      <c r="DG374" s="48">
        <f t="shared" si="2191"/>
        <v>0</v>
      </c>
      <c r="DH374" s="48">
        <f t="shared" si="2192"/>
        <v>3</v>
      </c>
      <c r="DI374" s="48">
        <f t="shared" si="2193"/>
        <v>3</v>
      </c>
      <c r="DJ374" s="48">
        <f t="shared" si="2194"/>
        <v>3</v>
      </c>
      <c r="DK374" s="48">
        <f t="shared" si="2195"/>
        <v>3</v>
      </c>
      <c r="DL374" s="48">
        <f t="shared" si="2196"/>
        <v>3</v>
      </c>
      <c r="DM374" s="48">
        <f t="shared" si="2197"/>
        <v>4</v>
      </c>
      <c r="DN374" s="48">
        <f>DM374+BJ374</f>
        <v>0</v>
      </c>
      <c r="DO374" s="48">
        <f t="shared" si="2199"/>
        <v>0</v>
      </c>
      <c r="DP374" s="48">
        <f t="shared" si="2200"/>
        <v>0</v>
      </c>
      <c r="DQ374" s="48"/>
      <c r="DR374" s="48"/>
      <c r="DS374" s="48"/>
      <c r="DT374" s="48"/>
      <c r="DU374" s="48"/>
      <c r="DV374" s="48"/>
      <c r="DW374" s="48"/>
      <c r="DX374" s="48"/>
      <c r="DY374" s="48"/>
      <c r="ED374" s="429"/>
      <c r="EE374" s="23"/>
      <c r="EF374" s="23"/>
      <c r="EG374" s="23"/>
      <c r="EH374" s="18">
        <f t="shared" si="2108"/>
        <v>0</v>
      </c>
      <c r="EI374" s="18">
        <f t="shared" si="2109"/>
        <v>-4</v>
      </c>
      <c r="EJ374" s="18">
        <f t="shared" si="2110"/>
        <v>0</v>
      </c>
      <c r="EK374" s="24">
        <f>IF(EK332&lt;6,0.5,IF(AND(EK332&gt;=6,EK332&lt;12),0.5,1))</f>
        <v>0.5</v>
      </c>
      <c r="EL374" s="14">
        <f>IF(EE349=0,0,EH374/EE349)</f>
        <v>0</v>
      </c>
      <c r="EM374" s="14">
        <f>IF(EF349=0,0,EI374/EF349)</f>
        <v>1</v>
      </c>
      <c r="EN374" s="14">
        <f>IF(EG349="","",EJ374/EG349)</f>
        <v>0</v>
      </c>
      <c r="EO374" s="46" t="str">
        <f t="shared" si="2159"/>
        <v>Æ</v>
      </c>
      <c r="EP374" s="46">
        <f t="shared" si="2160"/>
        <v>0</v>
      </c>
      <c r="EQ374" s="24" t="str">
        <f>IF(EJ349&lt;&gt;0,EM374/EJ349,"N/A")</f>
        <v>N/A</v>
      </c>
      <c r="ER374" s="24" t="str">
        <f>IF(EK349&lt;&gt;0,EN374/EK349,"N/A")</f>
        <v>N/A</v>
      </c>
      <c r="ES374" s="2">
        <f>IF(EN374="","",IF(EN374&gt;=0.9,1,IF(EN374&lt;0.75,3,2)))</f>
        <v>3</v>
      </c>
    </row>
    <row r="375" spans="1:149" ht="12.75" customHeight="1">
      <c r="A375" s="6" t="s">
        <v>23</v>
      </c>
      <c r="B375" s="2" t="s">
        <v>13</v>
      </c>
      <c r="C375" s="3" t="s">
        <v>71</v>
      </c>
      <c r="E375" s="3" t="s">
        <v>15</v>
      </c>
      <c r="G375" s="3" t="s">
        <v>91</v>
      </c>
      <c r="I375" s="242"/>
      <c r="J375" s="238">
        <v>0</v>
      </c>
      <c r="K375" s="238">
        <v>0</v>
      </c>
      <c r="L375" s="238">
        <v>11748</v>
      </c>
      <c r="M375" s="238">
        <v>11748</v>
      </c>
      <c r="N375" s="238">
        <v>11748</v>
      </c>
      <c r="O375" s="19">
        <v>11748.6</v>
      </c>
      <c r="P375" s="263">
        <v>26006.21</v>
      </c>
      <c r="Q375" s="263">
        <f>P375</f>
        <v>26006.21</v>
      </c>
      <c r="R375" s="263">
        <f>Q375</f>
        <v>26006.21</v>
      </c>
      <c r="S375" s="19">
        <v>26006</v>
      </c>
      <c r="T375" s="19">
        <v>26006</v>
      </c>
      <c r="U375" s="19">
        <v>26006</v>
      </c>
      <c r="V375" s="31">
        <v>0</v>
      </c>
      <c r="W375" s="19">
        <v>0</v>
      </c>
      <c r="X375" s="19">
        <v>0</v>
      </c>
      <c r="Y375" s="351">
        <v>0</v>
      </c>
      <c r="Z375" s="19">
        <v>0</v>
      </c>
      <c r="AA375" s="19">
        <v>0</v>
      </c>
      <c r="AB375" s="263">
        <v>42017.9</v>
      </c>
      <c r="AC375" s="19">
        <v>0</v>
      </c>
      <c r="AD375" s="19">
        <v>0</v>
      </c>
      <c r="AE375" s="19">
        <v>0</v>
      </c>
      <c r="AF375" s="19">
        <v>0</v>
      </c>
      <c r="AG375" s="19"/>
      <c r="AH375" s="404">
        <v>17743.86</v>
      </c>
      <c r="AI375" s="19"/>
      <c r="AJ375" s="19"/>
      <c r="AK375" s="408"/>
      <c r="AL375" s="19">
        <f t="shared" si="2143"/>
        <v>0</v>
      </c>
      <c r="AM375" s="19"/>
      <c r="AN375" s="19"/>
      <c r="AO375" s="19"/>
      <c r="AP375" s="19"/>
      <c r="AQ375" s="19">
        <f t="shared" si="2167"/>
        <v>0.6000000000003638</v>
      </c>
      <c r="AR375" s="19">
        <f t="shared" si="2087"/>
        <v>14257.609999999999</v>
      </c>
      <c r="AS375" s="19">
        <f t="shared" si="2088"/>
        <v>0</v>
      </c>
      <c r="AT375" s="19"/>
      <c r="AU375" s="19"/>
      <c r="AV375" s="19">
        <f t="shared" si="2091"/>
        <v>0</v>
      </c>
      <c r="AW375" s="19">
        <f t="shared" si="2092"/>
        <v>0</v>
      </c>
      <c r="AX375" s="19">
        <f t="shared" si="2144"/>
        <v>0</v>
      </c>
      <c r="AY375" s="19">
        <f t="shared" si="2093"/>
        <v>0</v>
      </c>
      <c r="AZ375" s="19">
        <f t="shared" si="2094"/>
        <v>0</v>
      </c>
      <c r="BA375" s="19">
        <f t="shared" si="2145"/>
        <v>0</v>
      </c>
      <c r="BB375" s="19">
        <f t="shared" si="2206"/>
        <v>0</v>
      </c>
      <c r="BC375" s="19">
        <f t="shared" si="2206"/>
        <v>0</v>
      </c>
      <c r="BD375" s="19">
        <f t="shared" si="2206"/>
        <v>42017.9</v>
      </c>
      <c r="BE375" s="19"/>
      <c r="BF375" s="19">
        <f t="shared" si="2206"/>
        <v>0</v>
      </c>
      <c r="BG375" s="19">
        <f t="shared" si="2206"/>
        <v>0</v>
      </c>
      <c r="BH375" s="19">
        <f t="shared" si="2206"/>
        <v>0</v>
      </c>
      <c r="BI375" s="19">
        <f t="shared" si="2206"/>
        <v>0</v>
      </c>
      <c r="BJ375" s="19"/>
      <c r="BK375" s="19"/>
      <c r="BL375" s="19"/>
      <c r="BM375" s="408"/>
      <c r="BN375" s="40" t="s">
        <v>97</v>
      </c>
      <c r="BO375" s="40" t="s">
        <v>97</v>
      </c>
      <c r="BP375" s="40" t="s">
        <v>97</v>
      </c>
      <c r="BQ375" s="40" t="s">
        <v>97</v>
      </c>
      <c r="BR375" s="40" t="s">
        <v>97</v>
      </c>
      <c r="BS375" s="40" t="s">
        <v>97</v>
      </c>
      <c r="BT375" s="40" t="s">
        <v>97</v>
      </c>
      <c r="BU375" s="40" t="s">
        <v>97</v>
      </c>
      <c r="BV375" s="40" t="s">
        <v>97</v>
      </c>
      <c r="BW375" s="40" t="s">
        <v>97</v>
      </c>
      <c r="BX375" s="40" t="s">
        <v>97</v>
      </c>
      <c r="BY375" s="40" t="s">
        <v>97</v>
      </c>
      <c r="BZ375" s="40" t="s">
        <v>97</v>
      </c>
      <c r="CA375" s="40" t="s">
        <v>97</v>
      </c>
      <c r="CB375" s="40" t="s">
        <v>97</v>
      </c>
      <c r="CC375" s="40" t="s">
        <v>97</v>
      </c>
      <c r="CD375" s="40" t="s">
        <v>97</v>
      </c>
      <c r="CE375" s="40" t="s">
        <v>97</v>
      </c>
      <c r="CF375" s="40" t="s">
        <v>97</v>
      </c>
      <c r="CG375" s="40" t="s">
        <v>97</v>
      </c>
      <c r="CH375" s="40" t="s">
        <v>97</v>
      </c>
      <c r="CI375" s="40" t="s">
        <v>97</v>
      </c>
      <c r="CJ375" s="40" t="s">
        <v>97</v>
      </c>
      <c r="CK375" s="40" t="s">
        <v>97</v>
      </c>
      <c r="CL375" s="40" t="s">
        <v>97</v>
      </c>
      <c r="CM375" s="40" t="s">
        <v>97</v>
      </c>
      <c r="CN375" s="40" t="s">
        <v>97</v>
      </c>
      <c r="CO375" s="408"/>
      <c r="CP375" s="21">
        <f t="shared" ref="CP375:CY376" si="2207">J375</f>
        <v>0</v>
      </c>
      <c r="CQ375" s="21">
        <f t="shared" si="2207"/>
        <v>0</v>
      </c>
      <c r="CR375" s="21">
        <f t="shared" si="2207"/>
        <v>11748</v>
      </c>
      <c r="CS375" s="21">
        <f t="shared" si="2207"/>
        <v>11748</v>
      </c>
      <c r="CT375" s="21">
        <f t="shared" si="2207"/>
        <v>11748</v>
      </c>
      <c r="CU375" s="21">
        <f t="shared" si="2207"/>
        <v>11748.6</v>
      </c>
      <c r="CV375" s="21">
        <f t="shared" si="2207"/>
        <v>26006.21</v>
      </c>
      <c r="CW375" s="21">
        <f t="shared" si="2207"/>
        <v>26006.21</v>
      </c>
      <c r="CX375" s="21">
        <f t="shared" si="2207"/>
        <v>26006.21</v>
      </c>
      <c r="CY375" s="21">
        <f t="shared" si="2207"/>
        <v>26006</v>
      </c>
      <c r="CZ375" s="21">
        <f t="shared" ref="CZ375:DI376" si="2208">T375</f>
        <v>26006</v>
      </c>
      <c r="DA375" s="21">
        <f t="shared" si="2208"/>
        <v>26006</v>
      </c>
      <c r="DB375" s="21">
        <f t="shared" si="2208"/>
        <v>0</v>
      </c>
      <c r="DC375" s="21">
        <f t="shared" si="2208"/>
        <v>0</v>
      </c>
      <c r="DD375" s="21">
        <f t="shared" si="2208"/>
        <v>0</v>
      </c>
      <c r="DE375" s="21">
        <f t="shared" si="2208"/>
        <v>0</v>
      </c>
      <c r="DF375" s="21">
        <f t="shared" si="2208"/>
        <v>0</v>
      </c>
      <c r="DG375" s="21">
        <f t="shared" si="2208"/>
        <v>0</v>
      </c>
      <c r="DH375" s="21">
        <f t="shared" si="2208"/>
        <v>42017.9</v>
      </c>
      <c r="DI375" s="21">
        <f t="shared" si="2208"/>
        <v>0</v>
      </c>
      <c r="DJ375" s="21">
        <f t="shared" ref="DJ375:DP376" si="2209">AD375</f>
        <v>0</v>
      </c>
      <c r="DK375" s="21">
        <f t="shared" si="2209"/>
        <v>0</v>
      </c>
      <c r="DL375" s="21">
        <f t="shared" si="2209"/>
        <v>0</v>
      </c>
      <c r="DM375" s="21">
        <f t="shared" si="2209"/>
        <v>0</v>
      </c>
      <c r="DN375" s="21">
        <f t="shared" si="2209"/>
        <v>17743.86</v>
      </c>
      <c r="DO375" s="21">
        <f t="shared" si="2209"/>
        <v>0</v>
      </c>
      <c r="DP375" s="21">
        <f t="shared" si="2209"/>
        <v>0</v>
      </c>
      <c r="DQ375" s="248"/>
      <c r="DR375" s="248"/>
      <c r="DS375" s="248"/>
      <c r="DT375" s="248"/>
      <c r="DU375" s="248"/>
      <c r="DV375" s="248"/>
      <c r="DW375" s="248"/>
      <c r="DX375" s="248"/>
      <c r="DY375" s="248"/>
      <c r="ED375" s="429"/>
      <c r="EE375" s="23"/>
      <c r="EF375" s="23"/>
      <c r="EG375" s="23"/>
      <c r="EH375" s="24" t="s">
        <v>97</v>
      </c>
      <c r="EI375" s="24" t="s">
        <v>97</v>
      </c>
      <c r="EJ375" s="18">
        <f t="shared" si="2110"/>
        <v>0</v>
      </c>
      <c r="EK375" s="24">
        <f t="shared" si="2153"/>
        <v>0.16666666666666666</v>
      </c>
      <c r="EL375" s="24" t="s">
        <v>97</v>
      </c>
      <c r="EM375" s="24" t="s">
        <v>97</v>
      </c>
      <c r="EN375" s="24">
        <f>EJ375/EG350</f>
        <v>0</v>
      </c>
      <c r="EO375" s="46" t="str">
        <f t="shared" si="2159"/>
        <v>Æ</v>
      </c>
      <c r="EP375" s="46" t="str">
        <f t="shared" si="2160"/>
        <v>Æ</v>
      </c>
      <c r="EQ375" s="24" t="s">
        <v>97</v>
      </c>
      <c r="ER375" s="24" t="s">
        <v>97</v>
      </c>
      <c r="ES375" s="2">
        <f>IF(EN375&gt;=0.9,1,IF(EN375&lt;0.75,2,3))</f>
        <v>2</v>
      </c>
    </row>
    <row r="376" spans="1:149" ht="12.75" customHeight="1" thickBot="1">
      <c r="A376" s="6" t="s">
        <v>23</v>
      </c>
      <c r="B376" s="2" t="s">
        <v>14</v>
      </c>
      <c r="C376" s="3" t="s">
        <v>72</v>
      </c>
      <c r="E376" s="3" t="s">
        <v>15</v>
      </c>
      <c r="G376" s="3" t="s">
        <v>91</v>
      </c>
      <c r="I376" s="242"/>
      <c r="J376" s="238">
        <v>0</v>
      </c>
      <c r="K376" s="238">
        <v>0</v>
      </c>
      <c r="L376" s="238">
        <v>21149</v>
      </c>
      <c r="M376" s="238">
        <v>21149</v>
      </c>
      <c r="N376" s="238">
        <v>21149</v>
      </c>
      <c r="O376" s="19">
        <f>13535.4+7613.66</f>
        <v>21149.059999999998</v>
      </c>
      <c r="P376" s="263">
        <f>28552.81+16060.95</f>
        <v>44613.760000000002</v>
      </c>
      <c r="Q376" s="263">
        <f>P376</f>
        <v>44613.760000000002</v>
      </c>
      <c r="R376" s="263">
        <f>Q376</f>
        <v>44613.760000000002</v>
      </c>
      <c r="S376" s="19">
        <v>44614</v>
      </c>
      <c r="T376" s="19">
        <v>44614</v>
      </c>
      <c r="U376" s="19">
        <v>44614</v>
      </c>
      <c r="V376" s="34">
        <v>0</v>
      </c>
      <c r="W376" s="19">
        <v>0</v>
      </c>
      <c r="X376" s="19">
        <v>0</v>
      </c>
      <c r="Y376" s="351">
        <v>0</v>
      </c>
      <c r="Z376" s="19">
        <v>0</v>
      </c>
      <c r="AA376" s="19">
        <v>0</v>
      </c>
      <c r="AB376" s="263">
        <v>83579.5</v>
      </c>
      <c r="AC376" s="19">
        <v>0</v>
      </c>
      <c r="AD376" s="19">
        <v>0</v>
      </c>
      <c r="AE376" s="19">
        <v>0</v>
      </c>
      <c r="AF376" s="19">
        <v>0</v>
      </c>
      <c r="AG376" s="19"/>
      <c r="AH376" s="387">
        <f>25699.22+14812.81</f>
        <v>40512.03</v>
      </c>
      <c r="AI376" s="19"/>
      <c r="AJ376" s="19"/>
      <c r="AK376" s="408"/>
      <c r="AL376" s="19">
        <f t="shared" si="2143"/>
        <v>0</v>
      </c>
      <c r="AM376" s="19"/>
      <c r="AN376" s="19"/>
      <c r="AO376" s="19"/>
      <c r="AP376" s="19"/>
      <c r="AQ376" s="19">
        <f t="shared" si="2167"/>
        <v>5.9999999997671694E-2</v>
      </c>
      <c r="AR376" s="19">
        <f t="shared" si="2087"/>
        <v>23464.700000000004</v>
      </c>
      <c r="AS376" s="19">
        <f t="shared" si="2088"/>
        <v>0</v>
      </c>
      <c r="AT376" s="19"/>
      <c r="AU376" s="19"/>
      <c r="AV376" s="19">
        <f t="shared" si="2091"/>
        <v>0</v>
      </c>
      <c r="AW376" s="19">
        <f t="shared" si="2092"/>
        <v>0</v>
      </c>
      <c r="AX376" s="19">
        <f t="shared" si="2144"/>
        <v>0</v>
      </c>
      <c r="AY376" s="19">
        <f t="shared" si="2093"/>
        <v>0</v>
      </c>
      <c r="AZ376" s="19">
        <f t="shared" si="2094"/>
        <v>0</v>
      </c>
      <c r="BA376" s="19">
        <f t="shared" si="2145"/>
        <v>0</v>
      </c>
      <c r="BB376" s="19"/>
      <c r="BC376" s="19"/>
      <c r="BD376" s="19"/>
      <c r="BE376" s="19"/>
      <c r="BF376" s="19"/>
      <c r="BG376" s="19"/>
      <c r="BH376" s="19"/>
      <c r="BI376" s="19"/>
      <c r="BJ376" s="19"/>
      <c r="BK376" s="19"/>
      <c r="BL376" s="19"/>
      <c r="BM376" s="408"/>
      <c r="BN376" s="40" t="s">
        <v>97</v>
      </c>
      <c r="BO376" s="40" t="s">
        <v>97</v>
      </c>
      <c r="BP376" s="40" t="s">
        <v>97</v>
      </c>
      <c r="BQ376" s="40" t="s">
        <v>97</v>
      </c>
      <c r="BR376" s="40" t="s">
        <v>97</v>
      </c>
      <c r="BS376" s="40" t="s">
        <v>97</v>
      </c>
      <c r="BT376" s="40" t="s">
        <v>97</v>
      </c>
      <c r="BU376" s="40" t="s">
        <v>97</v>
      </c>
      <c r="BV376" s="40" t="s">
        <v>97</v>
      </c>
      <c r="BW376" s="40" t="s">
        <v>97</v>
      </c>
      <c r="BX376" s="40" t="s">
        <v>97</v>
      </c>
      <c r="BY376" s="40" t="s">
        <v>97</v>
      </c>
      <c r="BZ376" s="40" t="s">
        <v>97</v>
      </c>
      <c r="CA376" s="40" t="s">
        <v>97</v>
      </c>
      <c r="CB376" s="40" t="s">
        <v>97</v>
      </c>
      <c r="CC376" s="40" t="s">
        <v>97</v>
      </c>
      <c r="CD376" s="40" t="s">
        <v>97</v>
      </c>
      <c r="CE376" s="40" t="s">
        <v>97</v>
      </c>
      <c r="CF376" s="40" t="s">
        <v>97</v>
      </c>
      <c r="CG376" s="40" t="s">
        <v>97</v>
      </c>
      <c r="CH376" s="40" t="s">
        <v>97</v>
      </c>
      <c r="CI376" s="40" t="s">
        <v>97</v>
      </c>
      <c r="CJ376" s="40" t="s">
        <v>97</v>
      </c>
      <c r="CK376" s="40" t="s">
        <v>97</v>
      </c>
      <c r="CL376" s="40" t="s">
        <v>97</v>
      </c>
      <c r="CM376" s="40" t="s">
        <v>97</v>
      </c>
      <c r="CN376" s="40" t="s">
        <v>97</v>
      </c>
      <c r="CO376" s="408"/>
      <c r="CP376" s="21">
        <f t="shared" si="2207"/>
        <v>0</v>
      </c>
      <c r="CQ376" s="21">
        <f t="shared" si="2207"/>
        <v>0</v>
      </c>
      <c r="CR376" s="21">
        <f t="shared" si="2207"/>
        <v>21149</v>
      </c>
      <c r="CS376" s="21">
        <f t="shared" si="2207"/>
        <v>21149</v>
      </c>
      <c r="CT376" s="21">
        <f t="shared" si="2207"/>
        <v>21149</v>
      </c>
      <c r="CU376" s="21">
        <f t="shared" si="2207"/>
        <v>21149.059999999998</v>
      </c>
      <c r="CV376" s="21">
        <f t="shared" si="2207"/>
        <v>44613.760000000002</v>
      </c>
      <c r="CW376" s="21">
        <f t="shared" si="2207"/>
        <v>44613.760000000002</v>
      </c>
      <c r="CX376" s="21">
        <f t="shared" si="2207"/>
        <v>44613.760000000002</v>
      </c>
      <c r="CY376" s="21">
        <f t="shared" si="2207"/>
        <v>44614</v>
      </c>
      <c r="CZ376" s="21">
        <f t="shared" si="2208"/>
        <v>44614</v>
      </c>
      <c r="DA376" s="21">
        <f t="shared" si="2208"/>
        <v>44614</v>
      </c>
      <c r="DB376" s="21">
        <f t="shared" si="2208"/>
        <v>0</v>
      </c>
      <c r="DC376" s="21">
        <f t="shared" si="2208"/>
        <v>0</v>
      </c>
      <c r="DD376" s="21">
        <f t="shared" si="2208"/>
        <v>0</v>
      </c>
      <c r="DE376" s="21">
        <f t="shared" si="2208"/>
        <v>0</v>
      </c>
      <c r="DF376" s="21">
        <f t="shared" si="2208"/>
        <v>0</v>
      </c>
      <c r="DG376" s="21">
        <f t="shared" si="2208"/>
        <v>0</v>
      </c>
      <c r="DH376" s="21">
        <f t="shared" si="2208"/>
        <v>83579.5</v>
      </c>
      <c r="DI376" s="21">
        <f t="shared" si="2208"/>
        <v>0</v>
      </c>
      <c r="DJ376" s="21">
        <f t="shared" si="2209"/>
        <v>0</v>
      </c>
      <c r="DK376" s="21">
        <f t="shared" si="2209"/>
        <v>0</v>
      </c>
      <c r="DL376" s="21">
        <f t="shared" si="2209"/>
        <v>0</v>
      </c>
      <c r="DM376" s="21">
        <f t="shared" si="2209"/>
        <v>0</v>
      </c>
      <c r="DN376" s="21">
        <f t="shared" si="2209"/>
        <v>40512.03</v>
      </c>
      <c r="DO376" s="21">
        <f t="shared" si="2209"/>
        <v>0</v>
      </c>
      <c r="DP376" s="21">
        <f t="shared" si="2209"/>
        <v>0</v>
      </c>
      <c r="DQ376" s="248"/>
      <c r="DR376" s="248"/>
      <c r="DS376" s="248"/>
      <c r="DT376" s="248"/>
      <c r="DU376" s="248"/>
      <c r="DV376" s="248"/>
      <c r="DW376" s="248"/>
      <c r="DX376" s="248"/>
      <c r="DY376" s="248"/>
      <c r="ED376" s="429"/>
      <c r="EE376" s="23"/>
      <c r="EF376" s="23"/>
      <c r="EG376" s="23"/>
      <c r="EH376" s="24" t="s">
        <v>97</v>
      </c>
      <c r="EI376" s="24" t="s">
        <v>97</v>
      </c>
      <c r="EJ376" s="18">
        <f t="shared" si="2110"/>
        <v>0</v>
      </c>
      <c r="EK376" s="24">
        <f t="shared" si="2153"/>
        <v>0.16666666666666666</v>
      </c>
      <c r="EL376" s="24" t="s">
        <v>97</v>
      </c>
      <c r="EM376" s="24" t="s">
        <v>97</v>
      </c>
      <c r="EN376" s="24">
        <f>EJ376/EG351</f>
        <v>0</v>
      </c>
      <c r="EO376" s="46" t="str">
        <f t="shared" si="2159"/>
        <v>Æ</v>
      </c>
      <c r="EP376" s="46" t="str">
        <f t="shared" si="2160"/>
        <v>Æ</v>
      </c>
      <c r="EQ376" s="24" t="s">
        <v>97</v>
      </c>
      <c r="ER376" s="24" t="s">
        <v>97</v>
      </c>
      <c r="ES376" s="2">
        <f>IF(EN376&gt;=0.9,1,IF(EN376&lt;0.75,2,3))</f>
        <v>2</v>
      </c>
    </row>
    <row r="377" spans="1:149" ht="12.75" customHeight="1">
      <c r="A377" s="6" t="s">
        <v>23</v>
      </c>
      <c r="B377" s="2" t="s">
        <v>0</v>
      </c>
      <c r="C377" s="3" t="s">
        <v>59</v>
      </c>
      <c r="E377" s="3" t="s">
        <v>16</v>
      </c>
      <c r="G377" s="28" t="s">
        <v>92</v>
      </c>
      <c r="H377" s="28"/>
      <c r="I377" s="29"/>
      <c r="J377" s="30">
        <f t="shared" ref="J377:U377" si="2210">IF(J364&lt;&gt;"",+J364-I364,"")</f>
        <v>32</v>
      </c>
      <c r="K377" s="30">
        <f t="shared" si="2210"/>
        <v>19</v>
      </c>
      <c r="L377" s="30">
        <f t="shared" si="2210"/>
        <v>16</v>
      </c>
      <c r="M377" s="30">
        <f t="shared" si="2210"/>
        <v>28</v>
      </c>
      <c r="N377" s="30">
        <f t="shared" si="2210"/>
        <v>18</v>
      </c>
      <c r="O377" s="30">
        <f t="shared" si="2210"/>
        <v>10</v>
      </c>
      <c r="P377" s="30">
        <f t="shared" si="2210"/>
        <v>15</v>
      </c>
      <c r="Q377" s="30">
        <f t="shared" si="2210"/>
        <v>14</v>
      </c>
      <c r="R377" s="30">
        <f t="shared" si="2210"/>
        <v>22</v>
      </c>
      <c r="S377" s="30">
        <f t="shared" si="2210"/>
        <v>23</v>
      </c>
      <c r="T377" s="30">
        <f t="shared" si="2210"/>
        <v>15</v>
      </c>
      <c r="U377" s="30">
        <f t="shared" si="2210"/>
        <v>18</v>
      </c>
      <c r="V377" s="30">
        <f>IF(V357&lt;&gt;"",+V357-U357,"")</f>
        <v>30</v>
      </c>
      <c r="W377" s="30">
        <f>IF(W364&lt;&gt;"",+W364-V364,"")</f>
        <v>16</v>
      </c>
      <c r="X377" s="30">
        <f>IF(X364&lt;&gt;"",+X364-W364,"")</f>
        <v>24</v>
      </c>
      <c r="Y377" s="226">
        <f>IF(Y364&lt;&gt;"",+Y364-X364,0)</f>
        <v>43</v>
      </c>
      <c r="Z377" s="30">
        <f t="shared" ref="Z377:AG378" si="2211">IF(Z364&lt;&gt;"",+Z364-Y364,"")</f>
        <v>22</v>
      </c>
      <c r="AA377" s="30">
        <f t="shared" si="2211"/>
        <v>19</v>
      </c>
      <c r="AB377" s="30">
        <f t="shared" si="2211"/>
        <v>23</v>
      </c>
      <c r="AC377" s="30">
        <f t="shared" si="2211"/>
        <v>21</v>
      </c>
      <c r="AD377" s="30">
        <f t="shared" si="2211"/>
        <v>37</v>
      </c>
      <c r="AE377" s="30">
        <f t="shared" si="2211"/>
        <v>28</v>
      </c>
      <c r="AF377" s="30">
        <f t="shared" si="2211"/>
        <v>24</v>
      </c>
      <c r="AG377" s="30">
        <f t="shared" si="2211"/>
        <v>19</v>
      </c>
      <c r="AH377" s="30">
        <f>IF(AH364&lt;&gt;"",+AH364,"")</f>
        <v>42</v>
      </c>
      <c r="AI377" s="30">
        <f>IF(AI364&lt;&gt;"",+AI364-AH364,"")</f>
        <v>42</v>
      </c>
      <c r="AJ377" s="30" t="str">
        <f>IF(AJ364&lt;&gt;"",+AJ364-AI364,"")</f>
        <v/>
      </c>
      <c r="AK377" s="408"/>
      <c r="AL377" s="48">
        <f t="shared" si="2143"/>
        <v>32</v>
      </c>
      <c r="AM377" s="48">
        <f t="shared" ref="AM377:AV378" si="2212">K377</f>
        <v>19</v>
      </c>
      <c r="AN377" s="48">
        <f t="shared" si="2212"/>
        <v>16</v>
      </c>
      <c r="AO377" s="48">
        <f t="shared" si="2212"/>
        <v>28</v>
      </c>
      <c r="AP377" s="48">
        <f t="shared" si="2212"/>
        <v>18</v>
      </c>
      <c r="AQ377" s="48">
        <f t="shared" si="2212"/>
        <v>10</v>
      </c>
      <c r="AR377" s="48">
        <f t="shared" si="2212"/>
        <v>15</v>
      </c>
      <c r="AS377" s="48">
        <f t="shared" si="2212"/>
        <v>14</v>
      </c>
      <c r="AT377" s="48">
        <f t="shared" si="2212"/>
        <v>22</v>
      </c>
      <c r="AU377" s="48">
        <f t="shared" si="2212"/>
        <v>23</v>
      </c>
      <c r="AV377" s="48">
        <f t="shared" si="2212"/>
        <v>15</v>
      </c>
      <c r="AW377" s="48">
        <f t="shared" ref="AW377:BF378" si="2213">U377</f>
        <v>18</v>
      </c>
      <c r="AX377" s="48">
        <f t="shared" si="2213"/>
        <v>30</v>
      </c>
      <c r="AY377" s="48">
        <f t="shared" si="2213"/>
        <v>16</v>
      </c>
      <c r="AZ377" s="48">
        <f t="shared" si="2213"/>
        <v>24</v>
      </c>
      <c r="BA377" s="48">
        <f t="shared" si="2213"/>
        <v>43</v>
      </c>
      <c r="BB377" s="48">
        <f t="shared" si="2213"/>
        <v>22</v>
      </c>
      <c r="BC377" s="48">
        <f t="shared" si="2213"/>
        <v>19</v>
      </c>
      <c r="BD377" s="48">
        <f t="shared" si="2213"/>
        <v>23</v>
      </c>
      <c r="BE377" s="48">
        <f t="shared" si="2213"/>
        <v>21</v>
      </c>
      <c r="BF377" s="48">
        <f t="shared" si="2213"/>
        <v>37</v>
      </c>
      <c r="BG377" s="48">
        <f t="shared" ref="BG377:BL378" si="2214">AE377</f>
        <v>28</v>
      </c>
      <c r="BH377" s="48">
        <f t="shared" si="2214"/>
        <v>24</v>
      </c>
      <c r="BI377" s="48">
        <f t="shared" si="2214"/>
        <v>19</v>
      </c>
      <c r="BJ377" s="48">
        <f t="shared" si="2214"/>
        <v>42</v>
      </c>
      <c r="BK377" s="48">
        <f t="shared" si="2214"/>
        <v>42</v>
      </c>
      <c r="BL377" s="48" t="str">
        <f t="shared" si="2214"/>
        <v/>
      </c>
      <c r="BM377" s="408"/>
      <c r="BN377" s="48">
        <f>+AL377</f>
        <v>32</v>
      </c>
      <c r="BO377" s="48">
        <f t="shared" ref="BO377:BP379" si="2215">+BN377+AM377</f>
        <v>51</v>
      </c>
      <c r="BP377" s="48">
        <f t="shared" si="2215"/>
        <v>67</v>
      </c>
      <c r="BQ377" s="48">
        <f>+AO377</f>
        <v>28</v>
      </c>
      <c r="BR377" s="48">
        <f t="shared" ref="BR377:BS379" si="2216">+BQ377+AP377</f>
        <v>46</v>
      </c>
      <c r="BS377" s="48">
        <f t="shared" si="2216"/>
        <v>56</v>
      </c>
      <c r="BT377" s="48">
        <f>+AR377</f>
        <v>15</v>
      </c>
      <c r="BU377" s="48">
        <f t="shared" ref="BU377:BV379" si="2217">+BT377+AS377</f>
        <v>29</v>
      </c>
      <c r="BV377" s="48">
        <f t="shared" si="2217"/>
        <v>51</v>
      </c>
      <c r="BW377" s="48">
        <f>+AU377</f>
        <v>23</v>
      </c>
      <c r="BX377" s="48">
        <f t="shared" ref="BX377:BY379" si="2218">+BW377+AV377</f>
        <v>38</v>
      </c>
      <c r="BY377" s="48">
        <f t="shared" si="2218"/>
        <v>56</v>
      </c>
      <c r="BZ377" s="48">
        <f>+AX377</f>
        <v>30</v>
      </c>
      <c r="CA377" s="48">
        <f t="shared" ref="CA377:CB379" si="2219">+BZ377+AY377</f>
        <v>46</v>
      </c>
      <c r="CB377" s="48">
        <f t="shared" si="2219"/>
        <v>70</v>
      </c>
      <c r="CC377" s="48">
        <f>+BA377</f>
        <v>43</v>
      </c>
      <c r="CD377" s="48">
        <f t="shared" ref="CD377:CE379" si="2220">+CC377+BB377</f>
        <v>65</v>
      </c>
      <c r="CE377" s="48">
        <f t="shared" si="2220"/>
        <v>84</v>
      </c>
      <c r="CF377" s="48">
        <f>+BD377</f>
        <v>23</v>
      </c>
      <c r="CG377" s="48">
        <f t="shared" ref="CG377:CH379" si="2221">+CF377+BE377</f>
        <v>44</v>
      </c>
      <c r="CH377" s="48">
        <f t="shared" si="2221"/>
        <v>81</v>
      </c>
      <c r="CI377" s="48">
        <f>+BG377</f>
        <v>28</v>
      </c>
      <c r="CJ377" s="48">
        <f t="shared" ref="CJ377:CK379" si="2222">+CI377+BH377</f>
        <v>52</v>
      </c>
      <c r="CK377" s="48">
        <f t="shared" si="2222"/>
        <v>71</v>
      </c>
      <c r="CL377" s="48">
        <f>+BJ377</f>
        <v>42</v>
      </c>
      <c r="CM377" s="48">
        <f t="shared" ref="CM377:CN379" si="2223">+CL377+BK377</f>
        <v>84</v>
      </c>
      <c r="CN377" s="48" t="e">
        <f t="shared" si="2223"/>
        <v>#VALUE!</v>
      </c>
      <c r="CO377" s="406"/>
      <c r="CP377" s="40">
        <f>AL377</f>
        <v>32</v>
      </c>
      <c r="CQ377" s="40">
        <f t="shared" ref="CQ377:DA378" si="2224">CP377+AM377</f>
        <v>51</v>
      </c>
      <c r="CR377" s="40">
        <f t="shared" si="2224"/>
        <v>67</v>
      </c>
      <c r="CS377" s="40">
        <f t="shared" si="2224"/>
        <v>95</v>
      </c>
      <c r="CT377" s="40">
        <f t="shared" si="2224"/>
        <v>113</v>
      </c>
      <c r="CU377" s="40">
        <f t="shared" si="2224"/>
        <v>123</v>
      </c>
      <c r="CV377" s="40">
        <f t="shared" si="2224"/>
        <v>138</v>
      </c>
      <c r="CW377" s="40">
        <f t="shared" si="2224"/>
        <v>152</v>
      </c>
      <c r="CX377" s="40">
        <f t="shared" si="2224"/>
        <v>174</v>
      </c>
      <c r="CY377" s="40">
        <f t="shared" si="2224"/>
        <v>197</v>
      </c>
      <c r="CZ377" s="40">
        <f t="shared" si="2224"/>
        <v>212</v>
      </c>
      <c r="DA377" s="40">
        <f t="shared" si="2224"/>
        <v>230</v>
      </c>
      <c r="DB377" s="40">
        <f>AX377</f>
        <v>30</v>
      </c>
      <c r="DC377" s="40">
        <f t="shared" ref="DC377:DM378" si="2225">DB377+AY377</f>
        <v>46</v>
      </c>
      <c r="DD377" s="40">
        <f t="shared" si="2225"/>
        <v>70</v>
      </c>
      <c r="DE377" s="40">
        <f t="shared" si="2225"/>
        <v>113</v>
      </c>
      <c r="DF377" s="40">
        <f t="shared" si="2225"/>
        <v>135</v>
      </c>
      <c r="DG377" s="40">
        <f t="shared" si="2225"/>
        <v>154</v>
      </c>
      <c r="DH377" s="40">
        <f t="shared" si="2225"/>
        <v>177</v>
      </c>
      <c r="DI377" s="40">
        <f t="shared" si="2225"/>
        <v>198</v>
      </c>
      <c r="DJ377" s="40">
        <f t="shared" si="2225"/>
        <v>235</v>
      </c>
      <c r="DK377" s="40">
        <f t="shared" si="2225"/>
        <v>263</v>
      </c>
      <c r="DL377" s="40">
        <f t="shared" si="2225"/>
        <v>287</v>
      </c>
      <c r="DM377" s="40">
        <f t="shared" si="2225"/>
        <v>306</v>
      </c>
      <c r="DN377" s="40">
        <f>BJ377</f>
        <v>42</v>
      </c>
      <c r="DO377" s="40">
        <f>DN377+BK377</f>
        <v>84</v>
      </c>
      <c r="DP377" s="40" t="e">
        <f>DO377+BL377</f>
        <v>#VALUE!</v>
      </c>
      <c r="DQ377" s="40"/>
      <c r="DR377" s="40"/>
      <c r="DS377" s="40"/>
      <c r="DT377" s="40"/>
      <c r="DU377" s="40"/>
      <c r="DV377" s="40"/>
      <c r="DW377" s="40"/>
      <c r="DX377" s="40"/>
      <c r="DY377" s="40"/>
      <c r="EA377" s="53"/>
      <c r="EB377" s="53"/>
      <c r="EC377" s="53"/>
      <c r="ED377" s="429"/>
      <c r="EE377" s="54"/>
      <c r="EF377" s="54"/>
      <c r="EG377" s="54"/>
      <c r="EH377" s="18">
        <f>HLOOKUP($I$1,Month,ROW()-1)</f>
        <v>42</v>
      </c>
      <c r="EI377" s="18">
        <f>HLOOKUP($I$1,Qtr,ROW()-1)</f>
        <v>84</v>
      </c>
      <c r="EJ377" s="18">
        <f t="shared" si="2110"/>
        <v>84</v>
      </c>
      <c r="EK377" s="57">
        <f t="shared" si="2153"/>
        <v>0.16666666666666666</v>
      </c>
      <c r="EL377" s="14">
        <f>EH377/EE352</f>
        <v>2.1630901287553645</v>
      </c>
      <c r="EM377" s="14">
        <f>EI377/EF352</f>
        <v>1.4420600858369099</v>
      </c>
      <c r="EN377" s="14">
        <f>EJ377/EG352</f>
        <v>0.36051502145922748</v>
      </c>
      <c r="EO377" s="46" t="str">
        <f t="shared" si="2159"/>
        <v>Ç</v>
      </c>
      <c r="EP377" s="46" t="str">
        <f>IF(EI377&lt;0,,IF(EI377&gt;EF352,"È",IF(EI377=EF352,"Æ","Ç")))</f>
        <v>È</v>
      </c>
      <c r="EQ377" s="2">
        <f>IF(EL377&gt;=0.9,1,IF(EL377&lt;0.75,2,3))</f>
        <v>1</v>
      </c>
      <c r="ER377" s="2">
        <f>IF(EM377&gt;=0.9,1,IF(EM377&lt;0.75,2,3))</f>
        <v>1</v>
      </c>
      <c r="ES377" s="2">
        <f>IF(EN377&gt;=0.9,1,IF(EN377&lt;0.75,2,3))</f>
        <v>2</v>
      </c>
    </row>
    <row r="378" spans="1:149" ht="12.75" customHeight="1">
      <c r="A378" s="6" t="s">
        <v>23</v>
      </c>
      <c r="B378" s="2" t="s">
        <v>1</v>
      </c>
      <c r="C378" s="3" t="s">
        <v>60</v>
      </c>
      <c r="E378" s="3" t="s">
        <v>16</v>
      </c>
      <c r="G378" s="28" t="s">
        <v>92</v>
      </c>
      <c r="H378" s="28"/>
      <c r="I378" s="29"/>
      <c r="J378" s="30">
        <f>IF(J365&lt;&gt;"",,"")+J365-I365</f>
        <v>12</v>
      </c>
      <c r="K378" s="30">
        <f t="shared" ref="K378:U378" si="2226">IF(K365&lt;&gt;"",+K365-J365,"")</f>
        <v>3</v>
      </c>
      <c r="L378" s="30">
        <f t="shared" si="2226"/>
        <v>4</v>
      </c>
      <c r="M378" s="30">
        <f t="shared" si="2226"/>
        <v>4</v>
      </c>
      <c r="N378" s="30">
        <f t="shared" si="2226"/>
        <v>5</v>
      </c>
      <c r="O378" s="30">
        <f t="shared" si="2226"/>
        <v>2</v>
      </c>
      <c r="P378" s="30">
        <f t="shared" si="2226"/>
        <v>5</v>
      </c>
      <c r="Q378" s="30">
        <f t="shared" si="2226"/>
        <v>3</v>
      </c>
      <c r="R378" s="30">
        <f t="shared" si="2226"/>
        <v>3</v>
      </c>
      <c r="S378" s="30">
        <f t="shared" si="2226"/>
        <v>4</v>
      </c>
      <c r="T378" s="30">
        <f t="shared" si="2226"/>
        <v>2</v>
      </c>
      <c r="U378" s="30">
        <f t="shared" si="2226"/>
        <v>6</v>
      </c>
      <c r="V378" s="30">
        <f>IF(V365&lt;&gt;"",+V365,"")</f>
        <v>13</v>
      </c>
      <c r="W378" s="30">
        <f>IF(W365&lt;&gt;"",+W365-V365,"")</f>
        <v>6</v>
      </c>
      <c r="X378" s="30">
        <f>IF(X365&lt;&gt;"",+X365-W365,"")</f>
        <v>5</v>
      </c>
      <c r="Y378" s="30">
        <f>IF(Y365&lt;&gt;"",+Y365-X365,"")</f>
        <v>4</v>
      </c>
      <c r="Z378" s="30">
        <f t="shared" si="2211"/>
        <v>4</v>
      </c>
      <c r="AA378" s="30">
        <f t="shared" si="2211"/>
        <v>8</v>
      </c>
      <c r="AB378" s="30">
        <f t="shared" si="2211"/>
        <v>6</v>
      </c>
      <c r="AC378" s="30">
        <f t="shared" si="2211"/>
        <v>10</v>
      </c>
      <c r="AD378" s="30">
        <f t="shared" si="2211"/>
        <v>3</v>
      </c>
      <c r="AE378" s="30">
        <f t="shared" si="2211"/>
        <v>7</v>
      </c>
      <c r="AF378" s="30">
        <f t="shared" si="2211"/>
        <v>6</v>
      </c>
      <c r="AG378" s="30">
        <f t="shared" si="2211"/>
        <v>4</v>
      </c>
      <c r="AH378" s="30">
        <f>IF(AH365&lt;&gt;"",+AH365,"")</f>
        <v>13</v>
      </c>
      <c r="AI378" s="30">
        <f>IF(AI365&lt;&gt;"",+AI365-AH365,"")</f>
        <v>5</v>
      </c>
      <c r="AJ378" s="30" t="str">
        <f>IF(AJ365&lt;&gt;"",+AJ365-AI365,"")</f>
        <v/>
      </c>
      <c r="AK378" s="408"/>
      <c r="AL378" s="48">
        <f t="shared" si="2143"/>
        <v>12</v>
      </c>
      <c r="AM378" s="48">
        <f t="shared" si="2212"/>
        <v>3</v>
      </c>
      <c r="AN378" s="48">
        <f t="shared" si="2212"/>
        <v>4</v>
      </c>
      <c r="AO378" s="48">
        <f t="shared" si="2212"/>
        <v>4</v>
      </c>
      <c r="AP378" s="48">
        <f t="shared" si="2212"/>
        <v>5</v>
      </c>
      <c r="AQ378" s="48">
        <f t="shared" si="2212"/>
        <v>2</v>
      </c>
      <c r="AR378" s="48">
        <f t="shared" si="2212"/>
        <v>5</v>
      </c>
      <c r="AS378" s="48">
        <f t="shared" si="2212"/>
        <v>3</v>
      </c>
      <c r="AT378" s="48">
        <f t="shared" si="2212"/>
        <v>3</v>
      </c>
      <c r="AU378" s="48">
        <f t="shared" si="2212"/>
        <v>4</v>
      </c>
      <c r="AV378" s="48">
        <f t="shared" si="2212"/>
        <v>2</v>
      </c>
      <c r="AW378" s="48">
        <f t="shared" si="2213"/>
        <v>6</v>
      </c>
      <c r="AX378" s="48">
        <f t="shared" si="2213"/>
        <v>13</v>
      </c>
      <c r="AY378" s="48">
        <f t="shared" si="2213"/>
        <v>6</v>
      </c>
      <c r="AZ378" s="48">
        <f t="shared" si="2213"/>
        <v>5</v>
      </c>
      <c r="BA378" s="48">
        <f t="shared" si="2213"/>
        <v>4</v>
      </c>
      <c r="BB378" s="48">
        <f t="shared" si="2213"/>
        <v>4</v>
      </c>
      <c r="BC378" s="48">
        <f t="shared" si="2213"/>
        <v>8</v>
      </c>
      <c r="BD378" s="48">
        <f t="shared" si="2213"/>
        <v>6</v>
      </c>
      <c r="BE378" s="48">
        <f t="shared" si="2213"/>
        <v>10</v>
      </c>
      <c r="BF378" s="48">
        <f t="shared" si="2213"/>
        <v>3</v>
      </c>
      <c r="BG378" s="48">
        <f t="shared" si="2214"/>
        <v>7</v>
      </c>
      <c r="BH378" s="48">
        <f t="shared" si="2214"/>
        <v>6</v>
      </c>
      <c r="BI378" s="48">
        <f t="shared" si="2214"/>
        <v>4</v>
      </c>
      <c r="BJ378" s="48">
        <f t="shared" si="2214"/>
        <v>13</v>
      </c>
      <c r="BK378" s="48">
        <f t="shared" si="2214"/>
        <v>5</v>
      </c>
      <c r="BL378" s="48" t="str">
        <f t="shared" si="2214"/>
        <v/>
      </c>
      <c r="BM378" s="408"/>
      <c r="BN378" s="48">
        <f>+AL378</f>
        <v>12</v>
      </c>
      <c r="BO378" s="48">
        <f t="shared" si="2215"/>
        <v>15</v>
      </c>
      <c r="BP378" s="48">
        <f t="shared" si="2215"/>
        <v>19</v>
      </c>
      <c r="BQ378" s="48">
        <f>+AO378</f>
        <v>4</v>
      </c>
      <c r="BR378" s="48">
        <f t="shared" si="2216"/>
        <v>9</v>
      </c>
      <c r="BS378" s="48">
        <f t="shared" si="2216"/>
        <v>11</v>
      </c>
      <c r="BT378" s="48">
        <f>+AR378</f>
        <v>5</v>
      </c>
      <c r="BU378" s="48">
        <f t="shared" si="2217"/>
        <v>8</v>
      </c>
      <c r="BV378" s="48">
        <f t="shared" si="2217"/>
        <v>11</v>
      </c>
      <c r="BW378" s="48">
        <f>+AU378</f>
        <v>4</v>
      </c>
      <c r="BX378" s="48">
        <f t="shared" si="2218"/>
        <v>6</v>
      </c>
      <c r="BY378" s="48">
        <f t="shared" si="2218"/>
        <v>12</v>
      </c>
      <c r="BZ378" s="48">
        <f>+AX378</f>
        <v>13</v>
      </c>
      <c r="CA378" s="48">
        <f t="shared" si="2219"/>
        <v>19</v>
      </c>
      <c r="CB378" s="48">
        <f t="shared" si="2219"/>
        <v>24</v>
      </c>
      <c r="CC378" s="48">
        <f>+BA378</f>
        <v>4</v>
      </c>
      <c r="CD378" s="48">
        <f t="shared" si="2220"/>
        <v>8</v>
      </c>
      <c r="CE378" s="48">
        <f t="shared" si="2220"/>
        <v>16</v>
      </c>
      <c r="CF378" s="48">
        <f>+BD378</f>
        <v>6</v>
      </c>
      <c r="CG378" s="48">
        <f t="shared" si="2221"/>
        <v>16</v>
      </c>
      <c r="CH378" s="48">
        <f t="shared" si="2221"/>
        <v>19</v>
      </c>
      <c r="CI378" s="48">
        <f>+BG378</f>
        <v>7</v>
      </c>
      <c r="CJ378" s="48">
        <f t="shared" si="2222"/>
        <v>13</v>
      </c>
      <c r="CK378" s="48">
        <f t="shared" si="2222"/>
        <v>17</v>
      </c>
      <c r="CL378" s="48">
        <f>+BJ378</f>
        <v>13</v>
      </c>
      <c r="CM378" s="48">
        <f t="shared" si="2223"/>
        <v>18</v>
      </c>
      <c r="CN378" s="48" t="e">
        <f t="shared" si="2223"/>
        <v>#VALUE!</v>
      </c>
      <c r="CO378" s="406"/>
      <c r="CP378" s="40">
        <f>AL378</f>
        <v>12</v>
      </c>
      <c r="CQ378" s="40">
        <f t="shared" si="2224"/>
        <v>15</v>
      </c>
      <c r="CR378" s="40">
        <f t="shared" si="2224"/>
        <v>19</v>
      </c>
      <c r="CS378" s="40">
        <f t="shared" si="2224"/>
        <v>23</v>
      </c>
      <c r="CT378" s="40">
        <f t="shared" si="2224"/>
        <v>28</v>
      </c>
      <c r="CU378" s="40">
        <f t="shared" si="2224"/>
        <v>30</v>
      </c>
      <c r="CV378" s="40">
        <f t="shared" si="2224"/>
        <v>35</v>
      </c>
      <c r="CW378" s="40">
        <f t="shared" si="2224"/>
        <v>38</v>
      </c>
      <c r="CX378" s="40">
        <f t="shared" si="2224"/>
        <v>41</v>
      </c>
      <c r="CY378" s="40">
        <f t="shared" si="2224"/>
        <v>45</v>
      </c>
      <c r="CZ378" s="40">
        <f t="shared" si="2224"/>
        <v>47</v>
      </c>
      <c r="DA378" s="40">
        <f t="shared" si="2224"/>
        <v>53</v>
      </c>
      <c r="DB378" s="40">
        <f>AX378</f>
        <v>13</v>
      </c>
      <c r="DC378" s="40">
        <f t="shared" si="2225"/>
        <v>19</v>
      </c>
      <c r="DD378" s="40">
        <f t="shared" si="2225"/>
        <v>24</v>
      </c>
      <c r="DE378" s="40">
        <f t="shared" si="2225"/>
        <v>28</v>
      </c>
      <c r="DF378" s="40">
        <f t="shared" si="2225"/>
        <v>32</v>
      </c>
      <c r="DG378" s="40">
        <f t="shared" si="2225"/>
        <v>40</v>
      </c>
      <c r="DH378" s="40">
        <f t="shared" si="2225"/>
        <v>46</v>
      </c>
      <c r="DI378" s="40">
        <f t="shared" si="2225"/>
        <v>56</v>
      </c>
      <c r="DJ378" s="40">
        <f t="shared" si="2225"/>
        <v>59</v>
      </c>
      <c r="DK378" s="40">
        <f t="shared" si="2225"/>
        <v>66</v>
      </c>
      <c r="DL378" s="40">
        <f t="shared" si="2225"/>
        <v>72</v>
      </c>
      <c r="DM378" s="40">
        <f t="shared" si="2225"/>
        <v>76</v>
      </c>
      <c r="DN378" s="40">
        <f>BJ378</f>
        <v>13</v>
      </c>
      <c r="DO378" s="40">
        <f>DN378+BK378</f>
        <v>18</v>
      </c>
      <c r="DP378" s="40" t="e">
        <f>DO378+BL378</f>
        <v>#VALUE!</v>
      </c>
      <c r="DQ378" s="40"/>
      <c r="DR378" s="40"/>
      <c r="DS378" s="40"/>
      <c r="DT378" s="40"/>
      <c r="DU378" s="40"/>
      <c r="DV378" s="40"/>
      <c r="DW378" s="40"/>
      <c r="DX378" s="40"/>
      <c r="DY378" s="40"/>
      <c r="EA378" s="53"/>
      <c r="EB378" s="53"/>
      <c r="EC378" s="53"/>
      <c r="ED378" s="429"/>
      <c r="EE378" s="54"/>
      <c r="EF378" s="54"/>
      <c r="EG378" s="54"/>
      <c r="EH378" s="18">
        <f>HLOOKUP($I$1,Month,ROW()-1)</f>
        <v>5</v>
      </c>
      <c r="EI378" s="18">
        <f>HLOOKUP($I$1,Qtr,ROW()-1)</f>
        <v>18</v>
      </c>
      <c r="EJ378" s="18">
        <f t="shared" si="2110"/>
        <v>18</v>
      </c>
      <c r="EK378" s="57">
        <f t="shared" si="2153"/>
        <v>0.16666666666666666</v>
      </c>
      <c r="EL378" s="14">
        <f>EH378/EE353</f>
        <v>0.93808630393996273</v>
      </c>
      <c r="EM378" s="14">
        <f>EI378/EF353</f>
        <v>1.688555347091933</v>
      </c>
      <c r="EN378" s="14">
        <f>EJ378/EG353</f>
        <v>0.29163966299416727</v>
      </c>
      <c r="EO378" s="46" t="str">
        <f t="shared" si="2159"/>
        <v>È</v>
      </c>
      <c r="EP378" s="46" t="str">
        <f t="shared" si="2160"/>
        <v>Ç</v>
      </c>
      <c r="EQ378" s="2">
        <f>IF(EL378&gt;=0.9,1,IF(EL378&lt;0.75,2,3))</f>
        <v>1</v>
      </c>
      <c r="ER378" s="2">
        <f>IF(EM378&gt;=0.9,1,IF(EM378&lt;0.75,2,3))</f>
        <v>1</v>
      </c>
      <c r="ES378" s="2">
        <f>IF(EN378&gt;=0.9,1,IF(EN378&lt;0.75,2,3))</f>
        <v>2</v>
      </c>
    </row>
    <row r="379" spans="1:149">
      <c r="A379" s="6" t="s">
        <v>23</v>
      </c>
      <c r="B379" s="2" t="s">
        <v>98</v>
      </c>
      <c r="G379" s="28" t="s">
        <v>92</v>
      </c>
      <c r="H379" s="28"/>
      <c r="I379" s="29"/>
      <c r="J379" s="32">
        <f>J366*J367</f>
        <v>0</v>
      </c>
      <c r="K379" s="32">
        <f t="shared" ref="K379:AJ379" si="2227">K366*K367</f>
        <v>3</v>
      </c>
      <c r="L379" s="32">
        <f t="shared" si="2227"/>
        <v>2.4000000000000004</v>
      </c>
      <c r="M379" s="32">
        <f t="shared" si="2227"/>
        <v>1</v>
      </c>
      <c r="N379" s="32">
        <f t="shared" si="2227"/>
        <v>3</v>
      </c>
      <c r="O379" s="32">
        <f t="shared" si="2227"/>
        <v>5</v>
      </c>
      <c r="P379" s="32">
        <f t="shared" si="2227"/>
        <v>2</v>
      </c>
      <c r="Q379" s="32">
        <f t="shared" si="2227"/>
        <v>4</v>
      </c>
      <c r="R379" s="32">
        <f t="shared" si="2227"/>
        <v>3.2</v>
      </c>
      <c r="S379" s="32">
        <f t="shared" si="2227"/>
        <v>7</v>
      </c>
      <c r="T379" s="32">
        <f t="shared" si="2227"/>
        <v>3</v>
      </c>
      <c r="U379" s="32">
        <f t="shared" si="2227"/>
        <v>4</v>
      </c>
      <c r="V379" s="32">
        <f t="shared" si="2227"/>
        <v>3</v>
      </c>
      <c r="W379" s="32">
        <f t="shared" si="2227"/>
        <v>5</v>
      </c>
      <c r="X379" s="32">
        <f t="shared" si="2227"/>
        <v>4</v>
      </c>
      <c r="Y379" s="32">
        <f t="shared" si="2227"/>
        <v>5</v>
      </c>
      <c r="Z379" s="32">
        <f t="shared" si="2227"/>
        <v>2</v>
      </c>
      <c r="AA379" s="32">
        <f t="shared" si="2227"/>
        <v>5</v>
      </c>
      <c r="AB379" s="32">
        <f t="shared" si="2227"/>
        <v>6</v>
      </c>
      <c r="AC379" s="32">
        <f t="shared" si="2227"/>
        <v>5</v>
      </c>
      <c r="AD379" s="32">
        <f t="shared" si="2227"/>
        <v>7.84</v>
      </c>
      <c r="AE379" s="32">
        <f t="shared" si="2227"/>
        <v>11</v>
      </c>
      <c r="AF379" s="32">
        <f t="shared" si="2227"/>
        <v>3.6</v>
      </c>
      <c r="AG379" s="32">
        <f t="shared" si="2227"/>
        <v>8</v>
      </c>
      <c r="AH379" s="32">
        <f t="shared" si="2227"/>
        <v>2</v>
      </c>
      <c r="AI379" s="32">
        <f t="shared" si="2227"/>
        <v>3</v>
      </c>
      <c r="AJ379" s="32">
        <f t="shared" si="2227"/>
        <v>0</v>
      </c>
      <c r="AK379" s="408"/>
      <c r="AL379" s="56">
        <f t="shared" ref="AL379:BL379" si="2228">AL366*AL367</f>
        <v>0</v>
      </c>
      <c r="AM379" s="56">
        <f t="shared" si="2228"/>
        <v>3</v>
      </c>
      <c r="AN379" s="56">
        <f t="shared" si="2228"/>
        <v>2.4000000000000004</v>
      </c>
      <c r="AO379" s="56">
        <f t="shared" si="2228"/>
        <v>1</v>
      </c>
      <c r="AP379" s="56">
        <f t="shared" si="2228"/>
        <v>3</v>
      </c>
      <c r="AQ379" s="56">
        <f t="shared" si="2228"/>
        <v>5</v>
      </c>
      <c r="AR379" s="56">
        <f t="shared" si="2228"/>
        <v>2</v>
      </c>
      <c r="AS379" s="56">
        <f t="shared" si="2228"/>
        <v>4</v>
      </c>
      <c r="AT379" s="56">
        <f t="shared" si="2228"/>
        <v>3.2</v>
      </c>
      <c r="AU379" s="56">
        <f t="shared" si="2228"/>
        <v>7</v>
      </c>
      <c r="AV379" s="56">
        <f t="shared" si="2228"/>
        <v>3</v>
      </c>
      <c r="AW379" s="56">
        <f t="shared" si="2228"/>
        <v>4</v>
      </c>
      <c r="AX379" s="56">
        <f t="shared" si="2228"/>
        <v>3</v>
      </c>
      <c r="AY379" s="56">
        <f t="shared" si="2228"/>
        <v>5</v>
      </c>
      <c r="AZ379" s="56">
        <f t="shared" si="2228"/>
        <v>4</v>
      </c>
      <c r="BA379" s="56">
        <f t="shared" si="2228"/>
        <v>5</v>
      </c>
      <c r="BB379" s="56">
        <f t="shared" si="2228"/>
        <v>2</v>
      </c>
      <c r="BC379" s="56">
        <f t="shared" si="2228"/>
        <v>5</v>
      </c>
      <c r="BD379" s="56">
        <f t="shared" si="2228"/>
        <v>6</v>
      </c>
      <c r="BE379" s="56">
        <f t="shared" si="2228"/>
        <v>5</v>
      </c>
      <c r="BF379" s="56">
        <f t="shared" si="2228"/>
        <v>7.84</v>
      </c>
      <c r="BG379" s="56">
        <f t="shared" si="2228"/>
        <v>11</v>
      </c>
      <c r="BH379" s="56">
        <f t="shared" si="2228"/>
        <v>3.6</v>
      </c>
      <c r="BI379" s="56">
        <f t="shared" si="2228"/>
        <v>8</v>
      </c>
      <c r="BJ379" s="56">
        <f t="shared" si="2228"/>
        <v>2</v>
      </c>
      <c r="BK379" s="56">
        <f t="shared" si="2228"/>
        <v>0</v>
      </c>
      <c r="BL379" s="56">
        <f t="shared" si="2228"/>
        <v>0</v>
      </c>
      <c r="BM379" s="408"/>
      <c r="BN379" s="56">
        <f>+AL379</f>
        <v>0</v>
      </c>
      <c r="BO379" s="56">
        <f t="shared" si="2215"/>
        <v>3</v>
      </c>
      <c r="BP379" s="56">
        <f t="shared" si="2215"/>
        <v>5.4</v>
      </c>
      <c r="BQ379" s="56">
        <f>+AO379</f>
        <v>1</v>
      </c>
      <c r="BR379" s="56">
        <f t="shared" si="2216"/>
        <v>4</v>
      </c>
      <c r="BS379" s="56">
        <f t="shared" si="2216"/>
        <v>9</v>
      </c>
      <c r="BT379" s="56">
        <f>+AR379</f>
        <v>2</v>
      </c>
      <c r="BU379" s="56">
        <f t="shared" si="2217"/>
        <v>6</v>
      </c>
      <c r="BV379" s="56">
        <f t="shared" si="2217"/>
        <v>9.1999999999999993</v>
      </c>
      <c r="BW379" s="56">
        <f>+AU379</f>
        <v>7</v>
      </c>
      <c r="BX379" s="56">
        <f t="shared" si="2218"/>
        <v>10</v>
      </c>
      <c r="BY379" s="56">
        <f t="shared" si="2218"/>
        <v>14</v>
      </c>
      <c r="BZ379" s="56">
        <f>+AX379</f>
        <v>3</v>
      </c>
      <c r="CA379" s="56">
        <f t="shared" si="2219"/>
        <v>8</v>
      </c>
      <c r="CB379" s="56">
        <f t="shared" si="2219"/>
        <v>12</v>
      </c>
      <c r="CC379" s="56">
        <f>+BA379</f>
        <v>5</v>
      </c>
      <c r="CD379" s="56">
        <f t="shared" si="2220"/>
        <v>7</v>
      </c>
      <c r="CE379" s="56">
        <f t="shared" si="2220"/>
        <v>12</v>
      </c>
      <c r="CF379" s="56">
        <f>+BD379</f>
        <v>6</v>
      </c>
      <c r="CG379" s="56">
        <f t="shared" si="2221"/>
        <v>11</v>
      </c>
      <c r="CH379" s="56">
        <f t="shared" si="2221"/>
        <v>18.84</v>
      </c>
      <c r="CI379" s="56">
        <f>+BG379</f>
        <v>11</v>
      </c>
      <c r="CJ379" s="56">
        <f t="shared" si="2222"/>
        <v>14.6</v>
      </c>
      <c r="CK379" s="56">
        <f t="shared" si="2222"/>
        <v>22.6</v>
      </c>
      <c r="CL379" s="56">
        <f>+BJ379</f>
        <v>2</v>
      </c>
      <c r="CM379" s="56">
        <f t="shared" si="2223"/>
        <v>2</v>
      </c>
      <c r="CN379" s="56">
        <f t="shared" si="2223"/>
        <v>2</v>
      </c>
      <c r="CO379" s="406"/>
      <c r="CP379" s="60">
        <f>J379</f>
        <v>0</v>
      </c>
      <c r="CQ379" s="60">
        <f t="shared" ref="CQ379:DA379" si="2229">CP379+K379</f>
        <v>3</v>
      </c>
      <c r="CR379" s="60">
        <f t="shared" si="2229"/>
        <v>5.4</v>
      </c>
      <c r="CS379" s="60">
        <f t="shared" si="2229"/>
        <v>6.4</v>
      </c>
      <c r="CT379" s="60">
        <f t="shared" si="2229"/>
        <v>9.4</v>
      </c>
      <c r="CU379" s="60">
        <f t="shared" si="2229"/>
        <v>14.4</v>
      </c>
      <c r="CV379" s="60">
        <f t="shared" si="2229"/>
        <v>16.399999999999999</v>
      </c>
      <c r="CW379" s="60">
        <f t="shared" si="2229"/>
        <v>20.399999999999999</v>
      </c>
      <c r="CX379" s="60">
        <f t="shared" si="2229"/>
        <v>23.599999999999998</v>
      </c>
      <c r="CY379" s="60">
        <f t="shared" si="2229"/>
        <v>30.599999999999998</v>
      </c>
      <c r="CZ379" s="60">
        <f t="shared" si="2229"/>
        <v>33.599999999999994</v>
      </c>
      <c r="DA379" s="60">
        <f t="shared" si="2229"/>
        <v>37.599999999999994</v>
      </c>
      <c r="DB379" s="60">
        <f>V379</f>
        <v>3</v>
      </c>
      <c r="DC379" s="60">
        <f t="shared" ref="DC379:DM379" si="2230">DB379+W379</f>
        <v>8</v>
      </c>
      <c r="DD379" s="60">
        <f t="shared" si="2230"/>
        <v>12</v>
      </c>
      <c r="DE379" s="60">
        <f t="shared" si="2230"/>
        <v>17</v>
      </c>
      <c r="DF379" s="60">
        <f t="shared" si="2230"/>
        <v>19</v>
      </c>
      <c r="DG379" s="60">
        <f t="shared" si="2230"/>
        <v>24</v>
      </c>
      <c r="DH379" s="60">
        <f t="shared" si="2230"/>
        <v>30</v>
      </c>
      <c r="DI379" s="60">
        <f t="shared" si="2230"/>
        <v>35</v>
      </c>
      <c r="DJ379" s="60">
        <f t="shared" si="2230"/>
        <v>42.84</v>
      </c>
      <c r="DK379" s="60">
        <f t="shared" si="2230"/>
        <v>53.84</v>
      </c>
      <c r="DL379" s="60">
        <f t="shared" si="2230"/>
        <v>57.440000000000005</v>
      </c>
      <c r="DM379" s="60">
        <f t="shared" si="2230"/>
        <v>65.44</v>
      </c>
      <c r="DN379" s="60">
        <f>AH379</f>
        <v>2</v>
      </c>
      <c r="DO379" s="60">
        <f>DN379+AI379</f>
        <v>5</v>
      </c>
      <c r="DP379" s="60">
        <f>DO379+AJ379</f>
        <v>5</v>
      </c>
      <c r="DQ379" s="60"/>
      <c r="DR379" s="60"/>
      <c r="DS379" s="60"/>
      <c r="DT379" s="60"/>
      <c r="DU379" s="60"/>
      <c r="DV379" s="60"/>
      <c r="DW379" s="60"/>
      <c r="DX379" s="60"/>
      <c r="DY379" s="60"/>
      <c r="EA379" s="53"/>
      <c r="EB379" s="53"/>
      <c r="EC379" s="53"/>
      <c r="ED379" s="429"/>
      <c r="EE379" s="54"/>
      <c r="EF379" s="54"/>
      <c r="EG379" s="54"/>
      <c r="EH379" s="18">
        <f>HLOOKUP($I$1,Month,ROW()-1)</f>
        <v>0</v>
      </c>
      <c r="EI379" s="18">
        <f>HLOOKUP($I$1,Qtr,ROW()-1)</f>
        <v>2</v>
      </c>
      <c r="EJ379" s="18">
        <f t="shared" si="2110"/>
        <v>5</v>
      </c>
      <c r="EK379" s="57">
        <f t="shared" si="2153"/>
        <v>0.16666666666666666</v>
      </c>
      <c r="EL379" s="14"/>
      <c r="EM379" s="14" t="e">
        <f>EI379/EF355</f>
        <v>#DIV/0!</v>
      </c>
      <c r="EN379" s="14"/>
      <c r="EO379" s="46" t="str">
        <f>IF(EH379&lt;0,,IF(EH379&lt;EE355,"È",IF(EH379=EE355,"Æ","Ç")))</f>
        <v>Æ</v>
      </c>
      <c r="EP379" s="46" t="str">
        <f>IF(EI379&lt;0,,IF(EI379&lt;EF355,"È",IF(EI379=EF355,"Æ","Ç")))</f>
        <v>Ç</v>
      </c>
    </row>
    <row r="380" spans="1:149" ht="13.5" thickBot="1">
      <c r="K380" s="42" t="s">
        <v>114</v>
      </c>
      <c r="AL380" s="14"/>
      <c r="CN380" s="23" t="s">
        <v>152</v>
      </c>
      <c r="CP380" s="2">
        <v>10</v>
      </c>
      <c r="CQ380" s="2">
        <v>11</v>
      </c>
      <c r="CR380" s="2">
        <v>12</v>
      </c>
      <c r="CS380" s="2">
        <v>1</v>
      </c>
      <c r="CT380" s="2">
        <v>2</v>
      </c>
      <c r="CU380" s="2">
        <v>3</v>
      </c>
      <c r="CV380" s="2">
        <v>4</v>
      </c>
      <c r="CW380" s="2">
        <v>5</v>
      </c>
      <c r="CX380" s="2">
        <v>6</v>
      </c>
      <c r="CY380" s="2">
        <v>7</v>
      </c>
      <c r="CZ380" s="2">
        <v>8</v>
      </c>
      <c r="DA380" s="2">
        <v>9</v>
      </c>
      <c r="DB380" s="2">
        <v>10</v>
      </c>
      <c r="DC380" s="2">
        <v>11</v>
      </c>
      <c r="DD380" s="2">
        <v>12</v>
      </c>
      <c r="DE380" s="2">
        <v>1</v>
      </c>
      <c r="DF380" s="2">
        <v>2</v>
      </c>
      <c r="DG380" s="2">
        <v>3</v>
      </c>
      <c r="DH380" s="2">
        <v>4</v>
      </c>
      <c r="DI380" s="2">
        <v>5</v>
      </c>
      <c r="DJ380" s="2">
        <v>6</v>
      </c>
      <c r="DK380" s="2">
        <v>7</v>
      </c>
      <c r="DL380" s="2">
        <v>8</v>
      </c>
      <c r="DM380" s="2">
        <v>9</v>
      </c>
      <c r="DN380" s="2">
        <v>10</v>
      </c>
      <c r="DO380" s="2">
        <v>11</v>
      </c>
      <c r="DP380" s="2">
        <v>12</v>
      </c>
      <c r="ED380" s="429"/>
      <c r="EE380" s="23"/>
      <c r="EF380" s="23"/>
      <c r="EG380" s="23"/>
      <c r="EH380" s="23"/>
      <c r="EI380" s="23"/>
      <c r="EJ380" s="23"/>
      <c r="EK380" s="23"/>
    </row>
    <row r="381" spans="1:149" ht="13.5" thickBot="1">
      <c r="A381" s="6" t="s">
        <v>30</v>
      </c>
      <c r="C381" s="11" t="s">
        <v>73</v>
      </c>
      <c r="E381" s="8" t="s">
        <v>34</v>
      </c>
      <c r="F381" s="11" t="s">
        <v>33</v>
      </c>
      <c r="G381" s="9" t="s">
        <v>34</v>
      </c>
      <c r="H381" s="11" t="s">
        <v>33</v>
      </c>
      <c r="I381" s="11" t="s">
        <v>34</v>
      </c>
      <c r="AL381" s="109"/>
    </row>
    <row r="382" spans="1:149">
      <c r="A382" s="6" t="s">
        <v>23</v>
      </c>
      <c r="B382" s="2" t="s">
        <v>24</v>
      </c>
      <c r="C382" s="3" t="s">
        <v>74</v>
      </c>
      <c r="E382" s="4" t="str">
        <f>C340</f>
        <v>BInBusNew</v>
      </c>
      <c r="F382" s="4" t="s">
        <v>31</v>
      </c>
      <c r="G382" s="28" t="str">
        <f>C339</f>
        <v>BAllNew</v>
      </c>
      <c r="H382" s="28"/>
      <c r="I382" s="28"/>
      <c r="J382" s="62">
        <f t="shared" ref="J382:AJ382" si="2231">J340/J339</f>
        <v>0.35</v>
      </c>
      <c r="K382" s="62">
        <f t="shared" si="2231"/>
        <v>0.35</v>
      </c>
      <c r="L382" s="62">
        <f t="shared" si="2231"/>
        <v>0.35</v>
      </c>
      <c r="M382" s="62">
        <f t="shared" si="2231"/>
        <v>0.35</v>
      </c>
      <c r="N382" s="62">
        <f t="shared" si="2231"/>
        <v>0.35</v>
      </c>
      <c r="O382" s="62">
        <f t="shared" si="2231"/>
        <v>0.35</v>
      </c>
      <c r="P382" s="62">
        <f t="shared" si="2231"/>
        <v>0.35</v>
      </c>
      <c r="Q382" s="62">
        <f t="shared" si="2231"/>
        <v>0.35055555555555556</v>
      </c>
      <c r="R382" s="62">
        <f t="shared" si="2231"/>
        <v>0.35</v>
      </c>
      <c r="S382" s="62">
        <f t="shared" si="2231"/>
        <v>0.35</v>
      </c>
      <c r="T382" s="62">
        <f t="shared" si="2231"/>
        <v>0.35</v>
      </c>
      <c r="U382" s="62">
        <f t="shared" si="2231"/>
        <v>0.35</v>
      </c>
      <c r="V382" s="62">
        <f t="shared" si="2231"/>
        <v>0.35</v>
      </c>
      <c r="W382" s="62">
        <f t="shared" si="2231"/>
        <v>0.35</v>
      </c>
      <c r="X382" s="62">
        <f t="shared" si="2231"/>
        <v>0.35</v>
      </c>
      <c r="Y382" s="62">
        <f t="shared" si="2231"/>
        <v>0.35</v>
      </c>
      <c r="Z382" s="62">
        <f t="shared" si="2231"/>
        <v>0.35</v>
      </c>
      <c r="AA382" s="62">
        <f t="shared" si="2231"/>
        <v>0.35</v>
      </c>
      <c r="AB382" s="62">
        <f t="shared" si="2231"/>
        <v>0.35000000000000003</v>
      </c>
      <c r="AC382" s="62">
        <f t="shared" si="2231"/>
        <v>0.35</v>
      </c>
      <c r="AD382" s="62">
        <f t="shared" si="2231"/>
        <v>0.35</v>
      </c>
      <c r="AE382" s="62">
        <f t="shared" si="2231"/>
        <v>0.35</v>
      </c>
      <c r="AF382" s="62">
        <f t="shared" si="2231"/>
        <v>0.35</v>
      </c>
      <c r="AG382" s="62">
        <f t="shared" si="2231"/>
        <v>0.35</v>
      </c>
      <c r="AH382" s="62">
        <f t="shared" si="2231"/>
        <v>0.44827586206896547</v>
      </c>
      <c r="AI382" s="62">
        <f t="shared" si="2231"/>
        <v>0.44827586206896547</v>
      </c>
      <c r="AJ382" s="62" t="e">
        <f t="shared" si="2231"/>
        <v>#DIV/0!</v>
      </c>
      <c r="AK382" s="412"/>
      <c r="AL382" s="14">
        <f t="shared" ref="AL382:BL382" si="2232">AL340/AL339</f>
        <v>0.35</v>
      </c>
      <c r="AM382" s="14">
        <f t="shared" si="2232"/>
        <v>0.35</v>
      </c>
      <c r="AN382" s="14">
        <f t="shared" si="2232"/>
        <v>0.35</v>
      </c>
      <c r="AO382" s="14">
        <f t="shared" si="2232"/>
        <v>0.35</v>
      </c>
      <c r="AP382" s="14">
        <f t="shared" si="2232"/>
        <v>0.35</v>
      </c>
      <c r="AQ382" s="14">
        <f t="shared" si="2232"/>
        <v>0.35</v>
      </c>
      <c r="AR382" s="14">
        <f t="shared" si="2232"/>
        <v>0.35</v>
      </c>
      <c r="AS382" s="14">
        <f t="shared" si="2232"/>
        <v>0.35444444444444451</v>
      </c>
      <c r="AT382" s="14">
        <f t="shared" si="2232"/>
        <v>0.3455555555555555</v>
      </c>
      <c r="AU382" s="14">
        <f t="shared" si="2232"/>
        <v>0.35</v>
      </c>
      <c r="AV382" s="14">
        <f t="shared" si="2232"/>
        <v>0.35</v>
      </c>
      <c r="AW382" s="14">
        <f t="shared" si="2232"/>
        <v>0.35</v>
      </c>
      <c r="AX382" s="14">
        <f t="shared" si="2232"/>
        <v>0.35</v>
      </c>
      <c r="AY382" s="14">
        <f t="shared" si="2232"/>
        <v>0.35</v>
      </c>
      <c r="AZ382" s="14">
        <f t="shared" si="2232"/>
        <v>0.34999999999999992</v>
      </c>
      <c r="BA382" s="14">
        <f t="shared" si="2232"/>
        <v>0.35000000000000009</v>
      </c>
      <c r="BB382" s="14">
        <f t="shared" si="2232"/>
        <v>0.34999999999999992</v>
      </c>
      <c r="BC382" s="14">
        <f t="shared" si="2232"/>
        <v>0.34999999999999992</v>
      </c>
      <c r="BD382" s="14">
        <f t="shared" si="2232"/>
        <v>0.3500000000000002</v>
      </c>
      <c r="BE382" s="14">
        <f t="shared" si="2232"/>
        <v>0.3499999999999997</v>
      </c>
      <c r="BF382" s="14">
        <f t="shared" si="2232"/>
        <v>0.3500000000000002</v>
      </c>
      <c r="BG382" s="14">
        <f t="shared" si="2232"/>
        <v>0.34999999999999987</v>
      </c>
      <c r="BH382" s="14">
        <f t="shared" si="2232"/>
        <v>0.3500000000000002</v>
      </c>
      <c r="BI382" s="14">
        <f t="shared" si="2232"/>
        <v>0.3499999999999997</v>
      </c>
      <c r="BJ382" s="14">
        <f t="shared" si="2232"/>
        <v>0.44827586206896547</v>
      </c>
      <c r="BK382" s="14">
        <f t="shared" si="2232"/>
        <v>0.44827586206896547</v>
      </c>
      <c r="BL382" s="14" t="e">
        <f t="shared" si="2232"/>
        <v>#DIV/0!</v>
      </c>
      <c r="BM382" s="412"/>
      <c r="BN382" s="14">
        <f t="shared" ref="BN382:CN382" si="2233">BN340/BN339</f>
        <v>0.35</v>
      </c>
      <c r="BO382" s="14">
        <f t="shared" si="2233"/>
        <v>0.35</v>
      </c>
      <c r="BP382" s="14">
        <f t="shared" si="2233"/>
        <v>0.35</v>
      </c>
      <c r="BQ382" s="14">
        <f t="shared" si="2233"/>
        <v>0.35</v>
      </c>
      <c r="BR382" s="14">
        <f t="shared" si="2233"/>
        <v>0.35</v>
      </c>
      <c r="BS382" s="14">
        <f t="shared" si="2233"/>
        <v>0.35</v>
      </c>
      <c r="BT382" s="14">
        <f t="shared" si="2233"/>
        <v>0.35</v>
      </c>
      <c r="BU382" s="14">
        <f t="shared" si="2233"/>
        <v>0.35</v>
      </c>
      <c r="BV382" s="14">
        <f t="shared" si="2233"/>
        <v>0.35</v>
      </c>
      <c r="BW382" s="14">
        <f t="shared" si="2233"/>
        <v>0.35</v>
      </c>
      <c r="BX382" s="14">
        <f t="shared" si="2233"/>
        <v>0.35</v>
      </c>
      <c r="BY382" s="14">
        <f t="shared" si="2233"/>
        <v>0.35</v>
      </c>
      <c r="BZ382" s="14">
        <f t="shared" si="2233"/>
        <v>0.35</v>
      </c>
      <c r="CA382" s="14">
        <f t="shared" si="2233"/>
        <v>0.35</v>
      </c>
      <c r="CB382" s="14">
        <f t="shared" si="2233"/>
        <v>0.35</v>
      </c>
      <c r="CC382" s="14">
        <f t="shared" si="2233"/>
        <v>0.35</v>
      </c>
      <c r="CD382" s="14">
        <f t="shared" si="2233"/>
        <v>0.35</v>
      </c>
      <c r="CE382" s="14">
        <f t="shared" si="2233"/>
        <v>0.35</v>
      </c>
      <c r="CF382" s="14">
        <f t="shared" si="2233"/>
        <v>0.35000000000000003</v>
      </c>
      <c r="CG382" s="14">
        <f t="shared" si="2233"/>
        <v>0.35000000000000003</v>
      </c>
      <c r="CH382" s="14">
        <f t="shared" si="2233"/>
        <v>0.35000000000000003</v>
      </c>
      <c r="CI382" s="14">
        <f t="shared" si="2233"/>
        <v>0.34999999999999992</v>
      </c>
      <c r="CJ382" s="14">
        <f t="shared" si="2233"/>
        <v>0.34999999999999992</v>
      </c>
      <c r="CK382" s="14">
        <f t="shared" si="2233"/>
        <v>0.34999999999999992</v>
      </c>
      <c r="CL382" s="14">
        <f t="shared" si="2233"/>
        <v>0.44827586206896552</v>
      </c>
      <c r="CM382" s="14">
        <f t="shared" si="2233"/>
        <v>0.44827586206896552</v>
      </c>
      <c r="CN382" s="14">
        <f t="shared" si="2233"/>
        <v>0.44827586206896552</v>
      </c>
      <c r="CO382" s="412"/>
      <c r="CP382" s="14">
        <f t="shared" ref="CP382:DP382" si="2234">CP340/CP339</f>
        <v>0.35</v>
      </c>
      <c r="CQ382" s="14">
        <f t="shared" si="2234"/>
        <v>0.35</v>
      </c>
      <c r="CR382" s="14">
        <f t="shared" si="2234"/>
        <v>0.35</v>
      </c>
      <c r="CS382" s="14">
        <f t="shared" si="2234"/>
        <v>0.35</v>
      </c>
      <c r="CT382" s="14">
        <f t="shared" si="2234"/>
        <v>0.35</v>
      </c>
      <c r="CU382" s="14">
        <f t="shared" si="2234"/>
        <v>0.35</v>
      </c>
      <c r="CV382" s="14">
        <f t="shared" si="2234"/>
        <v>0.35</v>
      </c>
      <c r="CW382" s="14">
        <f t="shared" si="2234"/>
        <v>0.35055555555555556</v>
      </c>
      <c r="CX382" s="14">
        <f t="shared" si="2234"/>
        <v>0.35</v>
      </c>
      <c r="CY382" s="14">
        <f t="shared" si="2234"/>
        <v>0.35</v>
      </c>
      <c r="CZ382" s="14">
        <f t="shared" si="2234"/>
        <v>0.35</v>
      </c>
      <c r="DA382" s="14">
        <f t="shared" si="2234"/>
        <v>0.35</v>
      </c>
      <c r="DB382" s="14">
        <f t="shared" si="2234"/>
        <v>0.35</v>
      </c>
      <c r="DC382" s="14">
        <f t="shared" si="2234"/>
        <v>0.35</v>
      </c>
      <c r="DD382" s="14">
        <f t="shared" si="2234"/>
        <v>0.35</v>
      </c>
      <c r="DE382" s="14">
        <f t="shared" si="2234"/>
        <v>0.35</v>
      </c>
      <c r="DF382" s="14">
        <f t="shared" si="2234"/>
        <v>0.35</v>
      </c>
      <c r="DG382" s="14">
        <f t="shared" si="2234"/>
        <v>0.35</v>
      </c>
      <c r="DH382" s="14">
        <f t="shared" si="2234"/>
        <v>0.35000000000000003</v>
      </c>
      <c r="DI382" s="14">
        <f t="shared" si="2234"/>
        <v>0.35</v>
      </c>
      <c r="DJ382" s="14">
        <f t="shared" si="2234"/>
        <v>0.35</v>
      </c>
      <c r="DK382" s="14">
        <f t="shared" si="2234"/>
        <v>0.35</v>
      </c>
      <c r="DL382" s="14">
        <f t="shared" si="2234"/>
        <v>0.35</v>
      </c>
      <c r="DM382" s="14">
        <f t="shared" si="2234"/>
        <v>0.35</v>
      </c>
      <c r="DN382" s="14">
        <f t="shared" si="2234"/>
        <v>0.44827586206896547</v>
      </c>
      <c r="DO382" s="14">
        <f t="shared" si="2234"/>
        <v>0.44827586206896552</v>
      </c>
      <c r="DP382" s="14">
        <f t="shared" si="2234"/>
        <v>0.29885057471264365</v>
      </c>
      <c r="DQ382" s="14"/>
      <c r="DR382" s="14"/>
      <c r="DS382" s="14"/>
      <c r="DT382" s="14"/>
      <c r="DU382" s="14"/>
      <c r="DV382" s="14"/>
      <c r="DW382" s="14"/>
      <c r="DX382" s="14"/>
      <c r="DY382" s="14"/>
      <c r="DZ382" s="14"/>
      <c r="EA382" s="14">
        <f>EA340/EA339</f>
        <v>0.35</v>
      </c>
      <c r="EB382" s="14">
        <f>EB340/EB339</f>
        <v>0.35</v>
      </c>
      <c r="EC382" s="14"/>
      <c r="ED382" s="429"/>
      <c r="EE382" s="14">
        <f>EE340/EE339</f>
        <v>0.44827586206896547</v>
      </c>
      <c r="EF382" s="14">
        <f>EF340/EF339</f>
        <v>0.44827586206896552</v>
      </c>
      <c r="EG382" s="14">
        <f>EG340/EG339</f>
        <v>0.44827586206896552</v>
      </c>
      <c r="EK382" s="24"/>
      <c r="EL382" s="47"/>
      <c r="EM382" s="47"/>
      <c r="EN382" s="47"/>
    </row>
    <row r="383" spans="1:149">
      <c r="A383" s="6" t="s">
        <v>23</v>
      </c>
      <c r="B383" s="2" t="s">
        <v>25</v>
      </c>
      <c r="C383" s="3" t="s">
        <v>75</v>
      </c>
      <c r="E383" s="4" t="str">
        <f>C353</f>
        <v>BSEE</v>
      </c>
      <c r="F383" s="4" t="s">
        <v>31</v>
      </c>
      <c r="G383" s="28" t="str">
        <f>C352</f>
        <v>BSUniq</v>
      </c>
      <c r="H383" s="28"/>
      <c r="I383" s="28"/>
      <c r="J383" s="62">
        <f t="shared" ref="J383:AJ383" si="2235">J353/J352</f>
        <v>0.1604278074866311</v>
      </c>
      <c r="K383" s="62">
        <f t="shared" si="2235"/>
        <v>0.15649452269170566</v>
      </c>
      <c r="L383" s="62">
        <f t="shared" si="2235"/>
        <v>0.15649452269170588</v>
      </c>
      <c r="M383" s="62">
        <f t="shared" si="2235"/>
        <v>0.3055555333333333</v>
      </c>
      <c r="N383" s="62">
        <f t="shared" si="2235"/>
        <v>0.3055551333333334</v>
      </c>
      <c r="O383" s="62">
        <f t="shared" si="2235"/>
        <v>0.30555599999999999</v>
      </c>
      <c r="P383" s="62">
        <f t="shared" si="2235"/>
        <v>0.3055533333333334</v>
      </c>
      <c r="Q383" s="62">
        <f t="shared" si="2235"/>
        <v>0.30558000000000002</v>
      </c>
      <c r="R383" s="62">
        <f t="shared" si="2235"/>
        <v>0.30553333333333321</v>
      </c>
      <c r="S383" s="62">
        <f t="shared" si="2235"/>
        <v>0.3055533333333334</v>
      </c>
      <c r="T383" s="62">
        <f t="shared" si="2235"/>
        <v>0.30555800000000016</v>
      </c>
      <c r="U383" s="62">
        <f t="shared" si="2235"/>
        <v>0.30555533333333312</v>
      </c>
      <c r="V383" s="62">
        <f t="shared" si="2235"/>
        <v>0.25462777777777784</v>
      </c>
      <c r="W383" s="62">
        <f t="shared" si="2235"/>
        <v>0.12731666666666661</v>
      </c>
      <c r="X383" s="62">
        <f t="shared" si="2235"/>
        <v>8.4875925925925952E-2</v>
      </c>
      <c r="Y383" s="62">
        <f t="shared" si="2235"/>
        <v>7.4027777777777776E-2</v>
      </c>
      <c r="Z383" s="62">
        <f t="shared" si="2235"/>
        <v>5.9222222222222225E-2</v>
      </c>
      <c r="AA383" s="62">
        <f t="shared" si="2235"/>
        <v>4.9351851851851855E-2</v>
      </c>
      <c r="AB383" s="62">
        <f t="shared" si="2235"/>
        <v>4.2301587301587305E-2</v>
      </c>
      <c r="AC383" s="62">
        <f t="shared" si="2235"/>
        <v>3.7013888888888874E-2</v>
      </c>
      <c r="AD383" s="62">
        <f t="shared" si="2235"/>
        <v>3.2901234567901227E-2</v>
      </c>
      <c r="AE383" s="62">
        <f t="shared" si="2235"/>
        <v>2.9611111111111102E-2</v>
      </c>
      <c r="AF383" s="62">
        <f t="shared" si="2235"/>
        <v>2.6919191919191912E-2</v>
      </c>
      <c r="AG383" s="62">
        <f t="shared" si="2235"/>
        <v>2.4675925925925917E-2</v>
      </c>
      <c r="AH383" s="62">
        <f t="shared" si="2235"/>
        <v>0.27450643776824024</v>
      </c>
      <c r="AI383" s="62">
        <f t="shared" si="2235"/>
        <v>0.27450643776824024</v>
      </c>
      <c r="AJ383" s="62">
        <f t="shared" si="2235"/>
        <v>0.27450643776824024</v>
      </c>
      <c r="AK383" s="412"/>
      <c r="AL383" s="14">
        <f t="shared" ref="AL383:BL383" si="2236">AL353/AL352</f>
        <v>0.1604278074866311</v>
      </c>
      <c r="AM383" s="14">
        <f t="shared" si="2236"/>
        <v>0.15649452269170566</v>
      </c>
      <c r="AN383" s="14">
        <f t="shared" si="2236"/>
        <v>0.15649452269170588</v>
      </c>
      <c r="AO383" s="14">
        <f t="shared" si="2236"/>
        <v>0.3055555333333333</v>
      </c>
      <c r="AP383" s="14">
        <f t="shared" si="2236"/>
        <v>0.3055551333333334</v>
      </c>
      <c r="AQ383" s="14">
        <f t="shared" si="2236"/>
        <v>0.30555599999999999</v>
      </c>
      <c r="AR383" s="14">
        <f t="shared" si="2236"/>
        <v>0.3055533333333334</v>
      </c>
      <c r="AS383" s="14">
        <f t="shared" si="2236"/>
        <v>0.30558000000000002</v>
      </c>
      <c r="AT383" s="14">
        <f t="shared" si="2236"/>
        <v>0.30553333333333321</v>
      </c>
      <c r="AU383" s="14">
        <f t="shared" si="2236"/>
        <v>0.3055533333333334</v>
      </c>
      <c r="AV383" s="14">
        <f t="shared" si="2236"/>
        <v>0.30555800000000016</v>
      </c>
      <c r="AW383" s="14">
        <f t="shared" si="2236"/>
        <v>0.30555533333333312</v>
      </c>
      <c r="AX383" s="14">
        <f t="shared" si="2236"/>
        <v>0.25462777777777784</v>
      </c>
      <c r="AY383" s="14">
        <f t="shared" si="2236"/>
        <v>0.25463333333333321</v>
      </c>
      <c r="AZ383" s="14">
        <f t="shared" si="2236"/>
        <v>0.25462777777777784</v>
      </c>
      <c r="BA383" s="14">
        <f t="shared" si="2236"/>
        <v>0.2961111111111111</v>
      </c>
      <c r="BB383" s="14">
        <f t="shared" si="2236"/>
        <v>0.2961111111111111</v>
      </c>
      <c r="BC383" s="14">
        <f t="shared" si="2236"/>
        <v>0.2961111111111111</v>
      </c>
      <c r="BD383" s="14">
        <f t="shared" si="2236"/>
        <v>0.2961111111111111</v>
      </c>
      <c r="BE383" s="14">
        <f t="shared" si="2236"/>
        <v>0.29611111111111099</v>
      </c>
      <c r="BF383" s="14">
        <f t="shared" si="2236"/>
        <v>0.29611111111111099</v>
      </c>
      <c r="BG383" s="14">
        <f t="shared" si="2236"/>
        <v>0.29611111111111099</v>
      </c>
      <c r="BH383" s="14">
        <f t="shared" si="2236"/>
        <v>0.29611111111111099</v>
      </c>
      <c r="BI383" s="14">
        <f t="shared" si="2236"/>
        <v>0.29611111111111099</v>
      </c>
      <c r="BJ383" s="14">
        <f t="shared" si="2236"/>
        <v>0.27450643776824024</v>
      </c>
      <c r="BK383" s="14">
        <f t="shared" si="2236"/>
        <v>0.27450643776824024</v>
      </c>
      <c r="BL383" s="14">
        <f t="shared" si="2236"/>
        <v>0.27450643776824024</v>
      </c>
      <c r="BM383" s="412"/>
      <c r="BN383" s="14">
        <f t="shared" ref="BN383:CN383" si="2237">BN353/BN352</f>
        <v>0.1604278074866311</v>
      </c>
      <c r="BO383" s="14">
        <f t="shared" si="2237"/>
        <v>0.15843675732770002</v>
      </c>
      <c r="BP383" s="14">
        <f t="shared" si="2237"/>
        <v>0.15778401122019636</v>
      </c>
      <c r="BQ383" s="14">
        <f t="shared" si="2237"/>
        <v>0.3055555333333333</v>
      </c>
      <c r="BR383" s="14">
        <f t="shared" si="2237"/>
        <v>0.30555533333333335</v>
      </c>
      <c r="BS383" s="14">
        <f t="shared" si="2237"/>
        <v>0.30555555555555558</v>
      </c>
      <c r="BT383" s="14">
        <f t="shared" si="2237"/>
        <v>0.3055533333333334</v>
      </c>
      <c r="BU383" s="14">
        <f t="shared" si="2237"/>
        <v>0.30556666666666671</v>
      </c>
      <c r="BV383" s="14">
        <f t="shared" si="2237"/>
        <v>0.30555555555555558</v>
      </c>
      <c r="BW383" s="14">
        <f t="shared" si="2237"/>
        <v>0.3055533333333334</v>
      </c>
      <c r="BX383" s="14">
        <f t="shared" si="2237"/>
        <v>0.30555566666666678</v>
      </c>
      <c r="BY383" s="14">
        <f t="shared" si="2237"/>
        <v>0.30555555555555558</v>
      </c>
      <c r="BZ383" s="14">
        <f t="shared" si="2237"/>
        <v>8.4875925925925952E-2</v>
      </c>
      <c r="CA383" s="14">
        <f t="shared" si="2237"/>
        <v>0.16975370370370368</v>
      </c>
      <c r="CB383" s="14">
        <f t="shared" si="2237"/>
        <v>0.25462962962962965</v>
      </c>
      <c r="CC383" s="14">
        <f t="shared" si="2237"/>
        <v>4.9351851851851855E-2</v>
      </c>
      <c r="CD383" s="14">
        <f t="shared" si="2237"/>
        <v>9.870370370370371E-2</v>
      </c>
      <c r="CE383" s="14">
        <f t="shared" si="2237"/>
        <v>0.14805555555555555</v>
      </c>
      <c r="CF383" s="14">
        <f t="shared" si="2237"/>
        <v>3.2901234567901234E-2</v>
      </c>
      <c r="CG383" s="14">
        <f t="shared" si="2237"/>
        <v>6.5802469135802455E-2</v>
      </c>
      <c r="CH383" s="14">
        <f t="shared" si="2237"/>
        <v>9.8703703703703682E-2</v>
      </c>
      <c r="CI383" s="14">
        <f t="shared" si="2237"/>
        <v>2.4675925925925917E-2</v>
      </c>
      <c r="CJ383" s="14">
        <f t="shared" si="2237"/>
        <v>4.9351851851851834E-2</v>
      </c>
      <c r="CK383" s="14">
        <f t="shared" si="2237"/>
        <v>7.4027777777777748E-2</v>
      </c>
      <c r="CL383" s="14">
        <f t="shared" si="2237"/>
        <v>9.1502145922746747E-2</v>
      </c>
      <c r="CM383" s="14">
        <f t="shared" si="2237"/>
        <v>0.18300429184549349</v>
      </c>
      <c r="CN383" s="14">
        <f t="shared" si="2237"/>
        <v>0.27450643776824024</v>
      </c>
      <c r="CO383" s="412"/>
      <c r="CP383" s="14">
        <f t="shared" ref="CP383:DP383" si="2238">CP353/CP352</f>
        <v>0.1604278074866311</v>
      </c>
      <c r="CQ383" s="14">
        <f t="shared" si="2238"/>
        <v>0.15843675732770002</v>
      </c>
      <c r="CR383" s="14">
        <f t="shared" si="2238"/>
        <v>0.15778401122019636</v>
      </c>
      <c r="CS383" s="14">
        <f t="shared" si="2238"/>
        <v>0.18855265130483068</v>
      </c>
      <c r="CT383" s="14">
        <f t="shared" si="2238"/>
        <v>0.20871622242647062</v>
      </c>
      <c r="CU383" s="14">
        <f t="shared" si="2238"/>
        <v>0.22295178361426893</v>
      </c>
      <c r="CV383" s="14">
        <f t="shared" si="2238"/>
        <v>0.23353810663021193</v>
      </c>
      <c r="CW383" s="14">
        <f t="shared" si="2238"/>
        <v>0.24172220539230538</v>
      </c>
      <c r="CX383" s="14">
        <f t="shared" si="2238"/>
        <v>0.24823177366702939</v>
      </c>
      <c r="CY383" s="14">
        <f t="shared" si="2238"/>
        <v>0.25353801530486303</v>
      </c>
      <c r="CZ383" s="14">
        <f t="shared" si="2238"/>
        <v>0.25794549254405785</v>
      </c>
      <c r="DA383" s="14">
        <f t="shared" si="2238"/>
        <v>0.26166423661737137</v>
      </c>
      <c r="DB383" s="14">
        <f t="shared" si="2238"/>
        <v>0.25462777777777784</v>
      </c>
      <c r="DC383" s="14">
        <f t="shared" si="2238"/>
        <v>0.25463055555555553</v>
      </c>
      <c r="DD383" s="14">
        <f t="shared" si="2238"/>
        <v>0.25462962962962965</v>
      </c>
      <c r="DE383" s="14">
        <f t="shared" si="2238"/>
        <v>0.26499999999999996</v>
      </c>
      <c r="DF383" s="14">
        <f t="shared" si="2238"/>
        <v>0.2712222222222222</v>
      </c>
      <c r="DG383" s="14">
        <f t="shared" si="2238"/>
        <v>0.27537037037037032</v>
      </c>
      <c r="DH383" s="14">
        <f t="shared" si="2238"/>
        <v>0.27833333333333327</v>
      </c>
      <c r="DI383" s="14">
        <f t="shared" si="2238"/>
        <v>0.2805555555555555</v>
      </c>
      <c r="DJ383" s="14">
        <f t="shared" si="2238"/>
        <v>0.2822839506172839</v>
      </c>
      <c r="DK383" s="14">
        <f t="shared" si="2238"/>
        <v>0.28366666666666662</v>
      </c>
      <c r="DL383" s="14">
        <f t="shared" si="2238"/>
        <v>0.28479797979797972</v>
      </c>
      <c r="DM383" s="14">
        <f t="shared" si="2238"/>
        <v>0.28574074074074068</v>
      </c>
      <c r="DN383" s="14">
        <f t="shared" si="2238"/>
        <v>0.27450643776824024</v>
      </c>
      <c r="DO383" s="14">
        <f t="shared" si="2238"/>
        <v>0.27450643776824024</v>
      </c>
      <c r="DP383" s="14">
        <f t="shared" si="2238"/>
        <v>0.27450643776824024</v>
      </c>
      <c r="DQ383" s="14"/>
      <c r="DR383" s="14"/>
      <c r="DS383" s="14"/>
      <c r="DT383" s="14"/>
      <c r="DU383" s="14"/>
      <c r="DV383" s="14"/>
      <c r="DW383" s="14"/>
      <c r="DX383" s="14"/>
      <c r="DY383" s="14"/>
      <c r="DZ383" s="14"/>
      <c r="EA383" s="14">
        <f>EA353/EA352</f>
        <v>0.26166423661737137</v>
      </c>
      <c r="EB383" s="14">
        <f>EB353/EB352</f>
        <v>0.28574074074074068</v>
      </c>
      <c r="EC383" s="14"/>
      <c r="ED383" s="429"/>
      <c r="EE383" s="14">
        <f>EE353/EE352</f>
        <v>0.27450643776824024</v>
      </c>
      <c r="EF383" s="14">
        <f>EF353/EF352</f>
        <v>0.18300429184549349</v>
      </c>
      <c r="EG383" s="14">
        <f>+EF383</f>
        <v>0.18300429184549349</v>
      </c>
      <c r="EK383" s="24"/>
      <c r="EL383" s="47"/>
      <c r="EM383" s="47"/>
      <c r="EN383" s="47"/>
    </row>
    <row r="384" spans="1:149">
      <c r="A384" s="6" t="s">
        <v>23</v>
      </c>
      <c r="B384" s="2" t="s">
        <v>160</v>
      </c>
      <c r="C384" s="3" t="s">
        <v>76</v>
      </c>
      <c r="E384" s="3" t="str">
        <f>C342</f>
        <v>BSatRate</v>
      </c>
      <c r="F384" s="3" t="s">
        <v>32</v>
      </c>
      <c r="G384" s="28" t="str">
        <f>C339</f>
        <v>BAllNew</v>
      </c>
      <c r="H384" s="63" t="s">
        <v>31</v>
      </c>
      <c r="I384" s="28" t="str">
        <f>C341</f>
        <v>BSatResp</v>
      </c>
      <c r="J384" s="62">
        <f t="shared" ref="J384:AJ384" si="2239">J342*J341/J339</f>
        <v>8.4444444444444447E-2</v>
      </c>
      <c r="K384" s="62">
        <f t="shared" si="2239"/>
        <v>4.2222222222222223E-2</v>
      </c>
      <c r="L384" s="62">
        <f t="shared" si="2239"/>
        <v>2.8148148148148148E-2</v>
      </c>
      <c r="M384" s="62">
        <f t="shared" si="2239"/>
        <v>2.1111111111111112E-2</v>
      </c>
      <c r="N384" s="62">
        <f t="shared" si="2239"/>
        <v>1.6888888888888887E-2</v>
      </c>
      <c r="O384" s="62">
        <f t="shared" si="2239"/>
        <v>1.4074074074074074E-2</v>
      </c>
      <c r="P384" s="62">
        <f t="shared" si="2239"/>
        <v>1.2063492063492063E-2</v>
      </c>
      <c r="Q384" s="62">
        <f t="shared" si="2239"/>
        <v>1.0555555555555556E-2</v>
      </c>
      <c r="R384" s="62">
        <f t="shared" si="2239"/>
        <v>9.3827160493827159E-3</v>
      </c>
      <c r="S384" s="62">
        <f t="shared" si="2239"/>
        <v>8.4444444444444437E-3</v>
      </c>
      <c r="T384" s="62">
        <f t="shared" si="2239"/>
        <v>7.6767676767676768E-3</v>
      </c>
      <c r="U384" s="62">
        <f t="shared" si="2239"/>
        <v>7.037037037037037E-3</v>
      </c>
      <c r="V384" s="62">
        <f t="shared" si="2239"/>
        <v>0.19950938867711421</v>
      </c>
      <c r="W384" s="62">
        <f t="shared" si="2239"/>
        <v>0.19950938867711421</v>
      </c>
      <c r="X384" s="62">
        <f t="shared" si="2239"/>
        <v>0.19950938867711418</v>
      </c>
      <c r="Y384" s="62">
        <f t="shared" si="2239"/>
        <v>0.19950938867711421</v>
      </c>
      <c r="Z384" s="62">
        <f t="shared" si="2239"/>
        <v>0.19950938867711421</v>
      </c>
      <c r="AA384" s="62">
        <f t="shared" si="2239"/>
        <v>0.19950938867711424</v>
      </c>
      <c r="AB384" s="62">
        <f t="shared" si="2239"/>
        <v>0.19950938867711424</v>
      </c>
      <c r="AC384" s="62">
        <f t="shared" si="2239"/>
        <v>0.19950938867711426</v>
      </c>
      <c r="AD384" s="62">
        <f t="shared" si="2239"/>
        <v>0.19950938867711426</v>
      </c>
      <c r="AE384" s="62">
        <f t="shared" si="2239"/>
        <v>0.19950938867711426</v>
      </c>
      <c r="AF384" s="62">
        <f t="shared" si="2239"/>
        <v>0.19950938867711429</v>
      </c>
      <c r="AG384" s="62">
        <f t="shared" si="2239"/>
        <v>0.19950938867711426</v>
      </c>
      <c r="AH384" s="62">
        <f t="shared" si="2239"/>
        <v>0</v>
      </c>
      <c r="AI384" s="62">
        <f t="shared" si="2239"/>
        <v>0</v>
      </c>
      <c r="AJ384" s="62" t="e">
        <f t="shared" si="2239"/>
        <v>#DIV/0!</v>
      </c>
      <c r="AK384" s="412"/>
      <c r="AL384" s="14">
        <f t="shared" ref="AL384:BL384" si="2240">AL342*AL341/AL339</f>
        <v>8.4444444444444447E-2</v>
      </c>
      <c r="AM384" s="14">
        <f t="shared" si="2240"/>
        <v>8.4444444444444447E-2</v>
      </c>
      <c r="AN384" s="14">
        <f t="shared" si="2240"/>
        <v>8.4444444444444447E-2</v>
      </c>
      <c r="AO384" s="14">
        <f t="shared" si="2240"/>
        <v>8.4444444444444447E-2</v>
      </c>
      <c r="AP384" s="14">
        <f t="shared" si="2240"/>
        <v>8.4444444444444447E-2</v>
      </c>
      <c r="AQ384" s="14">
        <f t="shared" si="2240"/>
        <v>8.4444444444444447E-2</v>
      </c>
      <c r="AR384" s="14">
        <f t="shared" si="2240"/>
        <v>8.4444444444444447E-2</v>
      </c>
      <c r="AS384" s="14">
        <f t="shared" si="2240"/>
        <v>8.4444444444444447E-2</v>
      </c>
      <c r="AT384" s="14">
        <f t="shared" si="2240"/>
        <v>8.4444444444444447E-2</v>
      </c>
      <c r="AU384" s="14">
        <f t="shared" si="2240"/>
        <v>8.4444444444444447E-2</v>
      </c>
      <c r="AV384" s="14">
        <f t="shared" si="2240"/>
        <v>8.4444444444444447E-2</v>
      </c>
      <c r="AW384" s="14">
        <f t="shared" si="2240"/>
        <v>8.4444444444444447E-2</v>
      </c>
      <c r="AX384" s="14">
        <f t="shared" si="2240"/>
        <v>0.19950938867711421</v>
      </c>
      <c r="AY384" s="14">
        <f t="shared" si="2240"/>
        <v>0.19950938867711421</v>
      </c>
      <c r="AZ384" s="14">
        <f t="shared" si="2240"/>
        <v>0.19950938867711418</v>
      </c>
      <c r="BA384" s="14">
        <f t="shared" si="2240"/>
        <v>0.19950938867711424</v>
      </c>
      <c r="BB384" s="14">
        <f t="shared" si="2240"/>
        <v>0.19950938867711424</v>
      </c>
      <c r="BC384" s="14">
        <f t="shared" si="2240"/>
        <v>0.19950938867711435</v>
      </c>
      <c r="BD384" s="14">
        <f t="shared" si="2240"/>
        <v>0.19950938867711435</v>
      </c>
      <c r="BE384" s="14">
        <f t="shared" si="2240"/>
        <v>0.19950938867711435</v>
      </c>
      <c r="BF384" s="14">
        <f t="shared" si="2240"/>
        <v>0.19950938867711435</v>
      </c>
      <c r="BG384" s="14">
        <f t="shared" si="2240"/>
        <v>0.19950938867711415</v>
      </c>
      <c r="BH384" s="14">
        <f t="shared" si="2240"/>
        <v>0.19950938867711435</v>
      </c>
      <c r="BI384" s="14">
        <f t="shared" si="2240"/>
        <v>0.19950938867711435</v>
      </c>
      <c r="BJ384" s="14">
        <f t="shared" si="2240"/>
        <v>0</v>
      </c>
      <c r="BK384" s="14">
        <f t="shared" si="2240"/>
        <v>0</v>
      </c>
      <c r="BL384" s="14" t="e">
        <f t="shared" si="2240"/>
        <v>#DIV/0!</v>
      </c>
      <c r="BM384" s="412"/>
      <c r="BN384" s="14">
        <f t="shared" ref="BN384:CN384" si="2241">BN342*BN341/BN339</f>
        <v>8.4444444444444433E-2</v>
      </c>
      <c r="BO384" s="14">
        <f t="shared" si="2241"/>
        <v>8.4444444444444433E-2</v>
      </c>
      <c r="BP384" s="14">
        <f t="shared" si="2241"/>
        <v>8.4444444444444433E-2</v>
      </c>
      <c r="BQ384" s="14">
        <f t="shared" si="2241"/>
        <v>8.4444444444444433E-2</v>
      </c>
      <c r="BR384" s="14">
        <f t="shared" si="2241"/>
        <v>8.4444444444444433E-2</v>
      </c>
      <c r="BS384" s="14">
        <f t="shared" si="2241"/>
        <v>8.4444444444444433E-2</v>
      </c>
      <c r="BT384" s="14">
        <f t="shared" si="2241"/>
        <v>8.4444444444444433E-2</v>
      </c>
      <c r="BU384" s="14">
        <f t="shared" si="2241"/>
        <v>8.4444444444444433E-2</v>
      </c>
      <c r="BV384" s="14">
        <f t="shared" si="2241"/>
        <v>8.4444444444444433E-2</v>
      </c>
      <c r="BW384" s="14">
        <f t="shared" si="2241"/>
        <v>8.4444444444444433E-2</v>
      </c>
      <c r="BX384" s="14">
        <f t="shared" si="2241"/>
        <v>8.4444444444444433E-2</v>
      </c>
      <c r="BY384" s="14">
        <f t="shared" si="2241"/>
        <v>8.4444444444444433E-2</v>
      </c>
      <c r="BZ384" s="14">
        <f t="shared" si="2241"/>
        <v>0.19950938867711418</v>
      </c>
      <c r="CA384" s="14">
        <f t="shared" si="2241"/>
        <v>0.19950938867711418</v>
      </c>
      <c r="CB384" s="14">
        <f t="shared" si="2241"/>
        <v>0.19950938867711418</v>
      </c>
      <c r="CC384" s="14">
        <f t="shared" si="2241"/>
        <v>0.59852816603134273</v>
      </c>
      <c r="CD384" s="14">
        <f t="shared" si="2241"/>
        <v>0.59852816603134273</v>
      </c>
      <c r="CE384" s="14">
        <f t="shared" si="2241"/>
        <v>0.59852816603134273</v>
      </c>
      <c r="CF384" s="14">
        <f t="shared" si="2241"/>
        <v>0.59852816603134296</v>
      </c>
      <c r="CG384" s="14">
        <f t="shared" si="2241"/>
        <v>0.59852816603134296</v>
      </c>
      <c r="CH384" s="14">
        <f t="shared" si="2241"/>
        <v>0.59852816603134296</v>
      </c>
      <c r="CI384" s="14">
        <f t="shared" si="2241"/>
        <v>0.59852816603134273</v>
      </c>
      <c r="CJ384" s="14">
        <f t="shared" si="2241"/>
        <v>0.59852816603134273</v>
      </c>
      <c r="CK384" s="14">
        <f t="shared" si="2241"/>
        <v>0.59852816603134273</v>
      </c>
      <c r="CL384" s="14" t="e">
        <f t="shared" si="2241"/>
        <v>#DIV/0!</v>
      </c>
      <c r="CM384" s="14" t="e">
        <f t="shared" si="2241"/>
        <v>#DIV/0!</v>
      </c>
      <c r="CN384" s="14" t="e">
        <f t="shared" si="2241"/>
        <v>#DIV/0!</v>
      </c>
      <c r="CO384" s="412"/>
      <c r="CP384" s="14">
        <f t="shared" ref="CP384:DP384" si="2242">CP342*CP341/CP339</f>
        <v>8.4444444444444447E-2</v>
      </c>
      <c r="CQ384" s="14">
        <f t="shared" si="2242"/>
        <v>8.4444444444444447E-2</v>
      </c>
      <c r="CR384" s="14">
        <f t="shared" si="2242"/>
        <v>8.4444444444444433E-2</v>
      </c>
      <c r="CS384" s="14">
        <f t="shared" si="2242"/>
        <v>8.4444444444444447E-2</v>
      </c>
      <c r="CT384" s="14">
        <f t="shared" si="2242"/>
        <v>8.4444444444444447E-2</v>
      </c>
      <c r="CU384" s="14">
        <f t="shared" si="2242"/>
        <v>8.4444444444444447E-2</v>
      </c>
      <c r="CV384" s="14">
        <f t="shared" si="2242"/>
        <v>8.4444444444444447E-2</v>
      </c>
      <c r="CW384" s="14">
        <f t="shared" si="2242"/>
        <v>8.4444444444444447E-2</v>
      </c>
      <c r="CX384" s="14">
        <f t="shared" si="2242"/>
        <v>8.4444444444444447E-2</v>
      </c>
      <c r="CY384" s="14">
        <f t="shared" si="2242"/>
        <v>8.4444444444444447E-2</v>
      </c>
      <c r="CZ384" s="14">
        <f t="shared" si="2242"/>
        <v>8.4444444444444433E-2</v>
      </c>
      <c r="DA384" s="14">
        <f t="shared" si="2242"/>
        <v>8.4444444444444433E-2</v>
      </c>
      <c r="DB384" s="14">
        <f t="shared" si="2242"/>
        <v>0.19950938867711418</v>
      </c>
      <c r="DC384" s="14">
        <f t="shared" si="2242"/>
        <v>0.19950938867711418</v>
      </c>
      <c r="DD384" s="14">
        <f t="shared" si="2242"/>
        <v>0.19950938867711418</v>
      </c>
      <c r="DE384" s="14">
        <f t="shared" si="2242"/>
        <v>0.19950938867711418</v>
      </c>
      <c r="DF384" s="14">
        <f t="shared" si="2242"/>
        <v>0.19950938867711418</v>
      </c>
      <c r="DG384" s="14">
        <f t="shared" si="2242"/>
        <v>0.19950938867711424</v>
      </c>
      <c r="DH384" s="14">
        <f t="shared" si="2242"/>
        <v>0.19950938867711421</v>
      </c>
      <c r="DI384" s="14">
        <f t="shared" si="2242"/>
        <v>0.19950938867711424</v>
      </c>
      <c r="DJ384" s="14">
        <f t="shared" si="2242"/>
        <v>0.19950938867711424</v>
      </c>
      <c r="DK384" s="14">
        <f t="shared" si="2242"/>
        <v>0.19950938867711424</v>
      </c>
      <c r="DL384" s="14">
        <f t="shared" si="2242"/>
        <v>0.19950938867711426</v>
      </c>
      <c r="DM384" s="14">
        <f t="shared" si="2242"/>
        <v>0.19950938867711426</v>
      </c>
      <c r="DN384" s="14">
        <f t="shared" si="2242"/>
        <v>0</v>
      </c>
      <c r="DO384" s="14">
        <f t="shared" si="2242"/>
        <v>0</v>
      </c>
      <c r="DP384" s="14">
        <f t="shared" si="2242"/>
        <v>0</v>
      </c>
      <c r="DQ384" s="14"/>
      <c r="DR384" s="14"/>
      <c r="DS384" s="14"/>
      <c r="DT384" s="14"/>
      <c r="DU384" s="14"/>
      <c r="DV384" s="14"/>
      <c r="DW384" s="14"/>
      <c r="DX384" s="14"/>
      <c r="DY384" s="14"/>
      <c r="DZ384" s="14"/>
      <c r="EA384" s="14">
        <f>EA342*EA341/EA339</f>
        <v>8.4444444444444433E-2</v>
      </c>
      <c r="EB384" s="14">
        <f>EB342*EB341/EB339</f>
        <v>0.19950938867711426</v>
      </c>
      <c r="EC384" s="14"/>
      <c r="ED384" s="429"/>
      <c r="EE384" s="14" t="e">
        <f>EE341*EE342/EE341</f>
        <v>#DIV/0!</v>
      </c>
      <c r="EF384" s="14" t="e">
        <f>EF342*EF341/EF341</f>
        <v>#DIV/0!</v>
      </c>
      <c r="EG384" s="14">
        <f>EG341*EG342/EG341</f>
        <v>0.95</v>
      </c>
      <c r="EK384" s="24"/>
      <c r="EL384" s="47"/>
      <c r="EM384" s="47"/>
      <c r="EN384" s="47"/>
    </row>
    <row r="385" spans="1:150">
      <c r="A385" s="6" t="s">
        <v>23</v>
      </c>
      <c r="B385" s="2" t="s">
        <v>26</v>
      </c>
      <c r="C385" s="3" t="s">
        <v>84</v>
      </c>
      <c r="E385" s="3" t="str">
        <f>C343</f>
        <v>BSpec1</v>
      </c>
      <c r="F385" s="4" t="s">
        <v>31</v>
      </c>
      <c r="G385" s="28" t="str">
        <f>C352</f>
        <v>BSUniq</v>
      </c>
      <c r="H385" s="28"/>
      <c r="I385" s="28"/>
      <c r="J385" s="62">
        <f t="shared" ref="J385:AJ385" si="2243">J343/J352</f>
        <v>0.11140819962566853</v>
      </c>
      <c r="K385" s="62">
        <f t="shared" si="2243"/>
        <v>0.21735346896191948</v>
      </c>
      <c r="L385" s="62">
        <f t="shared" si="2243"/>
        <v>0.32603025560772059</v>
      </c>
      <c r="M385" s="62">
        <f t="shared" si="2243"/>
        <v>0.55555533333333329</v>
      </c>
      <c r="N385" s="62">
        <f t="shared" si="2243"/>
        <v>0.69444439999999996</v>
      </c>
      <c r="O385" s="62">
        <f t="shared" si="2243"/>
        <v>0.83333333333333337</v>
      </c>
      <c r="P385" s="62">
        <f t="shared" si="2243"/>
        <v>0.97221999999999997</v>
      </c>
      <c r="Q385" s="62">
        <f t="shared" si="2243"/>
        <v>1.1111333333333335</v>
      </c>
      <c r="R385" s="62">
        <f t="shared" si="2243"/>
        <v>1.25</v>
      </c>
      <c r="S385" s="62">
        <f t="shared" si="2243"/>
        <v>1.3888866666666668</v>
      </c>
      <c r="T385" s="62">
        <f t="shared" si="2243"/>
        <v>1.5277799999999999</v>
      </c>
      <c r="U385" s="62">
        <f t="shared" si="2243"/>
        <v>1.6666666666666667</v>
      </c>
      <c r="V385" s="62">
        <f t="shared" si="2243"/>
        <v>6.9444444444444448E-2</v>
      </c>
      <c r="W385" s="62">
        <f t="shared" si="2243"/>
        <v>6.9444444444444448E-2</v>
      </c>
      <c r="X385" s="62">
        <f t="shared" si="2243"/>
        <v>6.9444444444444448E-2</v>
      </c>
      <c r="Y385" s="62">
        <f t="shared" si="2243"/>
        <v>6.9444444444444448E-2</v>
      </c>
      <c r="Z385" s="62">
        <f t="shared" si="2243"/>
        <v>6.9444444444444448E-2</v>
      </c>
      <c r="AA385" s="62">
        <f t="shared" si="2243"/>
        <v>6.9444444444444448E-2</v>
      </c>
      <c r="AB385" s="62">
        <f t="shared" si="2243"/>
        <v>6.9444444444444448E-2</v>
      </c>
      <c r="AC385" s="62">
        <f t="shared" si="2243"/>
        <v>6.9444444444444448E-2</v>
      </c>
      <c r="AD385" s="62">
        <f t="shared" si="2243"/>
        <v>6.9444444444444448E-2</v>
      </c>
      <c r="AE385" s="62">
        <f t="shared" si="2243"/>
        <v>6.9444444444444448E-2</v>
      </c>
      <c r="AF385" s="62">
        <f t="shared" si="2243"/>
        <v>6.9444444444444448E-2</v>
      </c>
      <c r="AG385" s="62">
        <f t="shared" si="2243"/>
        <v>6.9444444444444448E-2</v>
      </c>
      <c r="AH385" s="62">
        <f t="shared" si="2243"/>
        <v>0</v>
      </c>
      <c r="AI385" s="62">
        <f t="shared" si="2243"/>
        <v>0</v>
      </c>
      <c r="AJ385" s="62">
        <f t="shared" si="2243"/>
        <v>0</v>
      </c>
      <c r="AK385" s="412"/>
      <c r="AL385" s="14">
        <f t="shared" ref="AL385:BL385" si="2244">AL343/AL352</f>
        <v>0.11140819962566853</v>
      </c>
      <c r="AM385" s="14">
        <f t="shared" si="2244"/>
        <v>0.10867671711006772</v>
      </c>
      <c r="AN385" s="14">
        <f t="shared" si="2244"/>
        <v>0.10867678664580079</v>
      </c>
      <c r="AO385" s="14">
        <f t="shared" si="2244"/>
        <v>0.13888866666666669</v>
      </c>
      <c r="AP385" s="14">
        <f t="shared" si="2244"/>
        <v>0.13888906666666662</v>
      </c>
      <c r="AQ385" s="14">
        <f t="shared" si="2244"/>
        <v>0.13888893333333338</v>
      </c>
      <c r="AR385" s="14">
        <f t="shared" si="2244"/>
        <v>0.13888666666666663</v>
      </c>
      <c r="AS385" s="14">
        <f t="shared" si="2244"/>
        <v>0.13891333333333347</v>
      </c>
      <c r="AT385" s="14">
        <f t="shared" si="2244"/>
        <v>0.13886666666666656</v>
      </c>
      <c r="AU385" s="14">
        <f t="shared" si="2244"/>
        <v>0.13888666666666674</v>
      </c>
      <c r="AV385" s="14">
        <f t="shared" si="2244"/>
        <v>0.13889333333333317</v>
      </c>
      <c r="AW385" s="14">
        <f t="shared" si="2244"/>
        <v>0.13888666666666674</v>
      </c>
      <c r="AX385" s="14">
        <f t="shared" si="2244"/>
        <v>6.9444444444444448E-2</v>
      </c>
      <c r="AY385" s="14">
        <f t="shared" si="2244"/>
        <v>6.9444444444444448E-2</v>
      </c>
      <c r="AZ385" s="14">
        <f t="shared" si="2244"/>
        <v>6.9444444444444448E-2</v>
      </c>
      <c r="BA385" s="14">
        <f t="shared" si="2244"/>
        <v>6.9444444444444448E-2</v>
      </c>
      <c r="BB385" s="14">
        <f t="shared" si="2244"/>
        <v>6.9444444444444448E-2</v>
      </c>
      <c r="BC385" s="14">
        <f t="shared" si="2244"/>
        <v>6.9444444444444448E-2</v>
      </c>
      <c r="BD385" s="14">
        <f t="shared" si="2244"/>
        <v>6.9444444444444448E-2</v>
      </c>
      <c r="BE385" s="14">
        <f t="shared" si="2244"/>
        <v>6.9444444444444448E-2</v>
      </c>
      <c r="BF385" s="14">
        <f t="shared" si="2244"/>
        <v>6.9444444444444448E-2</v>
      </c>
      <c r="BG385" s="14">
        <f t="shared" si="2244"/>
        <v>6.9444444444444448E-2</v>
      </c>
      <c r="BH385" s="14">
        <f t="shared" si="2244"/>
        <v>6.9444444444444448E-2</v>
      </c>
      <c r="BI385" s="14">
        <f t="shared" si="2244"/>
        <v>6.9444444444444448E-2</v>
      </c>
      <c r="BJ385" s="14">
        <f t="shared" si="2244"/>
        <v>0</v>
      </c>
      <c r="BK385" s="14">
        <f t="shared" si="2244"/>
        <v>0</v>
      </c>
      <c r="BL385" s="14">
        <f t="shared" si="2244"/>
        <v>0</v>
      </c>
      <c r="BM385" s="412"/>
      <c r="BN385" s="14">
        <f t="shared" ref="BN385:CN385" si="2245">BN343/BN352</f>
        <v>0.33422459893048151</v>
      </c>
      <c r="BO385" s="14">
        <f t="shared" si="2245"/>
        <v>0.16503828888302083</v>
      </c>
      <c r="BP385" s="14">
        <f t="shared" si="2245"/>
        <v>0.10957223001402526</v>
      </c>
      <c r="BQ385" s="14">
        <f t="shared" si="2245"/>
        <v>0.41666666666666669</v>
      </c>
      <c r="BR385" s="14">
        <f t="shared" si="2245"/>
        <v>0.20833333333333334</v>
      </c>
      <c r="BS385" s="14">
        <f t="shared" si="2245"/>
        <v>0.1388888888888889</v>
      </c>
      <c r="BT385" s="14">
        <f t="shared" si="2245"/>
        <v>0.41666666666666669</v>
      </c>
      <c r="BU385" s="14">
        <f t="shared" si="2245"/>
        <v>0.20833333333333334</v>
      </c>
      <c r="BV385" s="14">
        <f t="shared" si="2245"/>
        <v>0.1388888888888889</v>
      </c>
      <c r="BW385" s="14">
        <f t="shared" si="2245"/>
        <v>0.41666666666666669</v>
      </c>
      <c r="BX385" s="14">
        <f t="shared" si="2245"/>
        <v>0.20833333333333334</v>
      </c>
      <c r="BY385" s="14">
        <f t="shared" si="2245"/>
        <v>0.1388888888888889</v>
      </c>
      <c r="BZ385" s="14">
        <f t="shared" si="2245"/>
        <v>6.9444444444444448E-2</v>
      </c>
      <c r="CA385" s="14">
        <f t="shared" si="2245"/>
        <v>6.9444444444444448E-2</v>
      </c>
      <c r="CB385" s="14">
        <f t="shared" si="2245"/>
        <v>6.9444444444444448E-2</v>
      </c>
      <c r="CC385" s="14">
        <f t="shared" si="2245"/>
        <v>3.4722222222222224E-2</v>
      </c>
      <c r="CD385" s="14">
        <f t="shared" si="2245"/>
        <v>3.4722222222222224E-2</v>
      </c>
      <c r="CE385" s="14">
        <f t="shared" si="2245"/>
        <v>3.4722222222222224E-2</v>
      </c>
      <c r="CF385" s="14">
        <f t="shared" si="2245"/>
        <v>2.3148148148148147E-2</v>
      </c>
      <c r="CG385" s="14">
        <f t="shared" si="2245"/>
        <v>2.3148148148148147E-2</v>
      </c>
      <c r="CH385" s="14">
        <f t="shared" si="2245"/>
        <v>2.3148148148148147E-2</v>
      </c>
      <c r="CI385" s="14">
        <f t="shared" si="2245"/>
        <v>1.7361111111111112E-2</v>
      </c>
      <c r="CJ385" s="14">
        <f t="shared" si="2245"/>
        <v>1.7361111111111112E-2</v>
      </c>
      <c r="CK385" s="14">
        <f t="shared" si="2245"/>
        <v>1.7361111111111112E-2</v>
      </c>
      <c r="CL385" s="14">
        <f t="shared" si="2245"/>
        <v>0</v>
      </c>
      <c r="CM385" s="14">
        <f t="shared" si="2245"/>
        <v>0</v>
      </c>
      <c r="CN385" s="14">
        <f t="shared" si="2245"/>
        <v>0</v>
      </c>
      <c r="CO385" s="412"/>
      <c r="CP385" s="14">
        <f t="shared" ref="CP385:DP385" si="2246">CP343/CP352</f>
        <v>0.11140819962566853</v>
      </c>
      <c r="CQ385" s="14">
        <f t="shared" si="2246"/>
        <v>0.11002550831792975</v>
      </c>
      <c r="CR385" s="14">
        <f t="shared" si="2246"/>
        <v>0.10957223001402526</v>
      </c>
      <c r="CS385" s="14">
        <f t="shared" si="2246"/>
        <v>0.11567642976124377</v>
      </c>
      <c r="CT385" s="14">
        <f t="shared" si="2246"/>
        <v>0.11967676930147059</v>
      </c>
      <c r="CU385" s="14">
        <f t="shared" si="2246"/>
        <v>0.12250098000784007</v>
      </c>
      <c r="CV385" s="14">
        <f t="shared" si="2246"/>
        <v>0.12460099111414902</v>
      </c>
      <c r="CW385" s="14">
        <f t="shared" si="2246"/>
        <v>0.12622690093910938</v>
      </c>
      <c r="CX385" s="14">
        <f t="shared" si="2246"/>
        <v>0.12751632208922742</v>
      </c>
      <c r="CY385" s="14">
        <f t="shared" si="2246"/>
        <v>0.12856887188348556</v>
      </c>
      <c r="CZ385" s="14">
        <f t="shared" si="2246"/>
        <v>0.12944362855851785</v>
      </c>
      <c r="DA385" s="14">
        <f t="shared" si="2246"/>
        <v>0.13018121224744844</v>
      </c>
      <c r="DB385" s="14">
        <f t="shared" si="2246"/>
        <v>6.9444444444444448E-2</v>
      </c>
      <c r="DC385" s="14">
        <f t="shared" si="2246"/>
        <v>6.9444444444444448E-2</v>
      </c>
      <c r="DD385" s="14">
        <f t="shared" si="2246"/>
        <v>6.9444444444444448E-2</v>
      </c>
      <c r="DE385" s="14">
        <f t="shared" si="2246"/>
        <v>6.9444444444444448E-2</v>
      </c>
      <c r="DF385" s="14">
        <f t="shared" si="2246"/>
        <v>6.9444444444444448E-2</v>
      </c>
      <c r="DG385" s="14">
        <f t="shared" si="2246"/>
        <v>6.9444444444444448E-2</v>
      </c>
      <c r="DH385" s="14">
        <f t="shared" si="2246"/>
        <v>6.9444444444444448E-2</v>
      </c>
      <c r="DI385" s="14">
        <f t="shared" si="2246"/>
        <v>6.9444444444444448E-2</v>
      </c>
      <c r="DJ385" s="14">
        <f t="shared" si="2246"/>
        <v>6.9444444444444448E-2</v>
      </c>
      <c r="DK385" s="14">
        <f t="shared" si="2246"/>
        <v>6.9444444444444448E-2</v>
      </c>
      <c r="DL385" s="14">
        <f t="shared" si="2246"/>
        <v>6.9444444444444448E-2</v>
      </c>
      <c r="DM385" s="14">
        <f t="shared" si="2246"/>
        <v>6.9444444444444448E-2</v>
      </c>
      <c r="DN385" s="14">
        <f t="shared" si="2246"/>
        <v>0</v>
      </c>
      <c r="DO385" s="14">
        <f t="shared" si="2246"/>
        <v>0</v>
      </c>
      <c r="DP385" s="14">
        <f t="shared" si="2246"/>
        <v>0</v>
      </c>
      <c r="DQ385" s="14"/>
      <c r="DR385" s="14"/>
      <c r="DS385" s="14"/>
      <c r="DT385" s="14"/>
      <c r="DU385" s="14"/>
      <c r="DV385" s="14"/>
      <c r="DW385" s="14"/>
      <c r="DX385" s="14"/>
      <c r="DY385" s="14"/>
      <c r="DZ385" s="14"/>
      <c r="EA385" s="14">
        <f>EA343/EA352</f>
        <v>0.13018121224744844</v>
      </c>
      <c r="EB385" s="14">
        <f>EB343/EB352</f>
        <v>6.9444444444444448E-2</v>
      </c>
      <c r="EC385" s="14"/>
      <c r="ED385" s="429"/>
      <c r="EE385" s="14">
        <f>EE343/EE352</f>
        <v>0</v>
      </c>
      <c r="EF385" s="14">
        <f>EF343/EF352</f>
        <v>0</v>
      </c>
      <c r="EG385" s="14">
        <f>EG343/EG352</f>
        <v>6.4377682403433473E-2</v>
      </c>
      <c r="EK385" s="24"/>
      <c r="EL385" s="47"/>
      <c r="EM385" s="47"/>
      <c r="EN385" s="47"/>
    </row>
    <row r="386" spans="1:150">
      <c r="A386" s="6" t="s">
        <v>23</v>
      </c>
      <c r="B386" s="2" t="s">
        <v>27</v>
      </c>
      <c r="C386" s="3" t="s">
        <v>77</v>
      </c>
      <c r="E386" s="3" t="str">
        <f>C345</f>
        <v>BOnlHrs</v>
      </c>
      <c r="F386" s="4" t="s">
        <v>31</v>
      </c>
      <c r="G386" s="28" t="str">
        <f>C344</f>
        <v>BTotHrs</v>
      </c>
      <c r="H386" s="28"/>
      <c r="I386" s="28"/>
      <c r="J386" s="62">
        <f t="shared" ref="J386:AJ386" si="2247">J345/J344</f>
        <v>0.18</v>
      </c>
      <c r="K386" s="62">
        <f t="shared" si="2247"/>
        <v>0.18</v>
      </c>
      <c r="L386" s="62">
        <f t="shared" si="2247"/>
        <v>0.18</v>
      </c>
      <c r="M386" s="62">
        <f t="shared" si="2247"/>
        <v>0.18</v>
      </c>
      <c r="N386" s="62">
        <f t="shared" si="2247"/>
        <v>0.18</v>
      </c>
      <c r="O386" s="62">
        <f t="shared" si="2247"/>
        <v>0.18</v>
      </c>
      <c r="P386" s="62">
        <f t="shared" si="2247"/>
        <v>0.18</v>
      </c>
      <c r="Q386" s="62">
        <f t="shared" si="2247"/>
        <v>0.18</v>
      </c>
      <c r="R386" s="62">
        <f t="shared" si="2247"/>
        <v>0.18000000000000002</v>
      </c>
      <c r="S386" s="62">
        <f t="shared" si="2247"/>
        <v>0.18</v>
      </c>
      <c r="T386" s="62">
        <f t="shared" si="2247"/>
        <v>0.18</v>
      </c>
      <c r="U386" s="62">
        <f t="shared" si="2247"/>
        <v>0.18</v>
      </c>
      <c r="V386" s="62">
        <f t="shared" si="2247"/>
        <v>0.14982828282828284</v>
      </c>
      <c r="W386" s="62">
        <f t="shared" si="2247"/>
        <v>0.14982828282828284</v>
      </c>
      <c r="X386" s="62">
        <f t="shared" si="2247"/>
        <v>0.14982828282828284</v>
      </c>
      <c r="Y386" s="62">
        <f t="shared" si="2247"/>
        <v>0.14982828282828284</v>
      </c>
      <c r="Z386" s="62">
        <f t="shared" si="2247"/>
        <v>0.14982828282828284</v>
      </c>
      <c r="AA386" s="62">
        <f t="shared" si="2247"/>
        <v>0.14982828282828284</v>
      </c>
      <c r="AB386" s="62">
        <f t="shared" si="2247"/>
        <v>0.14982828282828284</v>
      </c>
      <c r="AC386" s="62">
        <f t="shared" si="2247"/>
        <v>0.14982828282828284</v>
      </c>
      <c r="AD386" s="62">
        <f t="shared" si="2247"/>
        <v>0.14982828282828284</v>
      </c>
      <c r="AE386" s="62">
        <f t="shared" si="2247"/>
        <v>0.14982828282828284</v>
      </c>
      <c r="AF386" s="62">
        <f t="shared" si="2247"/>
        <v>0.14982828282828284</v>
      </c>
      <c r="AG386" s="62">
        <f t="shared" si="2247"/>
        <v>0.14982828282828284</v>
      </c>
      <c r="AH386" s="62">
        <f t="shared" si="2247"/>
        <v>0</v>
      </c>
      <c r="AI386" s="62">
        <f t="shared" si="2247"/>
        <v>0</v>
      </c>
      <c r="AJ386" s="62">
        <f t="shared" si="2247"/>
        <v>0</v>
      </c>
      <c r="AK386" s="412"/>
      <c r="AL386" s="14">
        <f t="shared" ref="AL386:BL386" si="2248">AL345/AL344</f>
        <v>0.18</v>
      </c>
      <c r="AM386" s="14">
        <f t="shared" si="2248"/>
        <v>0.18</v>
      </c>
      <c r="AN386" s="14">
        <f t="shared" si="2248"/>
        <v>0.17999999999999997</v>
      </c>
      <c r="AO386" s="14">
        <f t="shared" si="2248"/>
        <v>0.18000000000000002</v>
      </c>
      <c r="AP386" s="14">
        <f t="shared" si="2248"/>
        <v>0.18000000000000002</v>
      </c>
      <c r="AQ386" s="14">
        <f t="shared" si="2248"/>
        <v>0.17999999999999994</v>
      </c>
      <c r="AR386" s="14">
        <f t="shared" si="2248"/>
        <v>0.1800000000000001</v>
      </c>
      <c r="AS386" s="14">
        <f t="shared" si="2248"/>
        <v>0.17999999999999994</v>
      </c>
      <c r="AT386" s="14">
        <f t="shared" si="2248"/>
        <v>0.1800000000000001</v>
      </c>
      <c r="AU386" s="14">
        <f t="shared" si="2248"/>
        <v>0.17999999999999994</v>
      </c>
      <c r="AV386" s="14">
        <f t="shared" si="2248"/>
        <v>0.17999999999999994</v>
      </c>
      <c r="AW386" s="14">
        <f t="shared" si="2248"/>
        <v>0.17999999999999994</v>
      </c>
      <c r="AX386" s="14">
        <f t="shared" si="2248"/>
        <v>0.14982828282828284</v>
      </c>
      <c r="AY386" s="14">
        <f t="shared" si="2248"/>
        <v>0.14982828282828284</v>
      </c>
      <c r="AZ386" s="14">
        <f t="shared" si="2248"/>
        <v>0.14982828282828284</v>
      </c>
      <c r="BA386" s="14">
        <f t="shared" si="2248"/>
        <v>0.14982828282828281</v>
      </c>
      <c r="BB386" s="14">
        <f t="shared" si="2248"/>
        <v>0.14982828282828289</v>
      </c>
      <c r="BC386" s="14">
        <f t="shared" si="2248"/>
        <v>0.14982828282828281</v>
      </c>
      <c r="BD386" s="14">
        <f t="shared" si="2248"/>
        <v>0.14982828282828281</v>
      </c>
      <c r="BE386" s="14">
        <f t="shared" si="2248"/>
        <v>0.14982828282828281</v>
      </c>
      <c r="BF386" s="14">
        <f t="shared" si="2248"/>
        <v>0.14982828282828295</v>
      </c>
      <c r="BG386" s="14">
        <f t="shared" si="2248"/>
        <v>0.14982828282828281</v>
      </c>
      <c r="BH386" s="14">
        <f t="shared" si="2248"/>
        <v>0.14982828282828281</v>
      </c>
      <c r="BI386" s="14">
        <f t="shared" si="2248"/>
        <v>0.14982828282828281</v>
      </c>
      <c r="BJ386" s="14">
        <f t="shared" si="2248"/>
        <v>0</v>
      </c>
      <c r="BK386" s="14">
        <f t="shared" si="2248"/>
        <v>0</v>
      </c>
      <c r="BL386" s="14">
        <f t="shared" si="2248"/>
        <v>0</v>
      </c>
      <c r="BM386" s="412"/>
      <c r="BN386" s="14">
        <f t="shared" ref="BN386:CN386" si="2249">BN345/BN344</f>
        <v>0.18</v>
      </c>
      <c r="BO386" s="14">
        <f t="shared" si="2249"/>
        <v>0.18</v>
      </c>
      <c r="BP386" s="14">
        <f t="shared" si="2249"/>
        <v>0.18</v>
      </c>
      <c r="BQ386" s="14">
        <f t="shared" si="2249"/>
        <v>0.18</v>
      </c>
      <c r="BR386" s="14">
        <f t="shared" si="2249"/>
        <v>0.18</v>
      </c>
      <c r="BS386" s="14">
        <f t="shared" si="2249"/>
        <v>0.18</v>
      </c>
      <c r="BT386" s="14">
        <f t="shared" si="2249"/>
        <v>0.18000000000000005</v>
      </c>
      <c r="BU386" s="14">
        <f t="shared" si="2249"/>
        <v>0.18000000000000005</v>
      </c>
      <c r="BV386" s="14">
        <f t="shared" si="2249"/>
        <v>0.18000000000000005</v>
      </c>
      <c r="BW386" s="14">
        <f t="shared" si="2249"/>
        <v>0.17999999999999994</v>
      </c>
      <c r="BX386" s="14">
        <f t="shared" si="2249"/>
        <v>0.17999999999999994</v>
      </c>
      <c r="BY386" s="14">
        <f t="shared" si="2249"/>
        <v>0.17999999999999994</v>
      </c>
      <c r="BZ386" s="14">
        <f t="shared" si="2249"/>
        <v>0.14982828282828284</v>
      </c>
      <c r="CA386" s="14">
        <f t="shared" si="2249"/>
        <v>0.14982828282828284</v>
      </c>
      <c r="CB386" s="14">
        <f t="shared" si="2249"/>
        <v>0.14982828282828284</v>
      </c>
      <c r="CC386" s="14">
        <f t="shared" si="2249"/>
        <v>0.44948484848484849</v>
      </c>
      <c r="CD386" s="14">
        <f t="shared" si="2249"/>
        <v>0.44948484848484849</v>
      </c>
      <c r="CE386" s="14">
        <f t="shared" si="2249"/>
        <v>0.44948484848484849</v>
      </c>
      <c r="CF386" s="14">
        <f t="shared" si="2249"/>
        <v>0.4494848484848486</v>
      </c>
      <c r="CG386" s="14">
        <f t="shared" si="2249"/>
        <v>0.4494848484848486</v>
      </c>
      <c r="CH386" s="14">
        <f t="shared" si="2249"/>
        <v>0.4494848484848486</v>
      </c>
      <c r="CI386" s="14">
        <f t="shared" si="2249"/>
        <v>0.44948484848484843</v>
      </c>
      <c r="CJ386" s="14">
        <f t="shared" si="2249"/>
        <v>0.44948484848484843</v>
      </c>
      <c r="CK386" s="14">
        <f t="shared" si="2249"/>
        <v>0.44948484848484843</v>
      </c>
      <c r="CL386" s="14">
        <f t="shared" si="2249"/>
        <v>0</v>
      </c>
      <c r="CM386" s="14">
        <f t="shared" si="2249"/>
        <v>0</v>
      </c>
      <c r="CN386" s="14">
        <f t="shared" si="2249"/>
        <v>0</v>
      </c>
      <c r="CO386" s="412"/>
      <c r="CP386" s="14">
        <f t="shared" ref="CP386:DP386" si="2250">CP345/CP344</f>
        <v>0.18</v>
      </c>
      <c r="CQ386" s="14">
        <f t="shared" si="2250"/>
        <v>0.18</v>
      </c>
      <c r="CR386" s="14">
        <f t="shared" si="2250"/>
        <v>0.18</v>
      </c>
      <c r="CS386" s="14">
        <f t="shared" si="2250"/>
        <v>0.18</v>
      </c>
      <c r="CT386" s="14">
        <f t="shared" si="2250"/>
        <v>0.18</v>
      </c>
      <c r="CU386" s="14">
        <f t="shared" si="2250"/>
        <v>0.18</v>
      </c>
      <c r="CV386" s="14">
        <f t="shared" si="2250"/>
        <v>0.18</v>
      </c>
      <c r="CW386" s="14">
        <f t="shared" si="2250"/>
        <v>0.18</v>
      </c>
      <c r="CX386" s="14">
        <f t="shared" si="2250"/>
        <v>0.18000000000000002</v>
      </c>
      <c r="CY386" s="14">
        <f t="shared" si="2250"/>
        <v>0.18</v>
      </c>
      <c r="CZ386" s="14">
        <f t="shared" si="2250"/>
        <v>0.18</v>
      </c>
      <c r="DA386" s="14">
        <f t="shared" si="2250"/>
        <v>0.18</v>
      </c>
      <c r="DB386" s="14">
        <f t="shared" si="2250"/>
        <v>0.14982828282828284</v>
      </c>
      <c r="DC386" s="14">
        <f t="shared" si="2250"/>
        <v>0.14982828282828284</v>
      </c>
      <c r="DD386" s="14">
        <f t="shared" si="2250"/>
        <v>0.14982828282828284</v>
      </c>
      <c r="DE386" s="14">
        <f t="shared" si="2250"/>
        <v>0.14982828282828284</v>
      </c>
      <c r="DF386" s="14">
        <f t="shared" si="2250"/>
        <v>0.14982828282828284</v>
      </c>
      <c r="DG386" s="14">
        <f t="shared" si="2250"/>
        <v>0.14982828282828284</v>
      </c>
      <c r="DH386" s="14">
        <f t="shared" si="2250"/>
        <v>0.14982828282828284</v>
      </c>
      <c r="DI386" s="14">
        <f t="shared" si="2250"/>
        <v>0.14982828282828284</v>
      </c>
      <c r="DJ386" s="14">
        <f t="shared" si="2250"/>
        <v>0.14982828282828284</v>
      </c>
      <c r="DK386" s="14">
        <f t="shared" si="2250"/>
        <v>0.14982828282828284</v>
      </c>
      <c r="DL386" s="14">
        <f t="shared" si="2250"/>
        <v>0.14982828282828284</v>
      </c>
      <c r="DM386" s="14">
        <f t="shared" si="2250"/>
        <v>0.14982828282828284</v>
      </c>
      <c r="DN386" s="14">
        <f t="shared" si="2250"/>
        <v>0</v>
      </c>
      <c r="DO386" s="14">
        <f t="shared" si="2250"/>
        <v>0</v>
      </c>
      <c r="DP386" s="14">
        <f t="shared" si="2250"/>
        <v>0</v>
      </c>
      <c r="DQ386" s="14"/>
      <c r="DR386" s="14"/>
      <c r="DS386" s="14"/>
      <c r="DT386" s="14"/>
      <c r="DU386" s="14"/>
      <c r="DV386" s="14"/>
      <c r="DW386" s="14"/>
      <c r="DX386" s="14"/>
      <c r="DY386" s="14"/>
      <c r="DZ386" s="14"/>
      <c r="EA386" s="14">
        <f>EA345/EA344</f>
        <v>0.18</v>
      </c>
      <c r="EB386" s="14">
        <f>EB345/EB344</f>
        <v>0.14982828282828284</v>
      </c>
      <c r="EC386" s="14"/>
      <c r="ED386" s="429"/>
      <c r="EE386" s="14">
        <f>EE345/EE344</f>
        <v>0</v>
      </c>
      <c r="EF386" s="14">
        <f>EF345/EF344</f>
        <v>0</v>
      </c>
      <c r="EG386" s="14">
        <f>EG345/EG344</f>
        <v>0.19077813504823152</v>
      </c>
      <c r="EK386" s="24"/>
      <c r="EL386" s="47"/>
      <c r="EM386" s="47"/>
      <c r="EN386" s="47"/>
    </row>
    <row r="387" spans="1:150">
      <c r="A387" s="6" t="s">
        <v>23</v>
      </c>
      <c r="B387" s="2" t="s">
        <v>28</v>
      </c>
      <c r="C387" s="3" t="s">
        <v>78</v>
      </c>
      <c r="E387" s="3" t="str">
        <f>C350</f>
        <v>BColCash</v>
      </c>
      <c r="F387" s="4" t="s">
        <v>31</v>
      </c>
      <c r="G387" s="28" t="str">
        <f>C351</f>
        <v>BFSFunds</v>
      </c>
      <c r="H387" s="28"/>
      <c r="I387" s="28"/>
      <c r="J387" s="62" t="str">
        <f t="shared" ref="J387:AJ387" si="2251">IF(J351&lt;&gt;0,J350/J351,"")</f>
        <v/>
      </c>
      <c r="K387" s="62" t="str">
        <f t="shared" si="2251"/>
        <v/>
      </c>
      <c r="L387" s="62">
        <f t="shared" si="2251"/>
        <v>0.5</v>
      </c>
      <c r="M387" s="62">
        <f t="shared" si="2251"/>
        <v>0.5</v>
      </c>
      <c r="N387" s="62">
        <f t="shared" si="2251"/>
        <v>0.5</v>
      </c>
      <c r="O387" s="62">
        <f t="shared" si="2251"/>
        <v>0.5</v>
      </c>
      <c r="P387" s="62">
        <f t="shared" si="2251"/>
        <v>0.5</v>
      </c>
      <c r="Q387" s="62">
        <f t="shared" si="2251"/>
        <v>0.5</v>
      </c>
      <c r="R387" s="62">
        <f t="shared" si="2251"/>
        <v>0.5</v>
      </c>
      <c r="S387" s="62">
        <f t="shared" si="2251"/>
        <v>0.5</v>
      </c>
      <c r="T387" s="62">
        <f t="shared" si="2251"/>
        <v>0.5</v>
      </c>
      <c r="U387" s="62">
        <f t="shared" si="2251"/>
        <v>0.5</v>
      </c>
      <c r="V387" s="62" t="str">
        <f t="shared" si="2251"/>
        <v/>
      </c>
      <c r="W387" s="62" t="str">
        <f t="shared" si="2251"/>
        <v/>
      </c>
      <c r="X387" s="62" t="str">
        <f t="shared" si="2251"/>
        <v/>
      </c>
      <c r="Y387" s="62" t="str">
        <f t="shared" si="2251"/>
        <v/>
      </c>
      <c r="Z387" s="62" t="str">
        <f t="shared" si="2251"/>
        <v/>
      </c>
      <c r="AA387" s="62">
        <f t="shared" si="2251"/>
        <v>0.5</v>
      </c>
      <c r="AB387" s="62">
        <f t="shared" si="2251"/>
        <v>0.5</v>
      </c>
      <c r="AC387" s="62">
        <f t="shared" si="2251"/>
        <v>0.5</v>
      </c>
      <c r="AD387" s="62">
        <f t="shared" si="2251"/>
        <v>0.5</v>
      </c>
      <c r="AE387" s="62">
        <f t="shared" si="2251"/>
        <v>0.5</v>
      </c>
      <c r="AF387" s="62">
        <f t="shared" si="2251"/>
        <v>0.5</v>
      </c>
      <c r="AG387" s="62">
        <f t="shared" si="2251"/>
        <v>0.5</v>
      </c>
      <c r="AH387" s="62" t="str">
        <f t="shared" si="2251"/>
        <v/>
      </c>
      <c r="AI387" s="62" t="str">
        <f t="shared" si="2251"/>
        <v/>
      </c>
      <c r="AJ387" s="62" t="str">
        <f t="shared" si="2251"/>
        <v/>
      </c>
      <c r="AK387" s="412"/>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14"/>
      <c r="BI387" s="14"/>
      <c r="BJ387" s="14"/>
      <c r="BK387" s="14"/>
      <c r="BL387" s="14"/>
      <c r="BM387" s="412"/>
      <c r="BN387" s="14"/>
      <c r="BO387" s="14"/>
      <c r="BP387" s="14"/>
      <c r="BQ387" s="14"/>
      <c r="BR387" s="14"/>
      <c r="BS387" s="14"/>
      <c r="BT387" s="14"/>
      <c r="BU387" s="14"/>
      <c r="BV387" s="14"/>
      <c r="BW387" s="14"/>
      <c r="BX387" s="14"/>
      <c r="BY387" s="14"/>
      <c r="BZ387" s="14"/>
      <c r="CA387" s="14"/>
      <c r="CB387" s="14"/>
      <c r="CC387" s="14"/>
      <c r="CD387" s="14"/>
      <c r="CE387" s="14"/>
      <c r="CF387" s="14"/>
      <c r="CG387" s="14"/>
      <c r="CH387" s="14"/>
      <c r="CI387" s="14"/>
      <c r="CJ387" s="14"/>
      <c r="CK387" s="14"/>
      <c r="CL387" s="14"/>
      <c r="CM387" s="14"/>
      <c r="CN387" s="14"/>
      <c r="CO387" s="412"/>
      <c r="CP387" s="14" t="str">
        <f t="shared" ref="CP387:DP387" si="2252">IF(CP351&lt;&gt;0,CP350/CP351,"")</f>
        <v/>
      </c>
      <c r="CQ387" s="14" t="str">
        <f t="shared" si="2252"/>
        <v/>
      </c>
      <c r="CR387" s="14">
        <f t="shared" si="2252"/>
        <v>0.5</v>
      </c>
      <c r="CS387" s="14">
        <f t="shared" si="2252"/>
        <v>0.5</v>
      </c>
      <c r="CT387" s="14">
        <f t="shared" si="2252"/>
        <v>0.5</v>
      </c>
      <c r="CU387" s="14">
        <f t="shared" si="2252"/>
        <v>0.5</v>
      </c>
      <c r="CV387" s="14">
        <f t="shared" si="2252"/>
        <v>0.5</v>
      </c>
      <c r="CW387" s="14">
        <f t="shared" si="2252"/>
        <v>0.5</v>
      </c>
      <c r="CX387" s="14">
        <f t="shared" si="2252"/>
        <v>0.5</v>
      </c>
      <c r="CY387" s="14">
        <f t="shared" si="2252"/>
        <v>0.5</v>
      </c>
      <c r="CZ387" s="14">
        <f t="shared" si="2252"/>
        <v>0.5</v>
      </c>
      <c r="DA387" s="14">
        <f t="shared" si="2252"/>
        <v>0.5</v>
      </c>
      <c r="DB387" s="14" t="str">
        <f t="shared" si="2252"/>
        <v/>
      </c>
      <c r="DC387" s="14" t="str">
        <f t="shared" si="2252"/>
        <v/>
      </c>
      <c r="DD387" s="14" t="str">
        <f t="shared" si="2252"/>
        <v/>
      </c>
      <c r="DE387" s="14" t="str">
        <f t="shared" si="2252"/>
        <v/>
      </c>
      <c r="DF387" s="14" t="str">
        <f t="shared" si="2252"/>
        <v/>
      </c>
      <c r="DG387" s="14">
        <f t="shared" si="2252"/>
        <v>0.5</v>
      </c>
      <c r="DH387" s="14">
        <f t="shared" si="2252"/>
        <v>0.5</v>
      </c>
      <c r="DI387" s="14">
        <f t="shared" si="2252"/>
        <v>0.5</v>
      </c>
      <c r="DJ387" s="14">
        <f t="shared" si="2252"/>
        <v>0.5</v>
      </c>
      <c r="DK387" s="14">
        <f t="shared" si="2252"/>
        <v>0.5</v>
      </c>
      <c r="DL387" s="14">
        <f t="shared" si="2252"/>
        <v>0.5</v>
      </c>
      <c r="DM387" s="14">
        <f t="shared" si="2252"/>
        <v>0.5</v>
      </c>
      <c r="DN387" s="14" t="str">
        <f t="shared" si="2252"/>
        <v/>
      </c>
      <c r="DO387" s="14" t="str">
        <f t="shared" si="2252"/>
        <v/>
      </c>
      <c r="DP387" s="14" t="str">
        <f t="shared" si="2252"/>
        <v/>
      </c>
      <c r="DQ387" s="14"/>
      <c r="DR387" s="14"/>
      <c r="DS387" s="14"/>
      <c r="DT387" s="14"/>
      <c r="DU387" s="14"/>
      <c r="DV387" s="14"/>
      <c r="DW387" s="14"/>
      <c r="DX387" s="14"/>
      <c r="DY387" s="14"/>
      <c r="DZ387" s="14"/>
      <c r="EA387" s="14">
        <f>IF(EA351&lt;&gt;0,EA350/EA351,"")</f>
        <v>0.5</v>
      </c>
      <c r="EB387" s="14">
        <f>IF(EB351&lt;&gt;0,EB350/EB351,"")</f>
        <v>0.5</v>
      </c>
      <c r="EC387" s="14"/>
      <c r="ED387" s="429"/>
      <c r="EE387" s="14"/>
      <c r="EF387" s="14"/>
      <c r="EG387" s="14">
        <f>IF(EG351&lt;&gt;0,EG350/EG351,"")</f>
        <v>0.5048209028459274</v>
      </c>
      <c r="EK387" s="24"/>
      <c r="EL387" s="65"/>
      <c r="EM387" s="65"/>
      <c r="EN387" s="47"/>
    </row>
    <row r="388" spans="1:150">
      <c r="A388" s="6" t="s">
        <v>29</v>
      </c>
      <c r="G388" s="28"/>
      <c r="H388" s="28"/>
      <c r="I388" s="28"/>
      <c r="J388" s="64"/>
      <c r="K388" s="64"/>
      <c r="L388" s="64"/>
      <c r="M388" s="64"/>
      <c r="N388" s="64"/>
      <c r="O388" s="64"/>
      <c r="P388" s="64"/>
      <c r="Q388" s="64"/>
      <c r="R388" s="64"/>
      <c r="S388" s="64"/>
      <c r="T388" s="64"/>
      <c r="U388" s="64"/>
      <c r="V388" s="64"/>
      <c r="W388" s="64"/>
      <c r="X388" s="64"/>
      <c r="Y388" s="64"/>
      <c r="Z388" s="64"/>
      <c r="AA388" s="64"/>
      <c r="AB388" s="64"/>
      <c r="AC388" s="64"/>
      <c r="AD388" s="64"/>
      <c r="AE388" s="64"/>
      <c r="AF388" s="64"/>
      <c r="AG388" s="64"/>
      <c r="AH388" s="64"/>
      <c r="AI388" s="64"/>
      <c r="AJ388" s="64"/>
      <c r="CY388" s="14"/>
      <c r="ED388" s="429"/>
      <c r="EE388" s="23"/>
      <c r="EF388" s="23"/>
      <c r="EG388" s="23"/>
      <c r="EH388" s="25"/>
      <c r="EI388" s="25"/>
      <c r="EJ388" s="25"/>
      <c r="EK388" s="23"/>
    </row>
    <row r="389" spans="1:150">
      <c r="A389" s="6" t="s">
        <v>23</v>
      </c>
      <c r="B389" s="2" t="s">
        <v>24</v>
      </c>
      <c r="C389" s="3" t="s">
        <v>83</v>
      </c>
      <c r="E389" s="4" t="str">
        <f>C363</f>
        <v>AInBusNew</v>
      </c>
      <c r="F389" s="4" t="s">
        <v>31</v>
      </c>
      <c r="G389" s="28" t="str">
        <f>C362</f>
        <v>AAllNew</v>
      </c>
      <c r="H389" s="28"/>
      <c r="I389" s="28"/>
      <c r="J389" s="62">
        <f t="shared" ref="J389:AJ389" si="2253">IF(J362&lt;&gt;0,J363/J362,"")</f>
        <v>0.36842105263157893</v>
      </c>
      <c r="K389" s="62">
        <f t="shared" si="2253"/>
        <v>0.35294117647058826</v>
      </c>
      <c r="L389" s="62">
        <f t="shared" si="2253"/>
        <v>0.36956521739130432</v>
      </c>
      <c r="M389" s="62">
        <f t="shared" si="2253"/>
        <v>0.38461538461538464</v>
      </c>
      <c r="N389" s="62">
        <f t="shared" si="2253"/>
        <v>0.379746835443038</v>
      </c>
      <c r="O389" s="62">
        <f t="shared" si="2253"/>
        <v>0.4044943820224719</v>
      </c>
      <c r="P389" s="62">
        <f t="shared" si="2253"/>
        <v>0.40594059405940597</v>
      </c>
      <c r="Q389" s="62">
        <f t="shared" si="2253"/>
        <v>0.40869565217391307</v>
      </c>
      <c r="R389" s="62">
        <f t="shared" si="2253"/>
        <v>0.40875912408759124</v>
      </c>
      <c r="S389" s="62">
        <f t="shared" si="2253"/>
        <v>0.38853503184713378</v>
      </c>
      <c r="T389" s="62">
        <f t="shared" si="2253"/>
        <v>0.40935672514619881</v>
      </c>
      <c r="U389" s="62">
        <f t="shared" si="2253"/>
        <v>0.39572192513368987</v>
      </c>
      <c r="V389" s="62">
        <f t="shared" si="2253"/>
        <v>0.28000000000000003</v>
      </c>
      <c r="W389" s="62">
        <f t="shared" si="2253"/>
        <v>0.25</v>
      </c>
      <c r="X389" s="62">
        <f t="shared" si="2253"/>
        <v>0.30357142857142855</v>
      </c>
      <c r="Y389" s="62">
        <f t="shared" si="2253"/>
        <v>0.39130434782608697</v>
      </c>
      <c r="Z389" s="62">
        <f t="shared" si="2253"/>
        <v>0.38181818181818183</v>
      </c>
      <c r="AA389" s="62">
        <f t="shared" si="2253"/>
        <v>0.41463414634146339</v>
      </c>
      <c r="AB389" s="62">
        <f t="shared" si="2253"/>
        <v>0.40277777777777779</v>
      </c>
      <c r="AC389" s="62">
        <f t="shared" si="2253"/>
        <v>0.40372670807453415</v>
      </c>
      <c r="AD389" s="62">
        <f t="shared" si="2253"/>
        <v>0.41836734693877553</v>
      </c>
      <c r="AE389" s="62">
        <f t="shared" si="2253"/>
        <v>0.45</v>
      </c>
      <c r="AF389" s="62">
        <f t="shared" si="2253"/>
        <v>0.43933054393305437</v>
      </c>
      <c r="AG389" s="62">
        <f t="shared" si="2253"/>
        <v>0.43529411764705883</v>
      </c>
      <c r="AH389" s="62">
        <f t="shared" si="2253"/>
        <v>0.42105263157894735</v>
      </c>
      <c r="AI389" s="62">
        <f t="shared" si="2253"/>
        <v>0.35294117647058826</v>
      </c>
      <c r="AJ389" s="62" t="str">
        <f t="shared" si="2253"/>
        <v/>
      </c>
      <c r="AK389" s="412"/>
      <c r="AL389" s="14">
        <f t="shared" ref="AL389:BL389" si="2254">IF(AL362&lt;&gt;0,AL363/AL362,"")</f>
        <v>0.36842105263157893</v>
      </c>
      <c r="AM389" s="14">
        <f t="shared" si="2254"/>
        <v>0.33333333333333331</v>
      </c>
      <c r="AN389" s="14">
        <f t="shared" si="2254"/>
        <v>0.41666666666666669</v>
      </c>
      <c r="AO389" s="14">
        <f t="shared" si="2254"/>
        <v>0.42105263157894735</v>
      </c>
      <c r="AP389" s="14">
        <f t="shared" si="2254"/>
        <v>0.35714285714285715</v>
      </c>
      <c r="AQ389" s="14">
        <f t="shared" si="2254"/>
        <v>0.6</v>
      </c>
      <c r="AR389" s="14">
        <f t="shared" si="2254"/>
        <v>0.41666666666666669</v>
      </c>
      <c r="AS389" s="14">
        <f t="shared" si="2254"/>
        <v>0.42857142857142855</v>
      </c>
      <c r="AT389" s="14">
        <f t="shared" si="2254"/>
        <v>0.40909090909090912</v>
      </c>
      <c r="AU389" s="14">
        <f t="shared" si="2254"/>
        <v>0.25</v>
      </c>
      <c r="AV389" s="14">
        <f t="shared" si="2254"/>
        <v>0.6428571428571429</v>
      </c>
      <c r="AW389" s="14">
        <f t="shared" si="2254"/>
        <v>0.25</v>
      </c>
      <c r="AX389" s="14">
        <f t="shared" si="2254"/>
        <v>0.28000000000000003</v>
      </c>
      <c r="AY389" s="14">
        <f t="shared" si="2254"/>
        <v>0.18181818181818182</v>
      </c>
      <c r="AZ389" s="14">
        <f t="shared" si="2254"/>
        <v>0.4</v>
      </c>
      <c r="BA389" s="14">
        <f t="shared" si="2254"/>
        <v>0.52777777777777779</v>
      </c>
      <c r="BB389" s="14">
        <f t="shared" si="2254"/>
        <v>0.33333333333333331</v>
      </c>
      <c r="BC389" s="14">
        <f t="shared" si="2254"/>
        <v>0.69230769230769229</v>
      </c>
      <c r="BD389" s="14">
        <f t="shared" si="2254"/>
        <v>0.33333333333333331</v>
      </c>
      <c r="BE389" s="14">
        <f t="shared" si="2254"/>
        <v>0.41176470588235292</v>
      </c>
      <c r="BF389" s="14">
        <f t="shared" si="2254"/>
        <v>0.48571428571428571</v>
      </c>
      <c r="BG389" s="14">
        <f t="shared" si="2254"/>
        <v>0.70833333333333337</v>
      </c>
      <c r="BH389" s="14">
        <f t="shared" si="2254"/>
        <v>0.31578947368421051</v>
      </c>
      <c r="BI389" s="14">
        <f t="shared" si="2254"/>
        <v>0.375</v>
      </c>
      <c r="BJ389" s="14">
        <f t="shared" si="2254"/>
        <v>0.42105263157894735</v>
      </c>
      <c r="BK389" s="14">
        <f t="shared" si="2254"/>
        <v>0.3125</v>
      </c>
      <c r="BL389" s="14" t="str">
        <f t="shared" si="2254"/>
        <v/>
      </c>
      <c r="BM389" s="412"/>
      <c r="BN389" s="14">
        <f t="shared" ref="BN389:CN389" si="2255">IF(BN362&lt;&gt;0,BN363/BN362,"")</f>
        <v>0.36956521739130432</v>
      </c>
      <c r="BO389" s="14">
        <f t="shared" si="2255"/>
        <v>0.36956521739130432</v>
      </c>
      <c r="BP389" s="14">
        <f t="shared" si="2255"/>
        <v>0.36956521739130432</v>
      </c>
      <c r="BQ389" s="14">
        <f t="shared" si="2255"/>
        <v>0.44186046511627908</v>
      </c>
      <c r="BR389" s="14">
        <f t="shared" si="2255"/>
        <v>0.44186046511627908</v>
      </c>
      <c r="BS389" s="14">
        <f t="shared" si="2255"/>
        <v>0.44186046511627908</v>
      </c>
      <c r="BT389" s="14">
        <f t="shared" si="2255"/>
        <v>0.41666666666666669</v>
      </c>
      <c r="BU389" s="14">
        <f t="shared" si="2255"/>
        <v>0.41666666666666669</v>
      </c>
      <c r="BV389" s="14">
        <f t="shared" si="2255"/>
        <v>0.41666666666666669</v>
      </c>
      <c r="BW389" s="14">
        <f t="shared" si="2255"/>
        <v>0.36</v>
      </c>
      <c r="BX389" s="14">
        <f t="shared" si="2255"/>
        <v>0.36</v>
      </c>
      <c r="BY389" s="14">
        <f t="shared" si="2255"/>
        <v>0.36</v>
      </c>
      <c r="BZ389" s="14">
        <f t="shared" si="2255"/>
        <v>0.30357142857142855</v>
      </c>
      <c r="CA389" s="14">
        <f t="shared" si="2255"/>
        <v>0.30357142857142855</v>
      </c>
      <c r="CB389" s="14">
        <f t="shared" si="2255"/>
        <v>0.30357142857142855</v>
      </c>
      <c r="CC389" s="14">
        <f t="shared" si="2255"/>
        <v>0.5074626865671642</v>
      </c>
      <c r="CD389" s="14">
        <f t="shared" si="2255"/>
        <v>0.5074626865671642</v>
      </c>
      <c r="CE389" s="14">
        <f t="shared" si="2255"/>
        <v>0.5074626865671642</v>
      </c>
      <c r="CF389" s="14">
        <f t="shared" si="2255"/>
        <v>0.42465753424657532</v>
      </c>
      <c r="CG389" s="14">
        <f t="shared" si="2255"/>
        <v>0.42465753424657532</v>
      </c>
      <c r="CH389" s="14">
        <f t="shared" si="2255"/>
        <v>0.42465753424657532</v>
      </c>
      <c r="CI389" s="14">
        <f t="shared" si="2255"/>
        <v>0.49152542372881358</v>
      </c>
      <c r="CJ389" s="14">
        <f t="shared" si="2255"/>
        <v>0.49152542372881358</v>
      </c>
      <c r="CK389" s="14">
        <f t="shared" si="2255"/>
        <v>0.49152542372881358</v>
      </c>
      <c r="CL389" s="14">
        <f t="shared" si="2255"/>
        <v>0.35294117647058826</v>
      </c>
      <c r="CM389" s="14">
        <f t="shared" si="2255"/>
        <v>0.35294117647058826</v>
      </c>
      <c r="CN389" s="14">
        <f t="shared" si="2255"/>
        <v>0.35294117647058826</v>
      </c>
      <c r="CO389" s="412"/>
      <c r="CP389" s="14">
        <f t="shared" ref="CP389:DP389" si="2256">IF(CP362&lt;&gt;0,CP363/CP362,"")</f>
        <v>0.36842105263157893</v>
      </c>
      <c r="CQ389" s="14">
        <f t="shared" si="2256"/>
        <v>0.35294117647058826</v>
      </c>
      <c r="CR389" s="14">
        <f t="shared" si="2256"/>
        <v>0.36956521739130432</v>
      </c>
      <c r="CS389" s="14">
        <f t="shared" si="2256"/>
        <v>0.38461538461538464</v>
      </c>
      <c r="CT389" s="14">
        <f t="shared" si="2256"/>
        <v>0.379746835443038</v>
      </c>
      <c r="CU389" s="14">
        <f t="shared" si="2256"/>
        <v>0.4044943820224719</v>
      </c>
      <c r="CV389" s="14">
        <f t="shared" si="2256"/>
        <v>0.40594059405940597</v>
      </c>
      <c r="CW389" s="14">
        <f t="shared" si="2256"/>
        <v>0.40869565217391307</v>
      </c>
      <c r="CX389" s="14">
        <f t="shared" si="2256"/>
        <v>0.40875912408759124</v>
      </c>
      <c r="CY389" s="14">
        <f t="shared" si="2256"/>
        <v>0.38853503184713378</v>
      </c>
      <c r="CZ389" s="14">
        <f t="shared" si="2256"/>
        <v>0.40935672514619881</v>
      </c>
      <c r="DA389" s="14">
        <f t="shared" si="2256"/>
        <v>0.39572192513368987</v>
      </c>
      <c r="DB389" s="14">
        <f t="shared" si="2256"/>
        <v>0.28000000000000003</v>
      </c>
      <c r="DC389" s="14">
        <f t="shared" si="2256"/>
        <v>0.25</v>
      </c>
      <c r="DD389" s="14">
        <f t="shared" si="2256"/>
        <v>0.30357142857142855</v>
      </c>
      <c r="DE389" s="14">
        <f t="shared" si="2256"/>
        <v>0.39130434782608697</v>
      </c>
      <c r="DF389" s="14">
        <f t="shared" si="2256"/>
        <v>0.38181818181818183</v>
      </c>
      <c r="DG389" s="14">
        <f t="shared" si="2256"/>
        <v>0.41463414634146339</v>
      </c>
      <c r="DH389" s="14">
        <f t="shared" si="2256"/>
        <v>0.40277777777777779</v>
      </c>
      <c r="DI389" s="14">
        <f t="shared" si="2256"/>
        <v>0.40372670807453415</v>
      </c>
      <c r="DJ389" s="14">
        <f t="shared" si="2256"/>
        <v>0.41836734693877553</v>
      </c>
      <c r="DK389" s="14">
        <f t="shared" si="2256"/>
        <v>0.45</v>
      </c>
      <c r="DL389" s="14">
        <f t="shared" si="2256"/>
        <v>0.43933054393305437</v>
      </c>
      <c r="DM389" s="14">
        <f t="shared" si="2256"/>
        <v>0.43529411764705883</v>
      </c>
      <c r="DN389" s="14">
        <f t="shared" si="2256"/>
        <v>0.42105263157894735</v>
      </c>
      <c r="DO389" s="14">
        <f t="shared" si="2256"/>
        <v>0.35294117647058826</v>
      </c>
      <c r="DP389" s="14">
        <f t="shared" si="2256"/>
        <v>0.35294117647058826</v>
      </c>
      <c r="DQ389" s="14"/>
      <c r="DR389" s="14"/>
      <c r="DS389" s="14"/>
      <c r="DT389" s="14"/>
      <c r="DU389" s="14"/>
      <c r="DV389" s="14"/>
      <c r="DW389" s="14"/>
      <c r="DX389" s="14"/>
      <c r="DY389" s="14"/>
      <c r="ED389" s="429"/>
      <c r="EE389" s="23"/>
      <c r="EF389" s="23"/>
      <c r="EG389" s="23"/>
      <c r="EH389" s="14">
        <f>IF(EH362&lt;&gt;0,EH363/EH362,"")</f>
        <v>0.3125</v>
      </c>
      <c r="EI389" s="14">
        <f>IF(EI362&lt;&gt;0,EI363/EI362,"")</f>
        <v>0.35294117647058826</v>
      </c>
      <c r="EJ389" s="14">
        <f>IF(EJ362&lt;&gt;0,EJ363/EJ362,"")</f>
        <v>0.35294117647058826</v>
      </c>
      <c r="EK389" s="24"/>
      <c r="EL389" s="47">
        <f t="shared" ref="EL389:EN393" si="2257">+EH389-EE382</f>
        <v>-0.13577586206896547</v>
      </c>
      <c r="EM389" s="47">
        <f t="shared" si="2257"/>
        <v>-9.5334685598377267E-2</v>
      </c>
      <c r="EN389" s="47">
        <f t="shared" si="2257"/>
        <v>-9.5334685598377267E-2</v>
      </c>
      <c r="EO389" s="46" t="str">
        <f t="shared" ref="EO389:EP393" si="2258">IF(EH389&lt;0,,IF(EH389&lt;EE382,"È",IF(EH389=EE382,"Æ","Ç")))</f>
        <v>È</v>
      </c>
      <c r="EP389" s="46" t="str">
        <f t="shared" si="2258"/>
        <v>È</v>
      </c>
      <c r="EQ389" s="2">
        <f t="shared" ref="EQ389:ES393" si="2259">IF(EH389/EE382&gt;=0.9,1,IF(EH389/EE382&lt;0.75,3,2))</f>
        <v>3</v>
      </c>
      <c r="ER389" s="2">
        <f t="shared" si="2259"/>
        <v>2</v>
      </c>
      <c r="ES389" s="2">
        <f t="shared" si="2259"/>
        <v>2</v>
      </c>
    </row>
    <row r="390" spans="1:150">
      <c r="A390" s="6" t="s">
        <v>23</v>
      </c>
      <c r="B390" s="2" t="s">
        <v>25</v>
      </c>
      <c r="C390" s="3" t="s">
        <v>79</v>
      </c>
      <c r="E390" s="4" t="str">
        <f>C378</f>
        <v>ASEE</v>
      </c>
      <c r="F390" s="4" t="s">
        <v>31</v>
      </c>
      <c r="G390" s="28" t="str">
        <f>C377</f>
        <v>ASUniq</v>
      </c>
      <c r="H390" s="28"/>
      <c r="I390" s="28"/>
      <c r="J390" s="62">
        <f>IF(J377&lt;&gt;0,J378/J377,"")</f>
        <v>0.375</v>
      </c>
      <c r="K390" s="62">
        <f>IF(K377&lt;&gt;0,K378/K377,"")</f>
        <v>0.15789473684210525</v>
      </c>
      <c r="L390" s="62">
        <f>IF(L377&lt;&gt;0,L378/L377,"")</f>
        <v>0.25</v>
      </c>
      <c r="M390" s="62">
        <f>IF(M377&lt;&gt;0,M378/M377,"")</f>
        <v>0.14285714285714285</v>
      </c>
      <c r="N390" s="62">
        <f>IF(N377&lt;&gt;0,N378/N377,"")</f>
        <v>0.27777777777777779</v>
      </c>
      <c r="O390" s="62">
        <f>IF(O377&lt;&gt;"",O378/O377,"")</f>
        <v>0.2</v>
      </c>
      <c r="P390" s="62">
        <f t="shared" ref="P390:AJ390" si="2260">IF(P377&lt;&gt;"",P378/P377,"")</f>
        <v>0.33333333333333331</v>
      </c>
      <c r="Q390" s="62">
        <f t="shared" si="2260"/>
        <v>0.21428571428571427</v>
      </c>
      <c r="R390" s="62">
        <f t="shared" si="2260"/>
        <v>0.13636363636363635</v>
      </c>
      <c r="S390" s="62">
        <f t="shared" si="2260"/>
        <v>0.17391304347826086</v>
      </c>
      <c r="T390" s="62">
        <f t="shared" si="2260"/>
        <v>0.13333333333333333</v>
      </c>
      <c r="U390" s="62">
        <f t="shared" si="2260"/>
        <v>0.33333333333333331</v>
      </c>
      <c r="V390" s="62">
        <f t="shared" si="2260"/>
        <v>0.43333333333333335</v>
      </c>
      <c r="W390" s="62">
        <f t="shared" si="2260"/>
        <v>0.375</v>
      </c>
      <c r="X390" s="62">
        <f t="shared" si="2260"/>
        <v>0.20833333333333334</v>
      </c>
      <c r="Y390" s="62">
        <f t="shared" si="2260"/>
        <v>9.3023255813953487E-2</v>
      </c>
      <c r="Z390" s="62">
        <f t="shared" si="2260"/>
        <v>0.18181818181818182</v>
      </c>
      <c r="AA390" s="62">
        <f t="shared" si="2260"/>
        <v>0.42105263157894735</v>
      </c>
      <c r="AB390" s="62">
        <f t="shared" si="2260"/>
        <v>0.2608695652173913</v>
      </c>
      <c r="AC390" s="62">
        <f t="shared" si="2260"/>
        <v>0.47619047619047616</v>
      </c>
      <c r="AD390" s="62">
        <f t="shared" si="2260"/>
        <v>8.1081081081081086E-2</v>
      </c>
      <c r="AE390" s="62">
        <f t="shared" si="2260"/>
        <v>0.25</v>
      </c>
      <c r="AF390" s="62">
        <f t="shared" si="2260"/>
        <v>0.25</v>
      </c>
      <c r="AG390" s="62">
        <f t="shared" si="2260"/>
        <v>0.21052631578947367</v>
      </c>
      <c r="AH390" s="62">
        <f t="shared" si="2260"/>
        <v>0.30952380952380953</v>
      </c>
      <c r="AI390" s="62">
        <f t="shared" si="2260"/>
        <v>0.11904761904761904</v>
      </c>
      <c r="AJ390" s="62" t="str">
        <f t="shared" si="2260"/>
        <v/>
      </c>
      <c r="AK390" s="412"/>
      <c r="AL390" s="14">
        <f t="shared" ref="AL390:BL390" si="2261">IF(AL377&lt;&gt;0,AL378/AL377,"")</f>
        <v>0.375</v>
      </c>
      <c r="AM390" s="14">
        <f t="shared" si="2261"/>
        <v>0.15789473684210525</v>
      </c>
      <c r="AN390" s="14">
        <f t="shared" si="2261"/>
        <v>0.25</v>
      </c>
      <c r="AO390" s="14">
        <f t="shared" si="2261"/>
        <v>0.14285714285714285</v>
      </c>
      <c r="AP390" s="14">
        <f t="shared" si="2261"/>
        <v>0.27777777777777779</v>
      </c>
      <c r="AQ390" s="14">
        <f t="shared" si="2261"/>
        <v>0.2</v>
      </c>
      <c r="AR390" s="14">
        <f t="shared" si="2261"/>
        <v>0.33333333333333331</v>
      </c>
      <c r="AS390" s="14">
        <f t="shared" si="2261"/>
        <v>0.21428571428571427</v>
      </c>
      <c r="AT390" s="14">
        <f t="shared" si="2261"/>
        <v>0.13636363636363635</v>
      </c>
      <c r="AU390" s="14">
        <f t="shared" si="2261"/>
        <v>0.17391304347826086</v>
      </c>
      <c r="AV390" s="14">
        <f t="shared" si="2261"/>
        <v>0.13333333333333333</v>
      </c>
      <c r="AW390" s="14">
        <f t="shared" si="2261"/>
        <v>0.33333333333333331</v>
      </c>
      <c r="AX390" s="14">
        <f t="shared" si="2261"/>
        <v>0.43333333333333335</v>
      </c>
      <c r="AY390" s="14">
        <f t="shared" si="2261"/>
        <v>0.375</v>
      </c>
      <c r="AZ390" s="14">
        <f t="shared" si="2261"/>
        <v>0.20833333333333334</v>
      </c>
      <c r="BA390" s="14">
        <f t="shared" si="2261"/>
        <v>9.3023255813953487E-2</v>
      </c>
      <c r="BB390" s="14">
        <f t="shared" si="2261"/>
        <v>0.18181818181818182</v>
      </c>
      <c r="BC390" s="14">
        <f t="shared" si="2261"/>
        <v>0.42105263157894735</v>
      </c>
      <c r="BD390" s="14">
        <f t="shared" si="2261"/>
        <v>0.2608695652173913</v>
      </c>
      <c r="BE390" s="14">
        <f t="shared" si="2261"/>
        <v>0.47619047619047616</v>
      </c>
      <c r="BF390" s="14">
        <f t="shared" si="2261"/>
        <v>8.1081081081081086E-2</v>
      </c>
      <c r="BG390" s="14">
        <f t="shared" si="2261"/>
        <v>0.25</v>
      </c>
      <c r="BH390" s="14">
        <f t="shared" si="2261"/>
        <v>0.25</v>
      </c>
      <c r="BI390" s="14">
        <f t="shared" si="2261"/>
        <v>0.21052631578947367</v>
      </c>
      <c r="BJ390" s="14">
        <f t="shared" si="2261"/>
        <v>0.30952380952380953</v>
      </c>
      <c r="BK390" s="14">
        <f t="shared" si="2261"/>
        <v>0.11904761904761904</v>
      </c>
      <c r="BL390" s="14" t="e">
        <f t="shared" si="2261"/>
        <v>#VALUE!</v>
      </c>
      <c r="BM390" s="412"/>
      <c r="BN390" s="14">
        <f t="shared" ref="BN390:CN390" si="2262">IF(BN377&lt;&gt;0,BN378/BN377,"")</f>
        <v>0.375</v>
      </c>
      <c r="BO390" s="14">
        <f t="shared" si="2262"/>
        <v>0.29411764705882354</v>
      </c>
      <c r="BP390" s="14">
        <f t="shared" si="2262"/>
        <v>0.28358208955223879</v>
      </c>
      <c r="BQ390" s="14">
        <f t="shared" si="2262"/>
        <v>0.14285714285714285</v>
      </c>
      <c r="BR390" s="14">
        <f t="shared" si="2262"/>
        <v>0.19565217391304349</v>
      </c>
      <c r="BS390" s="14">
        <f t="shared" si="2262"/>
        <v>0.19642857142857142</v>
      </c>
      <c r="BT390" s="14">
        <f t="shared" si="2262"/>
        <v>0.33333333333333331</v>
      </c>
      <c r="BU390" s="14">
        <f t="shared" si="2262"/>
        <v>0.27586206896551724</v>
      </c>
      <c r="BV390" s="14">
        <f t="shared" si="2262"/>
        <v>0.21568627450980393</v>
      </c>
      <c r="BW390" s="14">
        <f t="shared" si="2262"/>
        <v>0.17391304347826086</v>
      </c>
      <c r="BX390" s="14">
        <f t="shared" si="2262"/>
        <v>0.15789473684210525</v>
      </c>
      <c r="BY390" s="14">
        <f t="shared" si="2262"/>
        <v>0.21428571428571427</v>
      </c>
      <c r="BZ390" s="14">
        <f t="shared" si="2262"/>
        <v>0.43333333333333335</v>
      </c>
      <c r="CA390" s="14">
        <f t="shared" si="2262"/>
        <v>0.41304347826086957</v>
      </c>
      <c r="CB390" s="14">
        <f t="shared" si="2262"/>
        <v>0.34285714285714286</v>
      </c>
      <c r="CC390" s="14">
        <f t="shared" si="2262"/>
        <v>9.3023255813953487E-2</v>
      </c>
      <c r="CD390" s="14">
        <f t="shared" si="2262"/>
        <v>0.12307692307692308</v>
      </c>
      <c r="CE390" s="14">
        <f t="shared" si="2262"/>
        <v>0.19047619047619047</v>
      </c>
      <c r="CF390" s="14">
        <f t="shared" si="2262"/>
        <v>0.2608695652173913</v>
      </c>
      <c r="CG390" s="14">
        <f t="shared" si="2262"/>
        <v>0.36363636363636365</v>
      </c>
      <c r="CH390" s="14">
        <f t="shared" si="2262"/>
        <v>0.23456790123456789</v>
      </c>
      <c r="CI390" s="14">
        <f t="shared" si="2262"/>
        <v>0.25</v>
      </c>
      <c r="CJ390" s="14">
        <f t="shared" si="2262"/>
        <v>0.25</v>
      </c>
      <c r="CK390" s="14">
        <f t="shared" si="2262"/>
        <v>0.23943661971830985</v>
      </c>
      <c r="CL390" s="14">
        <f t="shared" si="2262"/>
        <v>0.30952380952380953</v>
      </c>
      <c r="CM390" s="14">
        <f t="shared" si="2262"/>
        <v>0.21428571428571427</v>
      </c>
      <c r="CN390" s="14" t="e">
        <f t="shared" si="2262"/>
        <v>#VALUE!</v>
      </c>
      <c r="CO390" s="412"/>
      <c r="CP390" s="14">
        <f t="shared" ref="CP390:DP390" si="2263">IF(CP377&lt;&gt;0,CP378/CP377,"")</f>
        <v>0.375</v>
      </c>
      <c r="CQ390" s="14">
        <f t="shared" si="2263"/>
        <v>0.29411764705882354</v>
      </c>
      <c r="CR390" s="14">
        <f t="shared" si="2263"/>
        <v>0.28358208955223879</v>
      </c>
      <c r="CS390" s="14">
        <f t="shared" si="2263"/>
        <v>0.24210526315789474</v>
      </c>
      <c r="CT390" s="14">
        <f t="shared" si="2263"/>
        <v>0.24778761061946902</v>
      </c>
      <c r="CU390" s="14">
        <f t="shared" si="2263"/>
        <v>0.24390243902439024</v>
      </c>
      <c r="CV390" s="14">
        <f t="shared" si="2263"/>
        <v>0.25362318840579712</v>
      </c>
      <c r="CW390" s="14">
        <f t="shared" si="2263"/>
        <v>0.25</v>
      </c>
      <c r="CX390" s="14">
        <f t="shared" si="2263"/>
        <v>0.23563218390804597</v>
      </c>
      <c r="CY390" s="14">
        <f t="shared" si="2263"/>
        <v>0.22842639593908629</v>
      </c>
      <c r="CZ390" s="14">
        <f t="shared" si="2263"/>
        <v>0.22169811320754718</v>
      </c>
      <c r="DA390" s="14">
        <f t="shared" si="2263"/>
        <v>0.23043478260869565</v>
      </c>
      <c r="DB390" s="14">
        <f t="shared" si="2263"/>
        <v>0.43333333333333335</v>
      </c>
      <c r="DC390" s="14">
        <f t="shared" si="2263"/>
        <v>0.41304347826086957</v>
      </c>
      <c r="DD390" s="14">
        <f t="shared" si="2263"/>
        <v>0.34285714285714286</v>
      </c>
      <c r="DE390" s="14">
        <f t="shared" si="2263"/>
        <v>0.24778761061946902</v>
      </c>
      <c r="DF390" s="14">
        <f t="shared" si="2263"/>
        <v>0.23703703703703705</v>
      </c>
      <c r="DG390" s="14">
        <f t="shared" si="2263"/>
        <v>0.25974025974025972</v>
      </c>
      <c r="DH390" s="14">
        <f t="shared" si="2263"/>
        <v>0.25988700564971751</v>
      </c>
      <c r="DI390" s="14">
        <f t="shared" si="2263"/>
        <v>0.28282828282828282</v>
      </c>
      <c r="DJ390" s="14">
        <f t="shared" si="2263"/>
        <v>0.25106382978723402</v>
      </c>
      <c r="DK390" s="14">
        <f t="shared" si="2263"/>
        <v>0.2509505703422053</v>
      </c>
      <c r="DL390" s="14">
        <f t="shared" si="2263"/>
        <v>0.25087108013937282</v>
      </c>
      <c r="DM390" s="14">
        <f t="shared" si="2263"/>
        <v>0.24836601307189543</v>
      </c>
      <c r="DN390" s="14">
        <f t="shared" si="2263"/>
        <v>0.30952380952380953</v>
      </c>
      <c r="DO390" s="14">
        <f t="shared" si="2263"/>
        <v>0.21428571428571427</v>
      </c>
      <c r="DP390" s="14" t="e">
        <f t="shared" si="2263"/>
        <v>#VALUE!</v>
      </c>
      <c r="DQ390" s="14"/>
      <c r="DR390" s="14"/>
      <c r="DS390" s="14"/>
      <c r="DT390" s="14"/>
      <c r="DU390" s="14"/>
      <c r="DV390" s="14"/>
      <c r="DW390" s="14"/>
      <c r="DX390" s="14"/>
      <c r="DY390" s="14"/>
      <c r="ED390" s="429"/>
      <c r="EE390" s="23"/>
      <c r="EF390" s="23"/>
      <c r="EG390" s="23"/>
      <c r="EH390" s="14">
        <f>IF(EH377&lt;&gt;0,EH378/EH377,"")</f>
        <v>0.11904761904761904</v>
      </c>
      <c r="EI390" s="14">
        <f>IF(EI377&lt;&gt;0,EI378/EI377,"")</f>
        <v>0.21428571428571427</v>
      </c>
      <c r="EJ390" s="14">
        <f>IF(EJ377&lt;&gt;0,EJ378/EJ377,"")</f>
        <v>0.21428571428571427</v>
      </c>
      <c r="EK390" s="24"/>
      <c r="EL390" s="47">
        <f t="shared" si="2257"/>
        <v>-0.1554588187206212</v>
      </c>
      <c r="EM390" s="47">
        <f t="shared" si="2257"/>
        <v>3.128142244022078E-2</v>
      </c>
      <c r="EN390" s="47">
        <f t="shared" si="2257"/>
        <v>3.128142244022078E-2</v>
      </c>
      <c r="EO390" s="46" t="str">
        <f>IF(EH390&lt;0,,IF(EH390&gt;EE383,"È",IF(EH390=EE383,"Æ","Ç")))</f>
        <v>Ç</v>
      </c>
      <c r="EP390" s="46" t="str">
        <f>IF(EI390&lt;0,,IF(EI390&gt;EF383,"È",IF(EI390=EF383,"Æ","Ç")))</f>
        <v>È</v>
      </c>
      <c r="EQ390" s="2">
        <f t="shared" si="2259"/>
        <v>3</v>
      </c>
      <c r="ER390" s="2">
        <f t="shared" si="2259"/>
        <v>1</v>
      </c>
      <c r="ES390" s="2">
        <f t="shared" si="2259"/>
        <v>1</v>
      </c>
    </row>
    <row r="391" spans="1:150">
      <c r="A391" s="6" t="s">
        <v>23</v>
      </c>
      <c r="B391" s="2" t="s">
        <v>160</v>
      </c>
      <c r="C391" s="3" t="s">
        <v>80</v>
      </c>
      <c r="E391" s="3" t="str">
        <f>C367</f>
        <v>ASatRate</v>
      </c>
      <c r="F391" s="3" t="s">
        <v>32</v>
      </c>
      <c r="G391" s="28" t="str">
        <f>C362</f>
        <v>AAllNew</v>
      </c>
      <c r="H391" s="63" t="s">
        <v>31</v>
      </c>
      <c r="I391" s="28" t="str">
        <f>C366</f>
        <v>ASatResp</v>
      </c>
      <c r="J391" s="62">
        <f t="shared" ref="J391:AJ391" si="2264">IF(J362&lt;&gt;0,J367*J366/J362,"")</f>
        <v>0</v>
      </c>
      <c r="K391" s="62">
        <f t="shared" si="2264"/>
        <v>8.8235294117647065E-2</v>
      </c>
      <c r="L391" s="62">
        <f t="shared" si="2264"/>
        <v>5.2173913043478272E-2</v>
      </c>
      <c r="M391" s="62">
        <f t="shared" si="2264"/>
        <v>1.5384615384615385E-2</v>
      </c>
      <c r="N391" s="62">
        <f t="shared" si="2264"/>
        <v>3.7974683544303799E-2</v>
      </c>
      <c r="O391" s="62">
        <f t="shared" si="2264"/>
        <v>5.6179775280898875E-2</v>
      </c>
      <c r="P391" s="62">
        <f t="shared" si="2264"/>
        <v>1.9801980198019802E-2</v>
      </c>
      <c r="Q391" s="62">
        <f t="shared" si="2264"/>
        <v>3.4782608695652174E-2</v>
      </c>
      <c r="R391" s="62">
        <f t="shared" si="2264"/>
        <v>2.3357664233576644E-2</v>
      </c>
      <c r="S391" s="62">
        <f t="shared" si="2264"/>
        <v>4.4585987261146494E-2</v>
      </c>
      <c r="T391" s="62">
        <f t="shared" si="2264"/>
        <v>1.7543859649122806E-2</v>
      </c>
      <c r="U391" s="62">
        <f t="shared" si="2264"/>
        <v>2.1390374331550801E-2</v>
      </c>
      <c r="V391" s="62">
        <f t="shared" si="2264"/>
        <v>0.12</v>
      </c>
      <c r="W391" s="62">
        <f t="shared" si="2264"/>
        <v>0.1388888888888889</v>
      </c>
      <c r="X391" s="62">
        <f t="shared" si="2264"/>
        <v>7.1428571428571425E-2</v>
      </c>
      <c r="Y391" s="62">
        <f t="shared" si="2264"/>
        <v>5.434782608695652E-2</v>
      </c>
      <c r="Z391" s="62">
        <f t="shared" si="2264"/>
        <v>1.8181818181818181E-2</v>
      </c>
      <c r="AA391" s="62">
        <f t="shared" si="2264"/>
        <v>4.065040650406504E-2</v>
      </c>
      <c r="AB391" s="62">
        <f t="shared" si="2264"/>
        <v>4.1666666666666664E-2</v>
      </c>
      <c r="AC391" s="62">
        <f t="shared" si="2264"/>
        <v>3.1055900621118012E-2</v>
      </c>
      <c r="AD391" s="62">
        <f t="shared" si="2264"/>
        <v>0.04</v>
      </c>
      <c r="AE391" s="62">
        <f t="shared" si="2264"/>
        <v>0.05</v>
      </c>
      <c r="AF391" s="62">
        <f t="shared" si="2264"/>
        <v>1.506276150627615E-2</v>
      </c>
      <c r="AG391" s="62">
        <f t="shared" si="2264"/>
        <v>3.1372549019607843E-2</v>
      </c>
      <c r="AH391" s="62">
        <f t="shared" si="2264"/>
        <v>0.10526315789473684</v>
      </c>
      <c r="AI391" s="62">
        <f t="shared" si="2264"/>
        <v>5.8823529411764705E-2</v>
      </c>
      <c r="AJ391" s="62" t="str">
        <f t="shared" si="2264"/>
        <v/>
      </c>
      <c r="AK391" s="412"/>
      <c r="AL391" s="14">
        <f t="shared" ref="AL391:BL391" si="2265">IF(AL362&lt;&gt;0,AL367*AL366/AL362,"")</f>
        <v>0</v>
      </c>
      <c r="AM391" s="14">
        <f t="shared" si="2265"/>
        <v>0.2</v>
      </c>
      <c r="AN391" s="14">
        <f t="shared" si="2265"/>
        <v>0.20000000000000004</v>
      </c>
      <c r="AO391" s="14">
        <f t="shared" si="2265"/>
        <v>5.2631578947368418E-2</v>
      </c>
      <c r="AP391" s="14">
        <f t="shared" si="2265"/>
        <v>0.21428571428571427</v>
      </c>
      <c r="AQ391" s="14">
        <f t="shared" si="2265"/>
        <v>0.5</v>
      </c>
      <c r="AR391" s="14">
        <f t="shared" si="2265"/>
        <v>0.16666666666666666</v>
      </c>
      <c r="AS391" s="14">
        <f t="shared" si="2265"/>
        <v>0.2857142857142857</v>
      </c>
      <c r="AT391" s="14">
        <f t="shared" si="2265"/>
        <v>0.14545454545454548</v>
      </c>
      <c r="AU391" s="14">
        <f t="shared" si="2265"/>
        <v>0.35</v>
      </c>
      <c r="AV391" s="14">
        <f t="shared" si="2265"/>
        <v>0.21428571428571427</v>
      </c>
      <c r="AW391" s="14">
        <f t="shared" si="2265"/>
        <v>0.25</v>
      </c>
      <c r="AX391" s="14">
        <f t="shared" si="2265"/>
        <v>0.12</v>
      </c>
      <c r="AY391" s="14">
        <f t="shared" si="2265"/>
        <v>0.45454545454545453</v>
      </c>
      <c r="AZ391" s="14">
        <f t="shared" si="2265"/>
        <v>0.2</v>
      </c>
      <c r="BA391" s="14">
        <f t="shared" si="2265"/>
        <v>0.1388888888888889</v>
      </c>
      <c r="BB391" s="14">
        <f t="shared" si="2265"/>
        <v>0.1111111111111111</v>
      </c>
      <c r="BC391" s="14">
        <f t="shared" si="2265"/>
        <v>0.38461538461538464</v>
      </c>
      <c r="BD391" s="14">
        <f t="shared" si="2265"/>
        <v>0.2857142857142857</v>
      </c>
      <c r="BE391" s="14">
        <f t="shared" si="2265"/>
        <v>0.29411764705882354</v>
      </c>
      <c r="BF391" s="14">
        <f t="shared" si="2265"/>
        <v>0.224</v>
      </c>
      <c r="BG391" s="14">
        <f t="shared" si="2265"/>
        <v>0.45833333333333331</v>
      </c>
      <c r="BH391" s="14">
        <f t="shared" si="2265"/>
        <v>0.18947368421052632</v>
      </c>
      <c r="BI391" s="14">
        <f t="shared" si="2265"/>
        <v>0.5</v>
      </c>
      <c r="BJ391" s="14">
        <f t="shared" si="2265"/>
        <v>0.10526315789473684</v>
      </c>
      <c r="BK391" s="14">
        <f t="shared" si="2265"/>
        <v>0</v>
      </c>
      <c r="BL391" s="14" t="str">
        <f t="shared" si="2265"/>
        <v/>
      </c>
      <c r="BM391" s="412"/>
      <c r="BN391" s="14">
        <f t="shared" ref="BN391:CN391" si="2266">IF(BN362&lt;&gt;0,BN367*BN366/BN362,"")</f>
        <v>0.11739130434782609</v>
      </c>
      <c r="BO391" s="14">
        <f t="shared" si="2266"/>
        <v>0.11739130434782609</v>
      </c>
      <c r="BP391" s="14">
        <f t="shared" si="2266"/>
        <v>0.11739130434782609</v>
      </c>
      <c r="BQ391" s="14">
        <f t="shared" si="2266"/>
        <v>0.20930232558139536</v>
      </c>
      <c r="BR391" s="14">
        <f t="shared" si="2266"/>
        <v>0.20930232558139536</v>
      </c>
      <c r="BS391" s="14">
        <f t="shared" si="2266"/>
        <v>0.20930232558139536</v>
      </c>
      <c r="BT391" s="14">
        <f t="shared" si="2266"/>
        <v>0.19166666666666665</v>
      </c>
      <c r="BU391" s="14">
        <f t="shared" si="2266"/>
        <v>0.19166666666666665</v>
      </c>
      <c r="BV391" s="14">
        <f t="shared" si="2266"/>
        <v>0.19166666666666665</v>
      </c>
      <c r="BW391" s="14">
        <f t="shared" si="2266"/>
        <v>0.28000000000000003</v>
      </c>
      <c r="BX391" s="14">
        <f t="shared" si="2266"/>
        <v>0.28000000000000003</v>
      </c>
      <c r="BY391" s="14">
        <f t="shared" si="2266"/>
        <v>0.28000000000000003</v>
      </c>
      <c r="BZ391" s="14">
        <f t="shared" si="2266"/>
        <v>0.21428571428571427</v>
      </c>
      <c r="CA391" s="14">
        <f t="shared" si="2266"/>
        <v>0.21428571428571427</v>
      </c>
      <c r="CB391" s="14">
        <f t="shared" si="2266"/>
        <v>0.21428571428571427</v>
      </c>
      <c r="CC391" s="14">
        <f t="shared" si="2266"/>
        <v>0.17910447761194029</v>
      </c>
      <c r="CD391" s="14">
        <f t="shared" si="2266"/>
        <v>0.17910447761194029</v>
      </c>
      <c r="CE391" s="14">
        <f t="shared" si="2266"/>
        <v>0.17910447761194029</v>
      </c>
      <c r="CF391" s="14">
        <f t="shared" si="2266"/>
        <v>0.25808219178082192</v>
      </c>
      <c r="CG391" s="14">
        <f t="shared" si="2266"/>
        <v>0.25808219178082192</v>
      </c>
      <c r="CH391" s="14">
        <f t="shared" si="2266"/>
        <v>0.25808219178082192</v>
      </c>
      <c r="CI391" s="14">
        <f t="shared" si="2266"/>
        <v>0.38305084745762713</v>
      </c>
      <c r="CJ391" s="14">
        <f t="shared" si="2266"/>
        <v>0.38305084745762713</v>
      </c>
      <c r="CK391" s="14">
        <f t="shared" si="2266"/>
        <v>0.38305084745762713</v>
      </c>
      <c r="CL391" s="14">
        <f t="shared" si="2266"/>
        <v>3.9215686274509803E-2</v>
      </c>
      <c r="CM391" s="14">
        <f t="shared" si="2266"/>
        <v>3.9215686274509803E-2</v>
      </c>
      <c r="CN391" s="14">
        <f t="shared" si="2266"/>
        <v>3.9215686274509803E-2</v>
      </c>
      <c r="CO391" s="412"/>
      <c r="CP391" s="14">
        <f t="shared" ref="CP391:DP391" si="2267">IF(CP362&lt;&gt;0,CP367*CP366/CP362,"")</f>
        <v>0</v>
      </c>
      <c r="CQ391" s="14">
        <f t="shared" si="2267"/>
        <v>8.8235294117647065E-2</v>
      </c>
      <c r="CR391" s="14">
        <f t="shared" si="2267"/>
        <v>0.11739130434782609</v>
      </c>
      <c r="CS391" s="14">
        <f t="shared" si="2267"/>
        <v>9.8461538461538461E-2</v>
      </c>
      <c r="CT391" s="14">
        <f t="shared" si="2267"/>
        <v>0.11898734177215191</v>
      </c>
      <c r="CU391" s="14">
        <f t="shared" si="2267"/>
        <v>0.16179775280898878</v>
      </c>
      <c r="CV391" s="14">
        <f t="shared" si="2267"/>
        <v>0.16237623762376235</v>
      </c>
      <c r="CW391" s="14">
        <f t="shared" si="2267"/>
        <v>0.17739130434782607</v>
      </c>
      <c r="CX391" s="14">
        <f t="shared" si="2267"/>
        <v>0.17226277372262772</v>
      </c>
      <c r="CY391" s="14">
        <f t="shared" si="2267"/>
        <v>0.1949044585987261</v>
      </c>
      <c r="CZ391" s="14">
        <f t="shared" si="2267"/>
        <v>0.19649122807017541</v>
      </c>
      <c r="DA391" s="14">
        <f t="shared" si="2267"/>
        <v>0.20106951871657752</v>
      </c>
      <c r="DB391" s="14">
        <f t="shared" si="2267"/>
        <v>0.12</v>
      </c>
      <c r="DC391" s="14">
        <f t="shared" si="2267"/>
        <v>0.22222222222222221</v>
      </c>
      <c r="DD391" s="14">
        <f t="shared" si="2267"/>
        <v>0.21428571428571427</v>
      </c>
      <c r="DE391" s="14">
        <f t="shared" si="2267"/>
        <v>0.18478260869565216</v>
      </c>
      <c r="DF391" s="14">
        <f t="shared" si="2267"/>
        <v>0.17272727272727273</v>
      </c>
      <c r="DG391" s="14">
        <f t="shared" si="2267"/>
        <v>0.1951219512195122</v>
      </c>
      <c r="DH391" s="14">
        <f t="shared" si="2267"/>
        <v>0.20833333333333334</v>
      </c>
      <c r="DI391" s="14">
        <f t="shared" si="2267"/>
        <v>0.21739130434782608</v>
      </c>
      <c r="DJ391" s="14">
        <f t="shared" si="2267"/>
        <v>0.21857142857142858</v>
      </c>
      <c r="DK391" s="14">
        <f t="shared" si="2267"/>
        <v>0.24472727272727274</v>
      </c>
      <c r="DL391" s="14">
        <f t="shared" si="2267"/>
        <v>0.24033472803347283</v>
      </c>
      <c r="DM391" s="14">
        <f t="shared" si="2267"/>
        <v>0.25662745098039214</v>
      </c>
      <c r="DN391" s="14">
        <f t="shared" si="2267"/>
        <v>0.10526315789473684</v>
      </c>
      <c r="DO391" s="14">
        <f t="shared" si="2267"/>
        <v>9.8039215686274508E-2</v>
      </c>
      <c r="DP391" s="14">
        <f t="shared" si="2267"/>
        <v>9.8039215686274508E-2</v>
      </c>
      <c r="DQ391" s="14"/>
      <c r="DR391" s="14"/>
      <c r="DS391" s="14"/>
      <c r="DT391" s="14"/>
      <c r="DU391" s="14"/>
      <c r="DV391" s="14"/>
      <c r="DW391" s="14"/>
      <c r="DX391" s="14"/>
      <c r="DY391" s="14"/>
      <c r="ED391" s="429"/>
      <c r="EE391" s="23"/>
      <c r="EF391" s="23"/>
      <c r="EG391" s="23"/>
      <c r="EH391" s="14">
        <f>IF(EH366&lt;&gt;0,EH367*EH366/EH366,"")</f>
        <v>0</v>
      </c>
      <c r="EI391" s="14">
        <f>IF(EI366&lt;&gt;0,EI367*EI366/EI366,"")</f>
        <v>0.4</v>
      </c>
      <c r="EJ391" s="14">
        <f>IF(EJ366&lt;&gt;0,EJ367*EJ366/EJ366,"")</f>
        <v>1</v>
      </c>
      <c r="EK391" s="24"/>
      <c r="EL391" s="47" t="e">
        <f t="shared" si="2257"/>
        <v>#DIV/0!</v>
      </c>
      <c r="EM391" s="47" t="e">
        <f t="shared" si="2257"/>
        <v>#DIV/0!</v>
      </c>
      <c r="EN391" s="47">
        <f t="shared" si="2257"/>
        <v>5.0000000000000044E-2</v>
      </c>
      <c r="EO391" s="46" t="e">
        <f t="shared" si="2258"/>
        <v>#DIV/0!</v>
      </c>
      <c r="EP391" s="46" t="e">
        <f t="shared" si="2258"/>
        <v>#DIV/0!</v>
      </c>
      <c r="EQ391" s="2" t="e">
        <f t="shared" si="2259"/>
        <v>#DIV/0!</v>
      </c>
      <c r="ER391" s="2" t="e">
        <f t="shared" si="2259"/>
        <v>#DIV/0!</v>
      </c>
      <c r="ES391" s="2">
        <f t="shared" si="2259"/>
        <v>1</v>
      </c>
    </row>
    <row r="392" spans="1:150">
      <c r="A392" s="6" t="s">
        <v>23</v>
      </c>
      <c r="B392" s="2" t="s">
        <v>26</v>
      </c>
      <c r="C392" s="3" t="s">
        <v>85</v>
      </c>
      <c r="E392" s="3" t="str">
        <f>C368</f>
        <v>ASpec1</v>
      </c>
      <c r="F392" s="4" t="s">
        <v>31</v>
      </c>
      <c r="G392" s="28" t="str">
        <f>C377</f>
        <v>ASUniq</v>
      </c>
      <c r="H392" s="28"/>
      <c r="I392" s="28"/>
      <c r="J392" s="62">
        <f>IF(J377&lt;&gt;0,J368/J377,"")</f>
        <v>0</v>
      </c>
      <c r="K392" s="62">
        <f>IF(K377&lt;&gt;0,K368/K377,"")</f>
        <v>0</v>
      </c>
      <c r="L392" s="62">
        <f>IF(L377&lt;&gt;0,L368/L377,"")</f>
        <v>0</v>
      </c>
      <c r="M392" s="62">
        <f>IF(M377&lt;&gt;0,M368/M377,"")</f>
        <v>3.5714285714285712E-2</v>
      </c>
      <c r="N392" s="62">
        <f>IF(N377&lt;&gt;0,N368/N377,"")</f>
        <v>5.5555555555555552E-2</v>
      </c>
      <c r="O392" s="62">
        <f>IF(O377&lt;&gt;"",O368/O377,"")</f>
        <v>0.1</v>
      </c>
      <c r="P392" s="62">
        <f t="shared" ref="P392:AJ392" si="2268">IF(P377&lt;&gt;"",P368/P377,"")</f>
        <v>0.2</v>
      </c>
      <c r="Q392" s="62">
        <f t="shared" si="2268"/>
        <v>0.21428571428571427</v>
      </c>
      <c r="R392" s="62">
        <f t="shared" si="2268"/>
        <v>0.18181818181818182</v>
      </c>
      <c r="S392" s="62">
        <f t="shared" si="2268"/>
        <v>0.17391304347826086</v>
      </c>
      <c r="T392" s="62">
        <f t="shared" si="2268"/>
        <v>0.33333333333333331</v>
      </c>
      <c r="U392" s="62">
        <f t="shared" si="2268"/>
        <v>0.66666666666666663</v>
      </c>
      <c r="V392" s="62">
        <f t="shared" si="2268"/>
        <v>0</v>
      </c>
      <c r="W392" s="62">
        <f t="shared" si="2268"/>
        <v>6.25E-2</v>
      </c>
      <c r="X392" s="62">
        <f t="shared" si="2268"/>
        <v>4.1666666666666664E-2</v>
      </c>
      <c r="Y392" s="62">
        <f t="shared" si="2268"/>
        <v>0.34883720930232559</v>
      </c>
      <c r="Z392" s="62">
        <f t="shared" si="2268"/>
        <v>0.72727272727272729</v>
      </c>
      <c r="AA392" s="62">
        <f t="shared" si="2268"/>
        <v>0.84210526315789469</v>
      </c>
      <c r="AB392" s="62">
        <f t="shared" si="2268"/>
        <v>0.69565217391304346</v>
      </c>
      <c r="AC392" s="62">
        <f t="shared" si="2268"/>
        <v>0.76190476190476186</v>
      </c>
      <c r="AD392" s="62">
        <f t="shared" si="2268"/>
        <v>0.43243243243243246</v>
      </c>
      <c r="AE392" s="62">
        <f t="shared" si="2268"/>
        <v>0.6428571428571429</v>
      </c>
      <c r="AF392" s="62">
        <f t="shared" si="2268"/>
        <v>0.75</v>
      </c>
      <c r="AG392" s="62">
        <f t="shared" si="2268"/>
        <v>0.78947368421052633</v>
      </c>
      <c r="AH392" s="62">
        <f t="shared" si="2268"/>
        <v>0</v>
      </c>
      <c r="AI392" s="62">
        <f t="shared" si="2268"/>
        <v>0</v>
      </c>
      <c r="AJ392" s="62" t="str">
        <f t="shared" si="2268"/>
        <v/>
      </c>
      <c r="AK392" s="412"/>
      <c r="AL392" s="14">
        <f t="shared" ref="AL392:BL392" si="2269">IF(AL377&lt;&gt;0,AL368/AL377,"")</f>
        <v>0</v>
      </c>
      <c r="AM392" s="14">
        <f t="shared" si="2269"/>
        <v>0</v>
      </c>
      <c r="AN392" s="14">
        <f t="shared" si="2269"/>
        <v>0</v>
      </c>
      <c r="AO392" s="14">
        <f t="shared" si="2269"/>
        <v>3.5714285714285712E-2</v>
      </c>
      <c r="AP392" s="14">
        <f t="shared" si="2269"/>
        <v>0</v>
      </c>
      <c r="AQ392" s="14">
        <f t="shared" si="2269"/>
        <v>0</v>
      </c>
      <c r="AR392" s="14">
        <f t="shared" si="2269"/>
        <v>0.13333333333333333</v>
      </c>
      <c r="AS392" s="14">
        <f t="shared" si="2269"/>
        <v>0</v>
      </c>
      <c r="AT392" s="14">
        <f t="shared" si="2269"/>
        <v>4.5454545454545456E-2</v>
      </c>
      <c r="AU392" s="14">
        <f t="shared" si="2269"/>
        <v>0</v>
      </c>
      <c r="AV392" s="14">
        <f t="shared" si="2269"/>
        <v>6.6666666666666666E-2</v>
      </c>
      <c r="AW392" s="14">
        <f t="shared" si="2269"/>
        <v>0.3888888888888889</v>
      </c>
      <c r="AX392" s="14">
        <f t="shared" si="2269"/>
        <v>0</v>
      </c>
      <c r="AY392" s="14">
        <f t="shared" si="2269"/>
        <v>6.25E-2</v>
      </c>
      <c r="AZ392" s="14">
        <f t="shared" si="2269"/>
        <v>0</v>
      </c>
      <c r="BA392" s="14">
        <f t="shared" si="2269"/>
        <v>0.32558139534883723</v>
      </c>
      <c r="BB392" s="14">
        <f t="shared" si="2269"/>
        <v>4.5454545454545456E-2</v>
      </c>
      <c r="BC392" s="14">
        <f t="shared" si="2269"/>
        <v>0</v>
      </c>
      <c r="BD392" s="14">
        <f t="shared" si="2269"/>
        <v>0</v>
      </c>
      <c r="BE392" s="14">
        <f t="shared" si="2269"/>
        <v>0</v>
      </c>
      <c r="BF392" s="14">
        <f t="shared" si="2269"/>
        <v>0</v>
      </c>
      <c r="BG392" s="14">
        <f t="shared" si="2269"/>
        <v>7.1428571428571425E-2</v>
      </c>
      <c r="BH392" s="14">
        <f t="shared" si="2269"/>
        <v>0</v>
      </c>
      <c r="BI392" s="14">
        <f t="shared" si="2269"/>
        <v>-0.15789473684210525</v>
      </c>
      <c r="BJ392" s="14">
        <f t="shared" si="2269"/>
        <v>0</v>
      </c>
      <c r="BK392" s="14">
        <f t="shared" si="2269"/>
        <v>0</v>
      </c>
      <c r="BL392" s="14" t="e">
        <f t="shared" si="2269"/>
        <v>#VALUE!</v>
      </c>
      <c r="BM392" s="412"/>
      <c r="BN392" s="14">
        <f t="shared" ref="BN392:CN392" si="2270">IF(BN377&lt;&gt;0,BN368/BN377,"")</f>
        <v>0</v>
      </c>
      <c r="BO392" s="14">
        <f t="shared" si="2270"/>
        <v>0</v>
      </c>
      <c r="BP392" s="14">
        <f t="shared" si="2270"/>
        <v>0</v>
      </c>
      <c r="BQ392" s="14">
        <f t="shared" si="2270"/>
        <v>3.5714285714285712E-2</v>
      </c>
      <c r="BR392" s="14">
        <f t="shared" si="2270"/>
        <v>2.1739130434782608E-2</v>
      </c>
      <c r="BS392" s="14">
        <f t="shared" si="2270"/>
        <v>1.7857142857142856E-2</v>
      </c>
      <c r="BT392" s="14">
        <f t="shared" si="2270"/>
        <v>0.2</v>
      </c>
      <c r="BU392" s="14">
        <f t="shared" si="2270"/>
        <v>0.10344827586206896</v>
      </c>
      <c r="BV392" s="14">
        <f t="shared" si="2270"/>
        <v>5.8823529411764705E-2</v>
      </c>
      <c r="BW392" s="14">
        <f t="shared" si="2270"/>
        <v>0.34782608695652173</v>
      </c>
      <c r="BX392" s="14">
        <f t="shared" si="2270"/>
        <v>0.21052631578947367</v>
      </c>
      <c r="BY392" s="14">
        <f t="shared" si="2270"/>
        <v>0.14285714285714285</v>
      </c>
      <c r="BZ392" s="14">
        <f t="shared" si="2270"/>
        <v>3.3333333333333333E-2</v>
      </c>
      <c r="CA392" s="14">
        <f t="shared" si="2270"/>
        <v>2.1739130434782608E-2</v>
      </c>
      <c r="CB392" s="14">
        <f t="shared" si="2270"/>
        <v>1.4285714285714285E-2</v>
      </c>
      <c r="CC392" s="14">
        <f t="shared" si="2270"/>
        <v>0.34883720930232559</v>
      </c>
      <c r="CD392" s="14">
        <f t="shared" si="2270"/>
        <v>0.23076923076923078</v>
      </c>
      <c r="CE392" s="14">
        <f t="shared" si="2270"/>
        <v>0.17857142857142858</v>
      </c>
      <c r="CF392" s="14">
        <f t="shared" si="2270"/>
        <v>0</v>
      </c>
      <c r="CG392" s="14">
        <f t="shared" si="2270"/>
        <v>0</v>
      </c>
      <c r="CH392" s="14">
        <f t="shared" si="2270"/>
        <v>0</v>
      </c>
      <c r="CI392" s="14">
        <f t="shared" si="2270"/>
        <v>-3.5714285714285712E-2</v>
      </c>
      <c r="CJ392" s="14">
        <f t="shared" si="2270"/>
        <v>-1.9230769230769232E-2</v>
      </c>
      <c r="CK392" s="14">
        <f t="shared" si="2270"/>
        <v>-1.4084507042253521E-2</v>
      </c>
      <c r="CL392" s="14">
        <f t="shared" si="2270"/>
        <v>0</v>
      </c>
      <c r="CM392" s="14">
        <f t="shared" si="2270"/>
        <v>0</v>
      </c>
      <c r="CN392" s="14" t="e">
        <f t="shared" si="2270"/>
        <v>#VALUE!</v>
      </c>
      <c r="CO392" s="412"/>
      <c r="CP392" s="14">
        <f t="shared" ref="CP392:DP392" si="2271">IF(CP377&lt;&gt;0,CP368/CP377,"")</f>
        <v>0</v>
      </c>
      <c r="CQ392" s="14">
        <f t="shared" si="2271"/>
        <v>0</v>
      </c>
      <c r="CR392" s="14">
        <f t="shared" si="2271"/>
        <v>0</v>
      </c>
      <c r="CS392" s="14">
        <f t="shared" si="2271"/>
        <v>1.0526315789473684E-2</v>
      </c>
      <c r="CT392" s="14">
        <f t="shared" si="2271"/>
        <v>8.8495575221238937E-3</v>
      </c>
      <c r="CU392" s="14">
        <f t="shared" si="2271"/>
        <v>8.130081300813009E-3</v>
      </c>
      <c r="CV392" s="14">
        <f t="shared" si="2271"/>
        <v>2.1739130434782608E-2</v>
      </c>
      <c r="CW392" s="14">
        <f t="shared" si="2271"/>
        <v>1.9736842105263157E-2</v>
      </c>
      <c r="CX392" s="14">
        <f t="shared" si="2271"/>
        <v>2.2988505747126436E-2</v>
      </c>
      <c r="CY392" s="14">
        <f t="shared" si="2271"/>
        <v>2.030456852791878E-2</v>
      </c>
      <c r="CZ392" s="14">
        <f t="shared" si="2271"/>
        <v>2.358490566037736E-2</v>
      </c>
      <c r="DA392" s="14">
        <f t="shared" si="2271"/>
        <v>5.2173913043478258E-2</v>
      </c>
      <c r="DB392" s="14">
        <f t="shared" si="2271"/>
        <v>0</v>
      </c>
      <c r="DC392" s="14">
        <f t="shared" si="2271"/>
        <v>2.1739130434782608E-2</v>
      </c>
      <c r="DD392" s="14">
        <f t="shared" si="2271"/>
        <v>1.4285714285714285E-2</v>
      </c>
      <c r="DE392" s="14">
        <f t="shared" si="2271"/>
        <v>0.13274336283185842</v>
      </c>
      <c r="DF392" s="14">
        <f t="shared" si="2271"/>
        <v>0.11851851851851852</v>
      </c>
      <c r="DG392" s="14">
        <f t="shared" si="2271"/>
        <v>0.1038961038961039</v>
      </c>
      <c r="DH392" s="14">
        <f t="shared" si="2271"/>
        <v>9.03954802259887E-2</v>
      </c>
      <c r="DI392" s="14">
        <f t="shared" si="2271"/>
        <v>8.0808080808080815E-2</v>
      </c>
      <c r="DJ392" s="14">
        <f t="shared" si="2271"/>
        <v>6.8085106382978725E-2</v>
      </c>
      <c r="DK392" s="14">
        <f t="shared" si="2271"/>
        <v>6.8441064638783272E-2</v>
      </c>
      <c r="DL392" s="14">
        <f t="shared" si="2271"/>
        <v>6.2717770034843204E-2</v>
      </c>
      <c r="DM392" s="14">
        <f t="shared" si="2271"/>
        <v>4.9019607843137254E-2</v>
      </c>
      <c r="DN392" s="14">
        <f t="shared" si="2271"/>
        <v>0</v>
      </c>
      <c r="DO392" s="14">
        <f t="shared" si="2271"/>
        <v>0</v>
      </c>
      <c r="DP392" s="14" t="e">
        <f t="shared" si="2271"/>
        <v>#VALUE!</v>
      </c>
      <c r="DQ392" s="14"/>
      <c r="DR392" s="14"/>
      <c r="DS392" s="14"/>
      <c r="DT392" s="14"/>
      <c r="DU392" s="14"/>
      <c r="DV392" s="14"/>
      <c r="DW392" s="14"/>
      <c r="DX392" s="14"/>
      <c r="DY392" s="14"/>
      <c r="ED392" s="429"/>
      <c r="EE392" s="23"/>
      <c r="EF392" s="23"/>
      <c r="EG392" s="23"/>
      <c r="EH392" s="14">
        <f>IF(EH364&lt;&gt;0,EH368/EH364,"0%")</f>
        <v>0</v>
      </c>
      <c r="EI392" s="14">
        <f>IF(EI364&lt;&gt;0,EI368/EI364,"0%")</f>
        <v>0</v>
      </c>
      <c r="EJ392" s="14">
        <f>IF(EJ364&lt;&gt;0,EJ368/EJ364,"0%")</f>
        <v>0</v>
      </c>
      <c r="EK392" s="24"/>
      <c r="EL392" s="47">
        <f t="shared" si="2257"/>
        <v>0</v>
      </c>
      <c r="EM392" s="47">
        <f t="shared" si="2257"/>
        <v>0</v>
      </c>
      <c r="EN392" s="47">
        <f t="shared" si="2257"/>
        <v>-6.4377682403433473E-2</v>
      </c>
      <c r="EO392" s="46" t="str">
        <f t="shared" si="2258"/>
        <v>Æ</v>
      </c>
      <c r="EP392" s="46" t="str">
        <f t="shared" si="2258"/>
        <v>Æ</v>
      </c>
      <c r="EQ392" s="2" t="e">
        <f t="shared" si="2259"/>
        <v>#DIV/0!</v>
      </c>
      <c r="ER392" s="2" t="e">
        <f t="shared" si="2259"/>
        <v>#DIV/0!</v>
      </c>
      <c r="ES392" s="2">
        <f t="shared" si="2259"/>
        <v>3</v>
      </c>
    </row>
    <row r="393" spans="1:150">
      <c r="A393" s="6" t="s">
        <v>23</v>
      </c>
      <c r="B393" s="2" t="s">
        <v>27</v>
      </c>
      <c r="C393" s="3" t="s">
        <v>81</v>
      </c>
      <c r="E393" s="3" t="str">
        <f>C370</f>
        <v>AOnlHrs</v>
      </c>
      <c r="F393" s="4" t="s">
        <v>31</v>
      </c>
      <c r="G393" s="28" t="str">
        <f>C369</f>
        <v>ATotHrs</v>
      </c>
      <c r="H393" s="28"/>
      <c r="I393" s="28"/>
      <c r="J393" s="62">
        <f t="shared" ref="J393:AJ393" si="2272">IF(J369&lt;&gt;0,J370/J369,"")</f>
        <v>0.13365222284749578</v>
      </c>
      <c r="K393" s="62">
        <f t="shared" si="2272"/>
        <v>0.29307462686567165</v>
      </c>
      <c r="L393" s="62">
        <f t="shared" si="2272"/>
        <v>0.28160997425125356</v>
      </c>
      <c r="M393" s="62">
        <f t="shared" si="2272"/>
        <v>0.16993632362580766</v>
      </c>
      <c r="N393" s="62">
        <f t="shared" si="2272"/>
        <v>9.4511571986774873E-2</v>
      </c>
      <c r="O393" s="62">
        <f t="shared" si="2272"/>
        <v>6.5028116099611316E-2</v>
      </c>
      <c r="P393" s="62">
        <f t="shared" si="2272"/>
        <v>6.4745055316014793E-2</v>
      </c>
      <c r="Q393" s="62">
        <f t="shared" si="2272"/>
        <v>7.1567814486681508E-2</v>
      </c>
      <c r="R393" s="62">
        <f t="shared" si="2272"/>
        <v>7.3321842183595345E-2</v>
      </c>
      <c r="S393" s="62">
        <f t="shared" si="2272"/>
        <v>6.8888052572156439E-2</v>
      </c>
      <c r="T393" s="62">
        <f t="shared" si="2272"/>
        <v>7.1586166420311265E-2</v>
      </c>
      <c r="U393" s="62">
        <f t="shared" si="2272"/>
        <v>8.0837146406277011E-2</v>
      </c>
      <c r="V393" s="62">
        <f t="shared" si="2272"/>
        <v>0.29980750721847926</v>
      </c>
      <c r="W393" s="62">
        <f t="shared" si="2272"/>
        <v>0.41599445938238405</v>
      </c>
      <c r="X393" s="62">
        <f t="shared" si="2272"/>
        <v>0.41525304526401668</v>
      </c>
      <c r="Y393" s="62">
        <f t="shared" si="2272"/>
        <v>0.37574119288454833</v>
      </c>
      <c r="Z393" s="62">
        <f t="shared" si="2272"/>
        <v>0.35153948627502485</v>
      </c>
      <c r="AA393" s="62">
        <f t="shared" si="2272"/>
        <v>0.35709945310917557</v>
      </c>
      <c r="AB393" s="62">
        <f t="shared" si="2272"/>
        <v>0.34456950568577394</v>
      </c>
      <c r="AC393" s="62">
        <f t="shared" si="2272"/>
        <v>0.35128166236917946</v>
      </c>
      <c r="AD393" s="62">
        <f t="shared" si="2272"/>
        <v>0.33094710651810949</v>
      </c>
      <c r="AE393" s="62">
        <f t="shared" si="2272"/>
        <v>0.33199673713280459</v>
      </c>
      <c r="AF393" s="62">
        <f t="shared" si="2272"/>
        <v>0.32776745396927992</v>
      </c>
      <c r="AG393" s="62">
        <f t="shared" si="2272"/>
        <v>0.33018953403128426</v>
      </c>
      <c r="AH393" s="62">
        <f t="shared" si="2272"/>
        <v>0.3080525204297126</v>
      </c>
      <c r="AI393" s="62">
        <f t="shared" si="2272"/>
        <v>0.30334680532219244</v>
      </c>
      <c r="AJ393" s="62" t="str">
        <f t="shared" si="2272"/>
        <v/>
      </c>
      <c r="AK393" s="412"/>
      <c r="AL393" s="14">
        <f t="shared" ref="AL393:BL393" si="2273">IF(AL369&lt;&gt;0,AL370/AL369,"")</f>
        <v>0.13365222284749578</v>
      </c>
      <c r="AM393" s="14">
        <f t="shared" si="2273"/>
        <v>0.41059946069280234</v>
      </c>
      <c r="AN393" s="14">
        <f t="shared" si="2273"/>
        <v>0.24596250232040096</v>
      </c>
      <c r="AO393" s="14">
        <f t="shared" si="2273"/>
        <v>4.9808056756888083E-2</v>
      </c>
      <c r="AP393" s="14">
        <f t="shared" si="2273"/>
        <v>1.4879260485924013E-2</v>
      </c>
      <c r="AQ393" s="14">
        <f t="shared" si="2273"/>
        <v>3.8188897763578294E-3</v>
      </c>
      <c r="AR393" s="14">
        <f t="shared" si="2273"/>
        <v>5.9833873011403658E-2</v>
      </c>
      <c r="AS393" s="14">
        <f t="shared" si="2273"/>
        <v>0.19618834080717518</v>
      </c>
      <c r="AT393" s="14">
        <f t="shared" si="2273"/>
        <v>0.10786420283626998</v>
      </c>
      <c r="AU393" s="14">
        <f t="shared" si="2273"/>
        <v>4.6220271800679481E-2</v>
      </c>
      <c r="AV393" s="14">
        <f t="shared" si="2273"/>
        <v>0.11282187417042729</v>
      </c>
      <c r="AW393" s="14">
        <f t="shared" si="2273"/>
        <v>0.33210332103321033</v>
      </c>
      <c r="AX393" s="14">
        <f t="shared" si="2273"/>
        <v>0.29980750721847926</v>
      </c>
      <c r="AY393" s="14">
        <f t="shared" si="2273"/>
        <v>0.58499999999999996</v>
      </c>
      <c r="AZ393" s="14">
        <f t="shared" si="2273"/>
        <v>0.41359876374875015</v>
      </c>
      <c r="BA393" s="14">
        <f t="shared" si="2273"/>
        <v>0.23970944309927361</v>
      </c>
      <c r="BB393" s="14">
        <f t="shared" si="2273"/>
        <v>0.20202020202020202</v>
      </c>
      <c r="BC393" s="14">
        <f t="shared" si="2273"/>
        <v>0.40692786278795995</v>
      </c>
      <c r="BD393" s="14">
        <f t="shared" si="2273"/>
        <v>0.26804123711340205</v>
      </c>
      <c r="BE393" s="14">
        <f t="shared" si="2273"/>
        <v>0.39677546205269415</v>
      </c>
      <c r="BF393" s="14">
        <f t="shared" si="2273"/>
        <v>0.20245986742272948</v>
      </c>
      <c r="BG393" s="14">
        <f t="shared" si="2273"/>
        <v>0.34150682222661682</v>
      </c>
      <c r="BH393" s="14">
        <f t="shared" si="2273"/>
        <v>0.28313627878033593</v>
      </c>
      <c r="BI393" s="14">
        <f t="shared" si="2273"/>
        <v>0.35714285714285748</v>
      </c>
      <c r="BJ393" s="14">
        <f t="shared" si="2273"/>
        <v>0.3080525204297126</v>
      </c>
      <c r="BK393" s="14">
        <f t="shared" si="2273"/>
        <v>0.29874213836477986</v>
      </c>
      <c r="BL393" s="14" t="str">
        <f t="shared" si="2273"/>
        <v/>
      </c>
      <c r="BM393" s="412"/>
      <c r="BN393" s="14">
        <f t="shared" ref="BN393:CN393" si="2274">IF(BN369&lt;&gt;0,BN370/BN369,"")</f>
        <v>0.28160997425125356</v>
      </c>
      <c r="BO393" s="14">
        <f t="shared" si="2274"/>
        <v>0.28160997425125356</v>
      </c>
      <c r="BP393" s="14">
        <f t="shared" si="2274"/>
        <v>0.28160997425125356</v>
      </c>
      <c r="BQ393" s="14">
        <f t="shared" si="2274"/>
        <v>1.7605982077505879E-2</v>
      </c>
      <c r="BR393" s="14">
        <f t="shared" si="2274"/>
        <v>1.7605982077505879E-2</v>
      </c>
      <c r="BS393" s="14">
        <f t="shared" si="2274"/>
        <v>1.7605982077505879E-2</v>
      </c>
      <c r="BT393" s="14">
        <f t="shared" si="2274"/>
        <v>0.12148916116870888</v>
      </c>
      <c r="BU393" s="14">
        <f t="shared" si="2274"/>
        <v>0.12148916116870888</v>
      </c>
      <c r="BV393" s="14">
        <f t="shared" si="2274"/>
        <v>0.12148916116870888</v>
      </c>
      <c r="BW393" s="14">
        <f t="shared" si="2274"/>
        <v>0.10426918760252088</v>
      </c>
      <c r="BX393" s="14">
        <f t="shared" si="2274"/>
        <v>0.10426918760252088</v>
      </c>
      <c r="BY393" s="14">
        <f t="shared" si="2274"/>
        <v>0.10426918760252088</v>
      </c>
      <c r="BZ393" s="14">
        <f t="shared" si="2274"/>
        <v>0.41525304526401668</v>
      </c>
      <c r="CA393" s="14">
        <f t="shared" si="2274"/>
        <v>0.41525304526401668</v>
      </c>
      <c r="CB393" s="14">
        <f t="shared" si="2274"/>
        <v>0.41525304526401668</v>
      </c>
      <c r="CC393" s="14">
        <f t="shared" si="2274"/>
        <v>0.26986538380385694</v>
      </c>
      <c r="CD393" s="14">
        <f t="shared" si="2274"/>
        <v>0.26986538380385694</v>
      </c>
      <c r="CE393" s="14">
        <f t="shared" si="2274"/>
        <v>0.26986538380385694</v>
      </c>
      <c r="CF393" s="14">
        <f t="shared" si="2274"/>
        <v>0.283116722748742</v>
      </c>
      <c r="CG393" s="14">
        <f t="shared" si="2274"/>
        <v>0.283116722748742</v>
      </c>
      <c r="CH393" s="14">
        <f t="shared" si="2274"/>
        <v>0.283116722748742</v>
      </c>
      <c r="CI393" s="14">
        <f t="shared" si="2274"/>
        <v>0.32785728683733134</v>
      </c>
      <c r="CJ393" s="14">
        <f t="shared" si="2274"/>
        <v>0.32785728683733134</v>
      </c>
      <c r="CK393" s="14">
        <f t="shared" si="2274"/>
        <v>0.32785728683733134</v>
      </c>
      <c r="CL393" s="14">
        <f t="shared" si="2274"/>
        <v>0.30334680532219244</v>
      </c>
      <c r="CM393" s="14">
        <f t="shared" si="2274"/>
        <v>0.30334680532219244</v>
      </c>
      <c r="CN393" s="14">
        <f t="shared" si="2274"/>
        <v>0.30334680532219244</v>
      </c>
      <c r="CO393" s="412"/>
      <c r="CP393" s="14">
        <f t="shared" ref="CP393:DP393" si="2275">IF(CP369&lt;&gt;0,CP370/CP369,"")</f>
        <v>0.13365222284749578</v>
      </c>
      <c r="CQ393" s="14">
        <f t="shared" si="2275"/>
        <v>0.29307462686567165</v>
      </c>
      <c r="CR393" s="14">
        <f t="shared" si="2275"/>
        <v>0.28160997425125356</v>
      </c>
      <c r="CS393" s="14">
        <f t="shared" si="2275"/>
        <v>0.16993632362580766</v>
      </c>
      <c r="CT393" s="14">
        <f t="shared" si="2275"/>
        <v>9.4511571986774873E-2</v>
      </c>
      <c r="CU393" s="14">
        <f t="shared" si="2275"/>
        <v>6.5028116099611316E-2</v>
      </c>
      <c r="CV393" s="14">
        <f t="shared" si="2275"/>
        <v>6.4745055316014793E-2</v>
      </c>
      <c r="CW393" s="14">
        <f t="shared" si="2275"/>
        <v>7.1567814486681508E-2</v>
      </c>
      <c r="CX393" s="14">
        <f t="shared" si="2275"/>
        <v>7.3321842183595345E-2</v>
      </c>
      <c r="CY393" s="14">
        <f t="shared" si="2275"/>
        <v>6.8888052572156439E-2</v>
      </c>
      <c r="CZ393" s="14">
        <f t="shared" si="2275"/>
        <v>7.1586166420311265E-2</v>
      </c>
      <c r="DA393" s="14">
        <f t="shared" si="2275"/>
        <v>8.0837146406277011E-2</v>
      </c>
      <c r="DB393" s="14">
        <f t="shared" si="2275"/>
        <v>0.29980750721847926</v>
      </c>
      <c r="DC393" s="14">
        <f t="shared" si="2275"/>
        <v>0.41599445938238405</v>
      </c>
      <c r="DD393" s="14">
        <f t="shared" si="2275"/>
        <v>0.41525304526401668</v>
      </c>
      <c r="DE393" s="14">
        <f t="shared" si="2275"/>
        <v>0.37574119288454833</v>
      </c>
      <c r="DF393" s="14">
        <f t="shared" si="2275"/>
        <v>0.35153948627502485</v>
      </c>
      <c r="DG393" s="14">
        <f t="shared" si="2275"/>
        <v>0.35709945310917557</v>
      </c>
      <c r="DH393" s="14">
        <f t="shared" si="2275"/>
        <v>0.34456950568577394</v>
      </c>
      <c r="DI393" s="14">
        <f t="shared" si="2275"/>
        <v>0.35128166236917946</v>
      </c>
      <c r="DJ393" s="14">
        <f t="shared" si="2275"/>
        <v>0.33094710651810949</v>
      </c>
      <c r="DK393" s="14">
        <f t="shared" si="2275"/>
        <v>0.33199673713280459</v>
      </c>
      <c r="DL393" s="14">
        <f t="shared" si="2275"/>
        <v>0.32776745396927992</v>
      </c>
      <c r="DM393" s="14">
        <f t="shared" si="2275"/>
        <v>0.33018953403128426</v>
      </c>
      <c r="DN393" s="14">
        <f t="shared" si="2275"/>
        <v>0.3080525204297126</v>
      </c>
      <c r="DO393" s="14">
        <f t="shared" si="2275"/>
        <v>0.30334680532219244</v>
      </c>
      <c r="DP393" s="14">
        <f t="shared" si="2275"/>
        <v>0.30334680532219244</v>
      </c>
      <c r="DQ393" s="14"/>
      <c r="DR393" s="14"/>
      <c r="DS393" s="14"/>
      <c r="DT393" s="14"/>
      <c r="DU393" s="14"/>
      <c r="DV393" s="14"/>
      <c r="DW393" s="14"/>
      <c r="DX393" s="14"/>
      <c r="DY393" s="14"/>
      <c r="ED393" s="429"/>
      <c r="EE393" s="23"/>
      <c r="EF393" s="23"/>
      <c r="EG393" s="23"/>
      <c r="EH393" s="14">
        <f>IF(EH369&lt;&gt;0,EH370/EH369,"")</f>
        <v>0.29874213836477986</v>
      </c>
      <c r="EI393" s="14">
        <f>IF(EI369&lt;&gt;0,EI370/EI369,"")</f>
        <v>0.30334680532219244</v>
      </c>
      <c r="EJ393" s="14">
        <f>IF(EJ369&lt;&gt;0,EJ370/EJ369,"")</f>
        <v>0.30334680532219244</v>
      </c>
      <c r="EK393" s="24"/>
      <c r="EL393" s="47">
        <f t="shared" si="2257"/>
        <v>0.29874213836477986</v>
      </c>
      <c r="EM393" s="47">
        <f t="shared" si="2257"/>
        <v>0.30334680532219244</v>
      </c>
      <c r="EN393" s="47">
        <f t="shared" si="2257"/>
        <v>0.11256867027396092</v>
      </c>
      <c r="EO393" s="46" t="str">
        <f t="shared" si="2258"/>
        <v>Ç</v>
      </c>
      <c r="EP393" s="46" t="str">
        <f t="shared" si="2258"/>
        <v>Ç</v>
      </c>
      <c r="EQ393" s="2" t="e">
        <f t="shared" si="2259"/>
        <v>#DIV/0!</v>
      </c>
      <c r="ER393" s="2" t="e">
        <f t="shared" si="2259"/>
        <v>#DIV/0!</v>
      </c>
      <c r="ES393" s="2">
        <f t="shared" si="2259"/>
        <v>1</v>
      </c>
    </row>
    <row r="394" spans="1:150">
      <c r="A394" s="6" t="s">
        <v>23</v>
      </c>
      <c r="B394" s="2" t="s">
        <v>28</v>
      </c>
      <c r="C394" s="3" t="s">
        <v>82</v>
      </c>
      <c r="E394" s="3" t="str">
        <f>C375</f>
        <v>AColCash</v>
      </c>
      <c r="F394" s="4" t="s">
        <v>31</v>
      </c>
      <c r="G394" s="28" t="str">
        <f>C376</f>
        <v>AFSFunds</v>
      </c>
      <c r="H394" s="28"/>
      <c r="I394" s="28"/>
      <c r="J394" s="62" t="str">
        <f t="shared" ref="J394:AJ394" si="2276">IF(J376&lt;&gt;0,J375/J376,"")</f>
        <v/>
      </c>
      <c r="K394" s="62" t="str">
        <f t="shared" si="2276"/>
        <v/>
      </c>
      <c r="L394" s="62">
        <f t="shared" si="2276"/>
        <v>0.555487257080713</v>
      </c>
      <c r="M394" s="62">
        <f t="shared" si="2276"/>
        <v>0.555487257080713</v>
      </c>
      <c r="N394" s="62">
        <f t="shared" si="2276"/>
        <v>0.555487257080713</v>
      </c>
      <c r="O394" s="62">
        <f t="shared" si="2276"/>
        <v>0.55551405121551511</v>
      </c>
      <c r="P394" s="62">
        <f t="shared" si="2276"/>
        <v>0.58291903663802369</v>
      </c>
      <c r="Q394" s="62">
        <f t="shared" si="2276"/>
        <v>0.58291903663802369</v>
      </c>
      <c r="R394" s="62">
        <f t="shared" si="2276"/>
        <v>0.58291903663802369</v>
      </c>
      <c r="S394" s="62">
        <f t="shared" si="2276"/>
        <v>0.58291119379566947</v>
      </c>
      <c r="T394" s="62">
        <f t="shared" si="2276"/>
        <v>0.58291119379566947</v>
      </c>
      <c r="U394" s="62">
        <f t="shared" si="2276"/>
        <v>0.58291119379566947</v>
      </c>
      <c r="V394" s="62" t="str">
        <f t="shared" si="2276"/>
        <v/>
      </c>
      <c r="W394" s="62" t="str">
        <f t="shared" si="2276"/>
        <v/>
      </c>
      <c r="X394" s="62" t="str">
        <f t="shared" si="2276"/>
        <v/>
      </c>
      <c r="Y394" s="62" t="str">
        <f t="shared" si="2276"/>
        <v/>
      </c>
      <c r="Z394" s="62" t="str">
        <f t="shared" si="2276"/>
        <v/>
      </c>
      <c r="AA394" s="62" t="str">
        <f t="shared" si="2276"/>
        <v/>
      </c>
      <c r="AB394" s="62">
        <f t="shared" si="2276"/>
        <v>0.50272973635879614</v>
      </c>
      <c r="AC394" s="62" t="str">
        <f t="shared" si="2276"/>
        <v/>
      </c>
      <c r="AD394" s="62" t="str">
        <f t="shared" si="2276"/>
        <v/>
      </c>
      <c r="AE394" s="62" t="str">
        <f t="shared" si="2276"/>
        <v/>
      </c>
      <c r="AF394" s="62" t="str">
        <f t="shared" si="2276"/>
        <v/>
      </c>
      <c r="AG394" s="62" t="str">
        <f t="shared" si="2276"/>
        <v/>
      </c>
      <c r="AH394" s="62">
        <f t="shared" si="2276"/>
        <v>0.4379899007776209</v>
      </c>
      <c r="AI394" s="62" t="str">
        <f t="shared" si="2276"/>
        <v/>
      </c>
      <c r="AJ394" s="62" t="str">
        <f t="shared" si="2276"/>
        <v/>
      </c>
      <c r="AK394" s="412"/>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14"/>
      <c r="BI394" s="14"/>
      <c r="BJ394" s="14"/>
      <c r="BK394" s="14"/>
      <c r="BL394" s="14"/>
      <c r="BM394" s="412"/>
      <c r="BN394" s="14"/>
      <c r="BO394" s="14"/>
      <c r="BP394" s="14"/>
      <c r="BQ394" s="14"/>
      <c r="BR394" s="14"/>
      <c r="BS394" s="14"/>
      <c r="BT394" s="14"/>
      <c r="BU394" s="14"/>
      <c r="BV394" s="14"/>
      <c r="BW394" s="14"/>
      <c r="BX394" s="14"/>
      <c r="BY394" s="14"/>
      <c r="BZ394" s="14"/>
      <c r="CA394" s="14"/>
      <c r="CB394" s="14"/>
      <c r="CC394" s="14"/>
      <c r="CD394" s="14"/>
      <c r="CE394" s="14"/>
      <c r="CF394" s="14"/>
      <c r="CG394" s="14"/>
      <c r="CH394" s="14"/>
      <c r="CI394" s="14"/>
      <c r="CJ394" s="14"/>
      <c r="CK394" s="14"/>
      <c r="CL394" s="14"/>
      <c r="CM394" s="14"/>
      <c r="CN394" s="14"/>
      <c r="CO394" s="412"/>
      <c r="CP394" s="14" t="str">
        <f t="shared" ref="CP394:DP394" si="2277">IF(CP376&lt;&gt;0,CP375/CP376,"")</f>
        <v/>
      </c>
      <c r="CQ394" s="14" t="str">
        <f t="shared" si="2277"/>
        <v/>
      </c>
      <c r="CR394" s="14">
        <f t="shared" si="2277"/>
        <v>0.555487257080713</v>
      </c>
      <c r="CS394" s="14">
        <f t="shared" si="2277"/>
        <v>0.555487257080713</v>
      </c>
      <c r="CT394" s="14">
        <f t="shared" si="2277"/>
        <v>0.555487257080713</v>
      </c>
      <c r="CU394" s="14">
        <f t="shared" si="2277"/>
        <v>0.55551405121551511</v>
      </c>
      <c r="CV394" s="14">
        <f t="shared" si="2277"/>
        <v>0.58291903663802369</v>
      </c>
      <c r="CW394" s="14">
        <f t="shared" si="2277"/>
        <v>0.58291903663802369</v>
      </c>
      <c r="CX394" s="14">
        <f t="shared" si="2277"/>
        <v>0.58291903663802369</v>
      </c>
      <c r="CY394" s="14">
        <f t="shared" si="2277"/>
        <v>0.58291119379566947</v>
      </c>
      <c r="CZ394" s="14">
        <f t="shared" si="2277"/>
        <v>0.58291119379566947</v>
      </c>
      <c r="DA394" s="14">
        <f t="shared" si="2277"/>
        <v>0.58291119379566947</v>
      </c>
      <c r="DB394" s="14" t="str">
        <f t="shared" si="2277"/>
        <v/>
      </c>
      <c r="DC394" s="14" t="str">
        <f t="shared" si="2277"/>
        <v/>
      </c>
      <c r="DD394" s="14" t="str">
        <f t="shared" si="2277"/>
        <v/>
      </c>
      <c r="DE394" s="14" t="str">
        <f t="shared" si="2277"/>
        <v/>
      </c>
      <c r="DF394" s="14" t="str">
        <f t="shared" si="2277"/>
        <v/>
      </c>
      <c r="DG394" s="14" t="str">
        <f t="shared" si="2277"/>
        <v/>
      </c>
      <c r="DH394" s="14">
        <f t="shared" si="2277"/>
        <v>0.50272973635879614</v>
      </c>
      <c r="DI394" s="14" t="str">
        <f t="shared" si="2277"/>
        <v/>
      </c>
      <c r="DJ394" s="14" t="str">
        <f t="shared" si="2277"/>
        <v/>
      </c>
      <c r="DK394" s="14" t="str">
        <f t="shared" si="2277"/>
        <v/>
      </c>
      <c r="DL394" s="14" t="str">
        <f t="shared" si="2277"/>
        <v/>
      </c>
      <c r="DM394" s="14" t="str">
        <f t="shared" si="2277"/>
        <v/>
      </c>
      <c r="DN394" s="14">
        <f t="shared" si="2277"/>
        <v>0.4379899007776209</v>
      </c>
      <c r="DO394" s="14" t="str">
        <f t="shared" si="2277"/>
        <v/>
      </c>
      <c r="DP394" s="14" t="str">
        <f t="shared" si="2277"/>
        <v/>
      </c>
      <c r="DQ394" s="14"/>
      <c r="DR394" s="14"/>
      <c r="DS394" s="14"/>
      <c r="DT394" s="14"/>
      <c r="DU394" s="14"/>
      <c r="DV394" s="14"/>
      <c r="DW394" s="14"/>
      <c r="DX394" s="14"/>
      <c r="DY394" s="14"/>
      <c r="ED394" s="429"/>
      <c r="EE394" s="23"/>
      <c r="EF394" s="23"/>
      <c r="EG394" s="23"/>
      <c r="EH394" s="24" t="s">
        <v>97</v>
      </c>
      <c r="EI394" s="24" t="s">
        <v>97</v>
      </c>
      <c r="EJ394" s="14" t="str">
        <f>IF(EJ376&lt;&gt;0,EJ375/EJ376,"")</f>
        <v/>
      </c>
      <c r="EK394" s="24"/>
      <c r="EL394" s="24" t="s">
        <v>97</v>
      </c>
      <c r="EM394" s="24" t="s">
        <v>97</v>
      </c>
      <c r="EN394" s="47" t="str">
        <f>IF(EJ394="","",+EJ394-EG387)</f>
        <v/>
      </c>
      <c r="EO394" s="100" t="s">
        <v>97</v>
      </c>
      <c r="EP394" s="100" t="s">
        <v>97</v>
      </c>
      <c r="EQ394" s="24" t="s">
        <v>97</v>
      </c>
      <c r="ER394" s="24" t="s">
        <v>97</v>
      </c>
      <c r="ES394" s="2" t="e">
        <f>IF(EJ394/EG387&gt;=0.9,1,IF(EJ394/EG387&lt;0.75,3,2))</f>
        <v>#VALUE!</v>
      </c>
    </row>
    <row r="395" spans="1:150">
      <c r="ED395" s="429"/>
      <c r="EE395" s="23"/>
      <c r="EF395" s="23"/>
      <c r="EG395" s="23"/>
      <c r="EH395" s="23"/>
      <c r="EI395" s="23"/>
      <c r="EJ395" s="23"/>
      <c r="EK395" s="23"/>
    </row>
    <row r="397" spans="1:150" ht="13.5" thickBot="1">
      <c r="A397" s="6" t="s">
        <v>175</v>
      </c>
      <c r="C397" s="3" t="s">
        <v>176</v>
      </c>
      <c r="E397" s="107">
        <f>I397</f>
        <v>40391</v>
      </c>
      <c r="G397" s="132" t="s">
        <v>161</v>
      </c>
      <c r="I397" s="107">
        <f>$I$1</f>
        <v>40391</v>
      </c>
      <c r="J397" s="669" t="s">
        <v>95</v>
      </c>
      <c r="K397" s="669"/>
      <c r="L397" s="669"/>
      <c r="M397" s="669"/>
      <c r="N397" s="669"/>
      <c r="O397" s="669"/>
      <c r="P397" s="669"/>
      <c r="Q397" s="669"/>
      <c r="R397" s="669"/>
      <c r="S397" s="669"/>
      <c r="T397" s="669"/>
      <c r="U397" s="669"/>
      <c r="V397" s="669"/>
      <c r="W397" s="669"/>
      <c r="X397" s="669"/>
      <c r="Y397" s="669"/>
      <c r="Z397" s="669"/>
      <c r="AA397" s="669"/>
      <c r="AB397" s="669"/>
      <c r="AC397" s="669"/>
      <c r="AD397" s="669"/>
      <c r="AE397" s="669"/>
      <c r="AF397" s="669"/>
      <c r="AG397" s="669"/>
      <c r="AH397" s="669"/>
      <c r="AI397" s="669"/>
      <c r="AJ397" s="669"/>
      <c r="AL397" s="669" t="s">
        <v>115</v>
      </c>
      <c r="AM397" s="669"/>
      <c r="AN397" s="669"/>
      <c r="AO397" s="669"/>
      <c r="AP397" s="669"/>
      <c r="AQ397" s="669"/>
      <c r="AR397" s="669"/>
      <c r="AS397" s="669"/>
      <c r="AT397" s="669"/>
      <c r="AU397" s="669"/>
      <c r="AV397" s="669"/>
      <c r="AW397" s="669"/>
      <c r="AX397" s="669"/>
      <c r="AY397" s="669"/>
      <c r="AZ397" s="669"/>
      <c r="BA397" s="669"/>
      <c r="BB397" s="669"/>
      <c r="BC397" s="669"/>
      <c r="BD397" s="669"/>
      <c r="BE397" s="669"/>
      <c r="BF397" s="669"/>
      <c r="BG397" s="669"/>
      <c r="BH397" s="669"/>
      <c r="BI397" s="669"/>
      <c r="BJ397" s="669"/>
      <c r="BK397" s="669"/>
      <c r="BL397" s="669"/>
      <c r="BN397" s="669" t="s">
        <v>116</v>
      </c>
      <c r="BO397" s="669"/>
      <c r="BP397" s="669"/>
      <c r="BQ397" s="669"/>
      <c r="BR397" s="669"/>
      <c r="BS397" s="669"/>
      <c r="BT397" s="669"/>
      <c r="BU397" s="669"/>
      <c r="BV397" s="669"/>
      <c r="BW397" s="669"/>
      <c r="BX397" s="669"/>
      <c r="BY397" s="669"/>
      <c r="BZ397" s="669"/>
      <c r="CA397" s="669"/>
      <c r="CB397" s="669"/>
      <c r="CC397" s="669"/>
      <c r="CD397" s="669"/>
      <c r="CE397" s="669"/>
      <c r="CF397" s="669"/>
      <c r="CG397" s="669"/>
      <c r="CH397" s="669"/>
      <c r="CI397" s="669"/>
      <c r="CJ397" s="669"/>
      <c r="CK397" s="669"/>
      <c r="CL397" s="669"/>
      <c r="CM397" s="669"/>
      <c r="CN397" s="669"/>
      <c r="CP397" s="669" t="s">
        <v>117</v>
      </c>
      <c r="CQ397" s="669"/>
      <c r="CR397" s="669"/>
      <c r="CS397" s="669"/>
      <c r="CT397" s="669"/>
      <c r="CU397" s="669"/>
      <c r="CV397" s="669"/>
      <c r="CW397" s="669"/>
      <c r="CX397" s="669"/>
      <c r="CY397" s="669"/>
      <c r="CZ397" s="669"/>
      <c r="DA397" s="669"/>
      <c r="DB397" s="669"/>
      <c r="DC397" s="669"/>
      <c r="DD397" s="669"/>
      <c r="DE397" s="669"/>
      <c r="DF397" s="669"/>
      <c r="DG397" s="669"/>
      <c r="DH397" s="669"/>
      <c r="DI397" s="669"/>
      <c r="DJ397" s="669"/>
      <c r="DK397" s="669"/>
      <c r="DL397" s="669"/>
      <c r="DM397" s="669"/>
      <c r="DN397" s="669"/>
      <c r="DO397" s="669"/>
      <c r="DP397" s="669"/>
      <c r="DQ397" s="578"/>
      <c r="DR397" s="578"/>
      <c r="DS397" s="578"/>
      <c r="DT397" s="578"/>
      <c r="DU397" s="578"/>
      <c r="DV397" s="578"/>
      <c r="DW397" s="578"/>
      <c r="DX397" s="578"/>
      <c r="DY397" s="578"/>
      <c r="DZ397" s="670" t="s">
        <v>118</v>
      </c>
      <c r="EA397" s="671"/>
      <c r="EB397" s="672"/>
      <c r="EC397" s="579"/>
      <c r="ED397" s="427"/>
      <c r="EE397" s="669" t="s">
        <v>112</v>
      </c>
      <c r="EF397" s="669"/>
      <c r="EG397" s="669"/>
      <c r="EH397" s="669" t="s">
        <v>111</v>
      </c>
      <c r="EI397" s="669"/>
      <c r="EJ397" s="669"/>
      <c r="EK397" s="45">
        <f>IF(MONTH(I397)&gt;9,MONTH(I397)-9,MONTH(I397)+3)</f>
        <v>11</v>
      </c>
      <c r="EL397" s="673" t="s">
        <v>119</v>
      </c>
      <c r="EM397" s="674"/>
      <c r="EN397" s="674"/>
      <c r="EO397" s="674"/>
      <c r="EP397" s="674"/>
      <c r="EQ397" s="674"/>
      <c r="ER397" s="674"/>
      <c r="ES397" s="674"/>
    </row>
    <row r="398" spans="1:150" ht="26.25" thickBot="1">
      <c r="A398" s="665" t="s">
        <v>19</v>
      </c>
      <c r="B398" s="665"/>
      <c r="C398" s="8" t="s">
        <v>34</v>
      </c>
      <c r="D398" s="9"/>
      <c r="E398" s="10" t="s">
        <v>93</v>
      </c>
      <c r="F398" s="1"/>
      <c r="G398" s="17" t="s">
        <v>90</v>
      </c>
      <c r="H398" s="1"/>
      <c r="I398" s="1" t="s">
        <v>96</v>
      </c>
      <c r="J398" s="13">
        <v>39630</v>
      </c>
      <c r="K398" s="13">
        <v>39661</v>
      </c>
      <c r="L398" s="13">
        <v>39692</v>
      </c>
      <c r="M398" s="13">
        <v>39722</v>
      </c>
      <c r="N398" s="13">
        <v>39753</v>
      </c>
      <c r="O398" s="13">
        <v>39783</v>
      </c>
      <c r="P398" s="13">
        <v>39814</v>
      </c>
      <c r="Q398" s="13">
        <v>39845</v>
      </c>
      <c r="R398" s="13">
        <v>39873</v>
      </c>
      <c r="S398" s="13">
        <v>39904</v>
      </c>
      <c r="T398" s="13">
        <v>39934</v>
      </c>
      <c r="U398" s="13">
        <v>39965</v>
      </c>
      <c r="V398" s="13">
        <v>39995</v>
      </c>
      <c r="W398" s="13">
        <v>40026</v>
      </c>
      <c r="X398" s="13">
        <v>40057</v>
      </c>
      <c r="Y398" s="13">
        <v>40087</v>
      </c>
      <c r="Z398" s="13">
        <v>40118</v>
      </c>
      <c r="AA398" s="13">
        <v>40148</v>
      </c>
      <c r="AB398" s="13">
        <v>40179</v>
      </c>
      <c r="AC398" s="13">
        <v>40210</v>
      </c>
      <c r="AD398" s="13">
        <v>40238</v>
      </c>
      <c r="AE398" s="13">
        <v>40269</v>
      </c>
      <c r="AF398" s="13">
        <v>40299</v>
      </c>
      <c r="AG398" s="13">
        <v>40330</v>
      </c>
      <c r="AH398" s="13">
        <v>40360</v>
      </c>
      <c r="AI398" s="13">
        <v>40391</v>
      </c>
      <c r="AJ398" s="13">
        <v>40422</v>
      </c>
      <c r="AK398" s="406"/>
      <c r="AL398" s="13">
        <v>39630</v>
      </c>
      <c r="AM398" s="13">
        <v>39661</v>
      </c>
      <c r="AN398" s="13">
        <v>39692</v>
      </c>
      <c r="AO398" s="13">
        <v>39722</v>
      </c>
      <c r="AP398" s="13">
        <v>39753</v>
      </c>
      <c r="AQ398" s="13">
        <v>39783</v>
      </c>
      <c r="AR398" s="13">
        <v>39814</v>
      </c>
      <c r="AS398" s="13">
        <v>39845</v>
      </c>
      <c r="AT398" s="13">
        <v>39873</v>
      </c>
      <c r="AU398" s="13">
        <v>39904</v>
      </c>
      <c r="AV398" s="13">
        <v>39934</v>
      </c>
      <c r="AW398" s="13">
        <v>39965</v>
      </c>
      <c r="AX398" s="13">
        <v>39995</v>
      </c>
      <c r="AY398" s="13">
        <v>40026</v>
      </c>
      <c r="AZ398" s="13">
        <v>40057</v>
      </c>
      <c r="BA398" s="13">
        <v>40087</v>
      </c>
      <c r="BB398" s="13">
        <v>40118</v>
      </c>
      <c r="BC398" s="13">
        <v>40148</v>
      </c>
      <c r="BD398" s="13">
        <v>40179</v>
      </c>
      <c r="BE398" s="13">
        <v>40210</v>
      </c>
      <c r="BF398" s="13">
        <v>40238</v>
      </c>
      <c r="BG398" s="13">
        <v>40269</v>
      </c>
      <c r="BH398" s="13">
        <v>40299</v>
      </c>
      <c r="BI398" s="13">
        <v>40330</v>
      </c>
      <c r="BJ398" s="13">
        <v>40360</v>
      </c>
      <c r="BK398" s="13">
        <v>40391</v>
      </c>
      <c r="BL398" s="13">
        <v>40422</v>
      </c>
      <c r="BM398" s="406"/>
      <c r="BN398" s="13">
        <v>39630</v>
      </c>
      <c r="BO398" s="13">
        <v>39661</v>
      </c>
      <c r="BP398" s="13">
        <v>39692</v>
      </c>
      <c r="BQ398" s="13">
        <v>39722</v>
      </c>
      <c r="BR398" s="13">
        <v>39753</v>
      </c>
      <c r="BS398" s="13">
        <v>39783</v>
      </c>
      <c r="BT398" s="13">
        <v>39814</v>
      </c>
      <c r="BU398" s="13">
        <v>39845</v>
      </c>
      <c r="BV398" s="13">
        <v>39873</v>
      </c>
      <c r="BW398" s="13">
        <v>39904</v>
      </c>
      <c r="BX398" s="13">
        <v>39934</v>
      </c>
      <c r="BY398" s="13">
        <v>39965</v>
      </c>
      <c r="BZ398" s="13">
        <v>39995</v>
      </c>
      <c r="CA398" s="13">
        <v>40026</v>
      </c>
      <c r="CB398" s="13">
        <v>40057</v>
      </c>
      <c r="CC398" s="13">
        <v>40087</v>
      </c>
      <c r="CD398" s="13">
        <v>40118</v>
      </c>
      <c r="CE398" s="13">
        <v>40148</v>
      </c>
      <c r="CF398" s="13">
        <v>40179</v>
      </c>
      <c r="CG398" s="13">
        <v>40210</v>
      </c>
      <c r="CH398" s="13">
        <v>40238</v>
      </c>
      <c r="CI398" s="13">
        <v>40269</v>
      </c>
      <c r="CJ398" s="13">
        <v>40299</v>
      </c>
      <c r="CK398" s="13">
        <v>40330</v>
      </c>
      <c r="CL398" s="13">
        <v>40360</v>
      </c>
      <c r="CM398" s="13">
        <v>40391</v>
      </c>
      <c r="CN398" s="13">
        <v>40422</v>
      </c>
      <c r="CO398" s="420"/>
      <c r="CP398" s="13">
        <v>39630</v>
      </c>
      <c r="CQ398" s="13">
        <v>39661</v>
      </c>
      <c r="CR398" s="13">
        <v>39692</v>
      </c>
      <c r="CS398" s="13">
        <v>39722</v>
      </c>
      <c r="CT398" s="13">
        <v>39753</v>
      </c>
      <c r="CU398" s="13">
        <v>39783</v>
      </c>
      <c r="CV398" s="13">
        <v>39814</v>
      </c>
      <c r="CW398" s="13">
        <v>39845</v>
      </c>
      <c r="CX398" s="13">
        <v>39873</v>
      </c>
      <c r="CY398" s="13">
        <v>39904</v>
      </c>
      <c r="CZ398" s="13">
        <v>39934</v>
      </c>
      <c r="DA398" s="13">
        <v>39965</v>
      </c>
      <c r="DB398" s="13">
        <v>39995</v>
      </c>
      <c r="DC398" s="13">
        <v>40026</v>
      </c>
      <c r="DD398" s="13">
        <v>40057</v>
      </c>
      <c r="DE398" s="13">
        <v>40087</v>
      </c>
      <c r="DF398" s="13">
        <v>40118</v>
      </c>
      <c r="DG398" s="13">
        <v>40148</v>
      </c>
      <c r="DH398" s="13">
        <v>40179</v>
      </c>
      <c r="DI398" s="13">
        <v>40210</v>
      </c>
      <c r="DJ398" s="13">
        <v>40238</v>
      </c>
      <c r="DK398" s="13">
        <v>40269</v>
      </c>
      <c r="DL398" s="13">
        <v>40299</v>
      </c>
      <c r="DM398" s="13">
        <v>40330</v>
      </c>
      <c r="DN398" s="13">
        <v>40360</v>
      </c>
      <c r="DO398" s="13">
        <v>40391</v>
      </c>
      <c r="DP398" s="13">
        <v>40422</v>
      </c>
      <c r="DQ398" s="580"/>
      <c r="DR398" s="580"/>
      <c r="DS398" s="580"/>
      <c r="DT398" s="580"/>
      <c r="DU398" s="580"/>
      <c r="DV398" s="580"/>
      <c r="DW398" s="580"/>
      <c r="DX398" s="580"/>
      <c r="DY398" s="580"/>
      <c r="DZ398" s="1">
        <v>2008</v>
      </c>
      <c r="EA398" s="135">
        <v>2009</v>
      </c>
      <c r="EB398" s="135">
        <v>2010</v>
      </c>
      <c r="EC398" s="577"/>
      <c r="ED398" s="428"/>
      <c r="EE398" s="115" t="s">
        <v>89</v>
      </c>
      <c r="EF398" s="115" t="s">
        <v>110</v>
      </c>
      <c r="EG398" s="115" t="s">
        <v>128</v>
      </c>
      <c r="EH398" s="115" t="s">
        <v>89</v>
      </c>
      <c r="EI398" s="115" t="s">
        <v>110</v>
      </c>
      <c r="EJ398" s="115" t="s">
        <v>91</v>
      </c>
      <c r="EK398" s="45">
        <f>IF(MONTH(I397)&gt;6,MONTH(I397)-6,MONTH(I397)+6)</f>
        <v>2</v>
      </c>
      <c r="EL398" s="115" t="s">
        <v>124</v>
      </c>
      <c r="EM398" s="115" t="s">
        <v>125</v>
      </c>
      <c r="EN398" s="115" t="s">
        <v>126</v>
      </c>
      <c r="EO398" s="115" t="s">
        <v>122</v>
      </c>
      <c r="EP398" s="115" t="s">
        <v>123</v>
      </c>
      <c r="EQ398" s="115" t="s">
        <v>120</v>
      </c>
      <c r="ER398" s="115" t="s">
        <v>127</v>
      </c>
      <c r="ES398" s="115" t="s">
        <v>121</v>
      </c>
      <c r="ET398" s="1"/>
    </row>
    <row r="399" spans="1:150">
      <c r="A399" s="36" t="s">
        <v>20</v>
      </c>
      <c r="B399" s="36"/>
      <c r="C399" s="37"/>
      <c r="D399" s="37"/>
      <c r="E399" s="37"/>
      <c r="F399" s="37"/>
      <c r="G399" s="37"/>
      <c r="H399" s="37"/>
      <c r="I399" s="37"/>
      <c r="J399" s="38"/>
      <c r="K399" s="38"/>
      <c r="L399" s="10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407"/>
      <c r="AL399" s="38"/>
      <c r="AM399" s="38"/>
      <c r="AN399" s="38"/>
      <c r="AO399" s="38"/>
      <c r="AP399" s="38"/>
      <c r="AQ399" s="38"/>
      <c r="AR399" s="38"/>
      <c r="AS399" s="38"/>
      <c r="AT399" s="38"/>
      <c r="AU399" s="38"/>
      <c r="AV399" s="38"/>
      <c r="AW399" s="38"/>
      <c r="AX399" s="38"/>
      <c r="AY399" s="38"/>
      <c r="AZ399" s="38"/>
      <c r="BA399" s="38"/>
      <c r="BB399" s="38"/>
      <c r="BC399" s="38"/>
      <c r="BD399" s="38"/>
      <c r="BE399" s="38"/>
      <c r="BF399" s="38"/>
      <c r="BG399" s="38"/>
      <c r="BH399" s="38"/>
      <c r="BI399" s="38"/>
      <c r="BJ399" s="38"/>
      <c r="BK399" s="38"/>
      <c r="BL399" s="38"/>
      <c r="BM399" s="407"/>
      <c r="BN399" s="39"/>
      <c r="BO399" s="39"/>
      <c r="BP399" s="39"/>
      <c r="BQ399" s="39"/>
      <c r="BR399" s="39"/>
      <c r="BS399" s="39"/>
      <c r="BT399" s="39"/>
      <c r="BU399" s="39"/>
      <c r="BV399" s="39"/>
      <c r="BW399" s="39"/>
      <c r="BX399" s="39"/>
      <c r="BY399" s="39"/>
      <c r="BZ399" s="39"/>
      <c r="CA399" s="39"/>
      <c r="CB399" s="39"/>
      <c r="CC399" s="39"/>
      <c r="CD399" s="39"/>
      <c r="CE399" s="39"/>
      <c r="CF399" s="39"/>
      <c r="CG399" s="39"/>
      <c r="CH399" s="39"/>
      <c r="CI399" s="39"/>
      <c r="CJ399" s="39"/>
      <c r="CK399" s="39"/>
      <c r="CL399" s="39"/>
      <c r="CM399" s="39"/>
      <c r="CN399" s="39"/>
      <c r="CO399" s="407"/>
      <c r="CP399" s="38"/>
      <c r="CQ399" s="38"/>
      <c r="CR399" s="38"/>
      <c r="CS399" s="38"/>
      <c r="CT399" s="38"/>
      <c r="CU399" s="38"/>
      <c r="CV399" s="38"/>
      <c r="CW399" s="38"/>
      <c r="CX399" s="38"/>
      <c r="CY399" s="38"/>
      <c r="CZ399" s="38"/>
      <c r="DA399" s="38"/>
      <c r="DB399" s="38"/>
      <c r="DC399" s="38"/>
      <c r="DD399" s="38"/>
      <c r="DE399" s="38"/>
      <c r="DF399" s="38"/>
      <c r="DG399" s="38"/>
      <c r="DH399" s="38"/>
      <c r="DI399" s="38"/>
      <c r="DJ399" s="38"/>
      <c r="DK399" s="38"/>
      <c r="DL399" s="38"/>
      <c r="DM399" s="38"/>
      <c r="DN399" s="38"/>
      <c r="DO399" s="38"/>
      <c r="DP399" s="38"/>
      <c r="DQ399" s="38"/>
      <c r="DR399" s="38"/>
      <c r="DS399" s="38"/>
      <c r="DT399" s="38"/>
      <c r="DU399" s="38"/>
      <c r="DV399" s="38"/>
      <c r="DW399" s="38"/>
      <c r="DX399" s="38"/>
      <c r="DY399" s="38"/>
      <c r="DZ399" s="37"/>
      <c r="EA399" s="37"/>
      <c r="EB399" s="37"/>
      <c r="EC399" s="37"/>
      <c r="ED399" s="408"/>
      <c r="EE399" s="40"/>
      <c r="EF399" s="37"/>
      <c r="EG399" s="37"/>
      <c r="EH399" s="37"/>
      <c r="EI399" s="110" t="s">
        <v>155</v>
      </c>
      <c r="EJ399" s="110">
        <f>IF(I397&lt;M398,2008,IF(AND(I397&gt;=M398,I397&lt;=X398),2009,2010))</f>
        <v>2010</v>
      </c>
      <c r="EK399" s="40"/>
      <c r="EL399" s="37"/>
      <c r="EM399" s="37"/>
      <c r="EN399" s="37"/>
      <c r="EO399" s="37"/>
      <c r="EP399" s="37"/>
      <c r="EQ399" s="37"/>
      <c r="ER399" s="37"/>
      <c r="ES399" s="37"/>
      <c r="ET399" s="37"/>
    </row>
    <row r="400" spans="1:150">
      <c r="A400" s="134" t="s">
        <v>22</v>
      </c>
      <c r="B400" s="2" t="s">
        <v>0</v>
      </c>
      <c r="C400" s="3" t="s">
        <v>35</v>
      </c>
      <c r="E400" s="3" t="s">
        <v>16</v>
      </c>
      <c r="F400" s="1"/>
      <c r="G400" s="1" t="s">
        <v>91</v>
      </c>
      <c r="H400" s="1"/>
      <c r="I400" s="170">
        <v>225</v>
      </c>
      <c r="J400" s="173">
        <v>250</v>
      </c>
      <c r="K400" s="173">
        <v>275</v>
      </c>
      <c r="L400" s="173">
        <v>300</v>
      </c>
      <c r="M400" s="172">
        <v>31.25</v>
      </c>
      <c r="N400" s="171">
        <v>62.5</v>
      </c>
      <c r="O400" s="171">
        <v>93.75</v>
      </c>
      <c r="P400" s="171">
        <v>125</v>
      </c>
      <c r="Q400" s="171">
        <v>156.25</v>
      </c>
      <c r="R400" s="171">
        <v>187.5</v>
      </c>
      <c r="S400" s="171">
        <v>218.75</v>
      </c>
      <c r="T400" s="171">
        <v>250</v>
      </c>
      <c r="U400" s="171">
        <v>281.25</v>
      </c>
      <c r="V400" s="171">
        <v>312.5</v>
      </c>
      <c r="W400" s="171">
        <v>343.75</v>
      </c>
      <c r="X400" s="171">
        <v>375</v>
      </c>
      <c r="Y400" s="219">
        <v>41.25</v>
      </c>
      <c r="Z400" s="246">
        <f>Y400+41.25</f>
        <v>82.5</v>
      </c>
      <c r="AA400" s="376">
        <f t="shared" ref="AA400:AJ400" si="2278">Z400+41.25</f>
        <v>123.75</v>
      </c>
      <c r="AB400" s="376">
        <f t="shared" si="2278"/>
        <v>165</v>
      </c>
      <c r="AC400" s="376">
        <f t="shared" si="2278"/>
        <v>206.25</v>
      </c>
      <c r="AD400" s="376">
        <f t="shared" si="2278"/>
        <v>247.5</v>
      </c>
      <c r="AE400" s="376">
        <f t="shared" si="2278"/>
        <v>288.75</v>
      </c>
      <c r="AF400" s="376">
        <f t="shared" si="2278"/>
        <v>330</v>
      </c>
      <c r="AG400" s="376">
        <f t="shared" si="2278"/>
        <v>371.25</v>
      </c>
      <c r="AH400" s="376">
        <f t="shared" si="2278"/>
        <v>412.5</v>
      </c>
      <c r="AI400" s="376">
        <f t="shared" si="2278"/>
        <v>453.75</v>
      </c>
      <c r="AJ400" s="376">
        <f t="shared" si="2278"/>
        <v>495</v>
      </c>
      <c r="AK400" s="408"/>
      <c r="AL400" s="48">
        <f>J400-I400</f>
        <v>25</v>
      </c>
      <c r="AM400" s="48">
        <f t="shared" ref="AM400:AM406" si="2279">K400-J400</f>
        <v>25</v>
      </c>
      <c r="AN400" s="48">
        <f t="shared" ref="AN400:AN406" si="2280">L400-K400</f>
        <v>25</v>
      </c>
      <c r="AO400" s="48">
        <f>M400</f>
        <v>31.25</v>
      </c>
      <c r="AP400" s="48">
        <f t="shared" ref="AP400:AP406" si="2281">N400-M400</f>
        <v>31.25</v>
      </c>
      <c r="AQ400" s="48">
        <f t="shared" ref="AQ400:AQ406" si="2282">O400-N400</f>
        <v>31.25</v>
      </c>
      <c r="AR400" s="48">
        <f t="shared" ref="AR400:AR406" si="2283">P400-O400</f>
        <v>31.25</v>
      </c>
      <c r="AS400" s="48">
        <f t="shared" ref="AS400:AS406" si="2284">Q400-P400</f>
        <v>31.25</v>
      </c>
      <c r="AT400" s="48">
        <f t="shared" ref="AT400:AT406" si="2285">R400-Q400</f>
        <v>31.25</v>
      </c>
      <c r="AU400" s="48">
        <f t="shared" ref="AU400:AU406" si="2286">S400-R400</f>
        <v>31.25</v>
      </c>
      <c r="AV400" s="48">
        <f t="shared" ref="AV400:AV406" si="2287">T400-S400</f>
        <v>31.25</v>
      </c>
      <c r="AW400" s="48">
        <f t="shared" ref="AW400:AW406" si="2288">U400-T400</f>
        <v>31.25</v>
      </c>
      <c r="AX400" s="48">
        <f t="shared" ref="AX400:AZ404" si="2289">V400-U400</f>
        <v>31.25</v>
      </c>
      <c r="AY400" s="48">
        <f t="shared" si="2289"/>
        <v>31.25</v>
      </c>
      <c r="AZ400" s="48">
        <f t="shared" si="2289"/>
        <v>31.25</v>
      </c>
      <c r="BA400" s="48">
        <f>Y400</f>
        <v>41.25</v>
      </c>
      <c r="BB400" s="48">
        <f t="shared" ref="BB400:BI404" si="2290">Z400-Y400</f>
        <v>41.25</v>
      </c>
      <c r="BC400" s="48">
        <f t="shared" si="2290"/>
        <v>41.25</v>
      </c>
      <c r="BD400" s="48">
        <f t="shared" si="2290"/>
        <v>41.25</v>
      </c>
      <c r="BE400" s="48">
        <f t="shared" si="2290"/>
        <v>41.25</v>
      </c>
      <c r="BF400" s="48">
        <f t="shared" si="2290"/>
        <v>41.25</v>
      </c>
      <c r="BG400" s="48">
        <f t="shared" si="2290"/>
        <v>41.25</v>
      </c>
      <c r="BH400" s="48">
        <f t="shared" si="2290"/>
        <v>41.25</v>
      </c>
      <c r="BI400" s="48">
        <f t="shared" si="2290"/>
        <v>41.25</v>
      </c>
      <c r="BJ400" s="48">
        <f t="shared" ref="BJ400:BL404" si="2291">AH400-AG400</f>
        <v>41.25</v>
      </c>
      <c r="BK400" s="48">
        <f t="shared" si="2291"/>
        <v>41.25</v>
      </c>
      <c r="BL400" s="48">
        <f t="shared" si="2291"/>
        <v>41.25</v>
      </c>
      <c r="BM400" s="408"/>
      <c r="BN400" s="48">
        <f>BP400</f>
        <v>75</v>
      </c>
      <c r="BO400" s="48">
        <f>BP400</f>
        <v>75</v>
      </c>
      <c r="BP400" s="48">
        <f>SUM(AL400:AN400)</f>
        <v>75</v>
      </c>
      <c r="BQ400" s="48">
        <f>BS400</f>
        <v>93.75</v>
      </c>
      <c r="BR400" s="48">
        <f>BS400</f>
        <v>93.75</v>
      </c>
      <c r="BS400" s="48">
        <f>SUM(AO400:AQ400)</f>
        <v>93.75</v>
      </c>
      <c r="BT400" s="48">
        <f>BV400</f>
        <v>93.75</v>
      </c>
      <c r="BU400" s="48">
        <f>BV400</f>
        <v>93.75</v>
      </c>
      <c r="BV400" s="48">
        <f>SUM(AR400:AT400)</f>
        <v>93.75</v>
      </c>
      <c r="BW400" s="48">
        <f>BY400</f>
        <v>93.75</v>
      </c>
      <c r="BX400" s="48">
        <f>BY400</f>
        <v>93.75</v>
      </c>
      <c r="BY400" s="48">
        <f>SUM(AU400:AW400)</f>
        <v>93.75</v>
      </c>
      <c r="BZ400" s="48">
        <f>CB400</f>
        <v>93.75</v>
      </c>
      <c r="CA400" s="48">
        <f>CB400</f>
        <v>93.75</v>
      </c>
      <c r="CB400" s="48">
        <f>SUM(AX400:AZ400)</f>
        <v>93.75</v>
      </c>
      <c r="CC400" s="48">
        <f>CE400</f>
        <v>123.75</v>
      </c>
      <c r="CD400" s="48">
        <f>CE400</f>
        <v>123.75</v>
      </c>
      <c r="CE400" s="48">
        <f>SUM(BA400:BC400)</f>
        <v>123.75</v>
      </c>
      <c r="CF400" s="48">
        <f>CH400</f>
        <v>123.75</v>
      </c>
      <c r="CG400" s="48">
        <f>CH400</f>
        <v>123.75</v>
      </c>
      <c r="CH400" s="48">
        <f>SUM(BD400:BF400)</f>
        <v>123.75</v>
      </c>
      <c r="CI400" s="48">
        <f>CK400</f>
        <v>123.75</v>
      </c>
      <c r="CJ400" s="48">
        <f>CK400</f>
        <v>123.75</v>
      </c>
      <c r="CK400" s="48">
        <f>SUM(BG400:BI400)</f>
        <v>123.75</v>
      </c>
      <c r="CL400" s="48">
        <f>CN400</f>
        <v>123.75</v>
      </c>
      <c r="CM400" s="48">
        <f>CN400</f>
        <v>123.75</v>
      </c>
      <c r="CN400" s="48">
        <f t="shared" ref="CN400:CN407" si="2292">SUM(BJ400:BL400)</f>
        <v>123.75</v>
      </c>
      <c r="CO400" s="406"/>
      <c r="CP400" s="48">
        <f t="shared" ref="CP400:CR404" si="2293">I400+AL400</f>
        <v>250</v>
      </c>
      <c r="CQ400" s="48">
        <f t="shared" si="2293"/>
        <v>275</v>
      </c>
      <c r="CR400" s="48">
        <f t="shared" si="2293"/>
        <v>300</v>
      </c>
      <c r="CS400" s="48">
        <f>AO400</f>
        <v>31.25</v>
      </c>
      <c r="CT400" s="48">
        <f t="shared" ref="CT400:DD404" si="2294">M400+AP400</f>
        <v>62.5</v>
      </c>
      <c r="CU400" s="48">
        <f t="shared" si="2294"/>
        <v>93.75</v>
      </c>
      <c r="CV400" s="48">
        <f t="shared" si="2294"/>
        <v>125</v>
      </c>
      <c r="CW400" s="48">
        <f t="shared" si="2294"/>
        <v>156.25</v>
      </c>
      <c r="CX400" s="48">
        <f t="shared" si="2294"/>
        <v>187.5</v>
      </c>
      <c r="CY400" s="48">
        <f t="shared" si="2294"/>
        <v>218.75</v>
      </c>
      <c r="CZ400" s="48">
        <f t="shared" si="2294"/>
        <v>250</v>
      </c>
      <c r="DA400" s="48">
        <f t="shared" si="2294"/>
        <v>281.25</v>
      </c>
      <c r="DB400" s="48">
        <f t="shared" si="2294"/>
        <v>312.5</v>
      </c>
      <c r="DC400" s="48">
        <f t="shared" si="2294"/>
        <v>343.75</v>
      </c>
      <c r="DD400" s="48">
        <f t="shared" si="2294"/>
        <v>375</v>
      </c>
      <c r="DE400" s="48">
        <f>+BA400</f>
        <v>41.25</v>
      </c>
      <c r="DF400" s="48">
        <f t="shared" ref="DF400:DP404" si="2295">Y400+BB400</f>
        <v>82.5</v>
      </c>
      <c r="DG400" s="48">
        <f t="shared" si="2295"/>
        <v>123.75</v>
      </c>
      <c r="DH400" s="48">
        <f t="shared" si="2295"/>
        <v>165</v>
      </c>
      <c r="DI400" s="48">
        <f t="shared" si="2295"/>
        <v>206.25</v>
      </c>
      <c r="DJ400" s="48">
        <f t="shared" si="2295"/>
        <v>247.5</v>
      </c>
      <c r="DK400" s="48">
        <f t="shared" si="2295"/>
        <v>288.75</v>
      </c>
      <c r="DL400" s="48">
        <f t="shared" si="2295"/>
        <v>330</v>
      </c>
      <c r="DM400" s="48">
        <f t="shared" si="2295"/>
        <v>371.25</v>
      </c>
      <c r="DN400" s="48">
        <f t="shared" si="2295"/>
        <v>412.5</v>
      </c>
      <c r="DO400" s="48">
        <f t="shared" si="2295"/>
        <v>453.75</v>
      </c>
      <c r="DP400" s="48">
        <f t="shared" si="2295"/>
        <v>495</v>
      </c>
      <c r="DQ400" s="48"/>
      <c r="DR400" s="48"/>
      <c r="DS400" s="48"/>
      <c r="DT400" s="48"/>
      <c r="DU400" s="48"/>
      <c r="DV400" s="48"/>
      <c r="DW400" s="48"/>
      <c r="DX400" s="48"/>
      <c r="DY400" s="48"/>
      <c r="DZ400" s="1">
        <f>'Input &amp; Calc'!L400</f>
        <v>300</v>
      </c>
      <c r="EA400" s="49">
        <f>DD400</f>
        <v>375</v>
      </c>
      <c r="EB400" s="50">
        <f>DP400</f>
        <v>495</v>
      </c>
      <c r="EC400" s="50"/>
      <c r="ED400" s="408"/>
      <c r="EE400" s="51">
        <f t="shared" ref="EE400:EE415" si="2296">HLOOKUP($I$1,Month,ROW()-1)</f>
        <v>41.25</v>
      </c>
      <c r="EF400" s="51">
        <f t="shared" ref="EF400:EF415" si="2297">HLOOKUP($I$1,Qtr,ROW()-1)</f>
        <v>123.75</v>
      </c>
      <c r="EG400" s="51">
        <f>HLOOKUP($EJ$3,Budget,ROW()-1)</f>
        <v>495</v>
      </c>
      <c r="EH400" s="40"/>
      <c r="EI400" s="110" t="s">
        <v>154</v>
      </c>
      <c r="EJ400" s="110">
        <f>IF(AND(I397&gt;=J398,I397&lt;=U398),2009,2010)</f>
        <v>2010</v>
      </c>
      <c r="EK400" s="675" t="s">
        <v>129</v>
      </c>
      <c r="EL400" s="37"/>
      <c r="EM400" s="37"/>
      <c r="EN400" s="37"/>
      <c r="EO400" s="49"/>
      <c r="EP400" s="49"/>
      <c r="EQ400" s="49"/>
      <c r="ER400" s="1"/>
      <c r="ES400" s="1"/>
      <c r="ET400" s="1"/>
    </row>
    <row r="401" spans="1:150">
      <c r="A401" s="134" t="s">
        <v>22</v>
      </c>
      <c r="B401" s="2" t="s">
        <v>1</v>
      </c>
      <c r="C401" s="3" t="s">
        <v>36</v>
      </c>
      <c r="E401" s="3" t="s">
        <v>16</v>
      </c>
      <c r="F401" s="1"/>
      <c r="G401" s="1" t="s">
        <v>91</v>
      </c>
      <c r="H401" s="1"/>
      <c r="I401" s="170">
        <v>60.03</v>
      </c>
      <c r="J401" s="173">
        <v>66.7</v>
      </c>
      <c r="K401" s="173">
        <v>73.37</v>
      </c>
      <c r="L401" s="173">
        <v>80.040000000000006</v>
      </c>
      <c r="M401" s="172">
        <v>9.5833333333333339</v>
      </c>
      <c r="N401" s="171">
        <v>19.166666663333334</v>
      </c>
      <c r="O401" s="171">
        <v>28.749999993333333</v>
      </c>
      <c r="P401" s="171">
        <v>38.333333323333335</v>
      </c>
      <c r="Q401" s="171">
        <v>47.916666653333337</v>
      </c>
      <c r="R401" s="171">
        <v>57.499999983333339</v>
      </c>
      <c r="S401" s="171">
        <v>67.083333313333341</v>
      </c>
      <c r="T401" s="171">
        <v>76.666666643333343</v>
      </c>
      <c r="U401" s="171">
        <v>86.249999973333345</v>
      </c>
      <c r="V401" s="171">
        <v>95.833333303333347</v>
      </c>
      <c r="W401" s="171">
        <v>105.41666663333335</v>
      </c>
      <c r="X401" s="171">
        <v>114.99999996333335</v>
      </c>
      <c r="Y401" s="219">
        <v>14.916</v>
      </c>
      <c r="Z401" s="246">
        <f>Y401+14.916</f>
        <v>29.832000000000001</v>
      </c>
      <c r="AA401" s="376">
        <f t="shared" ref="AA401:AJ401" si="2298">Z401+14.916</f>
        <v>44.748000000000005</v>
      </c>
      <c r="AB401" s="376">
        <f t="shared" si="2298"/>
        <v>59.664000000000001</v>
      </c>
      <c r="AC401" s="376">
        <f t="shared" si="2298"/>
        <v>74.58</v>
      </c>
      <c r="AD401" s="376">
        <f t="shared" si="2298"/>
        <v>89.495999999999995</v>
      </c>
      <c r="AE401" s="376">
        <f t="shared" si="2298"/>
        <v>104.41199999999999</v>
      </c>
      <c r="AF401" s="376">
        <f t="shared" si="2298"/>
        <v>119.32799999999999</v>
      </c>
      <c r="AG401" s="376">
        <f t="shared" si="2298"/>
        <v>134.244</v>
      </c>
      <c r="AH401" s="376">
        <f t="shared" si="2298"/>
        <v>149.16</v>
      </c>
      <c r="AI401" s="376">
        <f t="shared" si="2298"/>
        <v>164.07599999999999</v>
      </c>
      <c r="AJ401" s="189">
        <f t="shared" si="2298"/>
        <v>178.99199999999999</v>
      </c>
      <c r="AK401" s="408"/>
      <c r="AL401" s="48">
        <f>J401-I401</f>
        <v>6.6700000000000017</v>
      </c>
      <c r="AM401" s="48">
        <f t="shared" si="2279"/>
        <v>6.6700000000000017</v>
      </c>
      <c r="AN401" s="48">
        <f t="shared" si="2280"/>
        <v>6.6700000000000017</v>
      </c>
      <c r="AO401" s="48">
        <f>M401</f>
        <v>9.5833333333333339</v>
      </c>
      <c r="AP401" s="48">
        <f t="shared" si="2281"/>
        <v>9.5833333300000003</v>
      </c>
      <c r="AQ401" s="48">
        <f t="shared" si="2282"/>
        <v>9.5833333299999985</v>
      </c>
      <c r="AR401" s="48">
        <f t="shared" si="2283"/>
        <v>9.5833333300000021</v>
      </c>
      <c r="AS401" s="48">
        <f t="shared" si="2284"/>
        <v>9.5833333300000021</v>
      </c>
      <c r="AT401" s="48">
        <f t="shared" si="2285"/>
        <v>9.5833333300000021</v>
      </c>
      <c r="AU401" s="48">
        <f t="shared" si="2286"/>
        <v>9.5833333300000021</v>
      </c>
      <c r="AV401" s="48">
        <f t="shared" si="2287"/>
        <v>9.5833333300000021</v>
      </c>
      <c r="AW401" s="48">
        <f t="shared" si="2288"/>
        <v>9.5833333300000021</v>
      </c>
      <c r="AX401" s="48">
        <f t="shared" si="2289"/>
        <v>9.5833333300000021</v>
      </c>
      <c r="AY401" s="48">
        <f t="shared" si="2289"/>
        <v>9.5833333300000021</v>
      </c>
      <c r="AZ401" s="48">
        <f t="shared" si="2289"/>
        <v>9.5833333300000021</v>
      </c>
      <c r="BA401" s="48">
        <f>Y401</f>
        <v>14.916</v>
      </c>
      <c r="BB401" s="48">
        <f t="shared" si="2290"/>
        <v>14.916</v>
      </c>
      <c r="BC401" s="48">
        <f t="shared" si="2290"/>
        <v>14.916000000000004</v>
      </c>
      <c r="BD401" s="48">
        <f t="shared" si="2290"/>
        <v>14.915999999999997</v>
      </c>
      <c r="BE401" s="48">
        <f t="shared" si="2290"/>
        <v>14.915999999999997</v>
      </c>
      <c r="BF401" s="48">
        <f t="shared" si="2290"/>
        <v>14.915999999999997</v>
      </c>
      <c r="BG401" s="48">
        <f t="shared" si="2290"/>
        <v>14.915999999999997</v>
      </c>
      <c r="BH401" s="48">
        <f t="shared" si="2290"/>
        <v>14.915999999999997</v>
      </c>
      <c r="BI401" s="48">
        <f t="shared" si="2290"/>
        <v>14.916000000000011</v>
      </c>
      <c r="BJ401" s="48">
        <f t="shared" si="2291"/>
        <v>14.915999999999997</v>
      </c>
      <c r="BK401" s="48">
        <f t="shared" si="2291"/>
        <v>14.915999999999997</v>
      </c>
      <c r="BL401" s="48">
        <f t="shared" si="2291"/>
        <v>14.915999999999997</v>
      </c>
      <c r="BM401" s="408"/>
      <c r="BN401" s="48">
        <f t="shared" ref="BN401:BN415" si="2299">BP401</f>
        <v>20.010000000000005</v>
      </c>
      <c r="BO401" s="48">
        <f t="shared" ref="BO401:BO415" si="2300">BP401</f>
        <v>20.010000000000005</v>
      </c>
      <c r="BP401" s="48">
        <f t="shared" ref="BP401:BP407" si="2301">SUM(AL401:AN401)</f>
        <v>20.010000000000005</v>
      </c>
      <c r="BQ401" s="48">
        <f t="shared" ref="BQ401:BQ415" si="2302">BS401</f>
        <v>28.749999993333333</v>
      </c>
      <c r="BR401" s="48">
        <f t="shared" ref="BR401:BR415" si="2303">BS401</f>
        <v>28.749999993333333</v>
      </c>
      <c r="BS401" s="48">
        <f t="shared" ref="BS401:BS407" si="2304">SUM(AO401:AQ401)</f>
        <v>28.749999993333333</v>
      </c>
      <c r="BT401" s="48">
        <f t="shared" ref="BT401:BT415" si="2305">BV401</f>
        <v>28.749999990000006</v>
      </c>
      <c r="BU401" s="48">
        <f t="shared" ref="BU401:BU415" si="2306">BV401</f>
        <v>28.749999990000006</v>
      </c>
      <c r="BV401" s="48">
        <f t="shared" ref="BV401:BV407" si="2307">SUM(AR401:AT401)</f>
        <v>28.749999990000006</v>
      </c>
      <c r="BW401" s="48">
        <f t="shared" ref="BW401:BW415" si="2308">BY401</f>
        <v>28.749999990000006</v>
      </c>
      <c r="BX401" s="48">
        <f t="shared" ref="BX401:BX415" si="2309">BY401</f>
        <v>28.749999990000006</v>
      </c>
      <c r="BY401" s="48">
        <f t="shared" ref="BY401:BY407" si="2310">SUM(AU401:AW401)</f>
        <v>28.749999990000006</v>
      </c>
      <c r="BZ401" s="48">
        <f t="shared" ref="BZ401:BZ415" si="2311">CB401</f>
        <v>28.749999990000006</v>
      </c>
      <c r="CA401" s="48">
        <f t="shared" ref="CA401:CA415" si="2312">CB401</f>
        <v>28.749999990000006</v>
      </c>
      <c r="CB401" s="48">
        <f>SUM(AX401:AZ401)</f>
        <v>28.749999990000006</v>
      </c>
      <c r="CC401" s="48">
        <f t="shared" ref="CC401:CC415" si="2313">CE401</f>
        <v>44.748000000000005</v>
      </c>
      <c r="CD401" s="48">
        <f t="shared" ref="CD401:CD415" si="2314">CE401</f>
        <v>44.748000000000005</v>
      </c>
      <c r="CE401" s="48">
        <f t="shared" ref="CE401:CE406" si="2315">SUM(BA401:BC401)</f>
        <v>44.748000000000005</v>
      </c>
      <c r="CF401" s="48">
        <f t="shared" ref="CF401:CF411" si="2316">CH401</f>
        <v>44.74799999999999</v>
      </c>
      <c r="CG401" s="48">
        <f t="shared" ref="CG401:CG411" si="2317">CH401</f>
        <v>44.74799999999999</v>
      </c>
      <c r="CH401" s="48">
        <f t="shared" ref="CH401:CH406" si="2318">SUM(BD401:BF401)</f>
        <v>44.74799999999999</v>
      </c>
      <c r="CI401" s="48">
        <f t="shared" ref="CI401:CI411" si="2319">CK401</f>
        <v>44.748000000000005</v>
      </c>
      <c r="CJ401" s="48">
        <f t="shared" ref="CJ401:CJ411" si="2320">CK401</f>
        <v>44.748000000000005</v>
      </c>
      <c r="CK401" s="48">
        <f t="shared" ref="CK401:CK406" si="2321">SUM(BG401:BI401)</f>
        <v>44.748000000000005</v>
      </c>
      <c r="CL401" s="48">
        <f t="shared" ref="CL401:CL411" si="2322">CN401</f>
        <v>44.74799999999999</v>
      </c>
      <c r="CM401" s="48">
        <f t="shared" ref="CM401:CM411" si="2323">CN401</f>
        <v>44.74799999999999</v>
      </c>
      <c r="CN401" s="48">
        <f t="shared" si="2292"/>
        <v>44.74799999999999</v>
      </c>
      <c r="CO401" s="406"/>
      <c r="CP401" s="48">
        <f t="shared" si="2293"/>
        <v>66.7</v>
      </c>
      <c r="CQ401" s="48">
        <f t="shared" si="2293"/>
        <v>73.37</v>
      </c>
      <c r="CR401" s="48">
        <f t="shared" si="2293"/>
        <v>80.040000000000006</v>
      </c>
      <c r="CS401" s="48">
        <f>AO401</f>
        <v>9.5833333333333339</v>
      </c>
      <c r="CT401" s="48">
        <f t="shared" si="2294"/>
        <v>19.166666663333334</v>
      </c>
      <c r="CU401" s="48">
        <f t="shared" si="2294"/>
        <v>28.749999993333333</v>
      </c>
      <c r="CV401" s="48">
        <f t="shared" si="2294"/>
        <v>38.333333323333335</v>
      </c>
      <c r="CW401" s="48">
        <f t="shared" si="2294"/>
        <v>47.916666653333337</v>
      </c>
      <c r="CX401" s="48">
        <f t="shared" si="2294"/>
        <v>57.499999983333339</v>
      </c>
      <c r="CY401" s="48">
        <f t="shared" si="2294"/>
        <v>67.083333313333341</v>
      </c>
      <c r="CZ401" s="48">
        <f t="shared" si="2294"/>
        <v>76.666666643333343</v>
      </c>
      <c r="DA401" s="48">
        <f t="shared" si="2294"/>
        <v>86.249999973333345</v>
      </c>
      <c r="DB401" s="48">
        <f t="shared" si="2294"/>
        <v>95.833333303333347</v>
      </c>
      <c r="DC401" s="48">
        <f t="shared" si="2294"/>
        <v>105.41666663333335</v>
      </c>
      <c r="DD401" s="48">
        <f t="shared" si="2294"/>
        <v>114.99999996333335</v>
      </c>
      <c r="DE401" s="48">
        <f>+BA401</f>
        <v>14.916</v>
      </c>
      <c r="DF401" s="48">
        <f t="shared" si="2295"/>
        <v>29.832000000000001</v>
      </c>
      <c r="DG401" s="48">
        <f t="shared" si="2295"/>
        <v>44.748000000000005</v>
      </c>
      <c r="DH401" s="48">
        <f t="shared" si="2295"/>
        <v>59.664000000000001</v>
      </c>
      <c r="DI401" s="48">
        <f t="shared" si="2295"/>
        <v>74.58</v>
      </c>
      <c r="DJ401" s="48">
        <f t="shared" si="2295"/>
        <v>89.495999999999995</v>
      </c>
      <c r="DK401" s="48">
        <f t="shared" si="2295"/>
        <v>104.41199999999999</v>
      </c>
      <c r="DL401" s="48">
        <f t="shared" si="2295"/>
        <v>119.32799999999999</v>
      </c>
      <c r="DM401" s="48">
        <f t="shared" si="2295"/>
        <v>134.244</v>
      </c>
      <c r="DN401" s="48">
        <f t="shared" si="2295"/>
        <v>149.16</v>
      </c>
      <c r="DO401" s="48">
        <f t="shared" si="2295"/>
        <v>164.07599999999999</v>
      </c>
      <c r="DP401" s="48">
        <f t="shared" si="2295"/>
        <v>178.99199999999999</v>
      </c>
      <c r="DQ401" s="48"/>
      <c r="DR401" s="48"/>
      <c r="DS401" s="48"/>
      <c r="DT401" s="48"/>
      <c r="DU401" s="48"/>
      <c r="DV401" s="48"/>
      <c r="DW401" s="48"/>
      <c r="DX401" s="48"/>
      <c r="DY401" s="48"/>
      <c r="DZ401" s="1">
        <f>'Input &amp; Calc'!L401</f>
        <v>80.040000000000006</v>
      </c>
      <c r="EA401" s="49">
        <f>DD401</f>
        <v>114.99999996333335</v>
      </c>
      <c r="EB401" s="50">
        <f>DP401</f>
        <v>178.99199999999999</v>
      </c>
      <c r="EC401" s="50"/>
      <c r="ED401" s="408"/>
      <c r="EE401" s="51">
        <f t="shared" si="2296"/>
        <v>14.915999999999997</v>
      </c>
      <c r="EF401" s="51">
        <f t="shared" si="2297"/>
        <v>44.74799999999999</v>
      </c>
      <c r="EG401" s="51">
        <f>HLOOKUP($EJ$3,Budget,ROW()-1)</f>
        <v>178.99199999999999</v>
      </c>
      <c r="EH401" s="40"/>
      <c r="EI401" s="111" t="s">
        <v>157</v>
      </c>
      <c r="EJ401" s="113">
        <f>HLOOKUP($I$1,YTD,47)</f>
        <v>70</v>
      </c>
      <c r="EK401" s="675"/>
      <c r="EL401" s="37"/>
      <c r="EM401" s="37"/>
      <c r="EN401" s="37"/>
      <c r="EO401" s="49"/>
      <c r="EP401" s="49"/>
      <c r="EQ401" s="49"/>
      <c r="ER401" s="1"/>
      <c r="ES401" s="1"/>
      <c r="ET401" s="1"/>
    </row>
    <row r="402" spans="1:150">
      <c r="A402" s="134" t="s">
        <v>22</v>
      </c>
      <c r="B402" s="2" t="s">
        <v>2</v>
      </c>
      <c r="C402" s="3" t="s">
        <v>37</v>
      </c>
      <c r="E402" s="3" t="s">
        <v>16</v>
      </c>
      <c r="F402" s="1"/>
      <c r="G402" s="1" t="s">
        <v>91</v>
      </c>
      <c r="H402" s="1"/>
      <c r="I402" s="170">
        <v>60</v>
      </c>
      <c r="J402" s="173">
        <v>66.67</v>
      </c>
      <c r="K402" s="173">
        <v>73.34</v>
      </c>
      <c r="L402" s="173">
        <v>80.010000000000005</v>
      </c>
      <c r="M402" s="172">
        <v>8.6666666666666661</v>
      </c>
      <c r="N402" s="171">
        <v>17.333333336666666</v>
      </c>
      <c r="O402" s="171">
        <v>26.000000006666667</v>
      </c>
      <c r="P402" s="171">
        <v>34.666666676666665</v>
      </c>
      <c r="Q402" s="171">
        <v>43.333333346666663</v>
      </c>
      <c r="R402" s="171">
        <v>52.000000016666661</v>
      </c>
      <c r="S402" s="171">
        <v>60.666666686666659</v>
      </c>
      <c r="T402" s="171">
        <v>69.333333356666657</v>
      </c>
      <c r="U402" s="171">
        <v>78.000000026666655</v>
      </c>
      <c r="V402" s="171">
        <v>86.666666696666653</v>
      </c>
      <c r="W402" s="171">
        <v>95.33333336666665</v>
      </c>
      <c r="X402" s="171">
        <v>104.00000003666665</v>
      </c>
      <c r="Y402" s="219">
        <f>ROUND(Z402/2,0)</f>
        <v>8</v>
      </c>
      <c r="Z402" s="246">
        <f t="shared" ref="Z402:AH402" si="2324">AA402-(AB402-AA402)</f>
        <v>16</v>
      </c>
      <c r="AA402" s="246">
        <f t="shared" si="2324"/>
        <v>27</v>
      </c>
      <c r="AB402" s="246">
        <f t="shared" si="2324"/>
        <v>38</v>
      </c>
      <c r="AC402" s="246">
        <f t="shared" si="2324"/>
        <v>49</v>
      </c>
      <c r="AD402" s="246">
        <f t="shared" si="2324"/>
        <v>60</v>
      </c>
      <c r="AE402" s="246">
        <f t="shared" si="2324"/>
        <v>71</v>
      </c>
      <c r="AF402" s="246">
        <f t="shared" si="2324"/>
        <v>82</v>
      </c>
      <c r="AG402" s="246">
        <f t="shared" si="2324"/>
        <v>93</v>
      </c>
      <c r="AH402" s="246">
        <f t="shared" si="2324"/>
        <v>104</v>
      </c>
      <c r="AI402" s="246">
        <f>-ROUND(AJ402/12,0)+AJ402</f>
        <v>115</v>
      </c>
      <c r="AJ402" s="246">
        <v>126</v>
      </c>
      <c r="AK402" s="408"/>
      <c r="AL402" s="48">
        <f>J402-I402</f>
        <v>6.6700000000000017</v>
      </c>
      <c r="AM402" s="48">
        <f t="shared" si="2279"/>
        <v>6.6700000000000017</v>
      </c>
      <c r="AN402" s="48">
        <f t="shared" si="2280"/>
        <v>6.6700000000000017</v>
      </c>
      <c r="AO402" s="48">
        <f>M402</f>
        <v>8.6666666666666661</v>
      </c>
      <c r="AP402" s="48">
        <f t="shared" si="2281"/>
        <v>8.6666666699999997</v>
      </c>
      <c r="AQ402" s="48">
        <f t="shared" si="2282"/>
        <v>8.6666666700000015</v>
      </c>
      <c r="AR402" s="48">
        <f t="shared" si="2283"/>
        <v>8.6666666699999979</v>
      </c>
      <c r="AS402" s="48">
        <f t="shared" si="2284"/>
        <v>8.6666666699999979</v>
      </c>
      <c r="AT402" s="48">
        <f t="shared" si="2285"/>
        <v>8.6666666699999979</v>
      </c>
      <c r="AU402" s="48">
        <f t="shared" si="2286"/>
        <v>8.6666666699999979</v>
      </c>
      <c r="AV402" s="48">
        <f t="shared" si="2287"/>
        <v>8.6666666699999979</v>
      </c>
      <c r="AW402" s="48">
        <f t="shared" si="2288"/>
        <v>8.6666666699999979</v>
      </c>
      <c r="AX402" s="48">
        <f t="shared" si="2289"/>
        <v>8.6666666699999979</v>
      </c>
      <c r="AY402" s="48">
        <f t="shared" si="2289"/>
        <v>8.6666666699999979</v>
      </c>
      <c r="AZ402" s="48">
        <f t="shared" si="2289"/>
        <v>8.6666666699999979</v>
      </c>
      <c r="BA402" s="48">
        <f>Y402</f>
        <v>8</v>
      </c>
      <c r="BB402" s="48">
        <f t="shared" si="2290"/>
        <v>8</v>
      </c>
      <c r="BC402" s="48">
        <f t="shared" si="2290"/>
        <v>11</v>
      </c>
      <c r="BD402" s="48">
        <f t="shared" si="2290"/>
        <v>11</v>
      </c>
      <c r="BE402" s="48">
        <f t="shared" si="2290"/>
        <v>11</v>
      </c>
      <c r="BF402" s="48">
        <f t="shared" si="2290"/>
        <v>11</v>
      </c>
      <c r="BG402" s="48">
        <f t="shared" si="2290"/>
        <v>11</v>
      </c>
      <c r="BH402" s="48">
        <f t="shared" si="2290"/>
        <v>11</v>
      </c>
      <c r="BI402" s="48">
        <f t="shared" si="2290"/>
        <v>11</v>
      </c>
      <c r="BJ402" s="48">
        <f t="shared" si="2291"/>
        <v>11</v>
      </c>
      <c r="BK402" s="48">
        <f t="shared" si="2291"/>
        <v>11</v>
      </c>
      <c r="BL402" s="48">
        <f t="shared" si="2291"/>
        <v>11</v>
      </c>
      <c r="BM402" s="408"/>
      <c r="BN402" s="48">
        <f t="shared" si="2299"/>
        <v>20.010000000000005</v>
      </c>
      <c r="BO402" s="48">
        <f t="shared" si="2300"/>
        <v>20.010000000000005</v>
      </c>
      <c r="BP402" s="48">
        <f t="shared" si="2301"/>
        <v>20.010000000000005</v>
      </c>
      <c r="BQ402" s="48">
        <f t="shared" si="2302"/>
        <v>26.000000006666667</v>
      </c>
      <c r="BR402" s="48">
        <f t="shared" si="2303"/>
        <v>26.000000006666667</v>
      </c>
      <c r="BS402" s="48">
        <f t="shared" si="2304"/>
        <v>26.000000006666667</v>
      </c>
      <c r="BT402" s="48">
        <f t="shared" si="2305"/>
        <v>26.000000009999994</v>
      </c>
      <c r="BU402" s="48">
        <f t="shared" si="2306"/>
        <v>26.000000009999994</v>
      </c>
      <c r="BV402" s="48">
        <f t="shared" si="2307"/>
        <v>26.000000009999994</v>
      </c>
      <c r="BW402" s="48">
        <f t="shared" si="2308"/>
        <v>26.000000009999994</v>
      </c>
      <c r="BX402" s="48">
        <f t="shared" si="2309"/>
        <v>26.000000009999994</v>
      </c>
      <c r="BY402" s="48">
        <f t="shared" si="2310"/>
        <v>26.000000009999994</v>
      </c>
      <c r="BZ402" s="48">
        <f t="shared" si="2311"/>
        <v>26.000000009999994</v>
      </c>
      <c r="CA402" s="48">
        <f t="shared" si="2312"/>
        <v>26.000000009999994</v>
      </c>
      <c r="CB402" s="48">
        <f>SUM(AX402:AZ402)</f>
        <v>26.000000009999994</v>
      </c>
      <c r="CC402" s="48">
        <f t="shared" si="2313"/>
        <v>27</v>
      </c>
      <c r="CD402" s="48">
        <f t="shared" si="2314"/>
        <v>27</v>
      </c>
      <c r="CE402" s="48">
        <f t="shared" si="2315"/>
        <v>27</v>
      </c>
      <c r="CF402" s="48">
        <f t="shared" si="2316"/>
        <v>33</v>
      </c>
      <c r="CG402" s="48">
        <f t="shared" si="2317"/>
        <v>33</v>
      </c>
      <c r="CH402" s="48">
        <f t="shared" si="2318"/>
        <v>33</v>
      </c>
      <c r="CI402" s="48">
        <f t="shared" si="2319"/>
        <v>33</v>
      </c>
      <c r="CJ402" s="48">
        <f t="shared" si="2320"/>
        <v>33</v>
      </c>
      <c r="CK402" s="48">
        <f t="shared" si="2321"/>
        <v>33</v>
      </c>
      <c r="CL402" s="48">
        <f t="shared" si="2322"/>
        <v>33</v>
      </c>
      <c r="CM402" s="48">
        <f t="shared" si="2323"/>
        <v>33</v>
      </c>
      <c r="CN402" s="48">
        <f t="shared" si="2292"/>
        <v>33</v>
      </c>
      <c r="CO402" s="406"/>
      <c r="CP402" s="48">
        <f t="shared" si="2293"/>
        <v>66.67</v>
      </c>
      <c r="CQ402" s="48">
        <f t="shared" si="2293"/>
        <v>73.34</v>
      </c>
      <c r="CR402" s="48">
        <f t="shared" si="2293"/>
        <v>80.010000000000005</v>
      </c>
      <c r="CS402" s="48">
        <f>AO402</f>
        <v>8.6666666666666661</v>
      </c>
      <c r="CT402" s="48">
        <f t="shared" si="2294"/>
        <v>17.333333336666666</v>
      </c>
      <c r="CU402" s="48">
        <f t="shared" si="2294"/>
        <v>26.000000006666667</v>
      </c>
      <c r="CV402" s="48">
        <f t="shared" si="2294"/>
        <v>34.666666676666665</v>
      </c>
      <c r="CW402" s="48">
        <f t="shared" si="2294"/>
        <v>43.333333346666663</v>
      </c>
      <c r="CX402" s="48">
        <f t="shared" si="2294"/>
        <v>52.000000016666661</v>
      </c>
      <c r="CY402" s="48">
        <f t="shared" si="2294"/>
        <v>60.666666686666659</v>
      </c>
      <c r="CZ402" s="48">
        <f t="shared" si="2294"/>
        <v>69.333333356666657</v>
      </c>
      <c r="DA402" s="48">
        <f t="shared" si="2294"/>
        <v>78.000000026666655</v>
      </c>
      <c r="DB402" s="48">
        <f t="shared" si="2294"/>
        <v>86.666666696666653</v>
      </c>
      <c r="DC402" s="48">
        <f t="shared" si="2294"/>
        <v>95.33333336666665</v>
      </c>
      <c r="DD402" s="48">
        <f t="shared" si="2294"/>
        <v>104.00000003666665</v>
      </c>
      <c r="DE402" s="48">
        <f>+BA402</f>
        <v>8</v>
      </c>
      <c r="DF402" s="48">
        <f t="shared" si="2295"/>
        <v>16</v>
      </c>
      <c r="DG402" s="48">
        <f t="shared" si="2295"/>
        <v>27</v>
      </c>
      <c r="DH402" s="48">
        <f t="shared" si="2295"/>
        <v>38</v>
      </c>
      <c r="DI402" s="48">
        <f t="shared" si="2295"/>
        <v>49</v>
      </c>
      <c r="DJ402" s="48">
        <f t="shared" si="2295"/>
        <v>60</v>
      </c>
      <c r="DK402" s="48">
        <f t="shared" si="2295"/>
        <v>71</v>
      </c>
      <c r="DL402" s="48">
        <f t="shared" si="2295"/>
        <v>82</v>
      </c>
      <c r="DM402" s="48">
        <f t="shared" si="2295"/>
        <v>93</v>
      </c>
      <c r="DN402" s="48">
        <f t="shared" si="2295"/>
        <v>104</v>
      </c>
      <c r="DO402" s="48">
        <f t="shared" si="2295"/>
        <v>115</v>
      </c>
      <c r="DP402" s="48">
        <f t="shared" si="2295"/>
        <v>126</v>
      </c>
      <c r="DQ402" s="48"/>
      <c r="DR402" s="48"/>
      <c r="DS402" s="48"/>
      <c r="DT402" s="48"/>
      <c r="DU402" s="48"/>
      <c r="DV402" s="48"/>
      <c r="DW402" s="48"/>
      <c r="DX402" s="48"/>
      <c r="DY402" s="48"/>
      <c r="DZ402" s="1">
        <f>'Input &amp; Calc'!L402</f>
        <v>80.010000000000005</v>
      </c>
      <c r="EA402" s="49">
        <f>DD402</f>
        <v>104.00000003666665</v>
      </c>
      <c r="EB402" s="50">
        <f>DP402</f>
        <v>126</v>
      </c>
      <c r="EC402" s="50"/>
      <c r="ED402" s="408"/>
      <c r="EE402" s="51">
        <f t="shared" si="2296"/>
        <v>11</v>
      </c>
      <c r="EF402" s="51">
        <f t="shared" si="2297"/>
        <v>33</v>
      </c>
      <c r="EG402" s="51">
        <f>HLOOKUP($EJ$3,Budget,ROW()-1)</f>
        <v>126</v>
      </c>
      <c r="EH402" s="40"/>
      <c r="EI402" s="112" t="s">
        <v>156</v>
      </c>
      <c r="EJ402" s="113">
        <f>HLOOKUP($I$1,YTD,48)</f>
        <v>0</v>
      </c>
      <c r="EK402" s="675"/>
      <c r="EL402" s="37"/>
      <c r="EM402" s="37"/>
      <c r="EN402" s="37"/>
      <c r="EO402" s="49"/>
      <c r="EP402" s="49"/>
      <c r="EQ402" s="49"/>
      <c r="ER402" s="1"/>
      <c r="ES402" s="1"/>
      <c r="ET402" s="1"/>
    </row>
    <row r="403" spans="1:150">
      <c r="A403" s="134" t="s">
        <v>22</v>
      </c>
      <c r="B403" s="2" t="s">
        <v>3</v>
      </c>
      <c r="C403" s="3" t="s">
        <v>38</v>
      </c>
      <c r="E403" s="3" t="s">
        <v>16</v>
      </c>
      <c r="F403" s="1"/>
      <c r="G403" s="1" t="s">
        <v>91</v>
      </c>
      <c r="H403" s="1"/>
      <c r="I403" s="170">
        <v>27</v>
      </c>
      <c r="J403" s="173">
        <v>30</v>
      </c>
      <c r="K403" s="173">
        <v>33</v>
      </c>
      <c r="L403" s="173">
        <v>36</v>
      </c>
      <c r="M403" s="172">
        <v>3.3333333333333335</v>
      </c>
      <c r="N403" s="171">
        <v>6.6666666333333335</v>
      </c>
      <c r="O403" s="171">
        <v>9.9999999333333331</v>
      </c>
      <c r="P403" s="171">
        <v>13.333333233333333</v>
      </c>
      <c r="Q403" s="171">
        <v>16.666666533333334</v>
      </c>
      <c r="R403" s="171">
        <v>19.999999833333334</v>
      </c>
      <c r="S403" s="171">
        <v>23.333333133333333</v>
      </c>
      <c r="T403" s="171">
        <v>26.666666433333333</v>
      </c>
      <c r="U403" s="171">
        <v>29.999999733333333</v>
      </c>
      <c r="V403" s="171">
        <v>33.333333033333332</v>
      </c>
      <c r="W403" s="171">
        <v>36.666666333333332</v>
      </c>
      <c r="X403" s="171">
        <v>39.999999633333331</v>
      </c>
      <c r="Y403" s="219">
        <v>2.9159999999999999</v>
      </c>
      <c r="Z403" s="246">
        <f>Y403+2.916</f>
        <v>5.8319999999999999</v>
      </c>
      <c r="AA403" s="376">
        <f t="shared" ref="AA403:AJ403" si="2325">Z403+2.916</f>
        <v>8.7479999999999993</v>
      </c>
      <c r="AB403" s="376">
        <f t="shared" si="2325"/>
        <v>11.664</v>
      </c>
      <c r="AC403" s="376">
        <f t="shared" si="2325"/>
        <v>14.58</v>
      </c>
      <c r="AD403" s="376">
        <f t="shared" si="2325"/>
        <v>17.495999999999999</v>
      </c>
      <c r="AE403" s="376">
        <f t="shared" si="2325"/>
        <v>20.411999999999999</v>
      </c>
      <c r="AF403" s="376">
        <f t="shared" si="2325"/>
        <v>23.327999999999999</v>
      </c>
      <c r="AG403" s="376">
        <f t="shared" si="2325"/>
        <v>26.244</v>
      </c>
      <c r="AH403" s="376">
        <f t="shared" si="2325"/>
        <v>29.16</v>
      </c>
      <c r="AI403" s="376">
        <f t="shared" si="2325"/>
        <v>32.076000000000001</v>
      </c>
      <c r="AJ403" s="189">
        <f t="shared" si="2325"/>
        <v>34.991999999999997</v>
      </c>
      <c r="AK403" s="408"/>
      <c r="AL403" s="48">
        <f>J403-I403</f>
        <v>3</v>
      </c>
      <c r="AM403" s="48">
        <f t="shared" si="2279"/>
        <v>3</v>
      </c>
      <c r="AN403" s="48">
        <f t="shared" si="2280"/>
        <v>3</v>
      </c>
      <c r="AO403" s="48">
        <f>M403</f>
        <v>3.3333333333333335</v>
      </c>
      <c r="AP403" s="48">
        <f t="shared" si="2281"/>
        <v>3.3333333000000001</v>
      </c>
      <c r="AQ403" s="48">
        <f t="shared" si="2282"/>
        <v>3.3333332999999996</v>
      </c>
      <c r="AR403" s="48">
        <f t="shared" si="2283"/>
        <v>3.3333332999999996</v>
      </c>
      <c r="AS403" s="48">
        <f t="shared" si="2284"/>
        <v>3.3333333000000014</v>
      </c>
      <c r="AT403" s="48">
        <f t="shared" si="2285"/>
        <v>3.3333332999999996</v>
      </c>
      <c r="AU403" s="48">
        <f t="shared" si="2286"/>
        <v>3.3333332999999996</v>
      </c>
      <c r="AV403" s="48">
        <f t="shared" si="2287"/>
        <v>3.3333332999999996</v>
      </c>
      <c r="AW403" s="48">
        <f t="shared" si="2288"/>
        <v>3.3333332999999996</v>
      </c>
      <c r="AX403" s="48">
        <f t="shared" si="2289"/>
        <v>3.3333332999999996</v>
      </c>
      <c r="AY403" s="48">
        <f t="shared" si="2289"/>
        <v>3.3333332999999996</v>
      </c>
      <c r="AZ403" s="48">
        <f t="shared" si="2289"/>
        <v>3.3333332999999996</v>
      </c>
      <c r="BA403" s="48">
        <f>Y403</f>
        <v>2.9159999999999999</v>
      </c>
      <c r="BB403" s="48">
        <f t="shared" si="2290"/>
        <v>2.9159999999999999</v>
      </c>
      <c r="BC403" s="48">
        <f t="shared" si="2290"/>
        <v>2.9159999999999995</v>
      </c>
      <c r="BD403" s="48">
        <f t="shared" si="2290"/>
        <v>2.9160000000000004</v>
      </c>
      <c r="BE403" s="48">
        <f t="shared" si="2290"/>
        <v>2.9160000000000004</v>
      </c>
      <c r="BF403" s="48">
        <f t="shared" si="2290"/>
        <v>2.9159999999999986</v>
      </c>
      <c r="BG403" s="48">
        <f t="shared" si="2290"/>
        <v>2.9160000000000004</v>
      </c>
      <c r="BH403" s="48">
        <f t="shared" si="2290"/>
        <v>2.9160000000000004</v>
      </c>
      <c r="BI403" s="48">
        <f t="shared" si="2290"/>
        <v>2.9160000000000004</v>
      </c>
      <c r="BJ403" s="48">
        <f t="shared" si="2291"/>
        <v>2.9160000000000004</v>
      </c>
      <c r="BK403" s="48">
        <f t="shared" si="2291"/>
        <v>2.9160000000000004</v>
      </c>
      <c r="BL403" s="48">
        <f t="shared" si="2291"/>
        <v>2.9159999999999968</v>
      </c>
      <c r="BM403" s="408"/>
      <c r="BN403" s="48">
        <f t="shared" si="2299"/>
        <v>9</v>
      </c>
      <c r="BO403" s="48">
        <f t="shared" si="2300"/>
        <v>9</v>
      </c>
      <c r="BP403" s="48">
        <f t="shared" si="2301"/>
        <v>9</v>
      </c>
      <c r="BQ403" s="48">
        <f t="shared" si="2302"/>
        <v>9.9999999333333331</v>
      </c>
      <c r="BR403" s="48">
        <f t="shared" si="2303"/>
        <v>9.9999999333333331</v>
      </c>
      <c r="BS403" s="48">
        <f t="shared" si="2304"/>
        <v>9.9999999333333331</v>
      </c>
      <c r="BT403" s="48">
        <f t="shared" si="2305"/>
        <v>9.9999999000000006</v>
      </c>
      <c r="BU403" s="48">
        <f t="shared" si="2306"/>
        <v>9.9999999000000006</v>
      </c>
      <c r="BV403" s="48">
        <f t="shared" si="2307"/>
        <v>9.9999999000000006</v>
      </c>
      <c r="BW403" s="48">
        <f t="shared" si="2308"/>
        <v>9.9999998999999988</v>
      </c>
      <c r="BX403" s="48">
        <f t="shared" si="2309"/>
        <v>9.9999998999999988</v>
      </c>
      <c r="BY403" s="48">
        <f t="shared" si="2310"/>
        <v>9.9999998999999988</v>
      </c>
      <c r="BZ403" s="48">
        <f t="shared" si="2311"/>
        <v>9.9999998999999988</v>
      </c>
      <c r="CA403" s="48">
        <f t="shared" si="2312"/>
        <v>9.9999998999999988</v>
      </c>
      <c r="CB403" s="48">
        <f>SUM(AX403:AZ403)</f>
        <v>9.9999998999999988</v>
      </c>
      <c r="CC403" s="48">
        <f t="shared" si="2313"/>
        <v>8.7479999999999993</v>
      </c>
      <c r="CD403" s="48">
        <f t="shared" si="2314"/>
        <v>8.7479999999999993</v>
      </c>
      <c r="CE403" s="48">
        <f t="shared" si="2315"/>
        <v>8.7479999999999993</v>
      </c>
      <c r="CF403" s="48">
        <f t="shared" si="2316"/>
        <v>8.7479999999999993</v>
      </c>
      <c r="CG403" s="48">
        <f t="shared" si="2317"/>
        <v>8.7479999999999993</v>
      </c>
      <c r="CH403" s="48">
        <f t="shared" si="2318"/>
        <v>8.7479999999999993</v>
      </c>
      <c r="CI403" s="48">
        <f t="shared" si="2319"/>
        <v>8.7480000000000011</v>
      </c>
      <c r="CJ403" s="48">
        <f t="shared" si="2320"/>
        <v>8.7480000000000011</v>
      </c>
      <c r="CK403" s="48">
        <f t="shared" si="2321"/>
        <v>8.7480000000000011</v>
      </c>
      <c r="CL403" s="48">
        <f t="shared" si="2322"/>
        <v>8.7479999999999976</v>
      </c>
      <c r="CM403" s="48">
        <f t="shared" si="2323"/>
        <v>8.7479999999999976</v>
      </c>
      <c r="CN403" s="48">
        <f t="shared" si="2292"/>
        <v>8.7479999999999976</v>
      </c>
      <c r="CO403" s="406"/>
      <c r="CP403" s="48">
        <f t="shared" si="2293"/>
        <v>30</v>
      </c>
      <c r="CQ403" s="48">
        <f t="shared" si="2293"/>
        <v>33</v>
      </c>
      <c r="CR403" s="48">
        <f t="shared" si="2293"/>
        <v>36</v>
      </c>
      <c r="CS403" s="48">
        <f>AO403</f>
        <v>3.3333333333333335</v>
      </c>
      <c r="CT403" s="48">
        <f t="shared" si="2294"/>
        <v>6.6666666333333335</v>
      </c>
      <c r="CU403" s="48">
        <f t="shared" si="2294"/>
        <v>9.9999999333333331</v>
      </c>
      <c r="CV403" s="48">
        <f t="shared" si="2294"/>
        <v>13.333333233333333</v>
      </c>
      <c r="CW403" s="48">
        <f t="shared" si="2294"/>
        <v>16.666666533333334</v>
      </c>
      <c r="CX403" s="48">
        <f t="shared" si="2294"/>
        <v>19.999999833333334</v>
      </c>
      <c r="CY403" s="48">
        <f t="shared" si="2294"/>
        <v>23.333333133333333</v>
      </c>
      <c r="CZ403" s="48">
        <f t="shared" si="2294"/>
        <v>26.666666433333333</v>
      </c>
      <c r="DA403" s="48">
        <f t="shared" si="2294"/>
        <v>29.999999733333333</v>
      </c>
      <c r="DB403" s="48">
        <f t="shared" si="2294"/>
        <v>33.333333033333332</v>
      </c>
      <c r="DC403" s="48">
        <f t="shared" si="2294"/>
        <v>36.666666333333332</v>
      </c>
      <c r="DD403" s="48">
        <f t="shared" si="2294"/>
        <v>39.999999633333331</v>
      </c>
      <c r="DE403" s="48">
        <f>+BA403</f>
        <v>2.9159999999999999</v>
      </c>
      <c r="DF403" s="48">
        <f t="shared" si="2295"/>
        <v>5.8319999999999999</v>
      </c>
      <c r="DG403" s="48">
        <f t="shared" si="2295"/>
        <v>8.7479999999999993</v>
      </c>
      <c r="DH403" s="48">
        <f t="shared" si="2295"/>
        <v>11.664</v>
      </c>
      <c r="DI403" s="48">
        <f t="shared" si="2295"/>
        <v>14.58</v>
      </c>
      <c r="DJ403" s="48">
        <f t="shared" si="2295"/>
        <v>17.495999999999999</v>
      </c>
      <c r="DK403" s="48">
        <f t="shared" si="2295"/>
        <v>20.411999999999999</v>
      </c>
      <c r="DL403" s="48">
        <f t="shared" si="2295"/>
        <v>23.327999999999999</v>
      </c>
      <c r="DM403" s="48">
        <f t="shared" si="2295"/>
        <v>26.244</v>
      </c>
      <c r="DN403" s="48">
        <f t="shared" si="2295"/>
        <v>29.16</v>
      </c>
      <c r="DO403" s="48">
        <f t="shared" si="2295"/>
        <v>32.076000000000001</v>
      </c>
      <c r="DP403" s="48">
        <f t="shared" si="2295"/>
        <v>34.991999999999997</v>
      </c>
      <c r="DQ403" s="48"/>
      <c r="DR403" s="48"/>
      <c r="DS403" s="48"/>
      <c r="DT403" s="48"/>
      <c r="DU403" s="48"/>
      <c r="DV403" s="48"/>
      <c r="DW403" s="48"/>
      <c r="DX403" s="48"/>
      <c r="DY403" s="48"/>
      <c r="DZ403" s="1">
        <f>'Input &amp; Calc'!L403</f>
        <v>36</v>
      </c>
      <c r="EA403" s="49">
        <f>DD403</f>
        <v>39.999999633333331</v>
      </c>
      <c r="EB403" s="50">
        <f>DP403</f>
        <v>34.991999999999997</v>
      </c>
      <c r="EC403" s="50"/>
      <c r="ED403" s="408"/>
      <c r="EE403" s="51">
        <f t="shared" si="2296"/>
        <v>2.9160000000000004</v>
      </c>
      <c r="EF403" s="51">
        <f t="shared" si="2297"/>
        <v>8.7479999999999976</v>
      </c>
      <c r="EG403" s="51">
        <f>HLOOKUP($EJ$3,Budget,ROW()-1)</f>
        <v>34.991999999999997</v>
      </c>
      <c r="EH403" s="40"/>
      <c r="EI403" s="114" t="s">
        <v>158</v>
      </c>
      <c r="EJ403" s="133">
        <f>I397</f>
        <v>40391</v>
      </c>
      <c r="EK403" s="675"/>
      <c r="EL403" s="37"/>
      <c r="EM403" s="37"/>
      <c r="EN403" s="37"/>
      <c r="EO403" s="49"/>
      <c r="EP403" s="49"/>
      <c r="EQ403" s="49"/>
      <c r="ER403" s="1"/>
      <c r="ES403" s="1"/>
      <c r="ET403" s="1"/>
    </row>
    <row r="404" spans="1:150" ht="13.5" thickBot="1">
      <c r="A404" s="134" t="s">
        <v>22</v>
      </c>
      <c r="B404" s="2" t="s">
        <v>94</v>
      </c>
      <c r="C404" s="3" t="s">
        <v>39</v>
      </c>
      <c r="E404" s="3" t="s">
        <v>16</v>
      </c>
      <c r="F404" s="1"/>
      <c r="G404" s="1" t="s">
        <v>91</v>
      </c>
      <c r="H404" s="1"/>
      <c r="I404" s="177">
        <v>0.86249997</v>
      </c>
      <c r="J404" s="177">
        <v>0.95833330000000005</v>
      </c>
      <c r="K404" s="177">
        <v>1.0541666300000001</v>
      </c>
      <c r="L404" s="177">
        <v>1.1499999600000002</v>
      </c>
      <c r="M404" s="178">
        <v>0.5</v>
      </c>
      <c r="N404" s="177">
        <v>1</v>
      </c>
      <c r="O404" s="177">
        <v>1.5</v>
      </c>
      <c r="P404" s="177">
        <v>2</v>
      </c>
      <c r="Q404" s="177">
        <v>2.5</v>
      </c>
      <c r="R404" s="177">
        <v>3</v>
      </c>
      <c r="S404" s="177">
        <v>3.5</v>
      </c>
      <c r="T404" s="177">
        <v>4</v>
      </c>
      <c r="U404" s="177">
        <v>4.5</v>
      </c>
      <c r="V404" s="177">
        <v>5</v>
      </c>
      <c r="W404" s="177">
        <v>5.5</v>
      </c>
      <c r="X404" s="177">
        <v>6</v>
      </c>
      <c r="Y404" s="221">
        <f>0.5</f>
        <v>0.5</v>
      </c>
      <c r="Z404" s="246">
        <f>Y404+0.5</f>
        <v>1</v>
      </c>
      <c r="AA404" s="376">
        <f t="shared" ref="AA404:AJ404" si="2326">Z404+0.5</f>
        <v>1.5</v>
      </c>
      <c r="AB404" s="376">
        <f t="shared" si="2326"/>
        <v>2</v>
      </c>
      <c r="AC404" s="376">
        <f t="shared" si="2326"/>
        <v>2.5</v>
      </c>
      <c r="AD404" s="376">
        <f t="shared" si="2326"/>
        <v>3</v>
      </c>
      <c r="AE404" s="376">
        <f t="shared" si="2326"/>
        <v>3.5</v>
      </c>
      <c r="AF404" s="376">
        <f t="shared" si="2326"/>
        <v>4</v>
      </c>
      <c r="AG404" s="376">
        <f t="shared" si="2326"/>
        <v>4.5</v>
      </c>
      <c r="AH404" s="376">
        <f t="shared" si="2326"/>
        <v>5</v>
      </c>
      <c r="AI404" s="376">
        <f t="shared" si="2326"/>
        <v>5.5</v>
      </c>
      <c r="AJ404" s="376">
        <f t="shared" si="2326"/>
        <v>6</v>
      </c>
      <c r="AK404" s="416"/>
      <c r="AL404" s="118">
        <f>J404-I404</f>
        <v>9.583333000000005E-2</v>
      </c>
      <c r="AM404" s="118">
        <f t="shared" si="2279"/>
        <v>9.583333000000005E-2</v>
      </c>
      <c r="AN404" s="118">
        <f t="shared" si="2280"/>
        <v>9.583333000000005E-2</v>
      </c>
      <c r="AO404" s="119">
        <f>M404</f>
        <v>0.5</v>
      </c>
      <c r="AP404" s="118">
        <f t="shared" si="2281"/>
        <v>0.5</v>
      </c>
      <c r="AQ404" s="118">
        <f t="shared" si="2282"/>
        <v>0.5</v>
      </c>
      <c r="AR404" s="118">
        <f t="shared" si="2283"/>
        <v>0.5</v>
      </c>
      <c r="AS404" s="118">
        <f t="shared" si="2284"/>
        <v>0.5</v>
      </c>
      <c r="AT404" s="118">
        <f t="shared" si="2285"/>
        <v>0.5</v>
      </c>
      <c r="AU404" s="118">
        <f t="shared" si="2286"/>
        <v>0.5</v>
      </c>
      <c r="AV404" s="118">
        <f t="shared" si="2287"/>
        <v>0.5</v>
      </c>
      <c r="AW404" s="118">
        <f t="shared" si="2288"/>
        <v>0.5</v>
      </c>
      <c r="AX404" s="118">
        <f t="shared" si="2289"/>
        <v>0.5</v>
      </c>
      <c r="AY404" s="118">
        <f t="shared" si="2289"/>
        <v>0.5</v>
      </c>
      <c r="AZ404" s="118">
        <f t="shared" si="2289"/>
        <v>0.5</v>
      </c>
      <c r="BA404" s="118">
        <f>Y404</f>
        <v>0.5</v>
      </c>
      <c r="BB404" s="118">
        <f t="shared" si="2290"/>
        <v>0.5</v>
      </c>
      <c r="BC404" s="118">
        <f t="shared" si="2290"/>
        <v>0.5</v>
      </c>
      <c r="BD404" s="118">
        <f t="shared" si="2290"/>
        <v>0.5</v>
      </c>
      <c r="BE404" s="118">
        <f t="shared" si="2290"/>
        <v>0.5</v>
      </c>
      <c r="BF404" s="118">
        <f t="shared" si="2290"/>
        <v>0.5</v>
      </c>
      <c r="BG404" s="118">
        <f t="shared" si="2290"/>
        <v>0.5</v>
      </c>
      <c r="BH404" s="118">
        <f t="shared" si="2290"/>
        <v>0.5</v>
      </c>
      <c r="BI404" s="118">
        <f t="shared" si="2290"/>
        <v>0.5</v>
      </c>
      <c r="BJ404" s="118">
        <f t="shared" si="2291"/>
        <v>0.5</v>
      </c>
      <c r="BK404" s="118">
        <f t="shared" si="2291"/>
        <v>0.5</v>
      </c>
      <c r="BL404" s="118">
        <f t="shared" si="2291"/>
        <v>0.5</v>
      </c>
      <c r="BM404" s="409"/>
      <c r="BN404" s="119">
        <f t="shared" si="2299"/>
        <v>0.28749999000000015</v>
      </c>
      <c r="BO404" s="119">
        <f t="shared" si="2300"/>
        <v>0.28749999000000015</v>
      </c>
      <c r="BP404" s="119">
        <f t="shared" si="2301"/>
        <v>0.28749999000000015</v>
      </c>
      <c r="BQ404" s="119">
        <f t="shared" si="2302"/>
        <v>1.5</v>
      </c>
      <c r="BR404" s="119">
        <f t="shared" si="2303"/>
        <v>1.5</v>
      </c>
      <c r="BS404" s="119">
        <f t="shared" si="2304"/>
        <v>1.5</v>
      </c>
      <c r="BT404" s="119">
        <f t="shared" si="2305"/>
        <v>1.5</v>
      </c>
      <c r="BU404" s="119">
        <f t="shared" si="2306"/>
        <v>1.5</v>
      </c>
      <c r="BV404" s="119">
        <f t="shared" si="2307"/>
        <v>1.5</v>
      </c>
      <c r="BW404" s="119">
        <f t="shared" si="2308"/>
        <v>1.5</v>
      </c>
      <c r="BX404" s="119">
        <f t="shared" si="2309"/>
        <v>1.5</v>
      </c>
      <c r="BY404" s="119">
        <f t="shared" si="2310"/>
        <v>1.5</v>
      </c>
      <c r="BZ404" s="119">
        <f t="shared" si="2311"/>
        <v>1.5</v>
      </c>
      <c r="CA404" s="119">
        <f t="shared" si="2312"/>
        <v>1.5</v>
      </c>
      <c r="CB404" s="119">
        <f>SUM(AX404:AZ404)</f>
        <v>1.5</v>
      </c>
      <c r="CC404" s="119">
        <f t="shared" si="2313"/>
        <v>1.5</v>
      </c>
      <c r="CD404" s="119">
        <f t="shared" si="2314"/>
        <v>1.5</v>
      </c>
      <c r="CE404" s="119">
        <f t="shared" si="2315"/>
        <v>1.5</v>
      </c>
      <c r="CF404" s="119">
        <f t="shared" si="2316"/>
        <v>1.5</v>
      </c>
      <c r="CG404" s="119">
        <f t="shared" si="2317"/>
        <v>1.5</v>
      </c>
      <c r="CH404" s="119">
        <f t="shared" si="2318"/>
        <v>1.5</v>
      </c>
      <c r="CI404" s="119">
        <f t="shared" si="2319"/>
        <v>1.5</v>
      </c>
      <c r="CJ404" s="119">
        <f t="shared" si="2320"/>
        <v>1.5</v>
      </c>
      <c r="CK404" s="119">
        <f t="shared" si="2321"/>
        <v>1.5</v>
      </c>
      <c r="CL404" s="119">
        <f t="shared" si="2322"/>
        <v>1.5</v>
      </c>
      <c r="CM404" s="119">
        <f t="shared" si="2323"/>
        <v>1.5</v>
      </c>
      <c r="CN404" s="48">
        <f t="shared" si="2292"/>
        <v>1.5</v>
      </c>
      <c r="CO404" s="421"/>
      <c r="CP404" s="118">
        <f t="shared" si="2293"/>
        <v>0.95833330000000005</v>
      </c>
      <c r="CQ404" s="118">
        <f t="shared" si="2293"/>
        <v>1.0541666300000001</v>
      </c>
      <c r="CR404" s="118">
        <f t="shared" si="2293"/>
        <v>1.1499999600000002</v>
      </c>
      <c r="CS404" s="118">
        <f>AO404</f>
        <v>0.5</v>
      </c>
      <c r="CT404" s="118">
        <f t="shared" si="2294"/>
        <v>1</v>
      </c>
      <c r="CU404" s="118">
        <f t="shared" si="2294"/>
        <v>1.5</v>
      </c>
      <c r="CV404" s="118">
        <f t="shared" si="2294"/>
        <v>2</v>
      </c>
      <c r="CW404" s="118">
        <f t="shared" si="2294"/>
        <v>2.5</v>
      </c>
      <c r="CX404" s="118">
        <f t="shared" si="2294"/>
        <v>3</v>
      </c>
      <c r="CY404" s="118">
        <f t="shared" si="2294"/>
        <v>3.5</v>
      </c>
      <c r="CZ404" s="118">
        <f t="shared" si="2294"/>
        <v>4</v>
      </c>
      <c r="DA404" s="118">
        <f t="shared" si="2294"/>
        <v>4.5</v>
      </c>
      <c r="DB404" s="118">
        <f t="shared" si="2294"/>
        <v>5</v>
      </c>
      <c r="DC404" s="118">
        <f t="shared" si="2294"/>
        <v>5.5</v>
      </c>
      <c r="DD404" s="118">
        <f t="shared" si="2294"/>
        <v>6</v>
      </c>
      <c r="DE404" s="118">
        <f>+BA404</f>
        <v>0.5</v>
      </c>
      <c r="DF404" s="118">
        <f t="shared" si="2295"/>
        <v>1</v>
      </c>
      <c r="DG404" s="118">
        <f t="shared" si="2295"/>
        <v>1.5</v>
      </c>
      <c r="DH404" s="118">
        <f t="shared" si="2295"/>
        <v>2</v>
      </c>
      <c r="DI404" s="118">
        <f t="shared" si="2295"/>
        <v>2.5</v>
      </c>
      <c r="DJ404" s="118">
        <f t="shared" si="2295"/>
        <v>3</v>
      </c>
      <c r="DK404" s="118">
        <f t="shared" si="2295"/>
        <v>3.5</v>
      </c>
      <c r="DL404" s="118">
        <f t="shared" si="2295"/>
        <v>4</v>
      </c>
      <c r="DM404" s="118">
        <f t="shared" si="2295"/>
        <v>4.5</v>
      </c>
      <c r="DN404" s="118">
        <f t="shared" si="2295"/>
        <v>5</v>
      </c>
      <c r="DO404" s="118">
        <f t="shared" si="2295"/>
        <v>5.5</v>
      </c>
      <c r="DP404" s="118">
        <f t="shared" si="2295"/>
        <v>6</v>
      </c>
      <c r="DQ404" s="118"/>
      <c r="DR404" s="118"/>
      <c r="DS404" s="118"/>
      <c r="DT404" s="118"/>
      <c r="DU404" s="118"/>
      <c r="DV404" s="118"/>
      <c r="DW404" s="118"/>
      <c r="DX404" s="118"/>
      <c r="DY404" s="118"/>
      <c r="DZ404" s="121">
        <f>'Input &amp; Calc'!L404</f>
        <v>1.1499999600000002</v>
      </c>
      <c r="EA404" s="122">
        <f>DD404</f>
        <v>6</v>
      </c>
      <c r="EB404" s="120">
        <f>DP404</f>
        <v>6</v>
      </c>
      <c r="EC404" s="120"/>
      <c r="ED404" s="409"/>
      <c r="EE404" s="118">
        <f t="shared" si="2296"/>
        <v>0.5</v>
      </c>
      <c r="EF404" s="118">
        <f t="shared" si="2297"/>
        <v>1.5</v>
      </c>
      <c r="EG404" s="118">
        <f>HLOOKUP($EJ$3,Budget,ROW()-1)</f>
        <v>6</v>
      </c>
      <c r="EH404" s="40"/>
      <c r="EI404" s="1"/>
      <c r="EJ404" s="1"/>
      <c r="EK404" s="675"/>
      <c r="EL404" s="37"/>
      <c r="EM404" s="37"/>
      <c r="EN404" s="37"/>
      <c r="EO404" s="49"/>
      <c r="EP404" s="49"/>
      <c r="EQ404" s="49"/>
      <c r="ER404" s="1"/>
      <c r="ES404" s="1"/>
      <c r="ET404" s="1"/>
    </row>
    <row r="405" spans="1:150">
      <c r="A405" s="6" t="s">
        <v>23</v>
      </c>
      <c r="B405" s="2" t="s">
        <v>5</v>
      </c>
      <c r="C405" s="3" t="s">
        <v>42</v>
      </c>
      <c r="E405" s="3" t="s">
        <v>16</v>
      </c>
      <c r="G405" s="3" t="s">
        <v>91</v>
      </c>
      <c r="I405" s="174">
        <f>300/12</f>
        <v>25</v>
      </c>
      <c r="J405" s="171">
        <v>22.166666666666668</v>
      </c>
      <c r="K405" s="171">
        <v>44.333333366666665</v>
      </c>
      <c r="L405" s="171">
        <v>66.500000066666672</v>
      </c>
      <c r="M405" s="171">
        <v>88.66666676666668</v>
      </c>
      <c r="N405" s="171">
        <v>110.83333346666669</v>
      </c>
      <c r="O405" s="171">
        <v>133.00000016666669</v>
      </c>
      <c r="P405" s="171">
        <v>155.1666668666667</v>
      </c>
      <c r="Q405" s="171">
        <v>177.33333356666671</v>
      </c>
      <c r="R405" s="171">
        <v>199.50000026666672</v>
      </c>
      <c r="S405" s="171">
        <v>221.66666696666672</v>
      </c>
      <c r="T405" s="171">
        <v>243.83333366666673</v>
      </c>
      <c r="U405" s="171">
        <v>266.00000036666671</v>
      </c>
      <c r="V405" s="219">
        <v>22.166</v>
      </c>
      <c r="W405" s="246">
        <f>V405+22.166</f>
        <v>44.332000000000001</v>
      </c>
      <c r="X405" s="376">
        <f t="shared" ref="X405:AG405" si="2327">W405+22.166</f>
        <v>66.498000000000005</v>
      </c>
      <c r="Y405" s="376">
        <f t="shared" si="2327"/>
        <v>88.664000000000001</v>
      </c>
      <c r="Z405" s="376">
        <f t="shared" si="2327"/>
        <v>110.83</v>
      </c>
      <c r="AA405" s="376">
        <f t="shared" si="2327"/>
        <v>132.99600000000001</v>
      </c>
      <c r="AB405" s="376">
        <f t="shared" si="2327"/>
        <v>155.16200000000001</v>
      </c>
      <c r="AC405" s="376">
        <f t="shared" si="2327"/>
        <v>177.328</v>
      </c>
      <c r="AD405" s="376">
        <f t="shared" si="2327"/>
        <v>199.494</v>
      </c>
      <c r="AE405" s="376">
        <f t="shared" si="2327"/>
        <v>221.66</v>
      </c>
      <c r="AF405" s="376">
        <f t="shared" si="2327"/>
        <v>243.82599999999999</v>
      </c>
      <c r="AG405" s="189">
        <f t="shared" si="2327"/>
        <v>265.99200000000002</v>
      </c>
      <c r="AH405" s="31">
        <f>300/12</f>
        <v>25</v>
      </c>
      <c r="AI405" s="19">
        <f>AH405+AH405</f>
        <v>50</v>
      </c>
      <c r="AJ405" s="19"/>
      <c r="AK405" s="408"/>
      <c r="AL405" s="40">
        <f>J405</f>
        <v>22.166666666666668</v>
      </c>
      <c r="AM405" s="40">
        <f t="shared" si="2279"/>
        <v>22.166666699999997</v>
      </c>
      <c r="AN405" s="40">
        <f t="shared" si="2280"/>
        <v>22.166666700000007</v>
      </c>
      <c r="AO405" s="40">
        <f>M405-L405</f>
        <v>22.166666700000007</v>
      </c>
      <c r="AP405" s="40">
        <f t="shared" si="2281"/>
        <v>22.166666700000007</v>
      </c>
      <c r="AQ405" s="40">
        <f t="shared" si="2282"/>
        <v>22.166666700000007</v>
      </c>
      <c r="AR405" s="40">
        <f t="shared" si="2283"/>
        <v>22.166666700000007</v>
      </c>
      <c r="AS405" s="40">
        <f t="shared" si="2284"/>
        <v>22.166666700000007</v>
      </c>
      <c r="AT405" s="40">
        <f t="shared" si="2285"/>
        <v>22.166666700000007</v>
      </c>
      <c r="AU405" s="40">
        <f t="shared" si="2286"/>
        <v>22.166666700000007</v>
      </c>
      <c r="AV405" s="40">
        <f t="shared" si="2287"/>
        <v>22.166666700000007</v>
      </c>
      <c r="AW405" s="40">
        <f t="shared" si="2288"/>
        <v>22.166666699999979</v>
      </c>
      <c r="AX405" s="40">
        <v>22.166666666666668</v>
      </c>
      <c r="AY405" s="40">
        <v>22.166666666666668</v>
      </c>
      <c r="AZ405" s="40">
        <v>22.166666666666668</v>
      </c>
      <c r="BA405" s="40">
        <v>22.166666666666668</v>
      </c>
      <c r="BB405" s="40">
        <v>22.166666666666668</v>
      </c>
      <c r="BC405" s="40">
        <v>22.166666666666668</v>
      </c>
      <c r="BD405" s="40">
        <v>22.166666666666668</v>
      </c>
      <c r="BE405" s="40">
        <v>22.166666666666668</v>
      </c>
      <c r="BF405" s="40">
        <v>22.166666666666668</v>
      </c>
      <c r="BG405" s="40">
        <v>22.166666666666668</v>
      </c>
      <c r="BH405" s="40">
        <v>22.166666666666668</v>
      </c>
      <c r="BI405" s="40">
        <v>22.166666666666668</v>
      </c>
      <c r="BJ405" s="40">
        <f>AH405</f>
        <v>25</v>
      </c>
      <c r="BK405" s="40">
        <f t="shared" ref="BK405:BL406" si="2328">AI405</f>
        <v>50</v>
      </c>
      <c r="BL405" s="40">
        <f t="shared" si="2328"/>
        <v>0</v>
      </c>
      <c r="BM405" s="408"/>
      <c r="BN405" s="48">
        <f t="shared" si="2299"/>
        <v>66.500000066666672</v>
      </c>
      <c r="BO405" s="48">
        <f t="shared" si="2300"/>
        <v>66.500000066666672</v>
      </c>
      <c r="BP405" s="48">
        <f t="shared" si="2301"/>
        <v>66.500000066666672</v>
      </c>
      <c r="BQ405" s="48">
        <f t="shared" si="2302"/>
        <v>66.500000100000022</v>
      </c>
      <c r="BR405" s="48">
        <f t="shared" si="2303"/>
        <v>66.500000100000022</v>
      </c>
      <c r="BS405" s="48">
        <f t="shared" si="2304"/>
        <v>66.500000100000022</v>
      </c>
      <c r="BT405" s="48">
        <f t="shared" si="2305"/>
        <v>66.500000100000022</v>
      </c>
      <c r="BU405" s="48">
        <f t="shared" si="2306"/>
        <v>66.500000100000022</v>
      </c>
      <c r="BV405" s="48">
        <f t="shared" si="2307"/>
        <v>66.500000100000022</v>
      </c>
      <c r="BW405" s="48">
        <f t="shared" si="2308"/>
        <v>66.500000099999994</v>
      </c>
      <c r="BX405" s="48">
        <f t="shared" si="2309"/>
        <v>66.500000099999994</v>
      </c>
      <c r="BY405" s="48">
        <f t="shared" si="2310"/>
        <v>66.500000099999994</v>
      </c>
      <c r="BZ405" s="48">
        <v>66.5</v>
      </c>
      <c r="CA405" s="48">
        <v>66.5</v>
      </c>
      <c r="CB405" s="48">
        <v>66.498000000000005</v>
      </c>
      <c r="CC405" s="48">
        <v>132.99600000000001</v>
      </c>
      <c r="CD405" s="48">
        <v>132.99600000000001</v>
      </c>
      <c r="CE405" s="48">
        <f t="shared" si="2315"/>
        <v>66.5</v>
      </c>
      <c r="CF405" s="48">
        <f t="shared" si="2316"/>
        <v>66.5</v>
      </c>
      <c r="CG405" s="48">
        <f t="shared" si="2317"/>
        <v>66.5</v>
      </c>
      <c r="CH405" s="48">
        <f t="shared" si="2318"/>
        <v>66.5</v>
      </c>
      <c r="CI405" s="48">
        <f t="shared" si="2319"/>
        <v>66.5</v>
      </c>
      <c r="CJ405" s="48">
        <f t="shared" si="2320"/>
        <v>66.5</v>
      </c>
      <c r="CK405" s="48">
        <f t="shared" si="2321"/>
        <v>66.5</v>
      </c>
      <c r="CL405" s="48">
        <f t="shared" si="2322"/>
        <v>75</v>
      </c>
      <c r="CM405" s="48">
        <f t="shared" si="2323"/>
        <v>75</v>
      </c>
      <c r="CN405" s="48">
        <f>300/4</f>
        <v>75</v>
      </c>
      <c r="CO405" s="406"/>
      <c r="CP405" s="48">
        <f>+AL405</f>
        <v>22.166666666666668</v>
      </c>
      <c r="CQ405" s="48">
        <f t="shared" ref="CQ405:DA405" si="2329">+CP405+AM405</f>
        <v>44.333333366666665</v>
      </c>
      <c r="CR405" s="48">
        <f t="shared" si="2329"/>
        <v>66.500000066666672</v>
      </c>
      <c r="CS405" s="48">
        <f t="shared" si="2329"/>
        <v>88.66666676666668</v>
      </c>
      <c r="CT405" s="48">
        <f t="shared" si="2329"/>
        <v>110.83333346666669</v>
      </c>
      <c r="CU405" s="48">
        <f t="shared" si="2329"/>
        <v>133.00000016666669</v>
      </c>
      <c r="CV405" s="48">
        <f t="shared" si="2329"/>
        <v>155.1666668666667</v>
      </c>
      <c r="CW405" s="48">
        <f t="shared" si="2329"/>
        <v>177.33333356666671</v>
      </c>
      <c r="CX405" s="48">
        <f t="shared" si="2329"/>
        <v>199.50000026666672</v>
      </c>
      <c r="CY405" s="48">
        <f t="shared" si="2329"/>
        <v>221.66666696666672</v>
      </c>
      <c r="CZ405" s="48">
        <f t="shared" si="2329"/>
        <v>243.83333366666673</v>
      </c>
      <c r="DA405" s="48">
        <f t="shared" si="2329"/>
        <v>266.00000036666671</v>
      </c>
      <c r="DB405" s="119">
        <v>22.166666666666668</v>
      </c>
      <c r="DC405" s="48">
        <v>44.333666666666673</v>
      </c>
      <c r="DD405" s="48">
        <v>66.500666666666675</v>
      </c>
      <c r="DE405" s="48">
        <v>88.667666666666676</v>
      </c>
      <c r="DF405" s="48">
        <v>110.83466666666668</v>
      </c>
      <c r="DG405" s="48">
        <v>133.00166666666667</v>
      </c>
      <c r="DH405" s="48">
        <v>155.16866666666667</v>
      </c>
      <c r="DI405" s="48">
        <v>177.33566666666667</v>
      </c>
      <c r="DJ405" s="48">
        <v>199.50266666666667</v>
      </c>
      <c r="DK405" s="48">
        <v>221.66966666666667</v>
      </c>
      <c r="DL405" s="48">
        <v>243.83666666666667</v>
      </c>
      <c r="DM405" s="48">
        <v>266.00366666666667</v>
      </c>
      <c r="DN405" s="48">
        <f>+BJ405</f>
        <v>25</v>
      </c>
      <c r="DO405" s="48">
        <f>+DN405+BK405</f>
        <v>75</v>
      </c>
      <c r="DP405" s="48">
        <f>+DO405+BL405</f>
        <v>75</v>
      </c>
      <c r="DQ405" s="48"/>
      <c r="DR405" s="48"/>
      <c r="DS405" s="48"/>
      <c r="DT405" s="48"/>
      <c r="DU405" s="48"/>
      <c r="DV405" s="48"/>
      <c r="DW405" s="48"/>
      <c r="DX405" s="48"/>
      <c r="DY405" s="48"/>
      <c r="EA405" s="52">
        <f t="shared" ref="EA405:EA419" si="2330">DA405</f>
        <v>266.00000036666671</v>
      </c>
      <c r="EB405" s="52">
        <f t="shared" ref="EB405:EB418" si="2331">DM405</f>
        <v>266.00366666666667</v>
      </c>
      <c r="EC405" s="52"/>
      <c r="ED405" s="429"/>
      <c r="EE405" s="51">
        <f t="shared" si="2296"/>
        <v>50</v>
      </c>
      <c r="EF405" s="51">
        <f t="shared" si="2297"/>
        <v>75</v>
      </c>
      <c r="EG405" s="51">
        <f t="shared" ref="EG405:EG415" si="2332">HLOOKUP($EJ$4,Budget,ROW()-1)</f>
        <v>266.00366666666667</v>
      </c>
      <c r="EH405" s="54"/>
      <c r="EI405" s="54"/>
      <c r="EJ405" s="54"/>
      <c r="EK405" s="675"/>
      <c r="EL405" s="53"/>
      <c r="EM405" s="53"/>
      <c r="EN405" s="53"/>
      <c r="EO405" s="49"/>
      <c r="EP405" s="49"/>
      <c r="EQ405" s="49"/>
    </row>
    <row r="406" spans="1:150">
      <c r="A406" s="6" t="s">
        <v>23</v>
      </c>
      <c r="B406" s="2" t="s">
        <v>4</v>
      </c>
      <c r="C406" s="3" t="s">
        <v>43</v>
      </c>
      <c r="E406" s="3" t="s">
        <v>16</v>
      </c>
      <c r="F406" s="44"/>
      <c r="G406" s="3" t="s">
        <v>91</v>
      </c>
      <c r="I406" s="242">
        <f>75/12</f>
        <v>6.25</v>
      </c>
      <c r="J406" s="171">
        <v>11.083333333333334</v>
      </c>
      <c r="K406" s="171">
        <v>22.166666633333335</v>
      </c>
      <c r="L406" s="171">
        <v>33.249999933333335</v>
      </c>
      <c r="M406" s="171">
        <v>44.333333233333335</v>
      </c>
      <c r="N406" s="171">
        <v>55.416666533333334</v>
      </c>
      <c r="O406" s="171">
        <v>66.499999833333334</v>
      </c>
      <c r="P406" s="171">
        <v>77.583333133333326</v>
      </c>
      <c r="Q406" s="171">
        <v>88.666666433333319</v>
      </c>
      <c r="R406" s="171">
        <v>99.749999733333311</v>
      </c>
      <c r="S406" s="171">
        <v>110.8333330333333</v>
      </c>
      <c r="T406" s="171">
        <v>121.9166663333333</v>
      </c>
      <c r="U406" s="171">
        <v>132.99999963333329</v>
      </c>
      <c r="V406" s="219">
        <f>133/12</f>
        <v>11.083333333333334</v>
      </c>
      <c r="W406" s="246">
        <f>V406+11.08333</f>
        <v>22.166663333333332</v>
      </c>
      <c r="X406" s="376">
        <f t="shared" ref="X406:AG406" si="2333">W406+11.08333</f>
        <v>33.249993333333336</v>
      </c>
      <c r="Y406" s="376">
        <f t="shared" si="2333"/>
        <v>44.33332333333334</v>
      </c>
      <c r="Z406" s="376">
        <f t="shared" si="2333"/>
        <v>55.416653333333343</v>
      </c>
      <c r="AA406" s="376">
        <f t="shared" si="2333"/>
        <v>66.499983333333347</v>
      </c>
      <c r="AB406" s="376">
        <f t="shared" si="2333"/>
        <v>77.583313333333351</v>
      </c>
      <c r="AC406" s="376">
        <f t="shared" si="2333"/>
        <v>88.666643333333354</v>
      </c>
      <c r="AD406" s="376">
        <f t="shared" si="2333"/>
        <v>99.749973333333358</v>
      </c>
      <c r="AE406" s="376">
        <f t="shared" si="2333"/>
        <v>110.83330333333336</v>
      </c>
      <c r="AF406" s="376">
        <f t="shared" si="2333"/>
        <v>121.91663333333337</v>
      </c>
      <c r="AG406" s="263">
        <f t="shared" si="2333"/>
        <v>132.99996333333337</v>
      </c>
      <c r="AH406" s="31">
        <f>75/12</f>
        <v>6.25</v>
      </c>
      <c r="AI406" s="376">
        <f>AH406+AH406</f>
        <v>12.5</v>
      </c>
      <c r="AJ406" s="19"/>
      <c r="AK406" s="408"/>
      <c r="AL406" s="40">
        <f>J406</f>
        <v>11.083333333333334</v>
      </c>
      <c r="AM406" s="40">
        <f t="shared" si="2279"/>
        <v>11.083333300000001</v>
      </c>
      <c r="AN406" s="40">
        <f t="shared" si="2280"/>
        <v>11.0833333</v>
      </c>
      <c r="AO406" s="40">
        <f>M406-L406</f>
        <v>11.0833333</v>
      </c>
      <c r="AP406" s="40">
        <f t="shared" si="2281"/>
        <v>11.0833333</v>
      </c>
      <c r="AQ406" s="40">
        <f t="shared" si="2282"/>
        <v>11.0833333</v>
      </c>
      <c r="AR406" s="40">
        <f t="shared" si="2283"/>
        <v>11.083333299999993</v>
      </c>
      <c r="AS406" s="40">
        <f t="shared" si="2284"/>
        <v>11.083333299999993</v>
      </c>
      <c r="AT406" s="40">
        <f t="shared" si="2285"/>
        <v>11.083333299999993</v>
      </c>
      <c r="AU406" s="40">
        <f t="shared" si="2286"/>
        <v>11.083333299999993</v>
      </c>
      <c r="AV406" s="40">
        <f t="shared" si="2287"/>
        <v>11.083333299999993</v>
      </c>
      <c r="AW406" s="40">
        <f t="shared" si="2288"/>
        <v>11.083333299999993</v>
      </c>
      <c r="AX406" s="40">
        <v>5.5415000000000001</v>
      </c>
      <c r="AY406" s="40">
        <v>5.5415000000000001</v>
      </c>
      <c r="AZ406" s="40">
        <v>5.541500000000001</v>
      </c>
      <c r="BA406" s="40">
        <v>5.5414999999999992</v>
      </c>
      <c r="BB406" s="40">
        <v>5.5414999999999992</v>
      </c>
      <c r="BC406" s="40">
        <v>5.5415000000000028</v>
      </c>
      <c r="BD406" s="40">
        <v>5.5414999999999992</v>
      </c>
      <c r="BE406" s="40">
        <v>5.5414999999999992</v>
      </c>
      <c r="BF406" s="40">
        <v>5.5414999999999992</v>
      </c>
      <c r="BG406" s="40">
        <v>5.5414999999999992</v>
      </c>
      <c r="BH406" s="40">
        <v>5.5414999999999992</v>
      </c>
      <c r="BI406" s="40">
        <v>5.5415000000000063</v>
      </c>
      <c r="BJ406" s="40">
        <f>AH406</f>
        <v>6.25</v>
      </c>
      <c r="BK406" s="40">
        <f t="shared" si="2328"/>
        <v>12.5</v>
      </c>
      <c r="BL406" s="40">
        <f t="shared" si="2328"/>
        <v>0</v>
      </c>
      <c r="BM406" s="408"/>
      <c r="BN406" s="48">
        <f t="shared" si="2299"/>
        <v>33.249999933333335</v>
      </c>
      <c r="BO406" s="48">
        <f t="shared" si="2300"/>
        <v>33.249999933333335</v>
      </c>
      <c r="BP406" s="48">
        <f t="shared" si="2301"/>
        <v>33.249999933333335</v>
      </c>
      <c r="BQ406" s="48">
        <f t="shared" si="2302"/>
        <v>33.249999899999999</v>
      </c>
      <c r="BR406" s="48">
        <f t="shared" si="2303"/>
        <v>33.249999899999999</v>
      </c>
      <c r="BS406" s="48">
        <f t="shared" si="2304"/>
        <v>33.249999899999999</v>
      </c>
      <c r="BT406" s="48">
        <f t="shared" si="2305"/>
        <v>33.249999899999978</v>
      </c>
      <c r="BU406" s="48">
        <f t="shared" si="2306"/>
        <v>33.249999899999978</v>
      </c>
      <c r="BV406" s="48">
        <f t="shared" si="2307"/>
        <v>33.249999899999978</v>
      </c>
      <c r="BW406" s="48">
        <f t="shared" si="2308"/>
        <v>33.249999899999978</v>
      </c>
      <c r="BX406" s="48">
        <f t="shared" si="2309"/>
        <v>33.249999899999978</v>
      </c>
      <c r="BY406" s="48">
        <f t="shared" si="2310"/>
        <v>33.249999899999978</v>
      </c>
      <c r="BZ406" s="48">
        <v>16.624500000000001</v>
      </c>
      <c r="CA406" s="48">
        <v>16.624500000000001</v>
      </c>
      <c r="CB406" s="48">
        <v>16.624500000000001</v>
      </c>
      <c r="CC406" s="48">
        <v>33.249000000000002</v>
      </c>
      <c r="CD406" s="48">
        <v>33.249000000000002</v>
      </c>
      <c r="CE406" s="48">
        <f t="shared" si="2315"/>
        <v>16.624500000000001</v>
      </c>
      <c r="CF406" s="48">
        <f t="shared" si="2316"/>
        <v>16.624499999999998</v>
      </c>
      <c r="CG406" s="48">
        <f t="shared" si="2317"/>
        <v>16.624499999999998</v>
      </c>
      <c r="CH406" s="48">
        <f t="shared" si="2318"/>
        <v>16.624499999999998</v>
      </c>
      <c r="CI406" s="48">
        <f t="shared" si="2319"/>
        <v>16.624500000000005</v>
      </c>
      <c r="CJ406" s="48">
        <f t="shared" si="2320"/>
        <v>16.624500000000005</v>
      </c>
      <c r="CK406" s="48">
        <f t="shared" si="2321"/>
        <v>16.624500000000005</v>
      </c>
      <c r="CL406" s="48">
        <f t="shared" si="2322"/>
        <v>18.75</v>
      </c>
      <c r="CM406" s="48">
        <f t="shared" si="2323"/>
        <v>18.75</v>
      </c>
      <c r="CN406" s="48">
        <f>75/4</f>
        <v>18.75</v>
      </c>
      <c r="CO406" s="406"/>
      <c r="CP406" s="48">
        <f t="shared" ref="CP406:DA406" si="2334">I406+AL406</f>
        <v>17.333333333333336</v>
      </c>
      <c r="CQ406" s="48">
        <f t="shared" si="2334"/>
        <v>22.166666633333335</v>
      </c>
      <c r="CR406" s="48">
        <f t="shared" si="2334"/>
        <v>33.249999933333335</v>
      </c>
      <c r="CS406" s="48">
        <f t="shared" si="2334"/>
        <v>44.333333233333335</v>
      </c>
      <c r="CT406" s="48">
        <f t="shared" si="2334"/>
        <v>55.416666533333334</v>
      </c>
      <c r="CU406" s="48">
        <f t="shared" si="2334"/>
        <v>66.499999833333334</v>
      </c>
      <c r="CV406" s="48">
        <f t="shared" si="2334"/>
        <v>77.583333133333326</v>
      </c>
      <c r="CW406" s="48">
        <f t="shared" si="2334"/>
        <v>88.666666433333319</v>
      </c>
      <c r="CX406" s="48">
        <f t="shared" si="2334"/>
        <v>99.749999733333311</v>
      </c>
      <c r="CY406" s="48">
        <f t="shared" si="2334"/>
        <v>110.8333330333333</v>
      </c>
      <c r="CZ406" s="48">
        <f t="shared" si="2334"/>
        <v>121.9166663333333</v>
      </c>
      <c r="DA406" s="48">
        <f t="shared" si="2334"/>
        <v>132.99999963333329</v>
      </c>
      <c r="DB406" s="48">
        <v>5.5415000000000001</v>
      </c>
      <c r="DC406" s="48">
        <v>11.083</v>
      </c>
      <c r="DD406" s="48">
        <v>16.624500000000001</v>
      </c>
      <c r="DE406" s="48">
        <v>22.166</v>
      </c>
      <c r="DF406" s="48">
        <v>27.7075</v>
      </c>
      <c r="DG406" s="48">
        <v>33.249000000000002</v>
      </c>
      <c r="DH406" s="48">
        <v>38.790500000000002</v>
      </c>
      <c r="DI406" s="48">
        <v>44.332000000000001</v>
      </c>
      <c r="DJ406" s="48">
        <v>49.8735</v>
      </c>
      <c r="DK406" s="48">
        <v>55.414999999999999</v>
      </c>
      <c r="DL406" s="48">
        <v>60.956499999999998</v>
      </c>
      <c r="DM406" s="48">
        <v>66.498000000000005</v>
      </c>
      <c r="DN406" s="48">
        <f>BJ406</f>
        <v>6.25</v>
      </c>
      <c r="DO406" s="48">
        <f>AH406+BK406</f>
        <v>18.75</v>
      </c>
      <c r="DP406" s="48">
        <f>AI406+BL406</f>
        <v>12.5</v>
      </c>
      <c r="DQ406" s="48"/>
      <c r="DR406" s="48"/>
      <c r="DS406" s="48"/>
      <c r="DT406" s="48"/>
      <c r="DU406" s="48"/>
      <c r="DV406" s="48"/>
      <c r="DW406" s="48"/>
      <c r="DX406" s="48"/>
      <c r="DY406" s="48"/>
      <c r="EA406" s="52">
        <f t="shared" si="2330"/>
        <v>132.99999963333329</v>
      </c>
      <c r="EB406" s="52">
        <f t="shared" si="2331"/>
        <v>66.498000000000005</v>
      </c>
      <c r="EC406" s="52"/>
      <c r="ED406" s="429"/>
      <c r="EE406" s="51">
        <f t="shared" si="2296"/>
        <v>12.5</v>
      </c>
      <c r="EF406" s="51">
        <f t="shared" si="2297"/>
        <v>18.75</v>
      </c>
      <c r="EG406" s="51">
        <f t="shared" si="2332"/>
        <v>66.498000000000005</v>
      </c>
      <c r="EH406" s="54"/>
      <c r="EI406" s="54"/>
      <c r="EJ406" s="126"/>
      <c r="EK406" s="675"/>
      <c r="EL406" s="53"/>
      <c r="EM406" s="53"/>
      <c r="EN406" s="53"/>
      <c r="EO406" s="49"/>
      <c r="EP406" s="49"/>
      <c r="EQ406" s="49"/>
    </row>
    <row r="407" spans="1:150">
      <c r="A407" s="6" t="s">
        <v>23</v>
      </c>
      <c r="B407" s="2" t="s">
        <v>6</v>
      </c>
      <c r="C407" s="3" t="s">
        <v>44</v>
      </c>
      <c r="E407" s="3" t="s">
        <v>16</v>
      </c>
      <c r="G407" s="3" t="s">
        <v>89</v>
      </c>
      <c r="I407" s="174"/>
      <c r="J407" s="171">
        <v>5.541666666666667</v>
      </c>
      <c r="K407" s="246">
        <v>5.541666666666667</v>
      </c>
      <c r="L407" s="246">
        <v>5.541666666666667</v>
      </c>
      <c r="M407" s="246">
        <v>5.541666666666667</v>
      </c>
      <c r="N407" s="246">
        <v>5.541666666666667</v>
      </c>
      <c r="O407" s="246">
        <v>5.541666666666667</v>
      </c>
      <c r="P407" s="246">
        <v>5.541666666666667</v>
      </c>
      <c r="Q407" s="246">
        <v>5.541666666666667</v>
      </c>
      <c r="R407" s="246">
        <v>5.541666666666667</v>
      </c>
      <c r="S407" s="246">
        <v>5.541666666666667</v>
      </c>
      <c r="T407" s="246">
        <v>5.541666666666667</v>
      </c>
      <c r="U407" s="246">
        <v>5.541666666666667</v>
      </c>
      <c r="V407" s="246">
        <f>48/12</f>
        <v>4</v>
      </c>
      <c r="W407" s="246">
        <f>V407+4</f>
        <v>8</v>
      </c>
      <c r="X407" s="376">
        <f t="shared" ref="X407:AG407" si="2335">W407+4</f>
        <v>12</v>
      </c>
      <c r="Y407" s="376">
        <f t="shared" si="2335"/>
        <v>16</v>
      </c>
      <c r="Z407" s="376">
        <f t="shared" si="2335"/>
        <v>20</v>
      </c>
      <c r="AA407" s="376">
        <f t="shared" si="2335"/>
        <v>24</v>
      </c>
      <c r="AB407" s="376">
        <f t="shared" si="2335"/>
        <v>28</v>
      </c>
      <c r="AC407" s="376">
        <f t="shared" si="2335"/>
        <v>32</v>
      </c>
      <c r="AD407" s="376">
        <f t="shared" si="2335"/>
        <v>36</v>
      </c>
      <c r="AE407" s="376">
        <f t="shared" si="2335"/>
        <v>40</v>
      </c>
      <c r="AF407" s="376">
        <f t="shared" si="2335"/>
        <v>44</v>
      </c>
      <c r="AG407" s="376">
        <f t="shared" si="2335"/>
        <v>48</v>
      </c>
      <c r="AH407" s="31"/>
      <c r="AI407" s="19"/>
      <c r="AJ407" s="19"/>
      <c r="AK407" s="408"/>
      <c r="AL407" s="40">
        <f>J407</f>
        <v>5.541666666666667</v>
      </c>
      <c r="AM407" s="40">
        <f t="shared" ref="AM407:AW407" si="2336">K407</f>
        <v>5.541666666666667</v>
      </c>
      <c r="AN407" s="40">
        <f t="shared" si="2336"/>
        <v>5.541666666666667</v>
      </c>
      <c r="AO407" s="40">
        <f t="shared" si="2336"/>
        <v>5.541666666666667</v>
      </c>
      <c r="AP407" s="40">
        <f t="shared" si="2336"/>
        <v>5.541666666666667</v>
      </c>
      <c r="AQ407" s="40">
        <f t="shared" si="2336"/>
        <v>5.541666666666667</v>
      </c>
      <c r="AR407" s="40">
        <f t="shared" si="2336"/>
        <v>5.541666666666667</v>
      </c>
      <c r="AS407" s="40">
        <f t="shared" si="2336"/>
        <v>5.541666666666667</v>
      </c>
      <c r="AT407" s="40">
        <f t="shared" si="2336"/>
        <v>5.541666666666667</v>
      </c>
      <c r="AU407" s="40">
        <f t="shared" si="2336"/>
        <v>5.541666666666667</v>
      </c>
      <c r="AV407" s="40">
        <f t="shared" si="2336"/>
        <v>5.541666666666667</v>
      </c>
      <c r="AW407" s="40">
        <f t="shared" si="2336"/>
        <v>5.541666666666667</v>
      </c>
      <c r="AX407" s="40">
        <f>48/12</f>
        <v>4</v>
      </c>
      <c r="AY407" s="40">
        <f t="shared" ref="AY407:BI407" si="2337">48/12</f>
        <v>4</v>
      </c>
      <c r="AZ407" s="40">
        <f t="shared" si="2337"/>
        <v>4</v>
      </c>
      <c r="BA407" s="40">
        <f t="shared" si="2337"/>
        <v>4</v>
      </c>
      <c r="BB407" s="40">
        <f t="shared" si="2337"/>
        <v>4</v>
      </c>
      <c r="BC407" s="40">
        <f t="shared" si="2337"/>
        <v>4</v>
      </c>
      <c r="BD407" s="40">
        <f t="shared" si="2337"/>
        <v>4</v>
      </c>
      <c r="BE407" s="40">
        <f t="shared" si="2337"/>
        <v>4</v>
      </c>
      <c r="BF407" s="40">
        <f t="shared" si="2337"/>
        <v>4</v>
      </c>
      <c r="BG407" s="40">
        <f t="shared" si="2337"/>
        <v>4</v>
      </c>
      <c r="BH407" s="40">
        <f t="shared" si="2337"/>
        <v>4</v>
      </c>
      <c r="BI407" s="40">
        <f t="shared" si="2337"/>
        <v>4</v>
      </c>
      <c r="BJ407" s="40"/>
      <c r="BK407" s="40"/>
      <c r="BL407" s="40"/>
      <c r="BM407" s="408"/>
      <c r="BN407" s="48">
        <f t="shared" si="2299"/>
        <v>16.625</v>
      </c>
      <c r="BO407" s="48">
        <f t="shared" si="2300"/>
        <v>16.625</v>
      </c>
      <c r="BP407" s="48">
        <f t="shared" si="2301"/>
        <v>16.625</v>
      </c>
      <c r="BQ407" s="48">
        <f t="shared" si="2302"/>
        <v>16.625</v>
      </c>
      <c r="BR407" s="48">
        <f t="shared" si="2303"/>
        <v>16.625</v>
      </c>
      <c r="BS407" s="48">
        <f t="shared" si="2304"/>
        <v>16.625</v>
      </c>
      <c r="BT407" s="48">
        <f t="shared" si="2305"/>
        <v>16.625</v>
      </c>
      <c r="BU407" s="48">
        <f t="shared" si="2306"/>
        <v>16.625</v>
      </c>
      <c r="BV407" s="48">
        <f t="shared" si="2307"/>
        <v>16.625</v>
      </c>
      <c r="BW407" s="48">
        <f t="shared" si="2308"/>
        <v>16.625</v>
      </c>
      <c r="BX407" s="48">
        <f t="shared" si="2309"/>
        <v>16.625</v>
      </c>
      <c r="BY407" s="48">
        <f t="shared" si="2310"/>
        <v>16.625</v>
      </c>
      <c r="BZ407" s="48">
        <f>48/12*3</f>
        <v>12</v>
      </c>
      <c r="CA407" s="48">
        <f>48/12*3</f>
        <v>12</v>
      </c>
      <c r="CB407" s="48">
        <f t="shared" ref="CB407:CB413" si="2338">X407</f>
        <v>12</v>
      </c>
      <c r="CC407" s="48">
        <f>CB407*2</f>
        <v>24</v>
      </c>
      <c r="CD407" s="48">
        <f>CB407*2</f>
        <v>24</v>
      </c>
      <c r="CE407" s="48">
        <f>SUM(BA407:BC407)</f>
        <v>12</v>
      </c>
      <c r="CF407" s="48">
        <f t="shared" si="2316"/>
        <v>12</v>
      </c>
      <c r="CG407" s="48">
        <f t="shared" si="2317"/>
        <v>12</v>
      </c>
      <c r="CH407" s="48">
        <f>SUM(BD407:BF407)</f>
        <v>12</v>
      </c>
      <c r="CI407" s="48">
        <f t="shared" si="2319"/>
        <v>12</v>
      </c>
      <c r="CJ407" s="48">
        <f t="shared" si="2320"/>
        <v>12</v>
      </c>
      <c r="CK407" s="48">
        <f>SUM(BG407:BI407)</f>
        <v>12</v>
      </c>
      <c r="CL407" s="48">
        <f t="shared" si="2322"/>
        <v>0</v>
      </c>
      <c r="CM407" s="48">
        <f t="shared" si="2323"/>
        <v>0</v>
      </c>
      <c r="CN407" s="48">
        <f t="shared" si="2292"/>
        <v>0</v>
      </c>
      <c r="CO407" s="406"/>
      <c r="CP407" s="48">
        <f>AL407</f>
        <v>5.541666666666667</v>
      </c>
      <c r="CQ407" s="48">
        <f t="shared" ref="CQ407:DA407" si="2339">CP407+AM407</f>
        <v>11.083333333333334</v>
      </c>
      <c r="CR407" s="48">
        <f t="shared" si="2339"/>
        <v>16.625</v>
      </c>
      <c r="CS407" s="48">
        <f t="shared" si="2339"/>
        <v>22.166666666666668</v>
      </c>
      <c r="CT407" s="48">
        <f t="shared" si="2339"/>
        <v>27.708333333333336</v>
      </c>
      <c r="CU407" s="48">
        <f t="shared" si="2339"/>
        <v>33.25</v>
      </c>
      <c r="CV407" s="48">
        <f t="shared" si="2339"/>
        <v>38.791666666666664</v>
      </c>
      <c r="CW407" s="48">
        <f t="shared" si="2339"/>
        <v>44.333333333333329</v>
      </c>
      <c r="CX407" s="48">
        <f t="shared" si="2339"/>
        <v>49.874999999999993</v>
      </c>
      <c r="CY407" s="48">
        <f t="shared" si="2339"/>
        <v>55.416666666666657</v>
      </c>
      <c r="CZ407" s="48">
        <f t="shared" si="2339"/>
        <v>60.958333333333321</v>
      </c>
      <c r="DA407" s="48">
        <f t="shared" si="2339"/>
        <v>66.499999999999986</v>
      </c>
      <c r="DB407" s="48">
        <f>48/12</f>
        <v>4</v>
      </c>
      <c r="DC407" s="48">
        <f>DB407+4</f>
        <v>8</v>
      </c>
      <c r="DD407" s="48">
        <f t="shared" ref="DD407:DM407" si="2340">DC407+4</f>
        <v>12</v>
      </c>
      <c r="DE407" s="48">
        <f t="shared" si="2340"/>
        <v>16</v>
      </c>
      <c r="DF407" s="48">
        <f t="shared" si="2340"/>
        <v>20</v>
      </c>
      <c r="DG407" s="48">
        <f t="shared" si="2340"/>
        <v>24</v>
      </c>
      <c r="DH407" s="48">
        <f t="shared" si="2340"/>
        <v>28</v>
      </c>
      <c r="DI407" s="48">
        <f t="shared" si="2340"/>
        <v>32</v>
      </c>
      <c r="DJ407" s="48">
        <f t="shared" si="2340"/>
        <v>36</v>
      </c>
      <c r="DK407" s="48">
        <f t="shared" si="2340"/>
        <v>40</v>
      </c>
      <c r="DL407" s="48">
        <f t="shared" si="2340"/>
        <v>44</v>
      </c>
      <c r="DM407" s="48">
        <f t="shared" si="2340"/>
        <v>48</v>
      </c>
      <c r="DN407" s="48">
        <f>BJ407</f>
        <v>0</v>
      </c>
      <c r="DO407" s="48">
        <f>DN407+BK407</f>
        <v>0</v>
      </c>
      <c r="DP407" s="48">
        <f>DO407+BL407</f>
        <v>0</v>
      </c>
      <c r="DQ407" s="48"/>
      <c r="DR407" s="48"/>
      <c r="DS407" s="48"/>
      <c r="DT407" s="48"/>
      <c r="DU407" s="48"/>
      <c r="DV407" s="48"/>
      <c r="DW407" s="48"/>
      <c r="DX407" s="48"/>
      <c r="DY407" s="48"/>
      <c r="EA407" s="52">
        <f t="shared" si="2330"/>
        <v>66.499999999999986</v>
      </c>
      <c r="EB407" s="52">
        <f t="shared" si="2331"/>
        <v>48</v>
      </c>
      <c r="EC407" s="52"/>
      <c r="ED407" s="429"/>
      <c r="EE407" s="51">
        <f t="shared" si="2296"/>
        <v>0</v>
      </c>
      <c r="EF407" s="51">
        <f t="shared" si="2297"/>
        <v>0</v>
      </c>
      <c r="EG407" s="51">
        <f t="shared" si="2332"/>
        <v>48</v>
      </c>
      <c r="EH407" s="54"/>
      <c r="EI407" s="54"/>
      <c r="EJ407" s="54"/>
      <c r="EK407" s="675"/>
      <c r="EL407" s="53"/>
      <c r="EM407" s="53"/>
      <c r="EN407" s="53"/>
      <c r="EO407" s="49"/>
      <c r="EP407" s="49"/>
      <c r="EQ407" s="49"/>
    </row>
    <row r="408" spans="1:150">
      <c r="A408" s="15" t="s">
        <v>23</v>
      </c>
      <c r="B408" s="14" t="s">
        <v>7</v>
      </c>
      <c r="C408" s="16" t="s">
        <v>45</v>
      </c>
      <c r="D408" s="16"/>
      <c r="E408" s="16" t="s">
        <v>16</v>
      </c>
      <c r="F408" s="16"/>
      <c r="G408" s="16" t="s">
        <v>89</v>
      </c>
      <c r="H408" s="16"/>
      <c r="I408" s="175"/>
      <c r="J408" s="176">
        <v>0.9</v>
      </c>
      <c r="K408" s="176">
        <v>0.9</v>
      </c>
      <c r="L408" s="176">
        <v>0.9</v>
      </c>
      <c r="M408" s="176">
        <v>0.9</v>
      </c>
      <c r="N408" s="176">
        <v>0.9</v>
      </c>
      <c r="O408" s="176">
        <v>0.9</v>
      </c>
      <c r="P408" s="176">
        <v>0.9</v>
      </c>
      <c r="Q408" s="176">
        <v>0.9</v>
      </c>
      <c r="R408" s="176">
        <v>0.9</v>
      </c>
      <c r="S408" s="176">
        <v>0.9</v>
      </c>
      <c r="T408" s="176">
        <v>0.9</v>
      </c>
      <c r="U408" s="176">
        <v>0.9</v>
      </c>
      <c r="V408" s="220">
        <f>$AG408</f>
        <v>0.95</v>
      </c>
      <c r="W408" s="250">
        <f t="shared" ref="W408:AF408" si="2341">$AG408</f>
        <v>0.95</v>
      </c>
      <c r="X408" s="250">
        <f t="shared" si="2341"/>
        <v>0.95</v>
      </c>
      <c r="Y408" s="250">
        <f t="shared" si="2341"/>
        <v>0.95</v>
      </c>
      <c r="Z408" s="250">
        <f t="shared" si="2341"/>
        <v>0.95</v>
      </c>
      <c r="AA408" s="250">
        <f t="shared" si="2341"/>
        <v>0.95</v>
      </c>
      <c r="AB408" s="250">
        <f t="shared" si="2341"/>
        <v>0.95</v>
      </c>
      <c r="AC408" s="250">
        <f t="shared" si="2341"/>
        <v>0.95</v>
      </c>
      <c r="AD408" s="250">
        <f t="shared" si="2341"/>
        <v>0.95</v>
      </c>
      <c r="AE408" s="250">
        <f t="shared" si="2341"/>
        <v>0.95</v>
      </c>
      <c r="AF408" s="250">
        <f t="shared" si="2341"/>
        <v>0.95</v>
      </c>
      <c r="AG408" s="250">
        <v>0.95</v>
      </c>
      <c r="AH408" s="33">
        <v>0.9</v>
      </c>
      <c r="AI408" s="220">
        <v>0.9</v>
      </c>
      <c r="AJ408" s="220">
        <v>0.9</v>
      </c>
      <c r="AK408" s="412"/>
      <c r="AL408" s="55">
        <f>J408</f>
        <v>0.9</v>
      </c>
      <c r="AM408" s="55">
        <f t="shared" ref="AM408:AW408" si="2342">K408</f>
        <v>0.9</v>
      </c>
      <c r="AN408" s="55">
        <f t="shared" si="2342"/>
        <v>0.9</v>
      </c>
      <c r="AO408" s="55">
        <f t="shared" si="2342"/>
        <v>0.9</v>
      </c>
      <c r="AP408" s="55">
        <f t="shared" si="2342"/>
        <v>0.9</v>
      </c>
      <c r="AQ408" s="55">
        <f t="shared" si="2342"/>
        <v>0.9</v>
      </c>
      <c r="AR408" s="55">
        <f t="shared" si="2342"/>
        <v>0.9</v>
      </c>
      <c r="AS408" s="55">
        <f t="shared" si="2342"/>
        <v>0.9</v>
      </c>
      <c r="AT408" s="55">
        <f t="shared" si="2342"/>
        <v>0.9</v>
      </c>
      <c r="AU408" s="55">
        <f t="shared" si="2342"/>
        <v>0.9</v>
      </c>
      <c r="AV408" s="55">
        <f t="shared" si="2342"/>
        <v>0.9</v>
      </c>
      <c r="AW408" s="55">
        <f t="shared" si="2342"/>
        <v>0.9</v>
      </c>
      <c r="AX408" s="55">
        <f>V408</f>
        <v>0.95</v>
      </c>
      <c r="AY408" s="55">
        <f t="shared" ref="AY408:BI408" si="2343">W408</f>
        <v>0.95</v>
      </c>
      <c r="AZ408" s="55">
        <f t="shared" si="2343"/>
        <v>0.95</v>
      </c>
      <c r="BA408" s="55">
        <f t="shared" si="2343"/>
        <v>0.95</v>
      </c>
      <c r="BB408" s="55">
        <f t="shared" si="2343"/>
        <v>0.95</v>
      </c>
      <c r="BC408" s="55">
        <f t="shared" si="2343"/>
        <v>0.95</v>
      </c>
      <c r="BD408" s="55">
        <f t="shared" si="2343"/>
        <v>0.95</v>
      </c>
      <c r="BE408" s="55">
        <f t="shared" si="2343"/>
        <v>0.95</v>
      </c>
      <c r="BF408" s="55">
        <f t="shared" si="2343"/>
        <v>0.95</v>
      </c>
      <c r="BG408" s="55">
        <f t="shared" si="2343"/>
        <v>0.95</v>
      </c>
      <c r="BH408" s="55">
        <f t="shared" si="2343"/>
        <v>0.95</v>
      </c>
      <c r="BI408" s="55">
        <f t="shared" si="2343"/>
        <v>0.95</v>
      </c>
      <c r="BJ408" s="55">
        <f>AH408</f>
        <v>0.9</v>
      </c>
      <c r="BK408" s="55">
        <f t="shared" ref="BK408:BL408" si="2344">AI408</f>
        <v>0.9</v>
      </c>
      <c r="BL408" s="55">
        <f t="shared" si="2344"/>
        <v>0.9</v>
      </c>
      <c r="BM408" s="410"/>
      <c r="BN408" s="56">
        <f t="shared" si="2299"/>
        <v>0.90000000000000013</v>
      </c>
      <c r="BO408" s="56">
        <f t="shared" si="2300"/>
        <v>0.90000000000000013</v>
      </c>
      <c r="BP408" s="56">
        <f>(AL408*AL407+AM408*AM407+AN408*AN407)/BP407</f>
        <v>0.90000000000000013</v>
      </c>
      <c r="BQ408" s="56">
        <f t="shared" si="2302"/>
        <v>0.90000000000000013</v>
      </c>
      <c r="BR408" s="56">
        <f t="shared" si="2303"/>
        <v>0.90000000000000013</v>
      </c>
      <c r="BS408" s="56">
        <f>(AO408*AO407+AP408*AP407+AQ408*AQ407)/BS407</f>
        <v>0.90000000000000013</v>
      </c>
      <c r="BT408" s="56">
        <f t="shared" si="2305"/>
        <v>0.90000000000000013</v>
      </c>
      <c r="BU408" s="56">
        <f t="shared" si="2306"/>
        <v>0.90000000000000013</v>
      </c>
      <c r="BV408" s="56">
        <f>(AR408*AR407+AS408*AS407+AT408*AT407)/BV407</f>
        <v>0.90000000000000013</v>
      </c>
      <c r="BW408" s="56">
        <f t="shared" si="2308"/>
        <v>0.90000000000000013</v>
      </c>
      <c r="BX408" s="56">
        <f t="shared" si="2309"/>
        <v>0.90000000000000013</v>
      </c>
      <c r="BY408" s="56">
        <f>(AU408*AU407+AV408*AV407+AW408*AW407)/BY407</f>
        <v>0.90000000000000013</v>
      </c>
      <c r="BZ408" s="56">
        <f t="shared" si="2311"/>
        <v>0.95</v>
      </c>
      <c r="CA408" s="56">
        <f t="shared" si="2312"/>
        <v>0.95</v>
      </c>
      <c r="CB408" s="99">
        <f t="shared" si="2338"/>
        <v>0.95</v>
      </c>
      <c r="CC408" s="56">
        <f t="shared" si="2313"/>
        <v>2.8499999999999996</v>
      </c>
      <c r="CD408" s="56">
        <f t="shared" si="2314"/>
        <v>2.8499999999999996</v>
      </c>
      <c r="CE408" s="48">
        <f>SUM(BA408:BC408)</f>
        <v>2.8499999999999996</v>
      </c>
      <c r="CF408" s="56">
        <f t="shared" si="2316"/>
        <v>2.8499999999999996</v>
      </c>
      <c r="CG408" s="56">
        <f t="shared" si="2317"/>
        <v>2.8499999999999996</v>
      </c>
      <c r="CH408" s="48">
        <f>SUM(BD408:BF408)</f>
        <v>2.8499999999999996</v>
      </c>
      <c r="CI408" s="56">
        <f t="shared" si="2319"/>
        <v>2.8499999999999996</v>
      </c>
      <c r="CJ408" s="56">
        <f t="shared" si="2320"/>
        <v>2.8499999999999996</v>
      </c>
      <c r="CK408" s="48">
        <f>SUM(BG408:BI408)</f>
        <v>2.8499999999999996</v>
      </c>
      <c r="CL408" s="56">
        <v>0.9</v>
      </c>
      <c r="CM408" s="56">
        <v>0.9</v>
      </c>
      <c r="CN408" s="56">
        <v>0.9</v>
      </c>
      <c r="CO408" s="422"/>
      <c r="CP408" s="56">
        <f t="shared" ref="CP408:DA408" si="2345">CP421/CP407</f>
        <v>0.90000000000000013</v>
      </c>
      <c r="CQ408" s="56">
        <f t="shared" si="2345"/>
        <v>0.90000000000000013</v>
      </c>
      <c r="CR408" s="56">
        <f t="shared" si="2345"/>
        <v>0.90000000000000013</v>
      </c>
      <c r="CS408" s="56">
        <f t="shared" si="2345"/>
        <v>0.90000000000000013</v>
      </c>
      <c r="CT408" s="56">
        <f t="shared" si="2345"/>
        <v>0.9</v>
      </c>
      <c r="CU408" s="56">
        <f t="shared" si="2345"/>
        <v>0.90000000000000013</v>
      </c>
      <c r="CV408" s="56">
        <f t="shared" si="2345"/>
        <v>0.90000000000000024</v>
      </c>
      <c r="CW408" s="56">
        <f t="shared" si="2345"/>
        <v>0.90000000000000024</v>
      </c>
      <c r="CX408" s="56">
        <f t="shared" si="2345"/>
        <v>0.90000000000000013</v>
      </c>
      <c r="CY408" s="56">
        <f t="shared" si="2345"/>
        <v>0.90000000000000013</v>
      </c>
      <c r="CZ408" s="56">
        <f t="shared" si="2345"/>
        <v>0.90000000000000013</v>
      </c>
      <c r="DA408" s="56">
        <f t="shared" si="2345"/>
        <v>0.90000000000000013</v>
      </c>
      <c r="DB408" s="56">
        <f t="shared" ref="DB408:DP408" si="2346">DA408</f>
        <v>0.90000000000000013</v>
      </c>
      <c r="DC408" s="56">
        <f t="shared" si="2346"/>
        <v>0.90000000000000013</v>
      </c>
      <c r="DD408" s="56">
        <f t="shared" si="2346"/>
        <v>0.90000000000000013</v>
      </c>
      <c r="DE408" s="56">
        <f t="shared" si="2346"/>
        <v>0.90000000000000013</v>
      </c>
      <c r="DF408" s="56">
        <f t="shared" si="2346"/>
        <v>0.90000000000000013</v>
      </c>
      <c r="DG408" s="56">
        <f t="shared" si="2346"/>
        <v>0.90000000000000013</v>
      </c>
      <c r="DH408" s="56">
        <f t="shared" si="2346"/>
        <v>0.90000000000000013</v>
      </c>
      <c r="DI408" s="56">
        <f t="shared" si="2346"/>
        <v>0.90000000000000013</v>
      </c>
      <c r="DJ408" s="56">
        <f t="shared" si="2346"/>
        <v>0.90000000000000013</v>
      </c>
      <c r="DK408" s="56">
        <f t="shared" si="2346"/>
        <v>0.90000000000000013</v>
      </c>
      <c r="DL408" s="56">
        <f t="shared" si="2346"/>
        <v>0.90000000000000013</v>
      </c>
      <c r="DM408" s="56">
        <f t="shared" si="2346"/>
        <v>0.90000000000000013</v>
      </c>
      <c r="DN408" s="56">
        <f t="shared" si="2346"/>
        <v>0.90000000000000013</v>
      </c>
      <c r="DO408" s="56">
        <f t="shared" si="2346"/>
        <v>0.90000000000000013</v>
      </c>
      <c r="DP408" s="56">
        <f t="shared" si="2346"/>
        <v>0.90000000000000013</v>
      </c>
      <c r="DQ408" s="56"/>
      <c r="DR408" s="56"/>
      <c r="DS408" s="56"/>
      <c r="DT408" s="56"/>
      <c r="DU408" s="56"/>
      <c r="DV408" s="56"/>
      <c r="DW408" s="56"/>
      <c r="DX408" s="56"/>
      <c r="DY408" s="56"/>
      <c r="DZ408" s="14"/>
      <c r="EA408" s="55">
        <f t="shared" si="2330"/>
        <v>0.90000000000000013</v>
      </c>
      <c r="EB408" s="55">
        <f t="shared" si="2331"/>
        <v>0.90000000000000013</v>
      </c>
      <c r="EC408" s="55"/>
      <c r="ED408" s="430"/>
      <c r="EE408" s="56">
        <f t="shared" si="2296"/>
        <v>0.9</v>
      </c>
      <c r="EF408" s="56">
        <f t="shared" si="2297"/>
        <v>0.9</v>
      </c>
      <c r="EG408" s="56">
        <f t="shared" si="2332"/>
        <v>0.90000000000000013</v>
      </c>
      <c r="EH408" s="57"/>
      <c r="EI408" s="57"/>
      <c r="EJ408" s="57"/>
      <c r="EK408" s="675"/>
      <c r="EL408" s="55"/>
      <c r="EM408" s="55"/>
      <c r="EN408" s="55"/>
      <c r="EO408" s="49"/>
      <c r="EP408" s="49"/>
      <c r="EQ408" s="49"/>
      <c r="ER408" s="14"/>
      <c r="ES408" s="14"/>
      <c r="ET408" s="14"/>
    </row>
    <row r="409" spans="1:150">
      <c r="A409" s="6" t="s">
        <v>23</v>
      </c>
      <c r="B409" s="2" t="s">
        <v>8</v>
      </c>
      <c r="C409" s="3" t="s">
        <v>86</v>
      </c>
      <c r="E409" s="3" t="s">
        <v>16</v>
      </c>
      <c r="G409" s="3" t="s">
        <v>91</v>
      </c>
      <c r="I409" s="174"/>
      <c r="J409" s="171">
        <v>2.9166666666666665</v>
      </c>
      <c r="K409" s="171">
        <v>5.8333333366666666</v>
      </c>
      <c r="L409" s="171">
        <v>8.7500000066666672</v>
      </c>
      <c r="M409" s="171">
        <v>11.666666676666667</v>
      </c>
      <c r="N409" s="171">
        <v>14.583333346666667</v>
      </c>
      <c r="O409" s="171">
        <v>17.500000016666668</v>
      </c>
      <c r="P409" s="171">
        <v>20.41666668666667</v>
      </c>
      <c r="Q409" s="171">
        <v>23.333333356666671</v>
      </c>
      <c r="R409" s="171">
        <v>26.250000026666672</v>
      </c>
      <c r="S409" s="171">
        <v>29.166666696666674</v>
      </c>
      <c r="T409" s="171">
        <v>32.083333366666672</v>
      </c>
      <c r="U409" s="171">
        <v>35.00000003666667</v>
      </c>
      <c r="V409" s="219">
        <v>2.9159999999999999</v>
      </c>
      <c r="W409" s="246">
        <f>V409+2.916</f>
        <v>5.8319999999999999</v>
      </c>
      <c r="X409" s="376">
        <f t="shared" ref="X409:AG409" si="2347">W409+2.916</f>
        <v>8.7479999999999993</v>
      </c>
      <c r="Y409" s="376">
        <f t="shared" si="2347"/>
        <v>11.664</v>
      </c>
      <c r="Z409" s="376">
        <f t="shared" si="2347"/>
        <v>14.58</v>
      </c>
      <c r="AA409" s="376">
        <f t="shared" si="2347"/>
        <v>17.495999999999999</v>
      </c>
      <c r="AB409" s="376">
        <f t="shared" si="2347"/>
        <v>20.411999999999999</v>
      </c>
      <c r="AC409" s="376">
        <f t="shared" si="2347"/>
        <v>23.327999999999999</v>
      </c>
      <c r="AD409" s="376">
        <f t="shared" si="2347"/>
        <v>26.244</v>
      </c>
      <c r="AE409" s="376">
        <f t="shared" si="2347"/>
        <v>29.16</v>
      </c>
      <c r="AF409" s="376">
        <f t="shared" si="2347"/>
        <v>32.076000000000001</v>
      </c>
      <c r="AG409" s="189">
        <f t="shared" si="2347"/>
        <v>34.991999999999997</v>
      </c>
      <c r="AH409" s="31"/>
      <c r="AI409" s="19"/>
      <c r="AJ409" s="19"/>
      <c r="AK409" s="408"/>
      <c r="AL409" s="40">
        <f>J409</f>
        <v>2.9166666666666665</v>
      </c>
      <c r="AM409" s="40">
        <f>K409-J409</f>
        <v>2.9166666700000001</v>
      </c>
      <c r="AN409" s="40">
        <f t="shared" ref="AN409:AN415" si="2348">L409-K409</f>
        <v>2.9166666700000006</v>
      </c>
      <c r="AO409" s="40">
        <f t="shared" ref="AO409:AO415" si="2349">M409-L409</f>
        <v>2.9166666699999997</v>
      </c>
      <c r="AP409" s="40">
        <f t="shared" ref="AP409:AP415" si="2350">N409-M409</f>
        <v>2.9166666699999997</v>
      </c>
      <c r="AQ409" s="40">
        <f t="shared" ref="AQ409:AQ415" si="2351">O409-N409</f>
        <v>2.9166666700000015</v>
      </c>
      <c r="AR409" s="40">
        <f t="shared" ref="AR409:AR415" si="2352">P409-O409</f>
        <v>2.9166666700000015</v>
      </c>
      <c r="AS409" s="40">
        <f t="shared" ref="AS409:AS415" si="2353">Q409-P409</f>
        <v>2.9166666700000015</v>
      </c>
      <c r="AT409" s="40">
        <f t="shared" ref="AT409:AT415" si="2354">R409-Q409</f>
        <v>2.9166666700000015</v>
      </c>
      <c r="AU409" s="40">
        <f t="shared" ref="AU409:AU415" si="2355">S409-R409</f>
        <v>2.9166666700000015</v>
      </c>
      <c r="AV409" s="40">
        <f t="shared" ref="AV409:AV415" si="2356">T409-S409</f>
        <v>2.9166666699999979</v>
      </c>
      <c r="AW409" s="40">
        <f t="shared" ref="AW409:AW415" si="2357">U409-T409</f>
        <v>2.9166666699999979</v>
      </c>
      <c r="AX409" s="40">
        <f>35/12</f>
        <v>2.9166666666666665</v>
      </c>
      <c r="AY409" s="40">
        <f t="shared" ref="AY409:BI409" si="2358">35/12</f>
        <v>2.9166666666666665</v>
      </c>
      <c r="AZ409" s="40">
        <f t="shared" si="2358"/>
        <v>2.9166666666666665</v>
      </c>
      <c r="BA409" s="40">
        <f t="shared" si="2358"/>
        <v>2.9166666666666665</v>
      </c>
      <c r="BB409" s="40">
        <f t="shared" si="2358"/>
        <v>2.9166666666666665</v>
      </c>
      <c r="BC409" s="40">
        <f t="shared" si="2358"/>
        <v>2.9166666666666665</v>
      </c>
      <c r="BD409" s="40">
        <f t="shared" si="2358"/>
        <v>2.9166666666666665</v>
      </c>
      <c r="BE409" s="40">
        <f t="shared" si="2358"/>
        <v>2.9166666666666665</v>
      </c>
      <c r="BF409" s="40">
        <f t="shared" si="2358"/>
        <v>2.9166666666666665</v>
      </c>
      <c r="BG409" s="40">
        <f t="shared" si="2358"/>
        <v>2.9166666666666665</v>
      </c>
      <c r="BH409" s="40">
        <f t="shared" si="2358"/>
        <v>2.9166666666666665</v>
      </c>
      <c r="BI409" s="40">
        <f t="shared" si="2358"/>
        <v>2.9166666666666665</v>
      </c>
      <c r="BJ409" s="40">
        <f t="shared" ref="BJ409:BJ414" si="2359">AH409</f>
        <v>0</v>
      </c>
      <c r="BK409" s="40">
        <f t="shared" ref="BK409:BK415" si="2360">AI409-AH409</f>
        <v>0</v>
      </c>
      <c r="BL409" s="40">
        <f t="shared" ref="BL409:BL415" si="2361">AJ409-AI409</f>
        <v>0</v>
      </c>
      <c r="BM409" s="408"/>
      <c r="BN409" s="48">
        <f t="shared" si="2299"/>
        <v>8.7500000066666672</v>
      </c>
      <c r="BO409" s="48">
        <f t="shared" si="2300"/>
        <v>8.7500000066666672</v>
      </c>
      <c r="BP409" s="48">
        <f t="shared" ref="BP409:BP414" si="2362">SUM(AL409:AN409)</f>
        <v>8.7500000066666672</v>
      </c>
      <c r="BQ409" s="48">
        <f t="shared" si="2302"/>
        <v>8.7500000100000008</v>
      </c>
      <c r="BR409" s="48">
        <f t="shared" si="2303"/>
        <v>8.7500000100000008</v>
      </c>
      <c r="BS409" s="48">
        <f t="shared" ref="BS409:BS415" si="2363">SUM(AO409:AQ409)</f>
        <v>8.7500000100000008</v>
      </c>
      <c r="BT409" s="48">
        <f t="shared" si="2305"/>
        <v>8.7500000100000044</v>
      </c>
      <c r="BU409" s="48">
        <f t="shared" si="2306"/>
        <v>8.7500000100000044</v>
      </c>
      <c r="BV409" s="48">
        <f t="shared" ref="BV409:BV415" si="2364">SUM(AR409:AT409)</f>
        <v>8.7500000100000044</v>
      </c>
      <c r="BW409" s="48">
        <f t="shared" si="2308"/>
        <v>8.7500000099999973</v>
      </c>
      <c r="BX409" s="48">
        <f t="shared" si="2309"/>
        <v>8.7500000099999973</v>
      </c>
      <c r="BY409" s="48">
        <f t="shared" ref="BY409:BY415" si="2365">SUM(AU409:AW409)</f>
        <v>8.7500000099999973</v>
      </c>
      <c r="BZ409" s="48">
        <f>CB409</f>
        <v>8.7479999999999993</v>
      </c>
      <c r="CA409" s="48">
        <f>CB409</f>
        <v>8.7479999999999993</v>
      </c>
      <c r="CB409" s="48">
        <f t="shared" si="2338"/>
        <v>8.7479999999999993</v>
      </c>
      <c r="CC409" s="48">
        <f>CE409</f>
        <v>8.75</v>
      </c>
      <c r="CD409" s="48">
        <f>CE409</f>
        <v>8.75</v>
      </c>
      <c r="CE409" s="48">
        <f>SUM(BA409:BC409)</f>
        <v>8.75</v>
      </c>
      <c r="CF409" s="48">
        <f t="shared" si="2316"/>
        <v>8.75</v>
      </c>
      <c r="CG409" s="48">
        <f t="shared" si="2317"/>
        <v>8.75</v>
      </c>
      <c r="CH409" s="48">
        <f>SUM(BD409:BF409)</f>
        <v>8.75</v>
      </c>
      <c r="CI409" s="48">
        <f t="shared" si="2319"/>
        <v>8.75</v>
      </c>
      <c r="CJ409" s="48">
        <f t="shared" si="2320"/>
        <v>8.75</v>
      </c>
      <c r="CK409" s="48">
        <f>SUM(BG409:BI409)</f>
        <v>8.75</v>
      </c>
      <c r="CL409" s="48">
        <f t="shared" si="2322"/>
        <v>0</v>
      </c>
      <c r="CM409" s="48">
        <f t="shared" si="2323"/>
        <v>0</v>
      </c>
      <c r="CN409" s="48">
        <f t="shared" ref="CN409:CN415" si="2366">SUM(BJ409:BL409)</f>
        <v>0</v>
      </c>
      <c r="CO409" s="406"/>
      <c r="CP409" s="48">
        <f>AL409</f>
        <v>2.9166666666666665</v>
      </c>
      <c r="CQ409" s="48">
        <f t="shared" ref="CQ409:CQ415" si="2367">CP409+AM409</f>
        <v>5.8333333366666666</v>
      </c>
      <c r="CR409" s="48">
        <f t="shared" ref="CR409:CR415" si="2368">CQ409+AN409</f>
        <v>8.7500000066666672</v>
      </c>
      <c r="CS409" s="48">
        <f t="shared" ref="CS409:CS415" si="2369">CR409+AO409</f>
        <v>11.666666676666667</v>
      </c>
      <c r="CT409" s="48">
        <f t="shared" ref="CT409:CT415" si="2370">CS409+AP409</f>
        <v>14.583333346666667</v>
      </c>
      <c r="CU409" s="48">
        <f t="shared" ref="CU409:CU415" si="2371">CT409+AQ409</f>
        <v>17.500000016666668</v>
      </c>
      <c r="CV409" s="48">
        <f t="shared" ref="CV409:CV415" si="2372">CU409+AR409</f>
        <v>20.41666668666667</v>
      </c>
      <c r="CW409" s="48">
        <f t="shared" ref="CW409:CW415" si="2373">CV409+AS409</f>
        <v>23.333333356666671</v>
      </c>
      <c r="CX409" s="48">
        <f t="shared" ref="CX409:CX415" si="2374">CW409+AT409</f>
        <v>26.250000026666672</v>
      </c>
      <c r="CY409" s="48">
        <f t="shared" ref="CY409:CY415" si="2375">CX409+AU409</f>
        <v>29.166666696666674</v>
      </c>
      <c r="CZ409" s="48">
        <f t="shared" ref="CZ409:CZ415" si="2376">CY409+AV409</f>
        <v>32.083333366666672</v>
      </c>
      <c r="DA409" s="48">
        <f t="shared" ref="DA409:DA415" si="2377">CZ409+AW409</f>
        <v>35.00000003666667</v>
      </c>
      <c r="DB409" s="119">
        <v>2.9166666666666665</v>
      </c>
      <c r="DC409" s="48">
        <f>DB409+2.917</f>
        <v>5.8336666666666659</v>
      </c>
      <c r="DD409" s="48">
        <f t="shared" ref="DD409:DM409" si="2378">DC409+2.917</f>
        <v>8.7506666666666657</v>
      </c>
      <c r="DE409" s="48">
        <f t="shared" si="2378"/>
        <v>11.667666666666666</v>
      </c>
      <c r="DF409" s="48">
        <f t="shared" si="2378"/>
        <v>14.584666666666665</v>
      </c>
      <c r="DG409" s="48">
        <f t="shared" si="2378"/>
        <v>17.501666666666665</v>
      </c>
      <c r="DH409" s="48">
        <f t="shared" si="2378"/>
        <v>20.418666666666667</v>
      </c>
      <c r="DI409" s="48">
        <f t="shared" si="2378"/>
        <v>23.335666666666668</v>
      </c>
      <c r="DJ409" s="48">
        <f t="shared" si="2378"/>
        <v>26.25266666666667</v>
      </c>
      <c r="DK409" s="48">
        <f t="shared" si="2378"/>
        <v>29.169666666666672</v>
      </c>
      <c r="DL409" s="48">
        <f t="shared" si="2378"/>
        <v>32.086666666666673</v>
      </c>
      <c r="DM409" s="48">
        <f t="shared" si="2378"/>
        <v>35.003666666666675</v>
      </c>
      <c r="DN409" s="48">
        <f t="shared" ref="DN409:DN414" si="2379">BJ409</f>
        <v>0</v>
      </c>
      <c r="DO409" s="48">
        <f>DN409+BK409</f>
        <v>0</v>
      </c>
      <c r="DP409" s="48">
        <f>DO409+BL409</f>
        <v>0</v>
      </c>
      <c r="DQ409" s="48"/>
      <c r="DR409" s="48"/>
      <c r="DS409" s="48"/>
      <c r="DT409" s="48"/>
      <c r="DU409" s="48"/>
      <c r="DV409" s="48"/>
      <c r="DW409" s="48"/>
      <c r="DX409" s="48"/>
      <c r="DY409" s="48"/>
      <c r="EA409" s="52">
        <f t="shared" si="2330"/>
        <v>35.00000003666667</v>
      </c>
      <c r="EB409" s="52">
        <f t="shared" si="2331"/>
        <v>35.003666666666675</v>
      </c>
      <c r="EC409" s="52"/>
      <c r="ED409" s="429"/>
      <c r="EE409" s="40">
        <f t="shared" si="2296"/>
        <v>0</v>
      </c>
      <c r="EF409" s="40">
        <f t="shared" si="2297"/>
        <v>0</v>
      </c>
      <c r="EG409" s="51">
        <f t="shared" si="2332"/>
        <v>35.003666666666675</v>
      </c>
      <c r="EH409" s="54"/>
      <c r="EI409" s="54"/>
      <c r="EJ409" s="54"/>
      <c r="EK409" s="675"/>
      <c r="EL409" s="53"/>
      <c r="EM409" s="53"/>
      <c r="EN409" s="53"/>
      <c r="EO409" s="49"/>
      <c r="EP409" s="49"/>
      <c r="EQ409" s="49"/>
    </row>
    <row r="410" spans="1:150">
      <c r="A410" s="6" t="s">
        <v>23</v>
      </c>
      <c r="B410" s="2" t="s">
        <v>9</v>
      </c>
      <c r="C410" s="3" t="s">
        <v>46</v>
      </c>
      <c r="E410" s="3" t="s">
        <v>16</v>
      </c>
      <c r="G410" s="3" t="s">
        <v>91</v>
      </c>
      <c r="I410" s="174"/>
      <c r="J410" s="171">
        <v>140.66666666666666</v>
      </c>
      <c r="K410" s="171">
        <v>281.33333366666665</v>
      </c>
      <c r="L410" s="171">
        <v>422.00000066666666</v>
      </c>
      <c r="M410" s="171">
        <v>562.66666766666663</v>
      </c>
      <c r="N410" s="171">
        <v>703.33333466666659</v>
      </c>
      <c r="O410" s="171">
        <v>844.00000166666655</v>
      </c>
      <c r="P410" s="171">
        <v>984.66666866666651</v>
      </c>
      <c r="Q410" s="171">
        <v>1125.3333356666665</v>
      </c>
      <c r="R410" s="171">
        <v>1266.0000026666664</v>
      </c>
      <c r="S410" s="171">
        <v>1406.6666696666664</v>
      </c>
      <c r="T410" s="171">
        <v>1547.3333366666664</v>
      </c>
      <c r="U410" s="171">
        <v>1688.0000036666663</v>
      </c>
      <c r="V410" s="219">
        <v>185.75</v>
      </c>
      <c r="W410" s="246">
        <f>V410+185.75</f>
        <v>371.5</v>
      </c>
      <c r="X410" s="376">
        <f t="shared" ref="X410:AG410" si="2380">W410+185.75</f>
        <v>557.25</v>
      </c>
      <c r="Y410" s="376">
        <f t="shared" si="2380"/>
        <v>743</v>
      </c>
      <c r="Z410" s="376">
        <f t="shared" si="2380"/>
        <v>928.75</v>
      </c>
      <c r="AA410" s="376">
        <f t="shared" si="2380"/>
        <v>1114.5</v>
      </c>
      <c r="AB410" s="376">
        <f t="shared" si="2380"/>
        <v>1300.25</v>
      </c>
      <c r="AC410" s="376">
        <f t="shared" si="2380"/>
        <v>1486</v>
      </c>
      <c r="AD410" s="376">
        <f t="shared" si="2380"/>
        <v>1671.75</v>
      </c>
      <c r="AE410" s="376">
        <f t="shared" si="2380"/>
        <v>1857.5</v>
      </c>
      <c r="AF410" s="376">
        <f t="shared" si="2380"/>
        <v>2043.25</v>
      </c>
      <c r="AG410" s="376">
        <f t="shared" si="2380"/>
        <v>2229</v>
      </c>
      <c r="AH410" s="31">
        <f>450*4.5/12</f>
        <v>168.75</v>
      </c>
      <c r="AI410" s="19">
        <f>AH410+AH410</f>
        <v>337.5</v>
      </c>
      <c r="AJ410" s="19">
        <f>+AI410+AH410</f>
        <v>506.25</v>
      </c>
      <c r="AK410" s="408"/>
      <c r="AL410" s="40">
        <f t="shared" ref="AL410:AL415" si="2381">J410</f>
        <v>140.66666666666666</v>
      </c>
      <c r="AM410" s="40">
        <f t="shared" ref="AM410:AM415" si="2382">K410-J410</f>
        <v>140.66666699999999</v>
      </c>
      <c r="AN410" s="40">
        <f t="shared" si="2348"/>
        <v>140.66666700000002</v>
      </c>
      <c r="AO410" s="40">
        <f t="shared" si="2349"/>
        <v>140.66666699999996</v>
      </c>
      <c r="AP410" s="40">
        <f t="shared" si="2350"/>
        <v>140.66666699999996</v>
      </c>
      <c r="AQ410" s="40">
        <f t="shared" si="2351"/>
        <v>140.66666699999996</v>
      </c>
      <c r="AR410" s="40">
        <f t="shared" si="2352"/>
        <v>140.66666699999996</v>
      </c>
      <c r="AS410" s="40">
        <f t="shared" si="2353"/>
        <v>140.66666699999996</v>
      </c>
      <c r="AT410" s="40">
        <f t="shared" si="2354"/>
        <v>140.66666699999996</v>
      </c>
      <c r="AU410" s="40">
        <f t="shared" si="2355"/>
        <v>140.66666699999996</v>
      </c>
      <c r="AV410" s="40">
        <f t="shared" si="2356"/>
        <v>140.66666699999996</v>
      </c>
      <c r="AW410" s="40">
        <f t="shared" si="2357"/>
        <v>140.66666699999996</v>
      </c>
      <c r="AX410" s="40">
        <f t="shared" ref="AX410:AX415" si="2383">V410</f>
        <v>185.75</v>
      </c>
      <c r="AY410" s="40">
        <f t="shared" ref="AY410:AY415" si="2384">W410-V410</f>
        <v>185.75</v>
      </c>
      <c r="AZ410" s="40">
        <f t="shared" ref="AZ410:AZ415" si="2385">X410-W410</f>
        <v>185.75</v>
      </c>
      <c r="BA410" s="40">
        <f t="shared" ref="BA410:BA415" si="2386">Y410-X410</f>
        <v>185.75</v>
      </c>
      <c r="BB410" s="40">
        <f t="shared" ref="BB410:BB415" si="2387">Z410-Y410</f>
        <v>185.75</v>
      </c>
      <c r="BC410" s="40">
        <f t="shared" ref="BC410:BC415" si="2388">AA410-Z410</f>
        <v>185.75</v>
      </c>
      <c r="BD410" s="40">
        <f t="shared" ref="BD410:BD415" si="2389">AB410-AA410</f>
        <v>185.75</v>
      </c>
      <c r="BE410" s="40">
        <f t="shared" ref="BE410:BE415" si="2390">AC410-AB410</f>
        <v>185.75</v>
      </c>
      <c r="BF410" s="40">
        <f t="shared" ref="BF410:BF415" si="2391">AD410-AC410</f>
        <v>185.75</v>
      </c>
      <c r="BG410" s="40">
        <f t="shared" ref="BG410:BG415" si="2392">AE410-AD410</f>
        <v>185.75</v>
      </c>
      <c r="BH410" s="40">
        <f t="shared" ref="BH410:BH415" si="2393">AF410-AE410</f>
        <v>185.75</v>
      </c>
      <c r="BI410" s="40">
        <f t="shared" ref="BI410:BI415" si="2394">AG410-AF410</f>
        <v>185.75</v>
      </c>
      <c r="BJ410" s="40">
        <f t="shared" si="2359"/>
        <v>168.75</v>
      </c>
      <c r="BK410" s="40">
        <f t="shared" ref="BK410" si="2395">AI410</f>
        <v>337.5</v>
      </c>
      <c r="BL410" s="40">
        <f t="shared" ref="BL410" si="2396">AJ410</f>
        <v>506.25</v>
      </c>
      <c r="BM410" s="408"/>
      <c r="BN410" s="48">
        <f t="shared" si="2299"/>
        <v>422.00000066666666</v>
      </c>
      <c r="BO410" s="48">
        <f t="shared" si="2300"/>
        <v>422.00000066666666</v>
      </c>
      <c r="BP410" s="48">
        <f t="shared" si="2362"/>
        <v>422.00000066666666</v>
      </c>
      <c r="BQ410" s="48">
        <f t="shared" si="2302"/>
        <v>422.00000099999988</v>
      </c>
      <c r="BR410" s="48">
        <f t="shared" si="2303"/>
        <v>422.00000099999988</v>
      </c>
      <c r="BS410" s="48">
        <f t="shared" si="2363"/>
        <v>422.00000099999988</v>
      </c>
      <c r="BT410" s="48">
        <f t="shared" si="2305"/>
        <v>422.00000099999988</v>
      </c>
      <c r="BU410" s="48">
        <f t="shared" si="2306"/>
        <v>422.00000099999988</v>
      </c>
      <c r="BV410" s="48">
        <f t="shared" si="2364"/>
        <v>422.00000099999988</v>
      </c>
      <c r="BW410" s="48">
        <f t="shared" si="2308"/>
        <v>422.00000099999988</v>
      </c>
      <c r="BX410" s="48">
        <f t="shared" si="2309"/>
        <v>422.00000099999988</v>
      </c>
      <c r="BY410" s="48">
        <f t="shared" si="2365"/>
        <v>422.00000099999988</v>
      </c>
      <c r="BZ410" s="48">
        <f t="shared" si="2311"/>
        <v>557.25</v>
      </c>
      <c r="CA410" s="48">
        <f t="shared" si="2312"/>
        <v>557.25</v>
      </c>
      <c r="CB410" s="48">
        <f t="shared" si="2338"/>
        <v>557.25</v>
      </c>
      <c r="CC410" s="48">
        <f t="shared" si="2313"/>
        <v>185.74999999999997</v>
      </c>
      <c r="CD410" s="48">
        <f t="shared" si="2314"/>
        <v>185.74999999999997</v>
      </c>
      <c r="CE410" s="56">
        <f>IF(CE409=0,0,(BA410*BA409+BB410*BB409+BC410*BC409)/CE409)</f>
        <v>185.74999999999997</v>
      </c>
      <c r="CF410" s="48">
        <f t="shared" si="2316"/>
        <v>185.74999999999997</v>
      </c>
      <c r="CG410" s="48">
        <f t="shared" si="2317"/>
        <v>185.74999999999997</v>
      </c>
      <c r="CH410" s="56">
        <f>IF(CH409=0,0,(BD410*BD409+BE410*BE409+BF410*BF409)/CH409)</f>
        <v>185.74999999999997</v>
      </c>
      <c r="CI410" s="48">
        <f t="shared" si="2319"/>
        <v>185.74999999999997</v>
      </c>
      <c r="CJ410" s="48">
        <f t="shared" si="2320"/>
        <v>185.74999999999997</v>
      </c>
      <c r="CK410" s="56">
        <f>IF(CK409=0,0,(BG410*BG409+BH410*BH409+BI410*BI409)/CK409)</f>
        <v>185.74999999999997</v>
      </c>
      <c r="CL410" s="48">
        <f t="shared" si="2322"/>
        <v>658.75</v>
      </c>
      <c r="CM410" s="48">
        <f t="shared" si="2323"/>
        <v>658.75</v>
      </c>
      <c r="CN410" s="48">
        <f>2635/4</f>
        <v>658.75</v>
      </c>
      <c r="CO410" s="406"/>
      <c r="CP410" s="48">
        <f t="shared" ref="CP410:CP415" si="2397">AL410</f>
        <v>140.66666666666666</v>
      </c>
      <c r="CQ410" s="48">
        <f t="shared" si="2367"/>
        <v>281.33333366666665</v>
      </c>
      <c r="CR410" s="48">
        <f t="shared" si="2368"/>
        <v>422.00000066666666</v>
      </c>
      <c r="CS410" s="48">
        <f t="shared" si="2369"/>
        <v>562.66666766666663</v>
      </c>
      <c r="CT410" s="48">
        <f t="shared" si="2370"/>
        <v>703.33333466666659</v>
      </c>
      <c r="CU410" s="48">
        <f t="shared" si="2371"/>
        <v>844.00000166666655</v>
      </c>
      <c r="CV410" s="48">
        <f t="shared" si="2372"/>
        <v>984.66666866666651</v>
      </c>
      <c r="CW410" s="48">
        <f t="shared" si="2373"/>
        <v>1125.3333356666665</v>
      </c>
      <c r="CX410" s="48">
        <f t="shared" si="2374"/>
        <v>1266.0000026666664</v>
      </c>
      <c r="CY410" s="48">
        <f t="shared" si="2375"/>
        <v>1406.6666696666664</v>
      </c>
      <c r="CZ410" s="48">
        <f t="shared" si="2376"/>
        <v>1547.3333366666664</v>
      </c>
      <c r="DA410" s="48">
        <f t="shared" si="2377"/>
        <v>1688.0000036666663</v>
      </c>
      <c r="DB410" s="48">
        <f t="shared" ref="DB410:DB415" si="2398">AX410</f>
        <v>185.75</v>
      </c>
      <c r="DC410" s="48">
        <f t="shared" ref="DC410:DC415" si="2399">DB410+AY410</f>
        <v>371.5</v>
      </c>
      <c r="DD410" s="48">
        <f t="shared" ref="DD410:DD415" si="2400">DC410+AZ410</f>
        <v>557.25</v>
      </c>
      <c r="DE410" s="48">
        <f t="shared" ref="DE410:DE415" si="2401">DD410+BA410</f>
        <v>743</v>
      </c>
      <c r="DF410" s="48">
        <f t="shared" ref="DF410:DF415" si="2402">DE410+BB410</f>
        <v>928.75</v>
      </c>
      <c r="DG410" s="48">
        <f t="shared" ref="DG410:DG415" si="2403">DF410+BC410</f>
        <v>1114.5</v>
      </c>
      <c r="DH410" s="48">
        <f t="shared" ref="DH410:DH415" si="2404">DG410+BD410</f>
        <v>1300.25</v>
      </c>
      <c r="DI410" s="48">
        <f t="shared" ref="DI410:DI415" si="2405">DH410+BE410</f>
        <v>1486</v>
      </c>
      <c r="DJ410" s="48">
        <f t="shared" ref="DJ410:DJ415" si="2406">DI410+BF410</f>
        <v>1671.75</v>
      </c>
      <c r="DK410" s="48">
        <f t="shared" ref="DK410:DK415" si="2407">DJ410+BG410</f>
        <v>1857.5</v>
      </c>
      <c r="DL410" s="48">
        <f t="shared" ref="DL410:DL415" si="2408">DK410+BH410</f>
        <v>2043.25</v>
      </c>
      <c r="DM410" s="48">
        <f t="shared" ref="DM410:DM415" si="2409">DL410+BI410</f>
        <v>2229</v>
      </c>
      <c r="DN410" s="48">
        <f t="shared" si="2379"/>
        <v>168.75</v>
      </c>
      <c r="DO410" s="48">
        <f t="shared" ref="DO410:DO415" si="2410">DN410+BK410</f>
        <v>506.25</v>
      </c>
      <c r="DP410" s="48">
        <f t="shared" ref="DP410:DP415" si="2411">DO410+BL410</f>
        <v>1012.5</v>
      </c>
      <c r="DQ410" s="48"/>
      <c r="DR410" s="48"/>
      <c r="DS410" s="48"/>
      <c r="DT410" s="48"/>
      <c r="DU410" s="48"/>
      <c r="DV410" s="48"/>
      <c r="DW410" s="48"/>
      <c r="DX410" s="48"/>
      <c r="DY410" s="48"/>
      <c r="EA410" s="52">
        <f t="shared" si="2330"/>
        <v>1688.0000036666663</v>
      </c>
      <c r="EB410" s="52">
        <f t="shared" si="2331"/>
        <v>2229</v>
      </c>
      <c r="EC410" s="52"/>
      <c r="ED410" s="429"/>
      <c r="EE410" s="40">
        <f t="shared" si="2296"/>
        <v>337.5</v>
      </c>
      <c r="EF410" s="40">
        <f t="shared" si="2297"/>
        <v>658.75</v>
      </c>
      <c r="EG410" s="51">
        <v>2635</v>
      </c>
      <c r="EH410" s="54"/>
      <c r="EI410" s="54"/>
      <c r="EJ410" s="54"/>
      <c r="EK410" s="675"/>
      <c r="EL410" s="53"/>
      <c r="EM410" s="53"/>
      <c r="EN410" s="53"/>
      <c r="EO410" s="49"/>
      <c r="EP410" s="49"/>
      <c r="EQ410" s="49"/>
    </row>
    <row r="411" spans="1:150">
      <c r="A411" s="6" t="s">
        <v>23</v>
      </c>
      <c r="B411" s="2" t="s">
        <v>10</v>
      </c>
      <c r="C411" s="3" t="s">
        <v>47</v>
      </c>
      <c r="E411" s="3" t="s">
        <v>16</v>
      </c>
      <c r="G411" s="3" t="s">
        <v>91</v>
      </c>
      <c r="I411" s="174"/>
      <c r="J411" s="171">
        <f>J410*0.07</f>
        <v>9.8466666666666676</v>
      </c>
      <c r="K411" s="171">
        <f t="shared" ref="K411:U411" si="2412">K410*0.07</f>
        <v>19.693333356666667</v>
      </c>
      <c r="L411" s="171">
        <f t="shared" si="2412"/>
        <v>29.54000004666667</v>
      </c>
      <c r="M411" s="171">
        <f t="shared" si="2412"/>
        <v>39.386666736666669</v>
      </c>
      <c r="N411" s="171">
        <f t="shared" si="2412"/>
        <v>49.233333426666668</v>
      </c>
      <c r="O411" s="171">
        <f t="shared" si="2412"/>
        <v>59.080000116666668</v>
      </c>
      <c r="P411" s="171">
        <f t="shared" si="2412"/>
        <v>68.92666680666666</v>
      </c>
      <c r="Q411" s="171">
        <f t="shared" si="2412"/>
        <v>78.773333496666666</v>
      </c>
      <c r="R411" s="171">
        <f t="shared" si="2412"/>
        <v>88.620000186666658</v>
      </c>
      <c r="S411" s="171">
        <f t="shared" si="2412"/>
        <v>98.46666687666665</v>
      </c>
      <c r="T411" s="171">
        <f t="shared" si="2412"/>
        <v>108.31333356666666</v>
      </c>
      <c r="U411" s="171">
        <f t="shared" si="2412"/>
        <v>118.16000025666665</v>
      </c>
      <c r="V411" s="219">
        <v>14.833</v>
      </c>
      <c r="W411" s="246">
        <f>V411+14.833</f>
        <v>29.666</v>
      </c>
      <c r="X411" s="376">
        <f t="shared" ref="X411:AG411" si="2413">W411+14.833</f>
        <v>44.499000000000002</v>
      </c>
      <c r="Y411" s="376">
        <f t="shared" si="2413"/>
        <v>59.332000000000001</v>
      </c>
      <c r="Z411" s="376">
        <f t="shared" si="2413"/>
        <v>74.165000000000006</v>
      </c>
      <c r="AA411" s="376">
        <f t="shared" si="2413"/>
        <v>88.998000000000005</v>
      </c>
      <c r="AB411" s="376">
        <f t="shared" si="2413"/>
        <v>103.831</v>
      </c>
      <c r="AC411" s="376">
        <f t="shared" si="2413"/>
        <v>118.664</v>
      </c>
      <c r="AD411" s="376">
        <f t="shared" si="2413"/>
        <v>133.49700000000001</v>
      </c>
      <c r="AE411" s="376">
        <f t="shared" si="2413"/>
        <v>148.33000000000001</v>
      </c>
      <c r="AF411" s="376">
        <f t="shared" si="2413"/>
        <v>163.16300000000001</v>
      </c>
      <c r="AG411" s="254">
        <f t="shared" si="2413"/>
        <v>177.99600000000001</v>
      </c>
      <c r="AH411" s="31"/>
      <c r="AI411" s="19"/>
      <c r="AJ411" s="19"/>
      <c r="AK411" s="408"/>
      <c r="AL411" s="40">
        <f t="shared" si="2381"/>
        <v>9.8466666666666676</v>
      </c>
      <c r="AM411" s="40">
        <f t="shared" si="2382"/>
        <v>9.8466666899999993</v>
      </c>
      <c r="AN411" s="40">
        <f t="shared" si="2348"/>
        <v>9.8466666900000028</v>
      </c>
      <c r="AO411" s="40">
        <f t="shared" si="2349"/>
        <v>9.8466666899999993</v>
      </c>
      <c r="AP411" s="40">
        <f t="shared" si="2350"/>
        <v>9.8466666899999993</v>
      </c>
      <c r="AQ411" s="40">
        <f t="shared" si="2351"/>
        <v>9.8466666899999993</v>
      </c>
      <c r="AR411" s="40">
        <f t="shared" si="2352"/>
        <v>9.8466666899999922</v>
      </c>
      <c r="AS411" s="40">
        <f t="shared" si="2353"/>
        <v>9.8466666900000064</v>
      </c>
      <c r="AT411" s="40">
        <f t="shared" si="2354"/>
        <v>9.8466666899999922</v>
      </c>
      <c r="AU411" s="40">
        <f t="shared" si="2355"/>
        <v>9.8466666899999922</v>
      </c>
      <c r="AV411" s="40">
        <f t="shared" si="2356"/>
        <v>9.8466666900000064</v>
      </c>
      <c r="AW411" s="40">
        <f t="shared" si="2357"/>
        <v>9.8466666899999922</v>
      </c>
      <c r="AX411" s="40">
        <f t="shared" si="2383"/>
        <v>14.833</v>
      </c>
      <c r="AY411" s="40">
        <f t="shared" si="2384"/>
        <v>14.833</v>
      </c>
      <c r="AZ411" s="40">
        <f t="shared" si="2385"/>
        <v>14.833000000000002</v>
      </c>
      <c r="BA411" s="40">
        <f t="shared" si="2386"/>
        <v>14.832999999999998</v>
      </c>
      <c r="BB411" s="40">
        <f t="shared" si="2387"/>
        <v>14.833000000000006</v>
      </c>
      <c r="BC411" s="40">
        <f t="shared" si="2388"/>
        <v>14.832999999999998</v>
      </c>
      <c r="BD411" s="40">
        <f t="shared" si="2389"/>
        <v>14.832999999999998</v>
      </c>
      <c r="BE411" s="40">
        <f t="shared" si="2390"/>
        <v>14.832999999999998</v>
      </c>
      <c r="BF411" s="40">
        <f t="shared" si="2391"/>
        <v>14.833000000000013</v>
      </c>
      <c r="BG411" s="40">
        <f t="shared" si="2392"/>
        <v>14.832999999999998</v>
      </c>
      <c r="BH411" s="40">
        <f t="shared" si="2393"/>
        <v>14.832999999999998</v>
      </c>
      <c r="BI411" s="40">
        <f t="shared" si="2394"/>
        <v>14.832999999999998</v>
      </c>
      <c r="BJ411" s="40">
        <f t="shared" si="2359"/>
        <v>0</v>
      </c>
      <c r="BK411" s="40">
        <f t="shared" si="2360"/>
        <v>0</v>
      </c>
      <c r="BL411" s="40">
        <f t="shared" si="2361"/>
        <v>0</v>
      </c>
      <c r="BM411" s="408"/>
      <c r="BN411" s="48">
        <f t="shared" si="2299"/>
        <v>29.54000004666667</v>
      </c>
      <c r="BO411" s="48">
        <f t="shared" si="2300"/>
        <v>29.54000004666667</v>
      </c>
      <c r="BP411" s="48">
        <f t="shared" si="2362"/>
        <v>29.54000004666667</v>
      </c>
      <c r="BQ411" s="48">
        <f t="shared" si="2302"/>
        <v>29.540000069999998</v>
      </c>
      <c r="BR411" s="48">
        <f t="shared" si="2303"/>
        <v>29.540000069999998</v>
      </c>
      <c r="BS411" s="48">
        <f t="shared" si="2363"/>
        <v>29.540000069999998</v>
      </c>
      <c r="BT411" s="48">
        <f t="shared" si="2305"/>
        <v>29.540000069999991</v>
      </c>
      <c r="BU411" s="48">
        <f t="shared" si="2306"/>
        <v>29.540000069999991</v>
      </c>
      <c r="BV411" s="48">
        <f t="shared" si="2364"/>
        <v>29.540000069999991</v>
      </c>
      <c r="BW411" s="48">
        <f t="shared" si="2308"/>
        <v>29.540000069999991</v>
      </c>
      <c r="BX411" s="48">
        <f t="shared" si="2309"/>
        <v>29.540000069999991</v>
      </c>
      <c r="BY411" s="48">
        <f t="shared" si="2365"/>
        <v>29.540000069999991</v>
      </c>
      <c r="BZ411" s="48">
        <f t="shared" si="2311"/>
        <v>44.499000000000002</v>
      </c>
      <c r="CA411" s="48">
        <f t="shared" si="2312"/>
        <v>44.499000000000002</v>
      </c>
      <c r="CB411" s="48">
        <f t="shared" si="2338"/>
        <v>44.499000000000002</v>
      </c>
      <c r="CC411" s="48">
        <f t="shared" si="2313"/>
        <v>44.499000000000002</v>
      </c>
      <c r="CD411" s="48">
        <f t="shared" si="2314"/>
        <v>44.499000000000002</v>
      </c>
      <c r="CE411" s="48">
        <f>SUM(BA411:BC411)</f>
        <v>44.499000000000002</v>
      </c>
      <c r="CF411" s="48">
        <f t="shared" si="2316"/>
        <v>44.499000000000009</v>
      </c>
      <c r="CG411" s="48">
        <f t="shared" si="2317"/>
        <v>44.499000000000009</v>
      </c>
      <c r="CH411" s="48">
        <f>SUM(BD411:BF411)</f>
        <v>44.499000000000009</v>
      </c>
      <c r="CI411" s="48">
        <f t="shared" si="2319"/>
        <v>44.498999999999995</v>
      </c>
      <c r="CJ411" s="48">
        <f t="shared" si="2320"/>
        <v>44.498999999999995</v>
      </c>
      <c r="CK411" s="48">
        <f>SUM(BG411:BI411)</f>
        <v>44.498999999999995</v>
      </c>
      <c r="CL411" s="48">
        <f t="shared" si="2322"/>
        <v>0</v>
      </c>
      <c r="CM411" s="48">
        <f t="shared" si="2323"/>
        <v>0</v>
      </c>
      <c r="CN411" s="48">
        <f t="shared" si="2366"/>
        <v>0</v>
      </c>
      <c r="CO411" s="406"/>
      <c r="CP411" s="48">
        <f t="shared" si="2397"/>
        <v>9.8466666666666676</v>
      </c>
      <c r="CQ411" s="48">
        <f t="shared" si="2367"/>
        <v>19.693333356666667</v>
      </c>
      <c r="CR411" s="48">
        <f t="shared" si="2368"/>
        <v>29.54000004666667</v>
      </c>
      <c r="CS411" s="48">
        <f t="shared" si="2369"/>
        <v>39.386666736666669</v>
      </c>
      <c r="CT411" s="48">
        <f t="shared" si="2370"/>
        <v>49.233333426666668</v>
      </c>
      <c r="CU411" s="48">
        <f t="shared" si="2371"/>
        <v>59.080000116666668</v>
      </c>
      <c r="CV411" s="48">
        <f t="shared" si="2372"/>
        <v>68.92666680666666</v>
      </c>
      <c r="CW411" s="48">
        <f t="shared" si="2373"/>
        <v>78.773333496666666</v>
      </c>
      <c r="CX411" s="48">
        <f t="shared" si="2374"/>
        <v>88.620000186666658</v>
      </c>
      <c r="CY411" s="48">
        <f t="shared" si="2375"/>
        <v>98.46666687666665</v>
      </c>
      <c r="CZ411" s="48">
        <f t="shared" si="2376"/>
        <v>108.31333356666666</v>
      </c>
      <c r="DA411" s="48">
        <f t="shared" si="2377"/>
        <v>118.16000025666665</v>
      </c>
      <c r="DB411" s="48">
        <f t="shared" si="2398"/>
        <v>14.833</v>
      </c>
      <c r="DC411" s="48">
        <f t="shared" si="2399"/>
        <v>29.666</v>
      </c>
      <c r="DD411" s="48">
        <f t="shared" si="2400"/>
        <v>44.499000000000002</v>
      </c>
      <c r="DE411" s="48">
        <f t="shared" si="2401"/>
        <v>59.332000000000001</v>
      </c>
      <c r="DF411" s="48">
        <f t="shared" si="2402"/>
        <v>74.165000000000006</v>
      </c>
      <c r="DG411" s="48">
        <f t="shared" si="2403"/>
        <v>88.998000000000005</v>
      </c>
      <c r="DH411" s="48">
        <f t="shared" si="2404"/>
        <v>103.831</v>
      </c>
      <c r="DI411" s="48">
        <f t="shared" si="2405"/>
        <v>118.664</v>
      </c>
      <c r="DJ411" s="48">
        <f t="shared" si="2406"/>
        <v>133.49700000000001</v>
      </c>
      <c r="DK411" s="48">
        <f t="shared" si="2407"/>
        <v>148.33000000000001</v>
      </c>
      <c r="DL411" s="48">
        <f t="shared" si="2408"/>
        <v>163.16300000000001</v>
      </c>
      <c r="DM411" s="48">
        <f t="shared" si="2409"/>
        <v>177.99600000000001</v>
      </c>
      <c r="DN411" s="48">
        <f t="shared" si="2379"/>
        <v>0</v>
      </c>
      <c r="DO411" s="48">
        <f t="shared" si="2410"/>
        <v>0</v>
      </c>
      <c r="DP411" s="48">
        <f t="shared" si="2411"/>
        <v>0</v>
      </c>
      <c r="DQ411" s="48"/>
      <c r="DR411" s="48"/>
      <c r="DS411" s="48"/>
      <c r="DT411" s="48"/>
      <c r="DU411" s="48"/>
      <c r="DV411" s="48"/>
      <c r="DW411" s="48"/>
      <c r="DX411" s="48"/>
      <c r="DY411" s="48"/>
      <c r="EA411" s="52">
        <f t="shared" si="2330"/>
        <v>118.16000025666665</v>
      </c>
      <c r="EB411" s="52">
        <f t="shared" si="2331"/>
        <v>177.99600000000001</v>
      </c>
      <c r="EC411" s="52"/>
      <c r="ED411" s="429"/>
      <c r="EE411" s="40">
        <f t="shared" si="2296"/>
        <v>0</v>
      </c>
      <c r="EF411" s="40">
        <f t="shared" si="2297"/>
        <v>0</v>
      </c>
      <c r="EG411" s="51">
        <f t="shared" si="2332"/>
        <v>177.99600000000001</v>
      </c>
      <c r="EH411" s="54"/>
      <c r="EI411" s="54"/>
      <c r="EJ411" s="54"/>
      <c r="EK411" s="675"/>
      <c r="EL411" s="53"/>
      <c r="EM411" s="53"/>
      <c r="EN411" s="53"/>
      <c r="EO411" s="49"/>
      <c r="EP411" s="49"/>
      <c r="EQ411" s="49"/>
    </row>
    <row r="412" spans="1:150">
      <c r="A412" s="6" t="s">
        <v>23</v>
      </c>
      <c r="B412" s="2" t="s">
        <v>11</v>
      </c>
      <c r="C412" s="3" t="s">
        <v>48</v>
      </c>
      <c r="E412" s="3" t="s">
        <v>16</v>
      </c>
      <c r="G412" s="3" t="s">
        <v>91</v>
      </c>
      <c r="I412" s="174"/>
      <c r="J412" s="171">
        <v>20.833333333333332</v>
      </c>
      <c r="K412" s="171">
        <v>41.666666633333335</v>
      </c>
      <c r="L412" s="171">
        <v>62.499999933333335</v>
      </c>
      <c r="M412" s="171">
        <v>83.333333233333335</v>
      </c>
      <c r="N412" s="171">
        <v>104.16666653333334</v>
      </c>
      <c r="O412" s="171">
        <v>124.99999983333333</v>
      </c>
      <c r="P412" s="171">
        <v>145.83333313333333</v>
      </c>
      <c r="Q412" s="171">
        <v>166.66666643333332</v>
      </c>
      <c r="R412" s="171">
        <v>187.49999973333331</v>
      </c>
      <c r="S412" s="171">
        <v>208.3333330333333</v>
      </c>
      <c r="T412" s="171">
        <v>229.1666663333333</v>
      </c>
      <c r="U412" s="171">
        <v>249.99999963333329</v>
      </c>
      <c r="V412" s="219">
        <v>19.916</v>
      </c>
      <c r="W412" s="246">
        <f>V412+19.916</f>
        <v>39.832000000000001</v>
      </c>
      <c r="X412" s="376">
        <f t="shared" ref="X412:AG412" si="2414">W412+19.916</f>
        <v>59.748000000000005</v>
      </c>
      <c r="Y412" s="376">
        <f t="shared" si="2414"/>
        <v>79.664000000000001</v>
      </c>
      <c r="Z412" s="376">
        <f t="shared" si="2414"/>
        <v>99.58</v>
      </c>
      <c r="AA412" s="376">
        <f t="shared" si="2414"/>
        <v>119.496</v>
      </c>
      <c r="AB412" s="376">
        <f t="shared" si="2414"/>
        <v>139.41200000000001</v>
      </c>
      <c r="AC412" s="376">
        <f t="shared" si="2414"/>
        <v>159.328</v>
      </c>
      <c r="AD412" s="376">
        <f t="shared" si="2414"/>
        <v>179.244</v>
      </c>
      <c r="AE412" s="376">
        <f t="shared" si="2414"/>
        <v>199.16</v>
      </c>
      <c r="AF412" s="376">
        <f t="shared" si="2414"/>
        <v>219.07599999999999</v>
      </c>
      <c r="AG412" s="263">
        <f t="shared" si="2414"/>
        <v>238.99199999999999</v>
      </c>
      <c r="AH412" s="31"/>
      <c r="AI412" s="19"/>
      <c r="AJ412" s="19"/>
      <c r="AK412" s="408"/>
      <c r="AL412" s="40">
        <f t="shared" si="2381"/>
        <v>20.833333333333332</v>
      </c>
      <c r="AM412" s="40">
        <f t="shared" si="2382"/>
        <v>20.833333300000003</v>
      </c>
      <c r="AN412" s="40">
        <f t="shared" si="2348"/>
        <v>20.8333333</v>
      </c>
      <c r="AO412" s="40">
        <f t="shared" si="2349"/>
        <v>20.8333333</v>
      </c>
      <c r="AP412" s="40">
        <f t="shared" si="2350"/>
        <v>20.833333300000007</v>
      </c>
      <c r="AQ412" s="40">
        <f t="shared" si="2351"/>
        <v>20.833333299999993</v>
      </c>
      <c r="AR412" s="40">
        <f t="shared" si="2352"/>
        <v>20.833333299999993</v>
      </c>
      <c r="AS412" s="40">
        <f t="shared" si="2353"/>
        <v>20.833333299999993</v>
      </c>
      <c r="AT412" s="40">
        <f t="shared" si="2354"/>
        <v>20.833333299999993</v>
      </c>
      <c r="AU412" s="40">
        <f t="shared" si="2355"/>
        <v>20.833333299999993</v>
      </c>
      <c r="AV412" s="40">
        <f t="shared" si="2356"/>
        <v>20.833333299999993</v>
      </c>
      <c r="AW412" s="40">
        <f t="shared" si="2357"/>
        <v>20.833333299999993</v>
      </c>
      <c r="AX412" s="40">
        <f t="shared" si="2383"/>
        <v>19.916</v>
      </c>
      <c r="AY412" s="40">
        <f t="shared" si="2384"/>
        <v>19.916</v>
      </c>
      <c r="AZ412" s="40">
        <f t="shared" si="2385"/>
        <v>19.916000000000004</v>
      </c>
      <c r="BA412" s="40">
        <f t="shared" si="2386"/>
        <v>19.915999999999997</v>
      </c>
      <c r="BB412" s="40">
        <f t="shared" si="2387"/>
        <v>19.915999999999997</v>
      </c>
      <c r="BC412" s="40">
        <f t="shared" si="2388"/>
        <v>19.915999999999997</v>
      </c>
      <c r="BD412" s="40">
        <f t="shared" si="2389"/>
        <v>19.916000000000011</v>
      </c>
      <c r="BE412" s="40">
        <f t="shared" si="2390"/>
        <v>19.915999999999997</v>
      </c>
      <c r="BF412" s="40">
        <f t="shared" si="2391"/>
        <v>19.915999999999997</v>
      </c>
      <c r="BG412" s="40">
        <f t="shared" si="2392"/>
        <v>19.915999999999997</v>
      </c>
      <c r="BH412" s="40">
        <f t="shared" si="2393"/>
        <v>19.915999999999997</v>
      </c>
      <c r="BI412" s="40">
        <f t="shared" si="2394"/>
        <v>19.915999999999997</v>
      </c>
      <c r="BJ412" s="40">
        <f t="shared" si="2359"/>
        <v>0</v>
      </c>
      <c r="BK412" s="40">
        <f t="shared" si="2360"/>
        <v>0</v>
      </c>
      <c r="BL412" s="40">
        <f t="shared" si="2361"/>
        <v>0</v>
      </c>
      <c r="BM412" s="408"/>
      <c r="BN412" s="48">
        <f t="shared" si="2299"/>
        <v>62.499999933333335</v>
      </c>
      <c r="BO412" s="48">
        <f t="shared" si="2300"/>
        <v>62.499999933333335</v>
      </c>
      <c r="BP412" s="48">
        <f t="shared" si="2362"/>
        <v>62.499999933333335</v>
      </c>
      <c r="BQ412" s="48">
        <f t="shared" si="2302"/>
        <v>62.499999899999999</v>
      </c>
      <c r="BR412" s="48">
        <f t="shared" si="2303"/>
        <v>62.499999899999999</v>
      </c>
      <c r="BS412" s="48">
        <f t="shared" si="2363"/>
        <v>62.499999899999999</v>
      </c>
      <c r="BT412" s="48">
        <f t="shared" si="2305"/>
        <v>62.499999899999978</v>
      </c>
      <c r="BU412" s="48">
        <f t="shared" si="2306"/>
        <v>62.499999899999978</v>
      </c>
      <c r="BV412" s="48">
        <f t="shared" si="2364"/>
        <v>62.499999899999978</v>
      </c>
      <c r="BW412" s="48">
        <f t="shared" si="2308"/>
        <v>62.499999899999978</v>
      </c>
      <c r="BX412" s="48">
        <f t="shared" si="2309"/>
        <v>62.499999899999978</v>
      </c>
      <c r="BY412" s="48">
        <f t="shared" si="2365"/>
        <v>62.499999899999978</v>
      </c>
      <c r="BZ412" s="48">
        <f t="shared" si="2311"/>
        <v>59.748000000000005</v>
      </c>
      <c r="CA412" s="48">
        <f t="shared" si="2312"/>
        <v>59.748000000000005</v>
      </c>
      <c r="CB412" s="48">
        <f t="shared" si="2338"/>
        <v>59.748000000000005</v>
      </c>
      <c r="CC412" s="48">
        <f t="shared" si="2313"/>
        <v>119.496</v>
      </c>
      <c r="CD412" s="48">
        <f t="shared" si="2314"/>
        <v>119.496</v>
      </c>
      <c r="CE412" s="48">
        <f>AA412</f>
        <v>119.496</v>
      </c>
      <c r="CF412" s="48">
        <f>CH412</f>
        <v>179.244</v>
      </c>
      <c r="CG412" s="48">
        <f>CH412</f>
        <v>179.244</v>
      </c>
      <c r="CH412" s="48">
        <f>AD412</f>
        <v>179.244</v>
      </c>
      <c r="CI412" s="48">
        <f>CK412</f>
        <v>238.99199999999999</v>
      </c>
      <c r="CJ412" s="48">
        <f>CK412</f>
        <v>238.99199999999999</v>
      </c>
      <c r="CK412" s="48">
        <f>AG412</f>
        <v>238.99199999999999</v>
      </c>
      <c r="CL412" s="48">
        <f>CN412</f>
        <v>0</v>
      </c>
      <c r="CM412" s="48">
        <f>CN412</f>
        <v>0</v>
      </c>
      <c r="CN412" s="48">
        <f t="shared" si="2366"/>
        <v>0</v>
      </c>
      <c r="CO412" s="406"/>
      <c r="CP412" s="48">
        <f t="shared" si="2397"/>
        <v>20.833333333333332</v>
      </c>
      <c r="CQ412" s="48">
        <f t="shared" si="2367"/>
        <v>41.666666633333335</v>
      </c>
      <c r="CR412" s="48">
        <f t="shared" si="2368"/>
        <v>62.499999933333335</v>
      </c>
      <c r="CS412" s="48">
        <f t="shared" si="2369"/>
        <v>83.333333233333335</v>
      </c>
      <c r="CT412" s="48">
        <f t="shared" si="2370"/>
        <v>104.16666653333334</v>
      </c>
      <c r="CU412" s="48">
        <f t="shared" si="2371"/>
        <v>124.99999983333333</v>
      </c>
      <c r="CV412" s="48">
        <f t="shared" si="2372"/>
        <v>145.83333313333333</v>
      </c>
      <c r="CW412" s="48">
        <f t="shared" si="2373"/>
        <v>166.66666643333332</v>
      </c>
      <c r="CX412" s="48">
        <f t="shared" si="2374"/>
        <v>187.49999973333331</v>
      </c>
      <c r="CY412" s="48">
        <f t="shared" si="2375"/>
        <v>208.3333330333333</v>
      </c>
      <c r="CZ412" s="48">
        <f t="shared" si="2376"/>
        <v>229.1666663333333</v>
      </c>
      <c r="DA412" s="48">
        <f t="shared" si="2377"/>
        <v>249.99999963333329</v>
      </c>
      <c r="DB412" s="48">
        <v>19.916</v>
      </c>
      <c r="DC412" s="48">
        <f>DB412+19.916</f>
        <v>39.832000000000001</v>
      </c>
      <c r="DD412" s="48">
        <f t="shared" ref="DD412:DM412" si="2415">DC412+19.916</f>
        <v>59.748000000000005</v>
      </c>
      <c r="DE412" s="48">
        <f t="shared" si="2415"/>
        <v>79.664000000000001</v>
      </c>
      <c r="DF412" s="48">
        <f t="shared" si="2415"/>
        <v>99.58</v>
      </c>
      <c r="DG412" s="48">
        <f t="shared" si="2415"/>
        <v>119.496</v>
      </c>
      <c r="DH412" s="48">
        <f t="shared" si="2415"/>
        <v>139.41200000000001</v>
      </c>
      <c r="DI412" s="48">
        <f t="shared" si="2415"/>
        <v>159.328</v>
      </c>
      <c r="DJ412" s="48">
        <f t="shared" si="2415"/>
        <v>179.244</v>
      </c>
      <c r="DK412" s="48">
        <f t="shared" si="2415"/>
        <v>199.16</v>
      </c>
      <c r="DL412" s="48">
        <f t="shared" si="2415"/>
        <v>219.07599999999999</v>
      </c>
      <c r="DM412" s="48">
        <f t="shared" si="2415"/>
        <v>238.99199999999999</v>
      </c>
      <c r="DN412" s="48">
        <f t="shared" si="2379"/>
        <v>0</v>
      </c>
      <c r="DO412" s="48">
        <f t="shared" si="2410"/>
        <v>0</v>
      </c>
      <c r="DP412" s="48">
        <f t="shared" si="2411"/>
        <v>0</v>
      </c>
      <c r="DQ412" s="48"/>
      <c r="DR412" s="48"/>
      <c r="DS412" s="48"/>
      <c r="DT412" s="48"/>
      <c r="DU412" s="48"/>
      <c r="DV412" s="48"/>
      <c r="DW412" s="48"/>
      <c r="DX412" s="48"/>
      <c r="DY412" s="48"/>
      <c r="EA412" s="52">
        <f t="shared" si="2330"/>
        <v>249.99999963333329</v>
      </c>
      <c r="EB412" s="52">
        <f t="shared" si="2331"/>
        <v>238.99199999999999</v>
      </c>
      <c r="EC412" s="52"/>
      <c r="ED412" s="429"/>
      <c r="EE412" s="40">
        <f t="shared" si="2296"/>
        <v>0</v>
      </c>
      <c r="EF412" s="40">
        <f t="shared" si="2297"/>
        <v>0</v>
      </c>
      <c r="EG412" s="51">
        <f t="shared" si="2332"/>
        <v>238.99199999999999</v>
      </c>
      <c r="EH412" s="54"/>
      <c r="EI412" s="54"/>
      <c r="EJ412" s="54"/>
      <c r="EK412" s="675"/>
      <c r="EL412" s="53"/>
      <c r="EM412" s="53"/>
      <c r="EN412" s="53"/>
      <c r="EO412" s="49"/>
      <c r="EP412" s="49"/>
      <c r="EQ412" s="49"/>
    </row>
    <row r="413" spans="1:150">
      <c r="A413" s="6" t="s">
        <v>23</v>
      </c>
      <c r="B413" s="2" t="s">
        <v>12</v>
      </c>
      <c r="C413" s="3" t="s">
        <v>49</v>
      </c>
      <c r="E413" s="3" t="s">
        <v>16</v>
      </c>
      <c r="G413" s="3" t="s">
        <v>91</v>
      </c>
      <c r="I413" s="174"/>
      <c r="J413" s="171">
        <v>20.833333333333332</v>
      </c>
      <c r="K413" s="171">
        <v>41.666666633333335</v>
      </c>
      <c r="L413" s="171">
        <v>62.499999933333335</v>
      </c>
      <c r="M413" s="171">
        <v>83.333333233333335</v>
      </c>
      <c r="N413" s="171">
        <v>104.16666653333334</v>
      </c>
      <c r="O413" s="171">
        <v>124.99999983333333</v>
      </c>
      <c r="P413" s="171">
        <v>145.83333313333333</v>
      </c>
      <c r="Q413" s="171">
        <v>166.66666643333332</v>
      </c>
      <c r="R413" s="171">
        <v>187.49999973333331</v>
      </c>
      <c r="S413" s="171">
        <v>208.3333330333333</v>
      </c>
      <c r="T413" s="171">
        <v>229.1666663333333</v>
      </c>
      <c r="U413" s="171">
        <v>249.99999963333329</v>
      </c>
      <c r="V413" s="219">
        <v>24.75</v>
      </c>
      <c r="W413" s="246">
        <f>V413+24.75</f>
        <v>49.5</v>
      </c>
      <c r="X413" s="376">
        <f t="shared" ref="X413:AG413" si="2416">W413+24.75</f>
        <v>74.25</v>
      </c>
      <c r="Y413" s="376">
        <f t="shared" si="2416"/>
        <v>99</v>
      </c>
      <c r="Z413" s="376">
        <f t="shared" si="2416"/>
        <v>123.75</v>
      </c>
      <c r="AA413" s="376">
        <f t="shared" si="2416"/>
        <v>148.5</v>
      </c>
      <c r="AB413" s="376">
        <f t="shared" si="2416"/>
        <v>173.25</v>
      </c>
      <c r="AC413" s="376">
        <f t="shared" si="2416"/>
        <v>198</v>
      </c>
      <c r="AD413" s="376">
        <f t="shared" si="2416"/>
        <v>222.75</v>
      </c>
      <c r="AE413" s="376">
        <f t="shared" si="2416"/>
        <v>247.5</v>
      </c>
      <c r="AF413" s="376">
        <f t="shared" si="2416"/>
        <v>272.25</v>
      </c>
      <c r="AG413" s="376">
        <f t="shared" si="2416"/>
        <v>297</v>
      </c>
      <c r="AH413" s="31"/>
      <c r="AI413" s="19"/>
      <c r="AJ413" s="19"/>
      <c r="AK413" s="408"/>
      <c r="AL413" s="40">
        <f t="shared" si="2381"/>
        <v>20.833333333333332</v>
      </c>
      <c r="AM413" s="40">
        <f t="shared" si="2382"/>
        <v>20.833333300000003</v>
      </c>
      <c r="AN413" s="40">
        <f t="shared" si="2348"/>
        <v>20.8333333</v>
      </c>
      <c r="AO413" s="40">
        <f t="shared" si="2349"/>
        <v>20.8333333</v>
      </c>
      <c r="AP413" s="40">
        <f t="shared" si="2350"/>
        <v>20.833333300000007</v>
      </c>
      <c r="AQ413" s="40">
        <f t="shared" si="2351"/>
        <v>20.833333299999993</v>
      </c>
      <c r="AR413" s="40">
        <f t="shared" si="2352"/>
        <v>20.833333299999993</v>
      </c>
      <c r="AS413" s="40">
        <f t="shared" si="2353"/>
        <v>20.833333299999993</v>
      </c>
      <c r="AT413" s="40">
        <f t="shared" si="2354"/>
        <v>20.833333299999993</v>
      </c>
      <c r="AU413" s="40">
        <f t="shared" si="2355"/>
        <v>20.833333299999993</v>
      </c>
      <c r="AV413" s="40">
        <f t="shared" si="2356"/>
        <v>20.833333299999993</v>
      </c>
      <c r="AW413" s="40">
        <f t="shared" si="2357"/>
        <v>20.833333299999993</v>
      </c>
      <c r="AX413" s="40">
        <f t="shared" si="2383"/>
        <v>24.75</v>
      </c>
      <c r="AY413" s="40">
        <f t="shared" si="2384"/>
        <v>24.75</v>
      </c>
      <c r="AZ413" s="40">
        <f t="shared" si="2385"/>
        <v>24.75</v>
      </c>
      <c r="BA413" s="40">
        <f t="shared" si="2386"/>
        <v>24.75</v>
      </c>
      <c r="BB413" s="40">
        <f t="shared" si="2387"/>
        <v>24.75</v>
      </c>
      <c r="BC413" s="40">
        <f t="shared" si="2388"/>
        <v>24.75</v>
      </c>
      <c r="BD413" s="40">
        <f t="shared" si="2389"/>
        <v>24.75</v>
      </c>
      <c r="BE413" s="40">
        <f t="shared" si="2390"/>
        <v>24.75</v>
      </c>
      <c r="BF413" s="40">
        <f t="shared" si="2391"/>
        <v>24.75</v>
      </c>
      <c r="BG413" s="40">
        <f t="shared" si="2392"/>
        <v>24.75</v>
      </c>
      <c r="BH413" s="40">
        <f t="shared" si="2393"/>
        <v>24.75</v>
      </c>
      <c r="BI413" s="40">
        <f t="shared" si="2394"/>
        <v>24.75</v>
      </c>
      <c r="BJ413" s="40">
        <f t="shared" si="2359"/>
        <v>0</v>
      </c>
      <c r="BK413" s="40">
        <f t="shared" si="2360"/>
        <v>0</v>
      </c>
      <c r="BL413" s="40">
        <f t="shared" si="2361"/>
        <v>0</v>
      </c>
      <c r="BM413" s="408"/>
      <c r="BN413" s="48">
        <f t="shared" si="2299"/>
        <v>62.499999933333335</v>
      </c>
      <c r="BO413" s="48">
        <f t="shared" si="2300"/>
        <v>62.499999933333335</v>
      </c>
      <c r="BP413" s="48">
        <f t="shared" si="2362"/>
        <v>62.499999933333335</v>
      </c>
      <c r="BQ413" s="48">
        <f t="shared" si="2302"/>
        <v>62.499999899999999</v>
      </c>
      <c r="BR413" s="48">
        <f t="shared" si="2303"/>
        <v>62.499999899999999</v>
      </c>
      <c r="BS413" s="48">
        <f t="shared" si="2363"/>
        <v>62.499999899999999</v>
      </c>
      <c r="BT413" s="48">
        <f t="shared" si="2305"/>
        <v>62.499999899999978</v>
      </c>
      <c r="BU413" s="48">
        <f t="shared" si="2306"/>
        <v>62.499999899999978</v>
      </c>
      <c r="BV413" s="48">
        <f t="shared" si="2364"/>
        <v>62.499999899999978</v>
      </c>
      <c r="BW413" s="48">
        <f t="shared" si="2308"/>
        <v>62.499999899999978</v>
      </c>
      <c r="BX413" s="48">
        <f t="shared" si="2309"/>
        <v>62.499999899999978</v>
      </c>
      <c r="BY413" s="48">
        <f t="shared" si="2365"/>
        <v>62.499999899999978</v>
      </c>
      <c r="BZ413" s="48">
        <f t="shared" si="2311"/>
        <v>74.25</v>
      </c>
      <c r="CA413" s="48">
        <f t="shared" si="2312"/>
        <v>74.25</v>
      </c>
      <c r="CB413" s="48">
        <f t="shared" si="2338"/>
        <v>74.25</v>
      </c>
      <c r="CC413" s="48">
        <f t="shared" si="2313"/>
        <v>148.5</v>
      </c>
      <c r="CD413" s="48">
        <f t="shared" si="2314"/>
        <v>148.5</v>
      </c>
      <c r="CE413" s="48">
        <f>AA413</f>
        <v>148.5</v>
      </c>
      <c r="CF413" s="48">
        <f>CH413</f>
        <v>222.75</v>
      </c>
      <c r="CG413" s="48">
        <f>CH413</f>
        <v>222.75</v>
      </c>
      <c r="CH413" s="48">
        <f>AD413</f>
        <v>222.75</v>
      </c>
      <c r="CI413" s="48">
        <f>CK413</f>
        <v>297</v>
      </c>
      <c r="CJ413" s="48">
        <f>CK413</f>
        <v>297</v>
      </c>
      <c r="CK413" s="48">
        <f>AG413</f>
        <v>297</v>
      </c>
      <c r="CL413" s="48">
        <f>CN413</f>
        <v>0</v>
      </c>
      <c r="CM413" s="48">
        <f>CN413</f>
        <v>0</v>
      </c>
      <c r="CN413" s="48">
        <f t="shared" si="2366"/>
        <v>0</v>
      </c>
      <c r="CO413" s="406"/>
      <c r="CP413" s="48">
        <f t="shared" si="2397"/>
        <v>20.833333333333332</v>
      </c>
      <c r="CQ413" s="48">
        <f t="shared" si="2367"/>
        <v>41.666666633333335</v>
      </c>
      <c r="CR413" s="48">
        <f t="shared" si="2368"/>
        <v>62.499999933333335</v>
      </c>
      <c r="CS413" s="48">
        <f t="shared" si="2369"/>
        <v>83.333333233333335</v>
      </c>
      <c r="CT413" s="48">
        <f t="shared" si="2370"/>
        <v>104.16666653333334</v>
      </c>
      <c r="CU413" s="48">
        <f t="shared" si="2371"/>
        <v>124.99999983333333</v>
      </c>
      <c r="CV413" s="48">
        <f t="shared" si="2372"/>
        <v>145.83333313333333</v>
      </c>
      <c r="CW413" s="48">
        <f t="shared" si="2373"/>
        <v>166.66666643333332</v>
      </c>
      <c r="CX413" s="48">
        <f t="shared" si="2374"/>
        <v>187.49999973333331</v>
      </c>
      <c r="CY413" s="48">
        <f t="shared" si="2375"/>
        <v>208.3333330333333</v>
      </c>
      <c r="CZ413" s="48">
        <f t="shared" si="2376"/>
        <v>229.1666663333333</v>
      </c>
      <c r="DA413" s="48">
        <f t="shared" si="2377"/>
        <v>249.99999963333329</v>
      </c>
      <c r="DB413" s="48">
        <v>24.75</v>
      </c>
      <c r="DC413" s="48">
        <f>DB413+24.75</f>
        <v>49.5</v>
      </c>
      <c r="DD413" s="48">
        <f t="shared" ref="DD413:DM413" si="2417">DC413+24.75</f>
        <v>74.25</v>
      </c>
      <c r="DE413" s="48">
        <f t="shared" si="2417"/>
        <v>99</v>
      </c>
      <c r="DF413" s="48">
        <f t="shared" si="2417"/>
        <v>123.75</v>
      </c>
      <c r="DG413" s="48">
        <f t="shared" si="2417"/>
        <v>148.5</v>
      </c>
      <c r="DH413" s="48">
        <f t="shared" si="2417"/>
        <v>173.25</v>
      </c>
      <c r="DI413" s="48">
        <f t="shared" si="2417"/>
        <v>198</v>
      </c>
      <c r="DJ413" s="48">
        <f t="shared" si="2417"/>
        <v>222.75</v>
      </c>
      <c r="DK413" s="48">
        <f t="shared" si="2417"/>
        <v>247.5</v>
      </c>
      <c r="DL413" s="48">
        <f t="shared" si="2417"/>
        <v>272.25</v>
      </c>
      <c r="DM413" s="48">
        <f t="shared" si="2417"/>
        <v>297</v>
      </c>
      <c r="DN413" s="48">
        <f t="shared" si="2379"/>
        <v>0</v>
      </c>
      <c r="DO413" s="48">
        <f t="shared" si="2410"/>
        <v>0</v>
      </c>
      <c r="DP413" s="48">
        <f t="shared" si="2411"/>
        <v>0</v>
      </c>
      <c r="DQ413" s="48"/>
      <c r="DR413" s="48"/>
      <c r="DS413" s="48"/>
      <c r="DT413" s="48"/>
      <c r="DU413" s="48"/>
      <c r="DV413" s="48"/>
      <c r="DW413" s="48"/>
      <c r="DX413" s="48"/>
      <c r="DY413" s="48"/>
      <c r="EA413" s="52">
        <f t="shared" si="2330"/>
        <v>249.99999963333329</v>
      </c>
      <c r="EB413" s="52">
        <f t="shared" si="2331"/>
        <v>297</v>
      </c>
      <c r="EC413" s="52"/>
      <c r="ED413" s="429"/>
      <c r="EE413" s="40">
        <f t="shared" si="2296"/>
        <v>0</v>
      </c>
      <c r="EF413" s="40">
        <f t="shared" si="2297"/>
        <v>0</v>
      </c>
      <c r="EG413" s="51">
        <f t="shared" si="2332"/>
        <v>297</v>
      </c>
      <c r="EH413" s="54"/>
      <c r="EI413" s="54"/>
      <c r="EJ413" s="54"/>
      <c r="EK413" s="675"/>
      <c r="EL413" s="53"/>
      <c r="EM413" s="53"/>
      <c r="EN413" s="53"/>
      <c r="EO413" s="49"/>
      <c r="EP413" s="49"/>
      <c r="EQ413" s="49"/>
    </row>
    <row r="414" spans="1:150">
      <c r="A414" s="6" t="s">
        <v>23</v>
      </c>
      <c r="B414" s="2" t="s">
        <v>143</v>
      </c>
      <c r="C414" s="3" t="s">
        <v>50</v>
      </c>
      <c r="E414" s="3" t="s">
        <v>16</v>
      </c>
      <c r="G414" s="3" t="s">
        <v>91</v>
      </c>
      <c r="I414" s="174"/>
      <c r="J414" s="171">
        <v>0</v>
      </c>
      <c r="K414" s="171">
        <v>0</v>
      </c>
      <c r="L414" s="171">
        <v>2</v>
      </c>
      <c r="M414" s="171">
        <v>2</v>
      </c>
      <c r="N414" s="171">
        <v>2</v>
      </c>
      <c r="O414" s="171">
        <v>2</v>
      </c>
      <c r="P414" s="171">
        <v>4</v>
      </c>
      <c r="Q414" s="171">
        <v>4</v>
      </c>
      <c r="R414" s="171">
        <v>4</v>
      </c>
      <c r="S414" s="171">
        <v>4</v>
      </c>
      <c r="T414" s="171">
        <v>6</v>
      </c>
      <c r="U414" s="171">
        <v>6</v>
      </c>
      <c r="V414" s="219">
        <v>0</v>
      </c>
      <c r="W414" s="246">
        <v>4</v>
      </c>
      <c r="X414" s="246">
        <v>4</v>
      </c>
      <c r="Y414" s="246">
        <f>X414</f>
        <v>4</v>
      </c>
      <c r="Z414" s="246">
        <f>Y414</f>
        <v>4</v>
      </c>
      <c r="AA414" s="246">
        <f>Z414</f>
        <v>4</v>
      </c>
      <c r="AB414" s="246">
        <v>8</v>
      </c>
      <c r="AC414" s="246">
        <f t="shared" ref="AC414:AE415" si="2418">AB414</f>
        <v>8</v>
      </c>
      <c r="AD414" s="246">
        <f t="shared" si="2418"/>
        <v>8</v>
      </c>
      <c r="AE414" s="246">
        <f t="shared" si="2418"/>
        <v>8</v>
      </c>
      <c r="AF414" s="246">
        <v>12</v>
      </c>
      <c r="AG414" s="246">
        <v>12</v>
      </c>
      <c r="AH414" s="31"/>
      <c r="AI414" s="19"/>
      <c r="AJ414" s="19"/>
      <c r="AK414" s="408"/>
      <c r="AL414" s="40">
        <f t="shared" si="2381"/>
        <v>0</v>
      </c>
      <c r="AM414" s="40">
        <f t="shared" si="2382"/>
        <v>0</v>
      </c>
      <c r="AN414" s="40">
        <f t="shared" si="2348"/>
        <v>2</v>
      </c>
      <c r="AO414" s="40">
        <f t="shared" si="2349"/>
        <v>0</v>
      </c>
      <c r="AP414" s="40">
        <f t="shared" si="2350"/>
        <v>0</v>
      </c>
      <c r="AQ414" s="40">
        <f t="shared" si="2351"/>
        <v>0</v>
      </c>
      <c r="AR414" s="40">
        <f t="shared" si="2352"/>
        <v>2</v>
      </c>
      <c r="AS414" s="40">
        <f t="shared" si="2353"/>
        <v>0</v>
      </c>
      <c r="AT414" s="40">
        <f t="shared" si="2354"/>
        <v>0</v>
      </c>
      <c r="AU414" s="40">
        <f t="shared" si="2355"/>
        <v>0</v>
      </c>
      <c r="AV414" s="40">
        <f t="shared" si="2356"/>
        <v>2</v>
      </c>
      <c r="AW414" s="40">
        <f t="shared" si="2357"/>
        <v>0</v>
      </c>
      <c r="AX414" s="40">
        <f t="shared" si="2383"/>
        <v>0</v>
      </c>
      <c r="AY414" s="40">
        <f t="shared" si="2384"/>
        <v>4</v>
      </c>
      <c r="AZ414" s="40">
        <f t="shared" si="2385"/>
        <v>0</v>
      </c>
      <c r="BA414" s="40">
        <f t="shared" si="2386"/>
        <v>0</v>
      </c>
      <c r="BB414" s="40">
        <f t="shared" si="2387"/>
        <v>0</v>
      </c>
      <c r="BC414" s="40">
        <f t="shared" si="2388"/>
        <v>0</v>
      </c>
      <c r="BD414" s="40">
        <f t="shared" si="2389"/>
        <v>4</v>
      </c>
      <c r="BE414" s="40">
        <f t="shared" si="2390"/>
        <v>0</v>
      </c>
      <c r="BF414" s="40">
        <f t="shared" si="2391"/>
        <v>0</v>
      </c>
      <c r="BG414" s="40">
        <f t="shared" si="2392"/>
        <v>0</v>
      </c>
      <c r="BH414" s="40">
        <f t="shared" si="2393"/>
        <v>4</v>
      </c>
      <c r="BI414" s="40">
        <f t="shared" si="2394"/>
        <v>0</v>
      </c>
      <c r="BJ414" s="40">
        <f t="shared" si="2359"/>
        <v>0</v>
      </c>
      <c r="BK414" s="40">
        <f t="shared" si="2360"/>
        <v>0</v>
      </c>
      <c r="BL414" s="40">
        <f t="shared" si="2361"/>
        <v>0</v>
      </c>
      <c r="BM414" s="408"/>
      <c r="BN414" s="48">
        <f t="shared" si="2299"/>
        <v>2</v>
      </c>
      <c r="BO414" s="48">
        <f t="shared" si="2300"/>
        <v>2</v>
      </c>
      <c r="BP414" s="48">
        <f t="shared" si="2362"/>
        <v>2</v>
      </c>
      <c r="BQ414" s="48">
        <f t="shared" si="2302"/>
        <v>0</v>
      </c>
      <c r="BR414" s="48">
        <f t="shared" si="2303"/>
        <v>0</v>
      </c>
      <c r="BS414" s="48">
        <f t="shared" si="2363"/>
        <v>0</v>
      </c>
      <c r="BT414" s="48">
        <f t="shared" si="2305"/>
        <v>2</v>
      </c>
      <c r="BU414" s="48">
        <f t="shared" si="2306"/>
        <v>2</v>
      </c>
      <c r="BV414" s="48">
        <f t="shared" si="2364"/>
        <v>2</v>
      </c>
      <c r="BW414" s="48">
        <f t="shared" si="2308"/>
        <v>2</v>
      </c>
      <c r="BX414" s="48">
        <f t="shared" si="2309"/>
        <v>2</v>
      </c>
      <c r="BY414" s="48">
        <f t="shared" si="2365"/>
        <v>2</v>
      </c>
      <c r="BZ414" s="48">
        <f t="shared" si="2311"/>
        <v>4</v>
      </c>
      <c r="CA414" s="48">
        <f t="shared" si="2312"/>
        <v>4</v>
      </c>
      <c r="CB414" s="48">
        <f>SUM(AX414:AZ414)</f>
        <v>4</v>
      </c>
      <c r="CC414" s="48">
        <f t="shared" si="2313"/>
        <v>0</v>
      </c>
      <c r="CD414" s="48">
        <f t="shared" si="2314"/>
        <v>0</v>
      </c>
      <c r="CE414" s="48">
        <f>SUM(BA414:BC414)</f>
        <v>0</v>
      </c>
      <c r="CF414" s="48">
        <f>CH414</f>
        <v>4</v>
      </c>
      <c r="CG414" s="48">
        <f>CH414</f>
        <v>4</v>
      </c>
      <c r="CH414" s="48">
        <f>SUM(BD414:BF414)</f>
        <v>4</v>
      </c>
      <c r="CI414" s="48">
        <f>CK414</f>
        <v>4</v>
      </c>
      <c r="CJ414" s="48">
        <f>CK414</f>
        <v>4</v>
      </c>
      <c r="CK414" s="48">
        <f>SUM(BG414:BI414)</f>
        <v>4</v>
      </c>
      <c r="CL414" s="48">
        <f>CN414</f>
        <v>0</v>
      </c>
      <c r="CM414" s="48">
        <f>CN414</f>
        <v>0</v>
      </c>
      <c r="CN414" s="48">
        <f t="shared" si="2366"/>
        <v>0</v>
      </c>
      <c r="CO414" s="406"/>
      <c r="CP414" s="48">
        <f t="shared" si="2397"/>
        <v>0</v>
      </c>
      <c r="CQ414" s="48">
        <f t="shared" si="2367"/>
        <v>0</v>
      </c>
      <c r="CR414" s="48">
        <f t="shared" si="2368"/>
        <v>2</v>
      </c>
      <c r="CS414" s="48">
        <f t="shared" si="2369"/>
        <v>2</v>
      </c>
      <c r="CT414" s="48">
        <f t="shared" si="2370"/>
        <v>2</v>
      </c>
      <c r="CU414" s="48">
        <f t="shared" si="2371"/>
        <v>2</v>
      </c>
      <c r="CV414" s="48">
        <f t="shared" si="2372"/>
        <v>4</v>
      </c>
      <c r="CW414" s="48">
        <f t="shared" si="2373"/>
        <v>4</v>
      </c>
      <c r="CX414" s="48">
        <f t="shared" si="2374"/>
        <v>4</v>
      </c>
      <c r="CY414" s="48">
        <f t="shared" si="2375"/>
        <v>4</v>
      </c>
      <c r="CZ414" s="48">
        <f t="shared" si="2376"/>
        <v>6</v>
      </c>
      <c r="DA414" s="48">
        <f t="shared" si="2377"/>
        <v>6</v>
      </c>
      <c r="DB414" s="48">
        <f t="shared" si="2398"/>
        <v>0</v>
      </c>
      <c r="DC414" s="48">
        <f t="shared" si="2399"/>
        <v>4</v>
      </c>
      <c r="DD414" s="48">
        <f t="shared" si="2400"/>
        <v>4</v>
      </c>
      <c r="DE414" s="48">
        <f t="shared" si="2401"/>
        <v>4</v>
      </c>
      <c r="DF414" s="48">
        <f t="shared" si="2402"/>
        <v>4</v>
      </c>
      <c r="DG414" s="48">
        <f t="shared" si="2403"/>
        <v>4</v>
      </c>
      <c r="DH414" s="48">
        <f t="shared" si="2404"/>
        <v>8</v>
      </c>
      <c r="DI414" s="48">
        <f t="shared" si="2405"/>
        <v>8</v>
      </c>
      <c r="DJ414" s="48">
        <f t="shared" si="2406"/>
        <v>8</v>
      </c>
      <c r="DK414" s="48">
        <f t="shared" si="2407"/>
        <v>8</v>
      </c>
      <c r="DL414" s="48">
        <f t="shared" si="2408"/>
        <v>12</v>
      </c>
      <c r="DM414" s="48">
        <f t="shared" si="2409"/>
        <v>12</v>
      </c>
      <c r="DN414" s="48">
        <f t="shared" si="2379"/>
        <v>0</v>
      </c>
      <c r="DO414" s="48">
        <f t="shared" si="2410"/>
        <v>0</v>
      </c>
      <c r="DP414" s="48">
        <f t="shared" si="2411"/>
        <v>0</v>
      </c>
      <c r="DQ414" s="48"/>
      <c r="DR414" s="48"/>
      <c r="DS414" s="48"/>
      <c r="DT414" s="48"/>
      <c r="DU414" s="48"/>
      <c r="DV414" s="48"/>
      <c r="DW414" s="48"/>
      <c r="DX414" s="48"/>
      <c r="DY414" s="48"/>
      <c r="EA414" s="52">
        <f t="shared" si="2330"/>
        <v>6</v>
      </c>
      <c r="EB414" s="52">
        <f t="shared" si="2331"/>
        <v>12</v>
      </c>
      <c r="EC414" s="52"/>
      <c r="ED414" s="429"/>
      <c r="EE414" s="40">
        <f t="shared" si="2296"/>
        <v>0</v>
      </c>
      <c r="EF414" s="40">
        <f t="shared" si="2297"/>
        <v>0</v>
      </c>
      <c r="EG414" s="51">
        <f t="shared" si="2332"/>
        <v>12</v>
      </c>
      <c r="EH414" s="54"/>
      <c r="EI414" s="54"/>
      <c r="EJ414" s="54"/>
      <c r="EK414" s="675"/>
      <c r="EL414" s="53"/>
      <c r="EM414" s="53"/>
      <c r="EN414" s="53"/>
      <c r="EO414" s="49"/>
      <c r="EP414" s="49"/>
      <c r="EQ414" s="49"/>
    </row>
    <row r="415" spans="1:150">
      <c r="A415" s="6" t="s">
        <v>23</v>
      </c>
      <c r="B415" s="324" t="s">
        <v>202</v>
      </c>
      <c r="C415" s="3" t="s">
        <v>51</v>
      </c>
      <c r="E415" s="3" t="s">
        <v>15</v>
      </c>
      <c r="G415" s="3" t="s">
        <v>91</v>
      </c>
      <c r="I415" s="174"/>
      <c r="J415" s="171">
        <v>0</v>
      </c>
      <c r="K415" s="171">
        <v>0</v>
      </c>
      <c r="L415" s="171">
        <v>0</v>
      </c>
      <c r="M415" s="171">
        <v>0</v>
      </c>
      <c r="N415" s="171">
        <v>0</v>
      </c>
      <c r="O415" s="171">
        <v>2</v>
      </c>
      <c r="P415" s="171">
        <v>2</v>
      </c>
      <c r="Q415" s="171">
        <v>2</v>
      </c>
      <c r="R415" s="171">
        <v>2</v>
      </c>
      <c r="S415" s="171">
        <v>2</v>
      </c>
      <c r="T415" s="171">
        <v>2</v>
      </c>
      <c r="U415" s="171">
        <v>4</v>
      </c>
      <c r="V415" s="219">
        <v>0</v>
      </c>
      <c r="W415" s="246">
        <v>0</v>
      </c>
      <c r="X415" s="246">
        <v>0</v>
      </c>
      <c r="Y415" s="246">
        <f>X415</f>
        <v>0</v>
      </c>
      <c r="Z415" s="246">
        <v>0</v>
      </c>
      <c r="AA415" s="246">
        <v>0</v>
      </c>
      <c r="AB415" s="246">
        <v>2</v>
      </c>
      <c r="AC415" s="246">
        <f t="shared" si="2418"/>
        <v>2</v>
      </c>
      <c r="AD415" s="246">
        <f t="shared" si="2418"/>
        <v>2</v>
      </c>
      <c r="AE415" s="246">
        <f t="shared" si="2418"/>
        <v>2</v>
      </c>
      <c r="AF415" s="246">
        <f>AE415</f>
        <v>2</v>
      </c>
      <c r="AG415" s="246">
        <v>4</v>
      </c>
      <c r="AH415" s="31"/>
      <c r="AI415" s="19"/>
      <c r="AJ415" s="19"/>
      <c r="AK415" s="408"/>
      <c r="AL415" s="40">
        <f t="shared" si="2381"/>
        <v>0</v>
      </c>
      <c r="AM415" s="40">
        <f t="shared" si="2382"/>
        <v>0</v>
      </c>
      <c r="AN415" s="40">
        <f t="shared" si="2348"/>
        <v>0</v>
      </c>
      <c r="AO415" s="40">
        <f t="shared" si="2349"/>
        <v>0</v>
      </c>
      <c r="AP415" s="40">
        <f t="shared" si="2350"/>
        <v>0</v>
      </c>
      <c r="AQ415" s="40">
        <f t="shared" si="2351"/>
        <v>2</v>
      </c>
      <c r="AR415" s="40">
        <f t="shared" si="2352"/>
        <v>0</v>
      </c>
      <c r="AS415" s="40">
        <f t="shared" si="2353"/>
        <v>0</v>
      </c>
      <c r="AT415" s="40">
        <f t="shared" si="2354"/>
        <v>0</v>
      </c>
      <c r="AU415" s="40">
        <f t="shared" si="2355"/>
        <v>0</v>
      </c>
      <c r="AV415" s="40">
        <f t="shared" si="2356"/>
        <v>0</v>
      </c>
      <c r="AW415" s="40">
        <f t="shared" si="2357"/>
        <v>2</v>
      </c>
      <c r="AX415" s="40">
        <f t="shared" si="2383"/>
        <v>0</v>
      </c>
      <c r="AY415" s="40">
        <f t="shared" si="2384"/>
        <v>0</v>
      </c>
      <c r="AZ415" s="40">
        <f t="shared" si="2385"/>
        <v>0</v>
      </c>
      <c r="BA415" s="40">
        <f t="shared" si="2386"/>
        <v>0</v>
      </c>
      <c r="BB415" s="40">
        <f t="shared" si="2387"/>
        <v>0</v>
      </c>
      <c r="BC415" s="40">
        <f t="shared" si="2388"/>
        <v>0</v>
      </c>
      <c r="BD415" s="40">
        <f t="shared" si="2389"/>
        <v>2</v>
      </c>
      <c r="BE415" s="40">
        <f t="shared" si="2390"/>
        <v>0</v>
      </c>
      <c r="BF415" s="40">
        <f t="shared" si="2391"/>
        <v>0</v>
      </c>
      <c r="BG415" s="40">
        <f t="shared" si="2392"/>
        <v>0</v>
      </c>
      <c r="BH415" s="40">
        <f t="shared" si="2393"/>
        <v>0</v>
      </c>
      <c r="BI415" s="40">
        <f t="shared" si="2394"/>
        <v>2</v>
      </c>
      <c r="BJ415" s="40">
        <f>AH415-AG415</f>
        <v>-4</v>
      </c>
      <c r="BK415" s="40">
        <f t="shared" si="2360"/>
        <v>0</v>
      </c>
      <c r="BL415" s="40">
        <f t="shared" si="2361"/>
        <v>0</v>
      </c>
      <c r="BM415" s="408"/>
      <c r="BN415" s="48">
        <f t="shared" si="2299"/>
        <v>0</v>
      </c>
      <c r="BO415" s="48">
        <f t="shared" si="2300"/>
        <v>0</v>
      </c>
      <c r="BP415" s="48">
        <f>SUM(AL415:AN415)</f>
        <v>0</v>
      </c>
      <c r="BQ415" s="48">
        <f t="shared" si="2302"/>
        <v>2</v>
      </c>
      <c r="BR415" s="48">
        <f t="shared" si="2303"/>
        <v>2</v>
      </c>
      <c r="BS415" s="48">
        <f t="shared" si="2363"/>
        <v>2</v>
      </c>
      <c r="BT415" s="48">
        <f t="shared" si="2305"/>
        <v>0</v>
      </c>
      <c r="BU415" s="48">
        <f t="shared" si="2306"/>
        <v>0</v>
      </c>
      <c r="BV415" s="48">
        <f t="shared" si="2364"/>
        <v>0</v>
      </c>
      <c r="BW415" s="48">
        <f t="shared" si="2308"/>
        <v>2</v>
      </c>
      <c r="BX415" s="48">
        <f t="shared" si="2309"/>
        <v>2</v>
      </c>
      <c r="BY415" s="48">
        <f t="shared" si="2365"/>
        <v>2</v>
      </c>
      <c r="BZ415" s="48">
        <f t="shared" si="2311"/>
        <v>0</v>
      </c>
      <c r="CA415" s="48">
        <f t="shared" si="2312"/>
        <v>0</v>
      </c>
      <c r="CB415" s="48">
        <f>SUM(AX415:AZ415)</f>
        <v>0</v>
      </c>
      <c r="CC415" s="48">
        <f t="shared" si="2313"/>
        <v>0</v>
      </c>
      <c r="CD415" s="48">
        <f t="shared" si="2314"/>
        <v>0</v>
      </c>
      <c r="CE415" s="48">
        <f>SUM(BA415:BC415)</f>
        <v>0</v>
      </c>
      <c r="CF415" s="48">
        <f>CH415</f>
        <v>2</v>
      </c>
      <c r="CG415" s="48">
        <f>CH415</f>
        <v>2</v>
      </c>
      <c r="CH415" s="48">
        <f>SUM(BD415:BF415)</f>
        <v>2</v>
      </c>
      <c r="CI415" s="48">
        <f>CK415</f>
        <v>2</v>
      </c>
      <c r="CJ415" s="48">
        <f>CK415</f>
        <v>2</v>
      </c>
      <c r="CK415" s="48">
        <f>SUM(BG415:BI415)</f>
        <v>2</v>
      </c>
      <c r="CL415" s="48">
        <f>CN415</f>
        <v>-4</v>
      </c>
      <c r="CM415" s="48">
        <f>CN415</f>
        <v>-4</v>
      </c>
      <c r="CN415" s="48">
        <f t="shared" si="2366"/>
        <v>-4</v>
      </c>
      <c r="CO415" s="406"/>
      <c r="CP415" s="48">
        <f t="shared" si="2397"/>
        <v>0</v>
      </c>
      <c r="CQ415" s="48">
        <f t="shared" si="2367"/>
        <v>0</v>
      </c>
      <c r="CR415" s="48">
        <f t="shared" si="2368"/>
        <v>0</v>
      </c>
      <c r="CS415" s="48">
        <f t="shared" si="2369"/>
        <v>0</v>
      </c>
      <c r="CT415" s="48">
        <f t="shared" si="2370"/>
        <v>0</v>
      </c>
      <c r="CU415" s="48">
        <f t="shared" si="2371"/>
        <v>2</v>
      </c>
      <c r="CV415" s="48">
        <f t="shared" si="2372"/>
        <v>2</v>
      </c>
      <c r="CW415" s="48">
        <f t="shared" si="2373"/>
        <v>2</v>
      </c>
      <c r="CX415" s="48">
        <f t="shared" si="2374"/>
        <v>2</v>
      </c>
      <c r="CY415" s="48">
        <f t="shared" si="2375"/>
        <v>2</v>
      </c>
      <c r="CZ415" s="48">
        <f t="shared" si="2376"/>
        <v>2</v>
      </c>
      <c r="DA415" s="48">
        <f t="shared" si="2377"/>
        <v>4</v>
      </c>
      <c r="DB415" s="48">
        <f t="shared" si="2398"/>
        <v>0</v>
      </c>
      <c r="DC415" s="48">
        <f t="shared" si="2399"/>
        <v>0</v>
      </c>
      <c r="DD415" s="48">
        <f t="shared" si="2400"/>
        <v>0</v>
      </c>
      <c r="DE415" s="48">
        <f t="shared" si="2401"/>
        <v>0</v>
      </c>
      <c r="DF415" s="48">
        <f t="shared" si="2402"/>
        <v>0</v>
      </c>
      <c r="DG415" s="48">
        <f t="shared" si="2403"/>
        <v>0</v>
      </c>
      <c r="DH415" s="48">
        <f t="shared" si="2404"/>
        <v>2</v>
      </c>
      <c r="DI415" s="48">
        <f t="shared" si="2405"/>
        <v>2</v>
      </c>
      <c r="DJ415" s="48">
        <f t="shared" si="2406"/>
        <v>2</v>
      </c>
      <c r="DK415" s="48">
        <f t="shared" si="2407"/>
        <v>2</v>
      </c>
      <c r="DL415" s="48">
        <f t="shared" si="2408"/>
        <v>2</v>
      </c>
      <c r="DM415" s="48">
        <f t="shared" si="2409"/>
        <v>4</v>
      </c>
      <c r="DN415" s="48">
        <f>DM415+BJ415</f>
        <v>0</v>
      </c>
      <c r="DO415" s="48">
        <f t="shared" si="2410"/>
        <v>0</v>
      </c>
      <c r="DP415" s="48">
        <f t="shared" si="2411"/>
        <v>0</v>
      </c>
      <c r="DQ415" s="48"/>
      <c r="DR415" s="48"/>
      <c r="DS415" s="48"/>
      <c r="DT415" s="48"/>
      <c r="DU415" s="48"/>
      <c r="DV415" s="48"/>
      <c r="DW415" s="48"/>
      <c r="DX415" s="48"/>
      <c r="DY415" s="48"/>
      <c r="EA415" s="52">
        <f t="shared" si="2330"/>
        <v>4</v>
      </c>
      <c r="EB415" s="52">
        <f t="shared" si="2331"/>
        <v>4</v>
      </c>
      <c r="EC415" s="52"/>
      <c r="ED415" s="429"/>
      <c r="EE415" s="40">
        <f t="shared" si="2296"/>
        <v>0</v>
      </c>
      <c r="EF415" s="40">
        <f t="shared" si="2297"/>
        <v>-4</v>
      </c>
      <c r="EG415" s="51">
        <f t="shared" si="2332"/>
        <v>4</v>
      </c>
      <c r="EH415" s="54"/>
      <c r="EI415" s="54"/>
      <c r="EJ415" s="54"/>
      <c r="EK415" s="675"/>
      <c r="EL415" s="53"/>
      <c r="EM415" s="53"/>
      <c r="EN415" s="53"/>
      <c r="EO415" s="49"/>
      <c r="EP415" s="49"/>
      <c r="EQ415" s="49"/>
    </row>
    <row r="416" spans="1:150">
      <c r="A416" s="6" t="s">
        <v>23</v>
      </c>
      <c r="B416" s="2" t="s">
        <v>13</v>
      </c>
      <c r="C416" s="3" t="s">
        <v>52</v>
      </c>
      <c r="E416" s="3" t="s">
        <v>15</v>
      </c>
      <c r="G416" s="3" t="s">
        <v>91</v>
      </c>
      <c r="I416" s="174"/>
      <c r="J416" s="171"/>
      <c r="K416" s="171"/>
      <c r="L416" s="171">
        <v>10500</v>
      </c>
      <c r="M416" s="171">
        <v>10500</v>
      </c>
      <c r="N416" s="171">
        <v>10500</v>
      </c>
      <c r="O416" s="171">
        <v>21000</v>
      </c>
      <c r="P416" s="171">
        <v>21000</v>
      </c>
      <c r="Q416" s="171">
        <v>21000</v>
      </c>
      <c r="R416" s="171">
        <v>31500</v>
      </c>
      <c r="S416" s="171">
        <v>31500</v>
      </c>
      <c r="T416" s="171">
        <v>31500</v>
      </c>
      <c r="U416" s="171">
        <v>42000</v>
      </c>
      <c r="V416" s="219">
        <v>0</v>
      </c>
      <c r="W416" s="246">
        <v>0</v>
      </c>
      <c r="X416" s="246">
        <v>0</v>
      </c>
      <c r="Y416" s="246">
        <f>X416</f>
        <v>0</v>
      </c>
      <c r="Z416" s="246">
        <v>0</v>
      </c>
      <c r="AA416" s="246">
        <f>ROUND(AG416/2,)</f>
        <v>28508</v>
      </c>
      <c r="AB416" s="246">
        <f t="shared" ref="AB416:AF417" si="2419">+AA416</f>
        <v>28508</v>
      </c>
      <c r="AC416" s="246">
        <f t="shared" si="2419"/>
        <v>28508</v>
      </c>
      <c r="AD416" s="246">
        <f t="shared" si="2419"/>
        <v>28508</v>
      </c>
      <c r="AE416" s="246">
        <f t="shared" si="2419"/>
        <v>28508</v>
      </c>
      <c r="AF416" s="246">
        <f t="shared" si="2419"/>
        <v>28508</v>
      </c>
      <c r="AG416" s="246">
        <v>57015</v>
      </c>
      <c r="AH416" s="31"/>
      <c r="AI416" s="19"/>
      <c r="AJ416" s="19"/>
      <c r="AK416" s="408"/>
      <c r="AL416" s="40" t="s">
        <v>97</v>
      </c>
      <c r="AM416" s="40" t="s">
        <v>97</v>
      </c>
      <c r="AN416" s="40" t="s">
        <v>97</v>
      </c>
      <c r="AO416" s="40" t="s">
        <v>97</v>
      </c>
      <c r="AP416" s="40" t="s">
        <v>97</v>
      </c>
      <c r="AQ416" s="40" t="s">
        <v>97</v>
      </c>
      <c r="AR416" s="40" t="s">
        <v>97</v>
      </c>
      <c r="AS416" s="40" t="s">
        <v>97</v>
      </c>
      <c r="AT416" s="40" t="s">
        <v>97</v>
      </c>
      <c r="AU416" s="40" t="s">
        <v>97</v>
      </c>
      <c r="AV416" s="40" t="s">
        <v>97</v>
      </c>
      <c r="AW416" s="40" t="s">
        <v>97</v>
      </c>
      <c r="AX416" s="40" t="s">
        <v>97</v>
      </c>
      <c r="AY416" s="40" t="s">
        <v>97</v>
      </c>
      <c r="AZ416" s="40" t="s">
        <v>97</v>
      </c>
      <c r="BA416" s="40" t="s">
        <v>97</v>
      </c>
      <c r="BB416" s="40" t="s">
        <v>97</v>
      </c>
      <c r="BC416" s="40" t="s">
        <v>97</v>
      </c>
      <c r="BD416" s="40" t="s">
        <v>97</v>
      </c>
      <c r="BE416" s="40" t="s">
        <v>97</v>
      </c>
      <c r="BF416" s="40" t="s">
        <v>97</v>
      </c>
      <c r="BG416" s="40" t="s">
        <v>97</v>
      </c>
      <c r="BH416" s="40" t="s">
        <v>97</v>
      </c>
      <c r="BI416" s="40" t="s">
        <v>97</v>
      </c>
      <c r="BJ416" s="40" t="s">
        <v>97</v>
      </c>
      <c r="BK416" s="40" t="s">
        <v>97</v>
      </c>
      <c r="BL416" s="40" t="s">
        <v>97</v>
      </c>
      <c r="BM416" s="408"/>
      <c r="BN416" s="40" t="s">
        <v>97</v>
      </c>
      <c r="BO416" s="40" t="s">
        <v>97</v>
      </c>
      <c r="BP416" s="40" t="s">
        <v>97</v>
      </c>
      <c r="BQ416" s="40" t="s">
        <v>97</v>
      </c>
      <c r="BR416" s="40" t="s">
        <v>97</v>
      </c>
      <c r="BS416" s="40" t="s">
        <v>97</v>
      </c>
      <c r="BT416" s="40" t="s">
        <v>97</v>
      </c>
      <c r="BU416" s="40" t="s">
        <v>97</v>
      </c>
      <c r="BV416" s="40" t="s">
        <v>97</v>
      </c>
      <c r="BW416" s="40" t="s">
        <v>97</v>
      </c>
      <c r="BX416" s="40" t="s">
        <v>97</v>
      </c>
      <c r="BY416" s="40" t="s">
        <v>97</v>
      </c>
      <c r="BZ416" s="40" t="s">
        <v>97</v>
      </c>
      <c r="CA416" s="40" t="s">
        <v>97</v>
      </c>
      <c r="CB416" s="40" t="s">
        <v>97</v>
      </c>
      <c r="CC416" s="40" t="s">
        <v>97</v>
      </c>
      <c r="CD416" s="40" t="s">
        <v>97</v>
      </c>
      <c r="CE416" s="40" t="s">
        <v>97</v>
      </c>
      <c r="CF416" s="40" t="s">
        <v>97</v>
      </c>
      <c r="CG416" s="40" t="s">
        <v>97</v>
      </c>
      <c r="CH416" s="40" t="s">
        <v>97</v>
      </c>
      <c r="CI416" s="40" t="s">
        <v>97</v>
      </c>
      <c r="CJ416" s="40" t="s">
        <v>97</v>
      </c>
      <c r="CK416" s="40" t="s">
        <v>97</v>
      </c>
      <c r="CL416" s="40" t="s">
        <v>97</v>
      </c>
      <c r="CM416" s="40" t="s">
        <v>97</v>
      </c>
      <c r="CN416" s="40" t="s">
        <v>97</v>
      </c>
      <c r="CO416" s="406"/>
      <c r="CP416" s="48">
        <f t="shared" ref="CP416:CY417" si="2420">J416</f>
        <v>0</v>
      </c>
      <c r="CQ416" s="48">
        <f t="shared" si="2420"/>
        <v>0</v>
      </c>
      <c r="CR416" s="48">
        <f t="shared" si="2420"/>
        <v>10500</v>
      </c>
      <c r="CS416" s="48">
        <f t="shared" si="2420"/>
        <v>10500</v>
      </c>
      <c r="CT416" s="48">
        <f t="shared" si="2420"/>
        <v>10500</v>
      </c>
      <c r="CU416" s="48">
        <f t="shared" si="2420"/>
        <v>21000</v>
      </c>
      <c r="CV416" s="48">
        <f t="shared" si="2420"/>
        <v>21000</v>
      </c>
      <c r="CW416" s="48">
        <f t="shared" si="2420"/>
        <v>21000</v>
      </c>
      <c r="CX416" s="48">
        <f t="shared" si="2420"/>
        <v>31500</v>
      </c>
      <c r="CY416" s="48">
        <f t="shared" si="2420"/>
        <v>31500</v>
      </c>
      <c r="CZ416" s="48">
        <f t="shared" ref="CZ416:DI417" si="2421">T416</f>
        <v>31500</v>
      </c>
      <c r="DA416" s="48">
        <f t="shared" si="2421"/>
        <v>42000</v>
      </c>
      <c r="DB416" s="48">
        <f t="shared" si="2421"/>
        <v>0</v>
      </c>
      <c r="DC416" s="48">
        <f t="shared" si="2421"/>
        <v>0</v>
      </c>
      <c r="DD416" s="48">
        <f t="shared" si="2421"/>
        <v>0</v>
      </c>
      <c r="DE416" s="48">
        <f t="shared" si="2421"/>
        <v>0</v>
      </c>
      <c r="DF416" s="48">
        <f t="shared" si="2421"/>
        <v>0</v>
      </c>
      <c r="DG416" s="48">
        <f t="shared" si="2421"/>
        <v>28508</v>
      </c>
      <c r="DH416" s="48">
        <f t="shared" si="2421"/>
        <v>28508</v>
      </c>
      <c r="DI416" s="48">
        <f t="shared" si="2421"/>
        <v>28508</v>
      </c>
      <c r="DJ416" s="48">
        <f t="shared" ref="DJ416:DP417" si="2422">AD416</f>
        <v>28508</v>
      </c>
      <c r="DK416" s="48">
        <f t="shared" si="2422"/>
        <v>28508</v>
      </c>
      <c r="DL416" s="48">
        <f t="shared" si="2422"/>
        <v>28508</v>
      </c>
      <c r="DM416" s="48">
        <f t="shared" si="2422"/>
        <v>57015</v>
      </c>
      <c r="DN416" s="48">
        <f t="shared" si="2422"/>
        <v>0</v>
      </c>
      <c r="DO416" s="48">
        <f t="shared" si="2422"/>
        <v>0</v>
      </c>
      <c r="DP416" s="48">
        <f t="shared" si="2422"/>
        <v>0</v>
      </c>
      <c r="DQ416" s="48"/>
      <c r="DR416" s="48"/>
      <c r="DS416" s="48"/>
      <c r="DT416" s="48"/>
      <c r="DU416" s="48"/>
      <c r="DV416" s="48"/>
      <c r="DW416" s="48"/>
      <c r="DX416" s="48"/>
      <c r="DY416" s="48"/>
      <c r="EA416" s="52">
        <f t="shared" si="2330"/>
        <v>42000</v>
      </c>
      <c r="EB416" s="52">
        <f t="shared" si="2331"/>
        <v>57015</v>
      </c>
      <c r="EC416" s="52"/>
      <c r="ED416" s="429"/>
      <c r="EE416" s="40" t="str">
        <f>HLOOKUP($I$1,Month,19)</f>
        <v>N/A</v>
      </c>
      <c r="EF416" s="40" t="str">
        <f>HLOOKUP($I$1,Qtr,19)</f>
        <v>N/A</v>
      </c>
      <c r="EG416" s="51">
        <f>HLOOKUP($EJ$4,Budget,19)</f>
        <v>41153</v>
      </c>
      <c r="EH416" s="54"/>
      <c r="EI416" s="54"/>
      <c r="EJ416" s="54"/>
      <c r="EK416" s="675"/>
      <c r="EL416" s="53"/>
      <c r="EM416" s="53"/>
      <c r="EN416" s="53"/>
      <c r="EO416" s="49"/>
      <c r="EP416" s="49"/>
      <c r="EQ416" s="49"/>
    </row>
    <row r="417" spans="1:149" ht="13.5" thickBot="1">
      <c r="A417" s="6" t="s">
        <v>23</v>
      </c>
      <c r="B417" s="2" t="s">
        <v>14</v>
      </c>
      <c r="C417" s="3" t="s">
        <v>53</v>
      </c>
      <c r="E417" s="3" t="s">
        <v>15</v>
      </c>
      <c r="G417" s="3" t="s">
        <v>91</v>
      </c>
      <c r="I417" s="174"/>
      <c r="J417" s="171"/>
      <c r="K417" s="171"/>
      <c r="L417" s="171">
        <v>21000</v>
      </c>
      <c r="M417" s="171">
        <v>21000</v>
      </c>
      <c r="N417" s="171">
        <v>21000</v>
      </c>
      <c r="O417" s="171">
        <v>42000</v>
      </c>
      <c r="P417" s="171">
        <v>42000</v>
      </c>
      <c r="Q417" s="171">
        <v>42000</v>
      </c>
      <c r="R417" s="171">
        <v>63000</v>
      </c>
      <c r="S417" s="171">
        <v>63000</v>
      </c>
      <c r="T417" s="171">
        <v>63000</v>
      </c>
      <c r="U417" s="171">
        <v>84000</v>
      </c>
      <c r="V417" s="221">
        <v>0</v>
      </c>
      <c r="W417" s="246">
        <v>0</v>
      </c>
      <c r="X417" s="246">
        <v>0</v>
      </c>
      <c r="Y417" s="246">
        <f>X417</f>
        <v>0</v>
      </c>
      <c r="Z417" s="246">
        <v>0</v>
      </c>
      <c r="AA417" s="246">
        <f>ROUND(AG417/2,0)</f>
        <v>54432</v>
      </c>
      <c r="AB417" s="246">
        <f t="shared" si="2419"/>
        <v>54432</v>
      </c>
      <c r="AC417" s="246">
        <f t="shared" si="2419"/>
        <v>54432</v>
      </c>
      <c r="AD417" s="246">
        <f t="shared" si="2419"/>
        <v>54432</v>
      </c>
      <c r="AE417" s="246">
        <f t="shared" si="2419"/>
        <v>54432</v>
      </c>
      <c r="AF417" s="246">
        <f t="shared" si="2419"/>
        <v>54432</v>
      </c>
      <c r="AG417" s="246">
        <v>108863</v>
      </c>
      <c r="AH417" s="34"/>
      <c r="AI417" s="19"/>
      <c r="AJ417" s="19"/>
      <c r="AK417" s="408"/>
      <c r="AL417" s="40" t="s">
        <v>97</v>
      </c>
      <c r="AM417" s="40" t="s">
        <v>97</v>
      </c>
      <c r="AN417" s="40" t="s">
        <v>97</v>
      </c>
      <c r="AO417" s="40" t="s">
        <v>97</v>
      </c>
      <c r="AP417" s="40" t="s">
        <v>97</v>
      </c>
      <c r="AQ417" s="40" t="s">
        <v>97</v>
      </c>
      <c r="AR417" s="40" t="s">
        <v>97</v>
      </c>
      <c r="AS417" s="40" t="s">
        <v>97</v>
      </c>
      <c r="AT417" s="40" t="s">
        <v>97</v>
      </c>
      <c r="AU417" s="40" t="s">
        <v>97</v>
      </c>
      <c r="AV417" s="40" t="s">
        <v>97</v>
      </c>
      <c r="AW417" s="40" t="s">
        <v>97</v>
      </c>
      <c r="AX417" s="40" t="s">
        <v>97</v>
      </c>
      <c r="AY417" s="40" t="s">
        <v>97</v>
      </c>
      <c r="AZ417" s="40" t="s">
        <v>97</v>
      </c>
      <c r="BA417" s="40" t="s">
        <v>97</v>
      </c>
      <c r="BB417" s="40" t="s">
        <v>97</v>
      </c>
      <c r="BC417" s="40" t="s">
        <v>97</v>
      </c>
      <c r="BD417" s="40" t="s">
        <v>97</v>
      </c>
      <c r="BE417" s="40" t="s">
        <v>97</v>
      </c>
      <c r="BF417" s="40" t="s">
        <v>97</v>
      </c>
      <c r="BG417" s="40" t="s">
        <v>97</v>
      </c>
      <c r="BH417" s="40" t="s">
        <v>97</v>
      </c>
      <c r="BI417" s="40" t="s">
        <v>97</v>
      </c>
      <c r="BJ417" s="40" t="s">
        <v>97</v>
      </c>
      <c r="BK417" s="40" t="s">
        <v>97</v>
      </c>
      <c r="BL417" s="40" t="s">
        <v>97</v>
      </c>
      <c r="BM417" s="408"/>
      <c r="BN417" s="40" t="s">
        <v>97</v>
      </c>
      <c r="BO417" s="40" t="s">
        <v>97</v>
      </c>
      <c r="BP417" s="40" t="s">
        <v>97</v>
      </c>
      <c r="BQ417" s="40" t="s">
        <v>97</v>
      </c>
      <c r="BR417" s="40" t="s">
        <v>97</v>
      </c>
      <c r="BS417" s="40" t="s">
        <v>97</v>
      </c>
      <c r="BT417" s="40" t="s">
        <v>97</v>
      </c>
      <c r="BU417" s="40" t="s">
        <v>97</v>
      </c>
      <c r="BV417" s="40" t="s">
        <v>97</v>
      </c>
      <c r="BW417" s="40" t="s">
        <v>97</v>
      </c>
      <c r="BX417" s="40" t="s">
        <v>97</v>
      </c>
      <c r="BY417" s="40" t="s">
        <v>97</v>
      </c>
      <c r="BZ417" s="40" t="s">
        <v>97</v>
      </c>
      <c r="CA417" s="40" t="s">
        <v>97</v>
      </c>
      <c r="CB417" s="40" t="s">
        <v>97</v>
      </c>
      <c r="CC417" s="40" t="s">
        <v>97</v>
      </c>
      <c r="CD417" s="40" t="s">
        <v>97</v>
      </c>
      <c r="CE417" s="40" t="s">
        <v>97</v>
      </c>
      <c r="CF417" s="40" t="s">
        <v>97</v>
      </c>
      <c r="CG417" s="40" t="s">
        <v>97</v>
      </c>
      <c r="CH417" s="40" t="s">
        <v>97</v>
      </c>
      <c r="CI417" s="40" t="s">
        <v>97</v>
      </c>
      <c r="CJ417" s="40" t="s">
        <v>97</v>
      </c>
      <c r="CK417" s="40" t="s">
        <v>97</v>
      </c>
      <c r="CL417" s="40" t="s">
        <v>97</v>
      </c>
      <c r="CM417" s="40" t="s">
        <v>97</v>
      </c>
      <c r="CN417" s="40" t="s">
        <v>97</v>
      </c>
      <c r="CO417" s="406"/>
      <c r="CP417" s="48">
        <f t="shared" si="2420"/>
        <v>0</v>
      </c>
      <c r="CQ417" s="48">
        <f t="shared" si="2420"/>
        <v>0</v>
      </c>
      <c r="CR417" s="48">
        <f t="shared" si="2420"/>
        <v>21000</v>
      </c>
      <c r="CS417" s="48">
        <f t="shared" si="2420"/>
        <v>21000</v>
      </c>
      <c r="CT417" s="48">
        <f t="shared" si="2420"/>
        <v>21000</v>
      </c>
      <c r="CU417" s="48">
        <f t="shared" si="2420"/>
        <v>42000</v>
      </c>
      <c r="CV417" s="48">
        <f t="shared" si="2420"/>
        <v>42000</v>
      </c>
      <c r="CW417" s="48">
        <f t="shared" si="2420"/>
        <v>42000</v>
      </c>
      <c r="CX417" s="48">
        <f t="shared" si="2420"/>
        <v>63000</v>
      </c>
      <c r="CY417" s="48">
        <f t="shared" si="2420"/>
        <v>63000</v>
      </c>
      <c r="CZ417" s="48">
        <f t="shared" si="2421"/>
        <v>63000</v>
      </c>
      <c r="DA417" s="48">
        <f t="shared" si="2421"/>
        <v>84000</v>
      </c>
      <c r="DB417" s="48">
        <f t="shared" si="2421"/>
        <v>0</v>
      </c>
      <c r="DC417" s="48">
        <f t="shared" si="2421"/>
        <v>0</v>
      </c>
      <c r="DD417" s="48">
        <f t="shared" si="2421"/>
        <v>0</v>
      </c>
      <c r="DE417" s="48">
        <f t="shared" si="2421"/>
        <v>0</v>
      </c>
      <c r="DF417" s="48">
        <f t="shared" si="2421"/>
        <v>0</v>
      </c>
      <c r="DG417" s="48">
        <f t="shared" si="2421"/>
        <v>54432</v>
      </c>
      <c r="DH417" s="48">
        <f t="shared" si="2421"/>
        <v>54432</v>
      </c>
      <c r="DI417" s="48">
        <f t="shared" si="2421"/>
        <v>54432</v>
      </c>
      <c r="DJ417" s="48">
        <f t="shared" si="2422"/>
        <v>54432</v>
      </c>
      <c r="DK417" s="48">
        <f t="shared" si="2422"/>
        <v>54432</v>
      </c>
      <c r="DL417" s="48">
        <f t="shared" si="2422"/>
        <v>54432</v>
      </c>
      <c r="DM417" s="48">
        <f t="shared" si="2422"/>
        <v>108863</v>
      </c>
      <c r="DN417" s="48">
        <f t="shared" si="2422"/>
        <v>0</v>
      </c>
      <c r="DO417" s="48">
        <f t="shared" si="2422"/>
        <v>0</v>
      </c>
      <c r="DP417" s="48">
        <f t="shared" si="2422"/>
        <v>0</v>
      </c>
      <c r="DQ417" s="48"/>
      <c r="DR417" s="48"/>
      <c r="DS417" s="48"/>
      <c r="DT417" s="48"/>
      <c r="DU417" s="48"/>
      <c r="DV417" s="48"/>
      <c r="DW417" s="48"/>
      <c r="DX417" s="48"/>
      <c r="DY417" s="48"/>
      <c r="EA417" s="52">
        <f t="shared" si="2330"/>
        <v>84000</v>
      </c>
      <c r="EB417" s="52">
        <f t="shared" si="2331"/>
        <v>108863</v>
      </c>
      <c r="EC417" s="52"/>
      <c r="ED417" s="429"/>
      <c r="EE417" s="40" t="str">
        <f>HLOOKUP($I$1,Month,20)</f>
        <v>N/A</v>
      </c>
      <c r="EF417" s="40" t="str">
        <f>HLOOKUP($I$1,Qtr,20)</f>
        <v>N/A</v>
      </c>
      <c r="EG417" s="51">
        <f>HLOOKUP($EJ$4,Budget,20)</f>
        <v>81520</v>
      </c>
      <c r="EH417" s="54"/>
      <c r="EI417" s="54"/>
      <c r="EJ417" s="54"/>
      <c r="EK417" s="675"/>
      <c r="EL417" s="53"/>
      <c r="EM417" s="53"/>
      <c r="EN417" s="53"/>
      <c r="EO417" s="49"/>
      <c r="EP417" s="49"/>
      <c r="EQ417" s="49"/>
    </row>
    <row r="418" spans="1:149">
      <c r="A418" s="6" t="s">
        <v>23</v>
      </c>
      <c r="B418" s="2" t="s">
        <v>0</v>
      </c>
      <c r="C418" s="3" t="s">
        <v>40</v>
      </c>
      <c r="G418" s="43" t="s">
        <v>113</v>
      </c>
      <c r="H418" s="28"/>
      <c r="I418" s="29"/>
      <c r="J418" s="30">
        <f t="shared" ref="J418:L419" si="2423">+J400-I400</f>
        <v>25</v>
      </c>
      <c r="K418" s="30">
        <f t="shared" si="2423"/>
        <v>25</v>
      </c>
      <c r="L418" s="30">
        <f t="shared" si="2423"/>
        <v>25</v>
      </c>
      <c r="M418" s="30">
        <f>+M400</f>
        <v>31.25</v>
      </c>
      <c r="N418" s="30">
        <f t="shared" ref="N418:U418" si="2424">+N400-M400</f>
        <v>31.25</v>
      </c>
      <c r="O418" s="30">
        <f t="shared" si="2424"/>
        <v>31.25</v>
      </c>
      <c r="P418" s="30">
        <f t="shared" si="2424"/>
        <v>31.25</v>
      </c>
      <c r="Q418" s="30">
        <f t="shared" si="2424"/>
        <v>31.25</v>
      </c>
      <c r="R418" s="30">
        <f t="shared" si="2424"/>
        <v>31.25</v>
      </c>
      <c r="S418" s="30">
        <f t="shared" si="2424"/>
        <v>31.25</v>
      </c>
      <c r="T418" s="30">
        <f t="shared" si="2424"/>
        <v>31.25</v>
      </c>
      <c r="U418" s="30">
        <f t="shared" si="2424"/>
        <v>31.25</v>
      </c>
      <c r="V418" s="394">
        <f>495/12</f>
        <v>41.25</v>
      </c>
      <c r="W418" s="394">
        <f>V418+41.25</f>
        <v>82.5</v>
      </c>
      <c r="X418" s="394">
        <f t="shared" ref="X418:AG418" si="2425">W418+41.25</f>
        <v>123.75</v>
      </c>
      <c r="Y418" s="394">
        <f t="shared" si="2425"/>
        <v>165</v>
      </c>
      <c r="Z418" s="394">
        <f t="shared" si="2425"/>
        <v>206.25</v>
      </c>
      <c r="AA418" s="394">
        <f t="shared" si="2425"/>
        <v>247.5</v>
      </c>
      <c r="AB418" s="394">
        <f t="shared" si="2425"/>
        <v>288.75</v>
      </c>
      <c r="AC418" s="394">
        <f t="shared" si="2425"/>
        <v>330</v>
      </c>
      <c r="AD418" s="394">
        <f t="shared" si="2425"/>
        <v>371.25</v>
      </c>
      <c r="AE418" s="394">
        <f t="shared" si="2425"/>
        <v>412.5</v>
      </c>
      <c r="AF418" s="394">
        <f t="shared" si="2425"/>
        <v>453.75</v>
      </c>
      <c r="AG418" s="394">
        <f t="shared" si="2425"/>
        <v>495</v>
      </c>
      <c r="AH418" s="30">
        <f>450/12</f>
        <v>37.5</v>
      </c>
      <c r="AI418" s="226">
        <f>AH418+AH418</f>
        <v>75</v>
      </c>
      <c r="AJ418" s="226"/>
      <c r="AK418" s="408"/>
      <c r="AL418" s="48">
        <f t="shared" ref="AL418:AU420" si="2426">J418</f>
        <v>25</v>
      </c>
      <c r="AM418" s="48">
        <f t="shared" si="2426"/>
        <v>25</v>
      </c>
      <c r="AN418" s="48">
        <f t="shared" si="2426"/>
        <v>25</v>
      </c>
      <c r="AO418" s="48">
        <f t="shared" si="2426"/>
        <v>31.25</v>
      </c>
      <c r="AP418" s="48">
        <f t="shared" si="2426"/>
        <v>31.25</v>
      </c>
      <c r="AQ418" s="48">
        <f t="shared" si="2426"/>
        <v>31.25</v>
      </c>
      <c r="AR418" s="48">
        <f t="shared" si="2426"/>
        <v>31.25</v>
      </c>
      <c r="AS418" s="48">
        <f t="shared" si="2426"/>
        <v>31.25</v>
      </c>
      <c r="AT418" s="48">
        <f t="shared" si="2426"/>
        <v>31.25</v>
      </c>
      <c r="AU418" s="48">
        <f t="shared" si="2426"/>
        <v>31.25</v>
      </c>
      <c r="AV418" s="48">
        <f t="shared" ref="AV418:BE420" si="2427">T418</f>
        <v>31.25</v>
      </c>
      <c r="AW418" s="48">
        <f t="shared" si="2427"/>
        <v>31.25</v>
      </c>
      <c r="AX418" s="276">
        <f>495/12</f>
        <v>41.25</v>
      </c>
      <c r="AY418" s="276">
        <f t="shared" ref="AY418:BI418" si="2428">495/12</f>
        <v>41.25</v>
      </c>
      <c r="AZ418" s="276">
        <f t="shared" si="2428"/>
        <v>41.25</v>
      </c>
      <c r="BA418" s="276">
        <f t="shared" si="2428"/>
        <v>41.25</v>
      </c>
      <c r="BB418" s="276">
        <f t="shared" si="2428"/>
        <v>41.25</v>
      </c>
      <c r="BC418" s="276">
        <f t="shared" si="2428"/>
        <v>41.25</v>
      </c>
      <c r="BD418" s="276">
        <f t="shared" si="2428"/>
        <v>41.25</v>
      </c>
      <c r="BE418" s="276">
        <f t="shared" si="2428"/>
        <v>41.25</v>
      </c>
      <c r="BF418" s="276">
        <f t="shared" si="2428"/>
        <v>41.25</v>
      </c>
      <c r="BG418" s="276">
        <f t="shared" si="2428"/>
        <v>41.25</v>
      </c>
      <c r="BH418" s="276">
        <f t="shared" si="2428"/>
        <v>41.25</v>
      </c>
      <c r="BI418" s="276">
        <f t="shared" si="2428"/>
        <v>41.25</v>
      </c>
      <c r="BJ418" s="48">
        <v>38</v>
      </c>
      <c r="BK418" s="48">
        <f>+AI418-AH418</f>
        <v>37.5</v>
      </c>
      <c r="BL418" s="48">
        <f>+AJ418-AI418</f>
        <v>-75</v>
      </c>
      <c r="BM418" s="408"/>
      <c r="BN418" s="48">
        <f>+AL418</f>
        <v>25</v>
      </c>
      <c r="BO418" s="48">
        <f>+BN418+AM418</f>
        <v>50</v>
      </c>
      <c r="BP418" s="48">
        <f>+BO418+AN418</f>
        <v>75</v>
      </c>
      <c r="BQ418" s="48">
        <f>AO418</f>
        <v>31.25</v>
      </c>
      <c r="BR418" s="48">
        <f>+BQ418+AP418</f>
        <v>62.5</v>
      </c>
      <c r="BS418" s="48">
        <f>+BR418+AQ418</f>
        <v>93.75</v>
      </c>
      <c r="BT418" s="48">
        <f>AR418</f>
        <v>31.25</v>
      </c>
      <c r="BU418" s="48">
        <f>+BT418+AS418</f>
        <v>62.5</v>
      </c>
      <c r="BV418" s="48">
        <f>+BU418+AT418</f>
        <v>93.75</v>
      </c>
      <c r="BW418" s="48">
        <f>AU418</f>
        <v>31.25</v>
      </c>
      <c r="BX418" s="48">
        <f>+BW418+AV418</f>
        <v>62.5</v>
      </c>
      <c r="BY418" s="48">
        <f>+BX418+AW418</f>
        <v>93.75</v>
      </c>
      <c r="BZ418" s="48">
        <v>124</v>
      </c>
      <c r="CA418" s="48">
        <v>124</v>
      </c>
      <c r="CB418" s="48">
        <f>495/4</f>
        <v>123.75</v>
      </c>
      <c r="CC418" s="48">
        <v>248</v>
      </c>
      <c r="CD418" s="48">
        <v>248</v>
      </c>
      <c r="CE418" s="48">
        <f>CB418*2</f>
        <v>247.5</v>
      </c>
      <c r="CF418" s="48">
        <v>371</v>
      </c>
      <c r="CG418" s="48">
        <v>371</v>
      </c>
      <c r="CH418" s="48">
        <f>CB418*3</f>
        <v>371.25</v>
      </c>
      <c r="CI418" s="48">
        <v>495</v>
      </c>
      <c r="CJ418" s="48">
        <v>495</v>
      </c>
      <c r="CK418" s="48">
        <f>CB418*4</f>
        <v>495</v>
      </c>
      <c r="CL418" s="48">
        <f>CN418</f>
        <v>112.5</v>
      </c>
      <c r="CM418" s="48">
        <f>+CL418+BK418</f>
        <v>150</v>
      </c>
      <c r="CN418" s="48">
        <f>450/4</f>
        <v>112.5</v>
      </c>
      <c r="CO418" s="406"/>
      <c r="CP418" s="40">
        <f>AL418</f>
        <v>25</v>
      </c>
      <c r="CQ418" s="40">
        <f t="shared" ref="CQ418:DA419" si="2429">CP418+AM418</f>
        <v>50</v>
      </c>
      <c r="CR418" s="40">
        <f t="shared" si="2429"/>
        <v>75</v>
      </c>
      <c r="CS418" s="40">
        <f t="shared" si="2429"/>
        <v>106.25</v>
      </c>
      <c r="CT418" s="40">
        <f t="shared" si="2429"/>
        <v>137.5</v>
      </c>
      <c r="CU418" s="40">
        <f t="shared" si="2429"/>
        <v>168.75</v>
      </c>
      <c r="CV418" s="40">
        <f t="shared" si="2429"/>
        <v>200</v>
      </c>
      <c r="CW418" s="40">
        <f t="shared" si="2429"/>
        <v>231.25</v>
      </c>
      <c r="CX418" s="40">
        <f t="shared" si="2429"/>
        <v>262.5</v>
      </c>
      <c r="CY418" s="40">
        <f t="shared" si="2429"/>
        <v>293.75</v>
      </c>
      <c r="CZ418" s="40">
        <f t="shared" si="2429"/>
        <v>325</v>
      </c>
      <c r="DA418" s="40">
        <f t="shared" si="2429"/>
        <v>356.25</v>
      </c>
      <c r="DB418" s="40">
        <f>AX418</f>
        <v>41.25</v>
      </c>
      <c r="DC418" s="40">
        <f>DB418+41.25</f>
        <v>82.5</v>
      </c>
      <c r="DD418" s="40">
        <f>DC418+41.25</f>
        <v>123.75</v>
      </c>
      <c r="DE418" s="40">
        <f t="shared" ref="DE418:DM418" si="2430">DD418+41.25</f>
        <v>165</v>
      </c>
      <c r="DF418" s="40">
        <f t="shared" si="2430"/>
        <v>206.25</v>
      </c>
      <c r="DG418" s="40">
        <f t="shared" si="2430"/>
        <v>247.5</v>
      </c>
      <c r="DH418" s="40">
        <f t="shared" si="2430"/>
        <v>288.75</v>
      </c>
      <c r="DI418" s="40">
        <f t="shared" si="2430"/>
        <v>330</v>
      </c>
      <c r="DJ418" s="40">
        <f t="shared" si="2430"/>
        <v>371.25</v>
      </c>
      <c r="DK418" s="40">
        <f t="shared" si="2430"/>
        <v>412.5</v>
      </c>
      <c r="DL418" s="40">
        <f t="shared" si="2430"/>
        <v>453.75</v>
      </c>
      <c r="DM418" s="40">
        <f t="shared" si="2430"/>
        <v>495</v>
      </c>
      <c r="DN418" s="40">
        <f>BJ418</f>
        <v>38</v>
      </c>
      <c r="DO418" s="40">
        <f>DN418+BK418</f>
        <v>75.5</v>
      </c>
      <c r="DP418" s="40">
        <f>DO418+BL418</f>
        <v>0.5</v>
      </c>
      <c r="DQ418" s="40"/>
      <c r="DR418" s="40"/>
      <c r="DS418" s="40"/>
      <c r="DT418" s="40"/>
      <c r="DU418" s="40"/>
      <c r="DV418" s="40"/>
      <c r="DW418" s="40"/>
      <c r="DX418" s="40"/>
      <c r="DY418" s="40"/>
      <c r="EA418" s="58">
        <f t="shared" si="2330"/>
        <v>356.25</v>
      </c>
      <c r="EB418" s="58">
        <f t="shared" si="2331"/>
        <v>495</v>
      </c>
      <c r="EC418" s="58"/>
      <c r="ED418" s="429"/>
      <c r="EE418" s="40">
        <f>HLOOKUP($I$1,Month,ROW()-1)</f>
        <v>37.5</v>
      </c>
      <c r="EF418" s="40">
        <f>HLOOKUP($I$1,Qtr,ROW()-1)</f>
        <v>150</v>
      </c>
      <c r="EG418" s="40">
        <v>450</v>
      </c>
      <c r="EH418" s="54"/>
      <c r="EI418" s="54"/>
      <c r="EJ418" s="54"/>
      <c r="EK418" s="675"/>
      <c r="EL418" s="53"/>
      <c r="EM418" s="53"/>
      <c r="EN418" s="53"/>
      <c r="EO418" s="49"/>
      <c r="EP418" s="49"/>
      <c r="EQ418" s="49"/>
    </row>
    <row r="419" spans="1:149">
      <c r="A419" s="6" t="s">
        <v>23</v>
      </c>
      <c r="B419" s="2" t="s">
        <v>1</v>
      </c>
      <c r="C419" s="3" t="s">
        <v>41</v>
      </c>
      <c r="G419" s="43" t="s">
        <v>113</v>
      </c>
      <c r="H419" s="28"/>
      <c r="I419" s="29"/>
      <c r="J419" s="30">
        <f t="shared" si="2423"/>
        <v>6.6700000000000017</v>
      </c>
      <c r="K419" s="30">
        <f t="shared" si="2423"/>
        <v>6.6700000000000017</v>
      </c>
      <c r="L419" s="30">
        <f t="shared" si="2423"/>
        <v>6.6700000000000017</v>
      </c>
      <c r="M419" s="30">
        <f>+M401</f>
        <v>9.5833333333333339</v>
      </c>
      <c r="N419" s="30">
        <f t="shared" ref="N419:X419" si="2431">+N401-M401</f>
        <v>9.5833333300000003</v>
      </c>
      <c r="O419" s="30">
        <f t="shared" si="2431"/>
        <v>9.5833333299999985</v>
      </c>
      <c r="P419" s="30">
        <f t="shared" si="2431"/>
        <v>9.5833333300000021</v>
      </c>
      <c r="Q419" s="30">
        <f t="shared" si="2431"/>
        <v>9.5833333300000021</v>
      </c>
      <c r="R419" s="30">
        <f t="shared" si="2431"/>
        <v>9.5833333300000021</v>
      </c>
      <c r="S419" s="30">
        <f t="shared" si="2431"/>
        <v>9.5833333300000021</v>
      </c>
      <c r="T419" s="30">
        <f t="shared" si="2431"/>
        <v>9.5833333300000021</v>
      </c>
      <c r="U419" s="30">
        <f t="shared" si="2431"/>
        <v>9.5833333300000021</v>
      </c>
      <c r="V419" s="30">
        <f t="shared" si="2431"/>
        <v>9.5833333300000021</v>
      </c>
      <c r="W419" s="30">
        <f t="shared" si="2431"/>
        <v>9.5833333300000021</v>
      </c>
      <c r="X419" s="30">
        <f t="shared" si="2431"/>
        <v>9.5833333300000021</v>
      </c>
      <c r="Y419" s="30">
        <f>+Y401</f>
        <v>14.916</v>
      </c>
      <c r="Z419" s="30">
        <f t="shared" ref="Z419:AJ419" si="2432">+Z401-Y401</f>
        <v>14.916</v>
      </c>
      <c r="AA419" s="30">
        <f t="shared" si="2432"/>
        <v>14.916000000000004</v>
      </c>
      <c r="AB419" s="30">
        <f t="shared" si="2432"/>
        <v>14.915999999999997</v>
      </c>
      <c r="AC419" s="30">
        <f t="shared" si="2432"/>
        <v>14.915999999999997</v>
      </c>
      <c r="AD419" s="30">
        <f t="shared" si="2432"/>
        <v>14.915999999999997</v>
      </c>
      <c r="AE419" s="30">
        <f t="shared" si="2432"/>
        <v>14.915999999999997</v>
      </c>
      <c r="AF419" s="30">
        <f t="shared" si="2432"/>
        <v>14.915999999999997</v>
      </c>
      <c r="AG419" s="30">
        <f t="shared" si="2432"/>
        <v>14.916000000000011</v>
      </c>
      <c r="AH419" s="30">
        <f t="shared" si="2432"/>
        <v>14.915999999999997</v>
      </c>
      <c r="AI419" s="30">
        <f t="shared" si="2432"/>
        <v>14.915999999999997</v>
      </c>
      <c r="AJ419" s="30">
        <f t="shared" si="2432"/>
        <v>14.915999999999997</v>
      </c>
      <c r="AK419" s="408"/>
      <c r="AL419" s="48">
        <f t="shared" si="2426"/>
        <v>6.6700000000000017</v>
      </c>
      <c r="AM419" s="48">
        <f t="shared" si="2426"/>
        <v>6.6700000000000017</v>
      </c>
      <c r="AN419" s="48">
        <f t="shared" si="2426"/>
        <v>6.6700000000000017</v>
      </c>
      <c r="AO419" s="48">
        <f t="shared" si="2426"/>
        <v>9.5833333333333339</v>
      </c>
      <c r="AP419" s="48">
        <f t="shared" si="2426"/>
        <v>9.5833333300000003</v>
      </c>
      <c r="AQ419" s="48">
        <f t="shared" si="2426"/>
        <v>9.5833333299999985</v>
      </c>
      <c r="AR419" s="48">
        <f t="shared" si="2426"/>
        <v>9.5833333300000021</v>
      </c>
      <c r="AS419" s="48">
        <f t="shared" si="2426"/>
        <v>9.5833333300000021</v>
      </c>
      <c r="AT419" s="48">
        <f t="shared" si="2426"/>
        <v>9.5833333300000021</v>
      </c>
      <c r="AU419" s="48">
        <f t="shared" si="2426"/>
        <v>9.5833333300000021</v>
      </c>
      <c r="AV419" s="48">
        <f t="shared" si="2427"/>
        <v>9.5833333300000021</v>
      </c>
      <c r="AW419" s="48">
        <f t="shared" si="2427"/>
        <v>9.5833333300000021</v>
      </c>
      <c r="AX419" s="48">
        <f t="shared" si="2427"/>
        <v>9.5833333300000021</v>
      </c>
      <c r="AY419" s="48">
        <f t="shared" si="2427"/>
        <v>9.5833333300000021</v>
      </c>
      <c r="AZ419" s="48">
        <f t="shared" si="2427"/>
        <v>9.5833333300000021</v>
      </c>
      <c r="BA419" s="48">
        <f t="shared" si="2427"/>
        <v>14.916</v>
      </c>
      <c r="BB419" s="48">
        <f t="shared" si="2427"/>
        <v>14.916</v>
      </c>
      <c r="BC419" s="48">
        <f t="shared" si="2427"/>
        <v>14.916000000000004</v>
      </c>
      <c r="BD419" s="48">
        <f t="shared" si="2427"/>
        <v>14.915999999999997</v>
      </c>
      <c r="BE419" s="48">
        <f t="shared" si="2427"/>
        <v>14.915999999999997</v>
      </c>
      <c r="BF419" s="48">
        <f t="shared" ref="BF419:BL420" si="2433">AD419</f>
        <v>14.915999999999997</v>
      </c>
      <c r="BG419" s="48">
        <f t="shared" si="2433"/>
        <v>14.915999999999997</v>
      </c>
      <c r="BH419" s="48">
        <f t="shared" si="2433"/>
        <v>14.915999999999997</v>
      </c>
      <c r="BI419" s="48">
        <f t="shared" si="2433"/>
        <v>14.916000000000011</v>
      </c>
      <c r="BJ419" s="48">
        <f t="shared" si="2433"/>
        <v>14.915999999999997</v>
      </c>
      <c r="BK419" s="48">
        <f t="shared" si="2433"/>
        <v>14.915999999999997</v>
      </c>
      <c r="BL419" s="48">
        <f t="shared" si="2433"/>
        <v>14.915999999999997</v>
      </c>
      <c r="BM419" s="408"/>
      <c r="BN419" s="48">
        <f>+AL419</f>
        <v>6.6700000000000017</v>
      </c>
      <c r="BO419" s="48">
        <f>+BN419+AM419</f>
        <v>13.340000000000003</v>
      </c>
      <c r="BP419" s="48">
        <f>+BO419+AN419</f>
        <v>20.010000000000005</v>
      </c>
      <c r="BQ419" s="48">
        <f>AO419</f>
        <v>9.5833333333333339</v>
      </c>
      <c r="BR419" s="48">
        <f>+BQ419+AP419</f>
        <v>19.166666663333334</v>
      </c>
      <c r="BS419" s="48">
        <f>+BR419+AQ419</f>
        <v>28.749999993333333</v>
      </c>
      <c r="BT419" s="48">
        <f>AR419</f>
        <v>9.5833333300000021</v>
      </c>
      <c r="BU419" s="48">
        <f>+BT419+AS419</f>
        <v>19.166666660000004</v>
      </c>
      <c r="BV419" s="48">
        <f>+BU419+AT419</f>
        <v>28.749999990000006</v>
      </c>
      <c r="BW419" s="48">
        <f>AU419</f>
        <v>9.5833333300000021</v>
      </c>
      <c r="BX419" s="48">
        <f>+BW419+AV419</f>
        <v>19.166666660000004</v>
      </c>
      <c r="BY419" s="48">
        <f>+BX419+AW419</f>
        <v>28.749999990000006</v>
      </c>
      <c r="BZ419" s="48">
        <f>AX419</f>
        <v>9.5833333300000021</v>
      </c>
      <c r="CA419" s="48">
        <f>+BZ419+AY419</f>
        <v>19.166666660000004</v>
      </c>
      <c r="CB419" s="48">
        <f>+CA419+AZ419</f>
        <v>28.749999990000006</v>
      </c>
      <c r="CC419" s="48">
        <f>BA419</f>
        <v>14.916</v>
      </c>
      <c r="CD419" s="48">
        <f>+CC419+BB419</f>
        <v>29.832000000000001</v>
      </c>
      <c r="CE419" s="48">
        <f>+CD419+BC419</f>
        <v>44.748000000000005</v>
      </c>
      <c r="CF419" s="48">
        <f>BD419</f>
        <v>14.915999999999997</v>
      </c>
      <c r="CG419" s="48">
        <f>+CF419+BE419</f>
        <v>29.831999999999994</v>
      </c>
      <c r="CH419" s="48">
        <f>+CG419+BF419</f>
        <v>44.74799999999999</v>
      </c>
      <c r="CI419" s="48">
        <f>BG419</f>
        <v>14.915999999999997</v>
      </c>
      <c r="CJ419" s="48">
        <f>+CI419+BH419</f>
        <v>29.831999999999994</v>
      </c>
      <c r="CK419" s="48">
        <f>+CJ419+BI419</f>
        <v>44.748000000000005</v>
      </c>
      <c r="CL419" s="48">
        <f>BJ419</f>
        <v>14.915999999999997</v>
      </c>
      <c r="CM419" s="48">
        <f>+CL419+BK419</f>
        <v>29.831999999999994</v>
      </c>
      <c r="CN419" s="48">
        <f>+CM419+BL419</f>
        <v>44.74799999999999</v>
      </c>
      <c r="CO419" s="406"/>
      <c r="CP419" s="40">
        <f>AL419</f>
        <v>6.6700000000000017</v>
      </c>
      <c r="CQ419" s="40">
        <f t="shared" si="2429"/>
        <v>13.340000000000003</v>
      </c>
      <c r="CR419" s="40">
        <f t="shared" si="2429"/>
        <v>20.010000000000005</v>
      </c>
      <c r="CS419" s="40">
        <f t="shared" si="2429"/>
        <v>29.593333333333341</v>
      </c>
      <c r="CT419" s="40">
        <f t="shared" si="2429"/>
        <v>39.176666663333343</v>
      </c>
      <c r="CU419" s="40">
        <f t="shared" si="2429"/>
        <v>48.759999993333338</v>
      </c>
      <c r="CV419" s="40">
        <f t="shared" si="2429"/>
        <v>58.34333332333334</v>
      </c>
      <c r="CW419" s="40">
        <f t="shared" si="2429"/>
        <v>67.926666653333342</v>
      </c>
      <c r="CX419" s="40">
        <f t="shared" si="2429"/>
        <v>77.509999983333344</v>
      </c>
      <c r="CY419" s="40">
        <f t="shared" si="2429"/>
        <v>87.093333313333346</v>
      </c>
      <c r="CZ419" s="40">
        <f t="shared" si="2429"/>
        <v>96.676666643333348</v>
      </c>
      <c r="DA419" s="40">
        <f t="shared" si="2429"/>
        <v>106.25999997333335</v>
      </c>
      <c r="DB419" s="40">
        <f>AX419</f>
        <v>9.5833333300000021</v>
      </c>
      <c r="DC419" s="40">
        <f t="shared" ref="DC419:DM419" si="2434">DB419+AY419</f>
        <v>19.166666660000004</v>
      </c>
      <c r="DD419" s="40">
        <f t="shared" si="2434"/>
        <v>28.749999990000006</v>
      </c>
      <c r="DE419" s="40">
        <f t="shared" si="2434"/>
        <v>43.665999990000003</v>
      </c>
      <c r="DF419" s="40">
        <f t="shared" si="2434"/>
        <v>58.58199999</v>
      </c>
      <c r="DG419" s="40">
        <f t="shared" si="2434"/>
        <v>73.497999990000011</v>
      </c>
      <c r="DH419" s="40">
        <f t="shared" si="2434"/>
        <v>88.413999990000008</v>
      </c>
      <c r="DI419" s="40">
        <f t="shared" si="2434"/>
        <v>103.32999999</v>
      </c>
      <c r="DJ419" s="40">
        <f t="shared" si="2434"/>
        <v>118.24599999</v>
      </c>
      <c r="DK419" s="40">
        <f t="shared" si="2434"/>
        <v>133.16199999</v>
      </c>
      <c r="DL419" s="40">
        <f t="shared" si="2434"/>
        <v>148.07799999</v>
      </c>
      <c r="DM419" s="40">
        <f t="shared" si="2434"/>
        <v>162.99399999000002</v>
      </c>
      <c r="DN419" s="40">
        <f>BJ419</f>
        <v>14.915999999999997</v>
      </c>
      <c r="DO419" s="40">
        <f>DN419+BK419</f>
        <v>29.831999999999994</v>
      </c>
      <c r="DP419" s="40">
        <f>DO419+BL419</f>
        <v>44.74799999999999</v>
      </c>
      <c r="DQ419" s="40"/>
      <c r="DR419" s="40"/>
      <c r="DS419" s="40"/>
      <c r="DT419" s="40"/>
      <c r="DU419" s="40"/>
      <c r="DV419" s="40"/>
      <c r="DW419" s="40"/>
      <c r="DX419" s="40"/>
      <c r="DY419" s="40"/>
      <c r="EA419" s="59">
        <f t="shared" si="2330"/>
        <v>106.25999997333335</v>
      </c>
      <c r="EB419" s="59">
        <f>IF(I397&gt;6/30/10,DM419,"")</f>
        <v>162.99399999000002</v>
      </c>
      <c r="EC419" s="59"/>
      <c r="ED419" s="429"/>
      <c r="EE419" s="40">
        <f>HLOOKUP($I$1,Month,ROW()-1)</f>
        <v>14.915999999999997</v>
      </c>
      <c r="EF419" s="40">
        <f>HLOOKUP($I$1,Qtr,ROW()-1)</f>
        <v>29.831999999999994</v>
      </c>
      <c r="EG419" s="40">
        <f>HLOOKUP($EJ$4,Budget,ROW()-1)</f>
        <v>162.99399999000002</v>
      </c>
      <c r="EH419" s="54"/>
      <c r="EI419" s="54"/>
      <c r="EJ419" s="54"/>
      <c r="EK419" s="675"/>
      <c r="EL419" s="53"/>
      <c r="EM419" s="53"/>
      <c r="EN419" s="53"/>
      <c r="EO419" s="49"/>
      <c r="EP419" s="49"/>
      <c r="EQ419" s="49"/>
    </row>
    <row r="420" spans="1:149">
      <c r="A420" s="6" t="s">
        <v>23</v>
      </c>
      <c r="B420" s="101" t="s">
        <v>144</v>
      </c>
      <c r="G420" s="43"/>
      <c r="H420" s="28"/>
      <c r="I420" s="29"/>
      <c r="J420" s="102">
        <f>J414/$DA$18</f>
        <v>0</v>
      </c>
      <c r="K420" s="102">
        <f t="shared" ref="K420:U420" si="2435">K414/$DA$18</f>
        <v>0</v>
      </c>
      <c r="L420" s="102">
        <f t="shared" si="2435"/>
        <v>0.16666666666666666</v>
      </c>
      <c r="M420" s="102">
        <f t="shared" si="2435"/>
        <v>0.16666666666666666</v>
      </c>
      <c r="N420" s="102">
        <f t="shared" si="2435"/>
        <v>0.16666666666666666</v>
      </c>
      <c r="O420" s="102">
        <f t="shared" si="2435"/>
        <v>0.16666666666666666</v>
      </c>
      <c r="P420" s="102">
        <f t="shared" si="2435"/>
        <v>0.33333333333333331</v>
      </c>
      <c r="Q420" s="102">
        <f t="shared" si="2435"/>
        <v>0.33333333333333331</v>
      </c>
      <c r="R420" s="102">
        <f t="shared" si="2435"/>
        <v>0.33333333333333331</v>
      </c>
      <c r="S420" s="102">
        <f t="shared" si="2435"/>
        <v>0.33333333333333331</v>
      </c>
      <c r="T420" s="102">
        <f t="shared" si="2435"/>
        <v>0.5</v>
      </c>
      <c r="U420" s="102">
        <f t="shared" si="2435"/>
        <v>0.5</v>
      </c>
      <c r="V420" s="102">
        <f>V414/$DK$18</f>
        <v>0</v>
      </c>
      <c r="W420" s="102">
        <f>W414/$DK$18</f>
        <v>0.5</v>
      </c>
      <c r="X420" s="102">
        <f>X414/$AG$18</f>
        <v>0.33333333333333331</v>
      </c>
      <c r="Y420" s="102">
        <f t="shared" ref="Y420:AH420" si="2436">Y414/$AG$18</f>
        <v>0.33333333333333331</v>
      </c>
      <c r="Z420" s="102">
        <f t="shared" si="2436"/>
        <v>0.33333333333333331</v>
      </c>
      <c r="AA420" s="102">
        <f t="shared" si="2436"/>
        <v>0.33333333333333331</v>
      </c>
      <c r="AB420" s="102">
        <f t="shared" si="2436"/>
        <v>0.66666666666666663</v>
      </c>
      <c r="AC420" s="102">
        <f t="shared" si="2436"/>
        <v>0.66666666666666663</v>
      </c>
      <c r="AD420" s="102">
        <f t="shared" si="2436"/>
        <v>0.66666666666666663</v>
      </c>
      <c r="AE420" s="102">
        <f t="shared" si="2436"/>
        <v>0.66666666666666663</v>
      </c>
      <c r="AF420" s="102">
        <f t="shared" si="2436"/>
        <v>1</v>
      </c>
      <c r="AG420" s="102">
        <f t="shared" si="2436"/>
        <v>1</v>
      </c>
      <c r="AH420" s="102">
        <f t="shared" si="2436"/>
        <v>0</v>
      </c>
      <c r="AI420" s="102">
        <f>AI414/$DK$18</f>
        <v>0</v>
      </c>
      <c r="AJ420" s="102">
        <f>AJ414/$DK$18</f>
        <v>0</v>
      </c>
      <c r="AK420" s="411"/>
      <c r="AL420" s="99">
        <f t="shared" si="2426"/>
        <v>0</v>
      </c>
      <c r="AM420" s="99">
        <f t="shared" si="2426"/>
        <v>0</v>
      </c>
      <c r="AN420" s="99">
        <f t="shared" si="2426"/>
        <v>0.16666666666666666</v>
      </c>
      <c r="AO420" s="99">
        <f t="shared" si="2426"/>
        <v>0.16666666666666666</v>
      </c>
      <c r="AP420" s="99">
        <f t="shared" si="2426"/>
        <v>0.16666666666666666</v>
      </c>
      <c r="AQ420" s="99">
        <f t="shared" si="2426"/>
        <v>0.16666666666666666</v>
      </c>
      <c r="AR420" s="99">
        <f t="shared" si="2426"/>
        <v>0.33333333333333331</v>
      </c>
      <c r="AS420" s="99">
        <f t="shared" si="2426"/>
        <v>0.33333333333333331</v>
      </c>
      <c r="AT420" s="99">
        <f t="shared" si="2426"/>
        <v>0.33333333333333331</v>
      </c>
      <c r="AU420" s="99">
        <f t="shared" si="2426"/>
        <v>0.33333333333333331</v>
      </c>
      <c r="AV420" s="99">
        <f t="shared" si="2427"/>
        <v>0.5</v>
      </c>
      <c r="AW420" s="99">
        <f t="shared" si="2427"/>
        <v>0.5</v>
      </c>
      <c r="AX420" s="99">
        <f t="shared" si="2427"/>
        <v>0</v>
      </c>
      <c r="AY420" s="99">
        <f t="shared" si="2427"/>
        <v>0.5</v>
      </c>
      <c r="AZ420" s="99">
        <f t="shared" si="2427"/>
        <v>0.33333333333333331</v>
      </c>
      <c r="BA420" s="99">
        <f t="shared" si="2427"/>
        <v>0.33333333333333331</v>
      </c>
      <c r="BB420" s="99">
        <f t="shared" si="2427"/>
        <v>0.33333333333333331</v>
      </c>
      <c r="BC420" s="99">
        <f t="shared" si="2427"/>
        <v>0.33333333333333331</v>
      </c>
      <c r="BD420" s="99">
        <f t="shared" si="2427"/>
        <v>0.66666666666666663</v>
      </c>
      <c r="BE420" s="99">
        <f t="shared" si="2427"/>
        <v>0.66666666666666663</v>
      </c>
      <c r="BF420" s="99">
        <f t="shared" si="2433"/>
        <v>0.66666666666666663</v>
      </c>
      <c r="BG420" s="99">
        <f t="shared" si="2433"/>
        <v>0.66666666666666663</v>
      </c>
      <c r="BH420" s="99">
        <f t="shared" si="2433"/>
        <v>1</v>
      </c>
      <c r="BI420" s="99">
        <f t="shared" si="2433"/>
        <v>1</v>
      </c>
      <c r="BJ420" s="99">
        <f t="shared" si="2433"/>
        <v>0</v>
      </c>
      <c r="BK420" s="99">
        <f t="shared" si="2433"/>
        <v>0</v>
      </c>
      <c r="BL420" s="99">
        <f t="shared" si="2433"/>
        <v>0</v>
      </c>
      <c r="BM420" s="411"/>
      <c r="BN420" s="99">
        <f>AL420</f>
        <v>0</v>
      </c>
      <c r="BO420" s="99">
        <f>AM420</f>
        <v>0</v>
      </c>
      <c r="BP420" s="99">
        <f>AN420</f>
        <v>0.16666666666666666</v>
      </c>
      <c r="BQ420" s="99">
        <f>AO420</f>
        <v>0.16666666666666666</v>
      </c>
      <c r="BR420" s="99">
        <f>AP420</f>
        <v>0.16666666666666666</v>
      </c>
      <c r="BS420" s="99">
        <f>AQ420</f>
        <v>0.16666666666666666</v>
      </c>
      <c r="BT420" s="99">
        <f>AR420</f>
        <v>0.33333333333333331</v>
      </c>
      <c r="BU420" s="99">
        <f>AS420</f>
        <v>0.33333333333333331</v>
      </c>
      <c r="BV420" s="99">
        <f>AT420</f>
        <v>0.33333333333333331</v>
      </c>
      <c r="BW420" s="99">
        <f>AU420</f>
        <v>0.33333333333333331</v>
      </c>
      <c r="BX420" s="99">
        <f>AV420</f>
        <v>0.5</v>
      </c>
      <c r="BY420" s="99">
        <f>AW420</f>
        <v>0.5</v>
      </c>
      <c r="BZ420" s="99">
        <f>AX420</f>
        <v>0</v>
      </c>
      <c r="CA420" s="99">
        <f>AY420</f>
        <v>0.5</v>
      </c>
      <c r="CB420" s="99">
        <f>AZ420</f>
        <v>0.33333333333333331</v>
      </c>
      <c r="CC420" s="99">
        <f>BA420</f>
        <v>0.33333333333333331</v>
      </c>
      <c r="CD420" s="99">
        <f>BB420</f>
        <v>0.33333333333333331</v>
      </c>
      <c r="CE420" s="99">
        <f>BC420</f>
        <v>0.33333333333333331</v>
      </c>
      <c r="CF420" s="99">
        <f>BD420</f>
        <v>0.66666666666666663</v>
      </c>
      <c r="CG420" s="99">
        <f>BE420</f>
        <v>0.66666666666666663</v>
      </c>
      <c r="CH420" s="99">
        <f>BF420</f>
        <v>0.66666666666666663</v>
      </c>
      <c r="CI420" s="99">
        <f>BG420</f>
        <v>0.66666666666666663</v>
      </c>
      <c r="CJ420" s="99">
        <f>BH420</f>
        <v>1</v>
      </c>
      <c r="CK420" s="99">
        <f>BI420</f>
        <v>1</v>
      </c>
      <c r="CL420" s="99">
        <f>BJ420</f>
        <v>0</v>
      </c>
      <c r="CM420" s="99">
        <f>BK420</f>
        <v>0</v>
      </c>
      <c r="CN420" s="99">
        <f>BL420</f>
        <v>0</v>
      </c>
      <c r="CO420" s="423"/>
      <c r="CP420" s="99">
        <f t="shared" ref="CP420:DP420" si="2437">BN420</f>
        <v>0</v>
      </c>
      <c r="CQ420" s="99">
        <f t="shared" si="2437"/>
        <v>0</v>
      </c>
      <c r="CR420" s="99">
        <f t="shared" si="2437"/>
        <v>0.16666666666666666</v>
      </c>
      <c r="CS420" s="99">
        <f t="shared" si="2437"/>
        <v>0.16666666666666666</v>
      </c>
      <c r="CT420" s="99">
        <f t="shared" si="2437"/>
        <v>0.16666666666666666</v>
      </c>
      <c r="CU420" s="99">
        <f t="shared" si="2437"/>
        <v>0.16666666666666666</v>
      </c>
      <c r="CV420" s="99">
        <f t="shared" si="2437"/>
        <v>0.33333333333333331</v>
      </c>
      <c r="CW420" s="99">
        <f t="shared" si="2437"/>
        <v>0.33333333333333331</v>
      </c>
      <c r="CX420" s="99">
        <f t="shared" si="2437"/>
        <v>0.33333333333333331</v>
      </c>
      <c r="CY420" s="99">
        <f t="shared" si="2437"/>
        <v>0.33333333333333331</v>
      </c>
      <c r="CZ420" s="99">
        <f t="shared" si="2437"/>
        <v>0.5</v>
      </c>
      <c r="DA420" s="99">
        <f t="shared" si="2437"/>
        <v>0.5</v>
      </c>
      <c r="DB420" s="99">
        <f t="shared" si="2437"/>
        <v>0</v>
      </c>
      <c r="DC420" s="99">
        <f t="shared" si="2437"/>
        <v>0.5</v>
      </c>
      <c r="DD420" s="99">
        <f t="shared" si="2437"/>
        <v>0.33333333333333331</v>
      </c>
      <c r="DE420" s="99">
        <f t="shared" si="2437"/>
        <v>0.33333333333333331</v>
      </c>
      <c r="DF420" s="99">
        <f t="shared" si="2437"/>
        <v>0.33333333333333331</v>
      </c>
      <c r="DG420" s="99">
        <f t="shared" si="2437"/>
        <v>0.33333333333333331</v>
      </c>
      <c r="DH420" s="99">
        <f t="shared" si="2437"/>
        <v>0.66666666666666663</v>
      </c>
      <c r="DI420" s="99">
        <f t="shared" si="2437"/>
        <v>0.66666666666666663</v>
      </c>
      <c r="DJ420" s="99">
        <f t="shared" si="2437"/>
        <v>0.66666666666666663</v>
      </c>
      <c r="DK420" s="99">
        <f t="shared" si="2437"/>
        <v>0.66666666666666663</v>
      </c>
      <c r="DL420" s="99">
        <f t="shared" si="2437"/>
        <v>1</v>
      </c>
      <c r="DM420" s="99">
        <f t="shared" si="2437"/>
        <v>1</v>
      </c>
      <c r="DN420" s="99">
        <f t="shared" si="2437"/>
        <v>0</v>
      </c>
      <c r="DO420" s="99">
        <f t="shared" si="2437"/>
        <v>0</v>
      </c>
      <c r="DP420" s="99">
        <f t="shared" si="2437"/>
        <v>0</v>
      </c>
      <c r="DQ420" s="99"/>
      <c r="DR420" s="99"/>
      <c r="DS420" s="99"/>
      <c r="DT420" s="99"/>
      <c r="DU420" s="99"/>
      <c r="DV420" s="99"/>
      <c r="DW420" s="99"/>
      <c r="DX420" s="99"/>
      <c r="DY420" s="99"/>
      <c r="EA420" s="40" t="str">
        <f>HLOOKUP($I$1,Month,19)</f>
        <v>N/A</v>
      </c>
      <c r="EB420" s="40" t="str">
        <f>HLOOKUP($I$1,Qtr,19)</f>
        <v>N/A</v>
      </c>
      <c r="EC420" s="40"/>
      <c r="ED420" s="429"/>
      <c r="EE420" s="99">
        <f>HLOOKUP($I$1,Month,ROW()-1)</f>
        <v>0</v>
      </c>
      <c r="EF420" s="99">
        <f>HLOOKUP($I$1,Qtr,ROW()-1)</f>
        <v>0</v>
      </c>
      <c r="EG420" s="127">
        <v>1</v>
      </c>
      <c r="EH420" s="54"/>
      <c r="EI420" s="54"/>
      <c r="EJ420" s="54"/>
      <c r="EK420" s="675"/>
      <c r="EL420" s="136"/>
      <c r="EM420" s="136"/>
      <c r="EN420" s="136"/>
      <c r="EO420" s="49"/>
      <c r="EP420" s="49"/>
      <c r="EQ420" s="49"/>
    </row>
    <row r="421" spans="1:149">
      <c r="A421" s="6" t="s">
        <v>23</v>
      </c>
      <c r="B421" s="2" t="s">
        <v>98</v>
      </c>
      <c r="G421" s="41" t="s">
        <v>92</v>
      </c>
      <c r="H421" s="28"/>
      <c r="I421" s="29"/>
      <c r="J421" s="32">
        <f>J407*J408</f>
        <v>4.9875000000000007</v>
      </c>
      <c r="K421" s="32">
        <f t="shared" ref="K421:AJ421" si="2438">K407*K408</f>
        <v>4.9875000000000007</v>
      </c>
      <c r="L421" s="32">
        <f t="shared" si="2438"/>
        <v>4.9875000000000007</v>
      </c>
      <c r="M421" s="32">
        <f t="shared" si="2438"/>
        <v>4.9875000000000007</v>
      </c>
      <c r="N421" s="32">
        <f t="shared" si="2438"/>
        <v>4.9875000000000007</v>
      </c>
      <c r="O421" s="32">
        <f t="shared" si="2438"/>
        <v>4.9875000000000007</v>
      </c>
      <c r="P421" s="32">
        <f t="shared" si="2438"/>
        <v>4.9875000000000007</v>
      </c>
      <c r="Q421" s="32">
        <f t="shared" si="2438"/>
        <v>4.9875000000000007</v>
      </c>
      <c r="R421" s="32">
        <f t="shared" si="2438"/>
        <v>4.9875000000000007</v>
      </c>
      <c r="S421" s="32">
        <f t="shared" si="2438"/>
        <v>4.9875000000000007</v>
      </c>
      <c r="T421" s="32">
        <f t="shared" si="2438"/>
        <v>4.9875000000000007</v>
      </c>
      <c r="U421" s="32">
        <f t="shared" si="2438"/>
        <v>4.9875000000000007</v>
      </c>
      <c r="V421" s="32">
        <f t="shared" si="2438"/>
        <v>3.8</v>
      </c>
      <c r="W421" s="32">
        <f t="shared" si="2438"/>
        <v>7.6</v>
      </c>
      <c r="X421" s="32">
        <f t="shared" si="2438"/>
        <v>11.399999999999999</v>
      </c>
      <c r="Y421" s="32">
        <f t="shared" si="2438"/>
        <v>15.2</v>
      </c>
      <c r="Z421" s="32">
        <f t="shared" si="2438"/>
        <v>19</v>
      </c>
      <c r="AA421" s="32">
        <f t="shared" si="2438"/>
        <v>22.799999999999997</v>
      </c>
      <c r="AB421" s="32">
        <f t="shared" si="2438"/>
        <v>26.599999999999998</v>
      </c>
      <c r="AC421" s="32">
        <f t="shared" si="2438"/>
        <v>30.4</v>
      </c>
      <c r="AD421" s="32">
        <f t="shared" si="2438"/>
        <v>34.199999999999996</v>
      </c>
      <c r="AE421" s="32">
        <f t="shared" si="2438"/>
        <v>38</v>
      </c>
      <c r="AF421" s="32">
        <f t="shared" si="2438"/>
        <v>41.8</v>
      </c>
      <c r="AG421" s="32">
        <f t="shared" si="2438"/>
        <v>45.599999999999994</v>
      </c>
      <c r="AH421" s="32">
        <f t="shared" si="2438"/>
        <v>0</v>
      </c>
      <c r="AI421" s="32">
        <f t="shared" si="2438"/>
        <v>0</v>
      </c>
      <c r="AJ421" s="32">
        <f t="shared" si="2438"/>
        <v>0</v>
      </c>
      <c r="AK421" s="408"/>
      <c r="AL421" s="56">
        <f>AL407*AL408</f>
        <v>4.9875000000000007</v>
      </c>
      <c r="AM421" s="56">
        <f>AM407*AM408</f>
        <v>4.9875000000000007</v>
      </c>
      <c r="AN421" s="56">
        <f>AN407*AN408</f>
        <v>4.9875000000000007</v>
      </c>
      <c r="AO421" s="56">
        <f>AO407*AO408</f>
        <v>4.9875000000000007</v>
      </c>
      <c r="AP421" s="56">
        <f t="shared" ref="AP421:BL421" si="2439">AP407*AP408</f>
        <v>4.9875000000000007</v>
      </c>
      <c r="AQ421" s="56">
        <f t="shared" si="2439"/>
        <v>4.9875000000000007</v>
      </c>
      <c r="AR421" s="56">
        <f t="shared" si="2439"/>
        <v>4.9875000000000007</v>
      </c>
      <c r="AS421" s="56">
        <f t="shared" si="2439"/>
        <v>4.9875000000000007</v>
      </c>
      <c r="AT421" s="56">
        <f t="shared" si="2439"/>
        <v>4.9875000000000007</v>
      </c>
      <c r="AU421" s="56">
        <f t="shared" si="2439"/>
        <v>4.9875000000000007</v>
      </c>
      <c r="AV421" s="56">
        <f t="shared" si="2439"/>
        <v>4.9875000000000007</v>
      </c>
      <c r="AW421" s="56">
        <f t="shared" si="2439"/>
        <v>4.9875000000000007</v>
      </c>
      <c r="AX421" s="56">
        <f t="shared" si="2439"/>
        <v>3.8</v>
      </c>
      <c r="AY421" s="56">
        <f t="shared" si="2439"/>
        <v>3.8</v>
      </c>
      <c r="AZ421" s="56">
        <f t="shared" si="2439"/>
        <v>3.8</v>
      </c>
      <c r="BA421" s="56">
        <f t="shared" si="2439"/>
        <v>3.8</v>
      </c>
      <c r="BB421" s="56">
        <f t="shared" si="2439"/>
        <v>3.8</v>
      </c>
      <c r="BC421" s="56">
        <f t="shared" si="2439"/>
        <v>3.8</v>
      </c>
      <c r="BD421" s="56">
        <f t="shared" si="2439"/>
        <v>3.8</v>
      </c>
      <c r="BE421" s="56">
        <f t="shared" si="2439"/>
        <v>3.8</v>
      </c>
      <c r="BF421" s="56">
        <f t="shared" si="2439"/>
        <v>3.8</v>
      </c>
      <c r="BG421" s="56">
        <f t="shared" si="2439"/>
        <v>3.8</v>
      </c>
      <c r="BH421" s="56">
        <f t="shared" si="2439"/>
        <v>3.8</v>
      </c>
      <c r="BI421" s="56">
        <f t="shared" si="2439"/>
        <v>3.8</v>
      </c>
      <c r="BJ421" s="56">
        <f t="shared" si="2439"/>
        <v>0</v>
      </c>
      <c r="BK421" s="56">
        <f t="shared" si="2439"/>
        <v>0</v>
      </c>
      <c r="BL421" s="56">
        <f t="shared" si="2439"/>
        <v>0</v>
      </c>
      <c r="BM421" s="408"/>
      <c r="BN421" s="56">
        <f>+AL421</f>
        <v>4.9875000000000007</v>
      </c>
      <c r="BO421" s="56">
        <f>+BN421+AM421</f>
        <v>9.9750000000000014</v>
      </c>
      <c r="BP421" s="56">
        <f>+BO421+AN421</f>
        <v>14.962500000000002</v>
      </c>
      <c r="BQ421" s="56">
        <f>M421</f>
        <v>4.9875000000000007</v>
      </c>
      <c r="BR421" s="56">
        <f>+BQ421+AP421</f>
        <v>9.9750000000000014</v>
      </c>
      <c r="BS421" s="56">
        <f>+BR421+AQ421</f>
        <v>14.962500000000002</v>
      </c>
      <c r="BT421" s="56">
        <f>P421</f>
        <v>4.9875000000000007</v>
      </c>
      <c r="BU421" s="56">
        <f>+BT421+AS421</f>
        <v>9.9750000000000014</v>
      </c>
      <c r="BV421" s="56">
        <f>+BU421+AT421</f>
        <v>14.962500000000002</v>
      </c>
      <c r="BW421" s="56">
        <f>S421</f>
        <v>4.9875000000000007</v>
      </c>
      <c r="BX421" s="56">
        <f>+BW421+AV421</f>
        <v>9.9750000000000014</v>
      </c>
      <c r="BY421" s="56">
        <f>+BX421+AW421</f>
        <v>14.962500000000002</v>
      </c>
      <c r="BZ421" s="56">
        <f>V421</f>
        <v>3.8</v>
      </c>
      <c r="CA421" s="56">
        <f>+BZ421+AY421</f>
        <v>7.6</v>
      </c>
      <c r="CB421" s="56">
        <f>+CA421+AZ421</f>
        <v>11.399999999999999</v>
      </c>
      <c r="CC421" s="56">
        <f>Y421</f>
        <v>15.2</v>
      </c>
      <c r="CD421" s="56">
        <f>+CC421+BB421</f>
        <v>19</v>
      </c>
      <c r="CE421" s="56">
        <f>+CD421+BC421</f>
        <v>22.8</v>
      </c>
      <c r="CF421" s="56">
        <f>AB421</f>
        <v>26.599999999999998</v>
      </c>
      <c r="CG421" s="56">
        <f>+CF421+BE421</f>
        <v>30.4</v>
      </c>
      <c r="CH421" s="56">
        <f>+CG421+BF421</f>
        <v>34.199999999999996</v>
      </c>
      <c r="CI421" s="56">
        <f>AE421</f>
        <v>38</v>
      </c>
      <c r="CJ421" s="56">
        <f>+CI421+BH421</f>
        <v>41.8</v>
      </c>
      <c r="CK421" s="56">
        <f>+CJ421+BI421</f>
        <v>45.599999999999994</v>
      </c>
      <c r="CL421" s="56">
        <f>AH421</f>
        <v>0</v>
      </c>
      <c r="CM421" s="56">
        <f>+CL421+BK421</f>
        <v>0</v>
      </c>
      <c r="CN421" s="56">
        <f>+CM421+BL421</f>
        <v>0</v>
      </c>
      <c r="CO421" s="406"/>
      <c r="CP421" s="60">
        <f>J421</f>
        <v>4.9875000000000007</v>
      </c>
      <c r="CQ421" s="60">
        <f t="shared" ref="CQ421:DA421" si="2440">CP421+K421</f>
        <v>9.9750000000000014</v>
      </c>
      <c r="CR421" s="60">
        <f t="shared" si="2440"/>
        <v>14.962500000000002</v>
      </c>
      <c r="CS421" s="60">
        <f t="shared" si="2440"/>
        <v>19.950000000000003</v>
      </c>
      <c r="CT421" s="60">
        <f t="shared" si="2440"/>
        <v>24.937500000000004</v>
      </c>
      <c r="CU421" s="60">
        <f t="shared" si="2440"/>
        <v>29.925000000000004</v>
      </c>
      <c r="CV421" s="60">
        <f t="shared" si="2440"/>
        <v>34.912500000000009</v>
      </c>
      <c r="CW421" s="60">
        <f t="shared" si="2440"/>
        <v>39.900000000000006</v>
      </c>
      <c r="CX421" s="60">
        <f t="shared" si="2440"/>
        <v>44.887500000000003</v>
      </c>
      <c r="CY421" s="60">
        <f t="shared" si="2440"/>
        <v>49.875</v>
      </c>
      <c r="CZ421" s="60">
        <f t="shared" si="2440"/>
        <v>54.862499999999997</v>
      </c>
      <c r="DA421" s="60">
        <f t="shared" si="2440"/>
        <v>59.849999999999994</v>
      </c>
      <c r="DB421" s="60">
        <f>V421</f>
        <v>3.8</v>
      </c>
      <c r="DC421" s="60">
        <f t="shared" ref="DC421:DM421" si="2441">DB421+W421</f>
        <v>11.399999999999999</v>
      </c>
      <c r="DD421" s="60">
        <f t="shared" si="2441"/>
        <v>22.799999999999997</v>
      </c>
      <c r="DE421" s="60">
        <f t="shared" si="2441"/>
        <v>38</v>
      </c>
      <c r="DF421" s="60">
        <f t="shared" si="2441"/>
        <v>57</v>
      </c>
      <c r="DG421" s="60">
        <f t="shared" si="2441"/>
        <v>79.8</v>
      </c>
      <c r="DH421" s="60">
        <f t="shared" si="2441"/>
        <v>106.39999999999999</v>
      </c>
      <c r="DI421" s="60">
        <f t="shared" si="2441"/>
        <v>136.79999999999998</v>
      </c>
      <c r="DJ421" s="60">
        <f t="shared" si="2441"/>
        <v>170.99999999999997</v>
      </c>
      <c r="DK421" s="60">
        <f t="shared" si="2441"/>
        <v>208.99999999999997</v>
      </c>
      <c r="DL421" s="60">
        <f t="shared" si="2441"/>
        <v>250.79999999999995</v>
      </c>
      <c r="DM421" s="60">
        <f t="shared" si="2441"/>
        <v>296.39999999999998</v>
      </c>
      <c r="DN421" s="60">
        <f>AH421</f>
        <v>0</v>
      </c>
      <c r="DO421" s="60">
        <f>DN421+AI421</f>
        <v>0</v>
      </c>
      <c r="DP421" s="60">
        <f>DO421+AJ421</f>
        <v>0</v>
      </c>
      <c r="DQ421" s="60"/>
      <c r="DR421" s="60"/>
      <c r="DS421" s="60"/>
      <c r="DT421" s="60"/>
      <c r="DU421" s="60"/>
      <c r="DV421" s="60"/>
      <c r="DW421" s="60"/>
      <c r="DX421" s="60"/>
      <c r="DY421" s="60"/>
      <c r="EA421" s="98">
        <v>0.95</v>
      </c>
      <c r="EB421" s="98">
        <v>0.95</v>
      </c>
      <c r="EC421" s="98"/>
      <c r="ED421" s="429"/>
      <c r="EE421" s="61">
        <f>HLOOKUP($I$1,Month,ROW()-1)</f>
        <v>0</v>
      </c>
      <c r="EF421" s="61">
        <f>HLOOKUP($I$1,Qtr,ROW()-1)</f>
        <v>0</v>
      </c>
      <c r="EG421" s="99">
        <f>HLOOKUP($EJ$4,Budget,ROW()-1)</f>
        <v>0.95</v>
      </c>
      <c r="EH421" s="54"/>
      <c r="EK421" s="675"/>
      <c r="EL421" s="136"/>
      <c r="EM421" s="136"/>
      <c r="EN421" s="136"/>
      <c r="EO421" s="49"/>
      <c r="EP421" s="49"/>
      <c r="EQ421" s="49"/>
    </row>
    <row r="422" spans="1:149">
      <c r="A422" s="6" t="s">
        <v>21</v>
      </c>
      <c r="I422" s="1"/>
      <c r="J422" s="1"/>
      <c r="K422" s="42" t="s">
        <v>114</v>
      </c>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406"/>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406"/>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406"/>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245"/>
      <c r="DR422" s="245"/>
      <c r="DS422" s="245"/>
      <c r="DT422" s="245"/>
      <c r="DU422" s="245"/>
      <c r="DV422" s="245"/>
      <c r="DW422" s="245"/>
      <c r="DX422" s="245"/>
      <c r="DY422" s="245"/>
      <c r="ED422" s="429"/>
      <c r="EE422" s="23"/>
      <c r="EF422" s="23"/>
      <c r="EG422" s="23"/>
      <c r="EH422" s="23"/>
      <c r="EK422" s="23"/>
    </row>
    <row r="423" spans="1:149" ht="12.75" customHeight="1">
      <c r="A423" s="6" t="s">
        <v>22</v>
      </c>
      <c r="B423" s="2" t="s">
        <v>0</v>
      </c>
      <c r="C423" s="3" t="s">
        <v>54</v>
      </c>
      <c r="E423" s="3" t="s">
        <v>16</v>
      </c>
      <c r="G423" s="1" t="s">
        <v>91</v>
      </c>
      <c r="I423" s="18">
        <v>367</v>
      </c>
      <c r="J423" s="21">
        <v>408</v>
      </c>
      <c r="K423" s="19">
        <v>459</v>
      </c>
      <c r="L423" s="19">
        <v>499</v>
      </c>
      <c r="M423" s="20">
        <v>100</v>
      </c>
      <c r="N423" s="19">
        <v>133</v>
      </c>
      <c r="O423" s="19">
        <v>159</v>
      </c>
      <c r="P423" s="19">
        <v>179</v>
      </c>
      <c r="Q423" s="19">
        <v>199</v>
      </c>
      <c r="R423" s="19">
        <v>254</v>
      </c>
      <c r="S423" s="19">
        <v>304</v>
      </c>
      <c r="T423" s="19">
        <v>346</v>
      </c>
      <c r="U423" s="19">
        <v>377</v>
      </c>
      <c r="V423" s="26">
        <v>407</v>
      </c>
      <c r="W423" s="19">
        <v>453</v>
      </c>
      <c r="X423" s="19">
        <v>500</v>
      </c>
      <c r="Y423" s="358">
        <v>111</v>
      </c>
      <c r="Z423" s="19">
        <v>183</v>
      </c>
      <c r="AA423" s="19">
        <v>226</v>
      </c>
      <c r="AB423" s="19">
        <v>289</v>
      </c>
      <c r="AC423" s="19">
        <v>341</v>
      </c>
      <c r="AD423" s="19">
        <v>388</v>
      </c>
      <c r="AE423" s="19">
        <v>438</v>
      </c>
      <c r="AF423" s="19">
        <v>487</v>
      </c>
      <c r="AG423" s="19">
        <v>536</v>
      </c>
      <c r="AH423" s="19">
        <v>580</v>
      </c>
      <c r="AI423" s="19">
        <v>618</v>
      </c>
      <c r="AJ423" s="19"/>
      <c r="AK423" s="408"/>
      <c r="AL423" s="21">
        <f t="shared" ref="AL423:AM427" si="2442">J423-I423</f>
        <v>41</v>
      </c>
      <c r="AM423" s="21">
        <f t="shared" si="2442"/>
        <v>51</v>
      </c>
      <c r="AN423" s="21">
        <f t="shared" ref="AN423:AN431" si="2443">L423-K423</f>
        <v>40</v>
      </c>
      <c r="AO423" s="21">
        <f>M423</f>
        <v>100</v>
      </c>
      <c r="AP423" s="129">
        <f t="shared" ref="AP423:AP431" si="2444">IF(N423&lt;&gt;"",N423-M423,0)</f>
        <v>33</v>
      </c>
      <c r="AQ423" s="131">
        <f t="shared" ref="AQ423:AQ431" si="2445">IF(O423&lt;&gt;"",O423-N423,0)</f>
        <v>26</v>
      </c>
      <c r="AR423" s="131">
        <f t="shared" ref="AR423:AR442" si="2446">IF(P423&lt;&gt;"",P423-O423,0)</f>
        <v>20</v>
      </c>
      <c r="AS423" s="131">
        <f t="shared" ref="AS423:AS442" si="2447">IF(Q423&lt;&gt;"",Q423-P423,0)</f>
        <v>20</v>
      </c>
      <c r="AT423" s="131">
        <f t="shared" ref="AT423:AT439" si="2448">IF(R423&lt;&gt;"",R423-Q423,0)</f>
        <v>55</v>
      </c>
      <c r="AU423" s="131">
        <f t="shared" ref="AU423:AU439" si="2449">IF(S423&lt;&gt;"",S423-R423,0)</f>
        <v>50</v>
      </c>
      <c r="AV423" s="131">
        <f t="shared" ref="AV423:AV442" si="2450">IF(T423&lt;&gt;"",T423-S423,0)</f>
        <v>42</v>
      </c>
      <c r="AW423" s="131">
        <f t="shared" ref="AW423:AW442" si="2451">IF(U423&lt;&gt;"",U423-T423,0)</f>
        <v>31</v>
      </c>
      <c r="AX423" s="131">
        <f>IF(V423&lt;&gt;"",V423-U423,0)</f>
        <v>30</v>
      </c>
      <c r="AY423" s="131">
        <f t="shared" ref="AY423:AY442" si="2452">IF(W423&lt;&gt;"",W423-V423,0)</f>
        <v>46</v>
      </c>
      <c r="AZ423" s="131">
        <f t="shared" ref="AZ423:AZ442" si="2453">IF(X423&lt;&gt;"",X423-W423,0)</f>
        <v>47</v>
      </c>
      <c r="BA423" s="21">
        <f>Y423</f>
        <v>111</v>
      </c>
      <c r="BB423" s="131">
        <f t="shared" ref="BB423:BB439" si="2454">IF(Z423&lt;&gt;"",Z423-Y423,0)</f>
        <v>72</v>
      </c>
      <c r="BC423" s="131">
        <f t="shared" ref="BC423:BC439" si="2455">IF(AA423&lt;&gt;"",AA423-Z423,0)</f>
        <v>43</v>
      </c>
      <c r="BD423" s="131">
        <f t="shared" ref="BD423:BD439" si="2456">IF(AB423&lt;&gt;"",AB423-AA423,0)</f>
        <v>63</v>
      </c>
      <c r="BE423" s="131">
        <f t="shared" ref="BE423:BE439" si="2457">IF(AC423&lt;&gt;"",AC423-AB423,0)</f>
        <v>52</v>
      </c>
      <c r="BF423" s="131">
        <f t="shared" ref="BF423:BF439" si="2458">IF(AD423&lt;&gt;"",AD423-AC423,0)</f>
        <v>47</v>
      </c>
      <c r="BG423" s="131">
        <f t="shared" ref="BG423:BG439" si="2459">IF(AE423&lt;&gt;"",AE423-AD423,0)</f>
        <v>50</v>
      </c>
      <c r="BH423" s="131">
        <f t="shared" ref="BH423:BH439" si="2460">IF(AF423&lt;&gt;"",AF423-AE423,0)</f>
        <v>49</v>
      </c>
      <c r="BI423" s="131">
        <f t="shared" ref="BI423:BI439" si="2461">IF(AG423&lt;&gt;"",AG423-AF423,0)</f>
        <v>49</v>
      </c>
      <c r="BJ423" s="131">
        <f>IF(AH423&lt;&gt;"",AH423-AG423,0)</f>
        <v>44</v>
      </c>
      <c r="BK423" s="131">
        <f t="shared" ref="BK423:BK439" si="2462">IF(AI423&lt;&gt;"",AI423-AH423,0)</f>
        <v>38</v>
      </c>
      <c r="BL423" s="131">
        <f t="shared" ref="BL423:BL439" si="2463">IF(AJ423&lt;&gt;"",AJ423-AI423,0)</f>
        <v>0</v>
      </c>
      <c r="BM423" s="408"/>
      <c r="BN423" s="48">
        <f>BP423</f>
        <v>132</v>
      </c>
      <c r="BO423" s="48">
        <f>BP423</f>
        <v>132</v>
      </c>
      <c r="BP423" s="48">
        <f>SUM(AL423:AN423)</f>
        <v>132</v>
      </c>
      <c r="BQ423" s="48">
        <f>BS423</f>
        <v>159</v>
      </c>
      <c r="BR423" s="48">
        <f>BS423</f>
        <v>159</v>
      </c>
      <c r="BS423" s="48">
        <f>SUM(AO423:AQ423)</f>
        <v>159</v>
      </c>
      <c r="BT423" s="48">
        <f>BV423</f>
        <v>95</v>
      </c>
      <c r="BU423" s="48">
        <f>BV423</f>
        <v>95</v>
      </c>
      <c r="BV423" s="48">
        <f>SUM(AR423:AT423)</f>
        <v>95</v>
      </c>
      <c r="BW423" s="48">
        <f>BY423</f>
        <v>123</v>
      </c>
      <c r="BX423" s="48">
        <f>BY423</f>
        <v>123</v>
      </c>
      <c r="BY423" s="48">
        <f>SUM(AU423:AW423)</f>
        <v>123</v>
      </c>
      <c r="BZ423" s="48">
        <f>CB423</f>
        <v>123</v>
      </c>
      <c r="CA423" s="48">
        <f>CB423</f>
        <v>123</v>
      </c>
      <c r="CB423" s="48">
        <f>SUM(AX423:AZ423)</f>
        <v>123</v>
      </c>
      <c r="CC423" s="48">
        <f>CE423</f>
        <v>226</v>
      </c>
      <c r="CD423" s="48">
        <f>CE423</f>
        <v>226</v>
      </c>
      <c r="CE423" s="48">
        <f>SUM(BA423:BC423)</f>
        <v>226</v>
      </c>
      <c r="CF423" s="48">
        <f>CH423</f>
        <v>162</v>
      </c>
      <c r="CG423" s="48">
        <f>CH423</f>
        <v>162</v>
      </c>
      <c r="CH423" s="48">
        <f>SUM(BD423:BF423)</f>
        <v>162</v>
      </c>
      <c r="CI423" s="48">
        <f>CK423</f>
        <v>148</v>
      </c>
      <c r="CJ423" s="48">
        <f>CK423</f>
        <v>148</v>
      </c>
      <c r="CK423" s="48">
        <f>SUM(BG423:BI423)</f>
        <v>148</v>
      </c>
      <c r="CL423" s="48">
        <f>CN423</f>
        <v>82</v>
      </c>
      <c r="CM423" s="48">
        <f>CN423</f>
        <v>82</v>
      </c>
      <c r="CN423" s="48">
        <f>SUM(BJ423:BL423)</f>
        <v>82</v>
      </c>
      <c r="CO423" s="406"/>
      <c r="CP423" s="21">
        <f t="shared" ref="CP423:CR427" si="2464">I423+AL423</f>
        <v>408</v>
      </c>
      <c r="CQ423" s="21">
        <f t="shared" si="2464"/>
        <v>459</v>
      </c>
      <c r="CR423" s="21">
        <f t="shared" si="2464"/>
        <v>499</v>
      </c>
      <c r="CS423" s="21">
        <f>AO423</f>
        <v>100</v>
      </c>
      <c r="CT423" s="21">
        <f t="shared" ref="CT423:DD427" si="2465">M423+AP423</f>
        <v>133</v>
      </c>
      <c r="CU423" s="21">
        <f t="shared" si="2465"/>
        <v>159</v>
      </c>
      <c r="CV423" s="21">
        <f t="shared" si="2465"/>
        <v>179</v>
      </c>
      <c r="CW423" s="21">
        <f t="shared" si="2465"/>
        <v>199</v>
      </c>
      <c r="CX423" s="21">
        <f t="shared" si="2465"/>
        <v>254</v>
      </c>
      <c r="CY423" s="21">
        <f t="shared" si="2465"/>
        <v>304</v>
      </c>
      <c r="CZ423" s="21">
        <f t="shared" si="2465"/>
        <v>346</v>
      </c>
      <c r="DA423" s="21">
        <f t="shared" si="2465"/>
        <v>377</v>
      </c>
      <c r="DB423" s="21">
        <f t="shared" si="2465"/>
        <v>407</v>
      </c>
      <c r="DC423" s="21">
        <f t="shared" si="2465"/>
        <v>453</v>
      </c>
      <c r="DD423" s="21">
        <f t="shared" si="2465"/>
        <v>500</v>
      </c>
      <c r="DE423" s="21">
        <f>+BA423</f>
        <v>111</v>
      </c>
      <c r="DF423" s="21">
        <f t="shared" ref="DF423:DP427" si="2466">Y423+BB423</f>
        <v>183</v>
      </c>
      <c r="DG423" s="21">
        <f t="shared" si="2466"/>
        <v>226</v>
      </c>
      <c r="DH423" s="21">
        <f t="shared" si="2466"/>
        <v>289</v>
      </c>
      <c r="DI423" s="21">
        <f t="shared" si="2466"/>
        <v>341</v>
      </c>
      <c r="DJ423" s="21">
        <f t="shared" si="2466"/>
        <v>388</v>
      </c>
      <c r="DK423" s="21">
        <f t="shared" si="2466"/>
        <v>438</v>
      </c>
      <c r="DL423" s="21">
        <f t="shared" si="2466"/>
        <v>487</v>
      </c>
      <c r="DM423" s="21">
        <f t="shared" si="2466"/>
        <v>536</v>
      </c>
      <c r="DN423" s="21">
        <f t="shared" si="2466"/>
        <v>580</v>
      </c>
      <c r="DO423" s="21">
        <f t="shared" si="2466"/>
        <v>618</v>
      </c>
      <c r="DP423" s="21">
        <f t="shared" si="2466"/>
        <v>618</v>
      </c>
      <c r="DQ423" s="248"/>
      <c r="DR423" s="248"/>
      <c r="DS423" s="248"/>
      <c r="DT423" s="248"/>
      <c r="DU423" s="248"/>
      <c r="DV423" s="248"/>
      <c r="DW423" s="248"/>
      <c r="DX423" s="248"/>
      <c r="DY423" s="248"/>
      <c r="ED423" s="429"/>
      <c r="EE423" s="23"/>
      <c r="EF423" s="23"/>
      <c r="EG423" s="23"/>
      <c r="EH423" s="18">
        <f t="shared" ref="EH423:EH440" si="2467">HLOOKUP($I$1,Month,ROW()-1)</f>
        <v>38</v>
      </c>
      <c r="EI423" s="18">
        <f t="shared" ref="EI423:EI440" si="2468">HLOOKUP($I$1,Qtr,ROW()-1)</f>
        <v>82</v>
      </c>
      <c r="EJ423" s="18">
        <f t="shared" ref="EJ423:EJ445" si="2469">HLOOKUP($I$1,YTD,ROW()-1)</f>
        <v>618</v>
      </c>
      <c r="EK423" s="24">
        <f>$EK$1/12</f>
        <v>0.91666666666666663</v>
      </c>
      <c r="EL423" s="14">
        <f t="shared" ref="EL423:EM429" si="2470">EH423/EE400</f>
        <v>0.92121212121212126</v>
      </c>
      <c r="EM423" s="14">
        <f t="shared" si="2470"/>
        <v>0.66262626262626267</v>
      </c>
      <c r="EN423" s="14">
        <f>EJ423/EG400</f>
        <v>1.2484848484848485</v>
      </c>
      <c r="EO423" s="46" t="str">
        <f t="shared" ref="EO423:EP429" si="2471">IF(EH423&lt;0,,IF(EH423&lt;EE400,"È",IF(EH423=EE400,"Æ","Ç")))</f>
        <v>È</v>
      </c>
      <c r="EP423" s="46" t="str">
        <f t="shared" si="2471"/>
        <v>È</v>
      </c>
      <c r="EQ423" s="2">
        <f t="shared" ref="EQ423:EQ438" si="2472">IF(EL423&gt;=0.9,1,IF(EL423&lt;0.75,3,2))</f>
        <v>1</v>
      </c>
      <c r="ER423" s="2">
        <f t="shared" ref="ER423:ER438" si="2473">IF(EM423&gt;=0.9,1,IF(EM423&lt;0.75,3,2))</f>
        <v>3</v>
      </c>
      <c r="ES423" s="2">
        <f t="shared" ref="ES423:ES438" si="2474">IF(EN423&gt;=0.9,1,IF(EN423&lt;0.75,3,2))</f>
        <v>1</v>
      </c>
    </row>
    <row r="424" spans="1:149" ht="12.75" customHeight="1">
      <c r="A424" s="6" t="s">
        <v>22</v>
      </c>
      <c r="B424" s="2" t="s">
        <v>1</v>
      </c>
      <c r="C424" s="3" t="s">
        <v>55</v>
      </c>
      <c r="E424" s="3" t="s">
        <v>16</v>
      </c>
      <c r="G424" s="1" t="s">
        <v>91</v>
      </c>
      <c r="I424" s="18">
        <v>119</v>
      </c>
      <c r="J424" s="19">
        <v>127</v>
      </c>
      <c r="K424" s="19">
        <v>140</v>
      </c>
      <c r="L424" s="19">
        <v>147</v>
      </c>
      <c r="M424" s="20">
        <v>40</v>
      </c>
      <c r="N424" s="19">
        <v>61</v>
      </c>
      <c r="O424" s="19">
        <v>67</v>
      </c>
      <c r="P424" s="19">
        <v>73</v>
      </c>
      <c r="Q424" s="19">
        <v>85</v>
      </c>
      <c r="R424" s="19">
        <v>100</v>
      </c>
      <c r="S424" s="19">
        <v>114</v>
      </c>
      <c r="T424" s="19">
        <v>127</v>
      </c>
      <c r="U424" s="19">
        <v>141</v>
      </c>
      <c r="V424" s="26">
        <v>152</v>
      </c>
      <c r="W424" s="19">
        <v>165</v>
      </c>
      <c r="X424" s="19">
        <v>172</v>
      </c>
      <c r="Y424" s="358">
        <v>52</v>
      </c>
      <c r="Z424" s="19">
        <v>88</v>
      </c>
      <c r="AA424" s="19">
        <v>109</v>
      </c>
      <c r="AB424" s="19">
        <v>133</v>
      </c>
      <c r="AC424" s="19">
        <v>156</v>
      </c>
      <c r="AD424" s="19">
        <v>177</v>
      </c>
      <c r="AE424" s="19">
        <v>200</v>
      </c>
      <c r="AF424" s="19">
        <v>224</v>
      </c>
      <c r="AG424" s="19">
        <v>249</v>
      </c>
      <c r="AH424" s="19">
        <v>271</v>
      </c>
      <c r="AI424" s="19">
        <v>292</v>
      </c>
      <c r="AJ424" s="19"/>
      <c r="AK424" s="408"/>
      <c r="AL424" s="21">
        <f t="shared" si="2442"/>
        <v>8</v>
      </c>
      <c r="AM424" s="21">
        <f t="shared" si="2442"/>
        <v>13</v>
      </c>
      <c r="AN424" s="21">
        <f t="shared" si="2443"/>
        <v>7</v>
      </c>
      <c r="AO424" s="21">
        <f>M424</f>
        <v>40</v>
      </c>
      <c r="AP424" s="129">
        <f t="shared" si="2444"/>
        <v>21</v>
      </c>
      <c r="AQ424" s="129">
        <f t="shared" si="2445"/>
        <v>6</v>
      </c>
      <c r="AR424" s="129">
        <f t="shared" si="2446"/>
        <v>6</v>
      </c>
      <c r="AS424" s="129">
        <f t="shared" si="2447"/>
        <v>12</v>
      </c>
      <c r="AT424" s="129">
        <f t="shared" si="2448"/>
        <v>15</v>
      </c>
      <c r="AU424" s="129">
        <f t="shared" si="2449"/>
        <v>14</v>
      </c>
      <c r="AV424" s="129">
        <f t="shared" si="2450"/>
        <v>13</v>
      </c>
      <c r="AW424" s="129">
        <f t="shared" si="2451"/>
        <v>14</v>
      </c>
      <c r="AX424" s="129">
        <f>IF(V424&lt;&gt;"",V424-U424,0)</f>
        <v>11</v>
      </c>
      <c r="AY424" s="129">
        <f t="shared" si="2452"/>
        <v>13</v>
      </c>
      <c r="AZ424" s="129">
        <f t="shared" si="2453"/>
        <v>7</v>
      </c>
      <c r="BA424" s="21">
        <f>Y424</f>
        <v>52</v>
      </c>
      <c r="BB424" s="129">
        <f t="shared" si="2454"/>
        <v>36</v>
      </c>
      <c r="BC424" s="129">
        <f t="shared" si="2455"/>
        <v>21</v>
      </c>
      <c r="BD424" s="129">
        <f t="shared" si="2456"/>
        <v>24</v>
      </c>
      <c r="BE424" s="129">
        <f t="shared" si="2457"/>
        <v>23</v>
      </c>
      <c r="BF424" s="129">
        <f t="shared" si="2458"/>
        <v>21</v>
      </c>
      <c r="BG424" s="129">
        <f t="shared" si="2459"/>
        <v>23</v>
      </c>
      <c r="BH424" s="129">
        <f t="shared" si="2460"/>
        <v>24</v>
      </c>
      <c r="BI424" s="129">
        <f t="shared" si="2461"/>
        <v>25</v>
      </c>
      <c r="BJ424" s="129">
        <f>IF(AH424&lt;&gt;"",AH424-AG424,0)</f>
        <v>22</v>
      </c>
      <c r="BK424" s="129">
        <f t="shared" si="2462"/>
        <v>21</v>
      </c>
      <c r="BL424" s="129">
        <f t="shared" si="2463"/>
        <v>0</v>
      </c>
      <c r="BM424" s="408"/>
      <c r="BN424" s="48">
        <f t="shared" ref="BN424:BN440" si="2475">BP424</f>
        <v>28</v>
      </c>
      <c r="BO424" s="48">
        <f t="shared" ref="BO424:BO440" si="2476">BP424</f>
        <v>28</v>
      </c>
      <c r="BP424" s="48">
        <f t="shared" ref="BP424:BP429" si="2477">SUM(AL424:AN424)</f>
        <v>28</v>
      </c>
      <c r="BQ424" s="48">
        <f t="shared" ref="BQ424:BQ440" si="2478">BS424</f>
        <v>67</v>
      </c>
      <c r="BR424" s="48">
        <f t="shared" ref="BR424:BR440" si="2479">BS424</f>
        <v>67</v>
      </c>
      <c r="BS424" s="48">
        <f t="shared" ref="BS424:BS429" si="2480">SUM(AO424:AQ424)</f>
        <v>67</v>
      </c>
      <c r="BT424" s="48">
        <f t="shared" ref="BT424:BT440" si="2481">BV424</f>
        <v>33</v>
      </c>
      <c r="BU424" s="48">
        <f t="shared" ref="BU424:BU440" si="2482">BV424</f>
        <v>33</v>
      </c>
      <c r="BV424" s="48">
        <f t="shared" ref="BV424:BV429" si="2483">SUM(AR424:AT424)</f>
        <v>33</v>
      </c>
      <c r="BW424" s="48">
        <f t="shared" ref="BW424:BW440" si="2484">BY424</f>
        <v>41</v>
      </c>
      <c r="BX424" s="48">
        <f t="shared" ref="BX424:BX440" si="2485">BY424</f>
        <v>41</v>
      </c>
      <c r="BY424" s="48">
        <f t="shared" ref="BY424:BY429" si="2486">SUM(AU424:AW424)</f>
        <v>41</v>
      </c>
      <c r="BZ424" s="48">
        <f t="shared" ref="BZ424:BZ440" si="2487">CB424</f>
        <v>31</v>
      </c>
      <c r="CA424" s="48">
        <f t="shared" ref="CA424:CA440" si="2488">CB424</f>
        <v>31</v>
      </c>
      <c r="CB424" s="48">
        <f t="shared" ref="CB424:CB429" si="2489">SUM(AX424:AZ424)</f>
        <v>31</v>
      </c>
      <c r="CC424" s="48">
        <f t="shared" ref="CC424:CC440" si="2490">CE424</f>
        <v>109</v>
      </c>
      <c r="CD424" s="48">
        <f t="shared" ref="CD424:CD440" si="2491">CE424</f>
        <v>109</v>
      </c>
      <c r="CE424" s="48">
        <f t="shared" ref="CE424:CE429" si="2492">SUM(BA424:BC424)</f>
        <v>109</v>
      </c>
      <c r="CF424" s="48">
        <f t="shared" ref="CF424:CF440" si="2493">CH424</f>
        <v>68</v>
      </c>
      <c r="CG424" s="48">
        <f t="shared" ref="CG424:CG440" si="2494">CH424</f>
        <v>68</v>
      </c>
      <c r="CH424" s="48">
        <f t="shared" ref="CH424:CH429" si="2495">SUM(BD424:BF424)</f>
        <v>68</v>
      </c>
      <c r="CI424" s="48">
        <f t="shared" ref="CI424:CI440" si="2496">CK424</f>
        <v>72</v>
      </c>
      <c r="CJ424" s="48">
        <f t="shared" ref="CJ424:CJ440" si="2497">CK424</f>
        <v>72</v>
      </c>
      <c r="CK424" s="48">
        <f t="shared" ref="CK424:CK429" si="2498">SUM(BG424:BI424)</f>
        <v>72</v>
      </c>
      <c r="CL424" s="48">
        <f t="shared" ref="CL424:CL440" si="2499">CN424</f>
        <v>43</v>
      </c>
      <c r="CM424" s="48">
        <f t="shared" ref="CM424:CM440" si="2500">CN424</f>
        <v>43</v>
      </c>
      <c r="CN424" s="48">
        <f t="shared" ref="CN424:CN429" si="2501">SUM(BJ424:BL424)</f>
        <v>43</v>
      </c>
      <c r="CO424" s="406"/>
      <c r="CP424" s="21">
        <f t="shared" si="2464"/>
        <v>127</v>
      </c>
      <c r="CQ424" s="21">
        <f t="shared" si="2464"/>
        <v>140</v>
      </c>
      <c r="CR424" s="21">
        <f t="shared" si="2464"/>
        <v>147</v>
      </c>
      <c r="CS424" s="21">
        <f>AO424</f>
        <v>40</v>
      </c>
      <c r="CT424" s="21">
        <f t="shared" si="2465"/>
        <v>61</v>
      </c>
      <c r="CU424" s="21">
        <f t="shared" si="2465"/>
        <v>67</v>
      </c>
      <c r="CV424" s="21">
        <f t="shared" si="2465"/>
        <v>73</v>
      </c>
      <c r="CW424" s="21">
        <f t="shared" si="2465"/>
        <v>85</v>
      </c>
      <c r="CX424" s="21">
        <f t="shared" si="2465"/>
        <v>100</v>
      </c>
      <c r="CY424" s="21">
        <f t="shared" si="2465"/>
        <v>114</v>
      </c>
      <c r="CZ424" s="21">
        <f t="shared" si="2465"/>
        <v>127</v>
      </c>
      <c r="DA424" s="21">
        <f t="shared" si="2465"/>
        <v>141</v>
      </c>
      <c r="DB424" s="21">
        <f t="shared" si="2465"/>
        <v>152</v>
      </c>
      <c r="DC424" s="21">
        <f t="shared" si="2465"/>
        <v>165</v>
      </c>
      <c r="DD424" s="21">
        <f t="shared" si="2465"/>
        <v>172</v>
      </c>
      <c r="DE424" s="21">
        <f>+BA424</f>
        <v>52</v>
      </c>
      <c r="DF424" s="21">
        <f t="shared" si="2466"/>
        <v>88</v>
      </c>
      <c r="DG424" s="21">
        <f t="shared" si="2466"/>
        <v>109</v>
      </c>
      <c r="DH424" s="21">
        <f t="shared" si="2466"/>
        <v>133</v>
      </c>
      <c r="DI424" s="21">
        <f t="shared" si="2466"/>
        <v>156</v>
      </c>
      <c r="DJ424" s="21">
        <f t="shared" si="2466"/>
        <v>177</v>
      </c>
      <c r="DK424" s="21">
        <f t="shared" si="2466"/>
        <v>200</v>
      </c>
      <c r="DL424" s="21">
        <f t="shared" si="2466"/>
        <v>224</v>
      </c>
      <c r="DM424" s="21">
        <f t="shared" si="2466"/>
        <v>249</v>
      </c>
      <c r="DN424" s="21">
        <f t="shared" si="2466"/>
        <v>271</v>
      </c>
      <c r="DO424" s="21">
        <f t="shared" si="2466"/>
        <v>292</v>
      </c>
      <c r="DP424" s="21">
        <f t="shared" si="2466"/>
        <v>292</v>
      </c>
      <c r="DQ424" s="248"/>
      <c r="DR424" s="248"/>
      <c r="DS424" s="248"/>
      <c r="DT424" s="248"/>
      <c r="DU424" s="248"/>
      <c r="DV424" s="248"/>
      <c r="DW424" s="248"/>
      <c r="DX424" s="248"/>
      <c r="DY424" s="248"/>
      <c r="ED424" s="429"/>
      <c r="EE424" s="23"/>
      <c r="EF424" s="23"/>
      <c r="EG424" s="23"/>
      <c r="EH424" s="18">
        <f t="shared" si="2467"/>
        <v>21</v>
      </c>
      <c r="EI424" s="18">
        <f t="shared" si="2468"/>
        <v>43</v>
      </c>
      <c r="EJ424" s="18">
        <f t="shared" si="2469"/>
        <v>292</v>
      </c>
      <c r="EK424" s="24">
        <f>$EK$1/12</f>
        <v>0.91666666666666663</v>
      </c>
      <c r="EL424" s="14">
        <f t="shared" si="2470"/>
        <v>1.4078841512469833</v>
      </c>
      <c r="EM424" s="14">
        <f t="shared" si="2470"/>
        <v>0.96093680164476647</v>
      </c>
      <c r="EN424" s="14">
        <f>EJ424/EG401</f>
        <v>1.6313578260480917</v>
      </c>
      <c r="EO424" s="46" t="str">
        <f t="shared" si="2471"/>
        <v>Ç</v>
      </c>
      <c r="EP424" s="46" t="str">
        <f>IF(EI424&lt;0,,IF(EI424&gt;EF401,"È",IF(EI424=EF401,"Æ","Ç")))</f>
        <v>Ç</v>
      </c>
      <c r="EQ424" s="2">
        <f t="shared" si="2472"/>
        <v>1</v>
      </c>
      <c r="ER424" s="2">
        <f>IF(EM424&lt;=0.9,1,IF(EM424&lt;0.75,3,2))</f>
        <v>2</v>
      </c>
      <c r="ES424" s="2">
        <f t="shared" si="2474"/>
        <v>1</v>
      </c>
    </row>
    <row r="425" spans="1:149" ht="12.75" customHeight="1">
      <c r="A425" s="6" t="s">
        <v>22</v>
      </c>
      <c r="B425" s="2" t="s">
        <v>2</v>
      </c>
      <c r="C425" s="3" t="s">
        <v>56</v>
      </c>
      <c r="E425" s="3" t="s">
        <v>16</v>
      </c>
      <c r="G425" s="1" t="s">
        <v>91</v>
      </c>
      <c r="I425" s="18">
        <v>83</v>
      </c>
      <c r="J425" s="19">
        <v>91</v>
      </c>
      <c r="K425" s="19">
        <v>106</v>
      </c>
      <c r="L425" s="19">
        <v>112</v>
      </c>
      <c r="M425" s="20">
        <v>2</v>
      </c>
      <c r="N425" s="19">
        <v>12</v>
      </c>
      <c r="O425" s="19">
        <v>23</v>
      </c>
      <c r="P425" s="19">
        <v>31</v>
      </c>
      <c r="Q425" s="19">
        <v>42</v>
      </c>
      <c r="R425" s="19">
        <v>58</v>
      </c>
      <c r="S425" s="19">
        <v>69</v>
      </c>
      <c r="T425" s="19">
        <v>84</v>
      </c>
      <c r="U425" s="19">
        <v>98</v>
      </c>
      <c r="V425" s="26">
        <v>109</v>
      </c>
      <c r="W425" s="19">
        <v>120</v>
      </c>
      <c r="X425" s="19">
        <v>128</v>
      </c>
      <c r="Y425" s="358">
        <v>14</v>
      </c>
      <c r="Z425" s="19">
        <v>38</v>
      </c>
      <c r="AA425" s="19">
        <v>62</v>
      </c>
      <c r="AB425" s="19">
        <v>81</v>
      </c>
      <c r="AC425" s="19">
        <v>99</v>
      </c>
      <c r="AD425" s="19">
        <v>121</v>
      </c>
      <c r="AE425" s="19">
        <v>139</v>
      </c>
      <c r="AF425" s="19">
        <v>139</v>
      </c>
      <c r="AG425" s="19">
        <v>186</v>
      </c>
      <c r="AH425" s="19">
        <v>205</v>
      </c>
      <c r="AI425" s="19">
        <v>226</v>
      </c>
      <c r="AJ425" s="19"/>
      <c r="AK425" s="408"/>
      <c r="AL425" s="21">
        <f t="shared" si="2442"/>
        <v>8</v>
      </c>
      <c r="AM425" s="21">
        <f t="shared" si="2442"/>
        <v>15</v>
      </c>
      <c r="AN425" s="21">
        <f t="shared" si="2443"/>
        <v>6</v>
      </c>
      <c r="AO425" s="21">
        <f>M425</f>
        <v>2</v>
      </c>
      <c r="AP425" s="129">
        <f t="shared" si="2444"/>
        <v>10</v>
      </c>
      <c r="AQ425" s="129">
        <f t="shared" si="2445"/>
        <v>11</v>
      </c>
      <c r="AR425" s="129">
        <f t="shared" si="2446"/>
        <v>8</v>
      </c>
      <c r="AS425" s="129">
        <f t="shared" si="2447"/>
        <v>11</v>
      </c>
      <c r="AT425" s="129">
        <f t="shared" si="2448"/>
        <v>16</v>
      </c>
      <c r="AU425" s="129">
        <f t="shared" si="2449"/>
        <v>11</v>
      </c>
      <c r="AV425" s="129">
        <f t="shared" si="2450"/>
        <v>15</v>
      </c>
      <c r="AW425" s="129">
        <f t="shared" si="2451"/>
        <v>14</v>
      </c>
      <c r="AX425" s="129">
        <f>IF(V425&lt;&gt;"",V425-U425,0)</f>
        <v>11</v>
      </c>
      <c r="AY425" s="129">
        <f t="shared" si="2452"/>
        <v>11</v>
      </c>
      <c r="AZ425" s="129">
        <f t="shared" si="2453"/>
        <v>8</v>
      </c>
      <c r="BA425" s="21">
        <f>Y425</f>
        <v>14</v>
      </c>
      <c r="BB425" s="129">
        <f t="shared" si="2454"/>
        <v>24</v>
      </c>
      <c r="BC425" s="129">
        <f t="shared" si="2455"/>
        <v>24</v>
      </c>
      <c r="BD425" s="129">
        <f t="shared" si="2456"/>
        <v>19</v>
      </c>
      <c r="BE425" s="129">
        <f t="shared" si="2457"/>
        <v>18</v>
      </c>
      <c r="BF425" s="129">
        <f t="shared" si="2458"/>
        <v>22</v>
      </c>
      <c r="BG425" s="129">
        <f t="shared" si="2459"/>
        <v>18</v>
      </c>
      <c r="BH425" s="129">
        <f t="shared" si="2460"/>
        <v>0</v>
      </c>
      <c r="BI425" s="129">
        <f t="shared" si="2461"/>
        <v>47</v>
      </c>
      <c r="BJ425" s="129">
        <f>IF(AH425&lt;&gt;"",AH425-AG425,0)</f>
        <v>19</v>
      </c>
      <c r="BK425" s="129">
        <f t="shared" si="2462"/>
        <v>21</v>
      </c>
      <c r="BL425" s="129">
        <f t="shared" si="2463"/>
        <v>0</v>
      </c>
      <c r="BM425" s="408"/>
      <c r="BN425" s="48">
        <f t="shared" si="2475"/>
        <v>29</v>
      </c>
      <c r="BO425" s="48">
        <f t="shared" si="2476"/>
        <v>29</v>
      </c>
      <c r="BP425" s="48">
        <f t="shared" si="2477"/>
        <v>29</v>
      </c>
      <c r="BQ425" s="48">
        <f t="shared" si="2478"/>
        <v>23</v>
      </c>
      <c r="BR425" s="48">
        <f t="shared" si="2479"/>
        <v>23</v>
      </c>
      <c r="BS425" s="48">
        <f t="shared" si="2480"/>
        <v>23</v>
      </c>
      <c r="BT425" s="48">
        <f t="shared" si="2481"/>
        <v>35</v>
      </c>
      <c r="BU425" s="48">
        <f t="shared" si="2482"/>
        <v>35</v>
      </c>
      <c r="BV425" s="48">
        <f t="shared" si="2483"/>
        <v>35</v>
      </c>
      <c r="BW425" s="48">
        <f t="shared" si="2484"/>
        <v>40</v>
      </c>
      <c r="BX425" s="48">
        <f t="shared" si="2485"/>
        <v>40</v>
      </c>
      <c r="BY425" s="48">
        <f t="shared" si="2486"/>
        <v>40</v>
      </c>
      <c r="BZ425" s="48">
        <f t="shared" si="2487"/>
        <v>30</v>
      </c>
      <c r="CA425" s="48">
        <f t="shared" si="2488"/>
        <v>30</v>
      </c>
      <c r="CB425" s="48">
        <f t="shared" si="2489"/>
        <v>30</v>
      </c>
      <c r="CC425" s="48">
        <f t="shared" si="2490"/>
        <v>62</v>
      </c>
      <c r="CD425" s="48">
        <f t="shared" si="2491"/>
        <v>62</v>
      </c>
      <c r="CE425" s="48">
        <f t="shared" si="2492"/>
        <v>62</v>
      </c>
      <c r="CF425" s="48">
        <f t="shared" si="2493"/>
        <v>59</v>
      </c>
      <c r="CG425" s="48">
        <f t="shared" si="2494"/>
        <v>59</v>
      </c>
      <c r="CH425" s="48">
        <f t="shared" si="2495"/>
        <v>59</v>
      </c>
      <c r="CI425" s="48">
        <f t="shared" si="2496"/>
        <v>65</v>
      </c>
      <c r="CJ425" s="48">
        <f t="shared" si="2497"/>
        <v>65</v>
      </c>
      <c r="CK425" s="48">
        <f t="shared" si="2498"/>
        <v>65</v>
      </c>
      <c r="CL425" s="48">
        <f t="shared" si="2499"/>
        <v>40</v>
      </c>
      <c r="CM425" s="48">
        <f t="shared" si="2500"/>
        <v>40</v>
      </c>
      <c r="CN425" s="48">
        <f t="shared" si="2501"/>
        <v>40</v>
      </c>
      <c r="CO425" s="406"/>
      <c r="CP425" s="21">
        <f t="shared" si="2464"/>
        <v>91</v>
      </c>
      <c r="CQ425" s="21">
        <f t="shared" si="2464"/>
        <v>106</v>
      </c>
      <c r="CR425" s="21">
        <f t="shared" si="2464"/>
        <v>112</v>
      </c>
      <c r="CS425" s="21">
        <f>AO425</f>
        <v>2</v>
      </c>
      <c r="CT425" s="21">
        <f t="shared" si="2465"/>
        <v>12</v>
      </c>
      <c r="CU425" s="21">
        <f t="shared" si="2465"/>
        <v>23</v>
      </c>
      <c r="CV425" s="21">
        <f t="shared" si="2465"/>
        <v>31</v>
      </c>
      <c r="CW425" s="21">
        <f t="shared" si="2465"/>
        <v>42</v>
      </c>
      <c r="CX425" s="21">
        <f t="shared" si="2465"/>
        <v>58</v>
      </c>
      <c r="CY425" s="21">
        <f t="shared" si="2465"/>
        <v>69</v>
      </c>
      <c r="CZ425" s="21">
        <f t="shared" si="2465"/>
        <v>84</v>
      </c>
      <c r="DA425" s="21">
        <f t="shared" si="2465"/>
        <v>98</v>
      </c>
      <c r="DB425" s="21">
        <f t="shared" si="2465"/>
        <v>109</v>
      </c>
      <c r="DC425" s="21">
        <f t="shared" si="2465"/>
        <v>120</v>
      </c>
      <c r="DD425" s="21">
        <f t="shared" si="2465"/>
        <v>128</v>
      </c>
      <c r="DE425" s="21">
        <f>+BA425</f>
        <v>14</v>
      </c>
      <c r="DF425" s="21">
        <f t="shared" si="2466"/>
        <v>38</v>
      </c>
      <c r="DG425" s="21">
        <f t="shared" si="2466"/>
        <v>62</v>
      </c>
      <c r="DH425" s="21">
        <f t="shared" si="2466"/>
        <v>81</v>
      </c>
      <c r="DI425" s="21">
        <f t="shared" si="2466"/>
        <v>99</v>
      </c>
      <c r="DJ425" s="21">
        <f t="shared" si="2466"/>
        <v>121</v>
      </c>
      <c r="DK425" s="21">
        <f t="shared" si="2466"/>
        <v>139</v>
      </c>
      <c r="DL425" s="21">
        <f t="shared" si="2466"/>
        <v>139</v>
      </c>
      <c r="DM425" s="21">
        <f t="shared" si="2466"/>
        <v>186</v>
      </c>
      <c r="DN425" s="21">
        <f t="shared" si="2466"/>
        <v>205</v>
      </c>
      <c r="DO425" s="21">
        <f t="shared" si="2466"/>
        <v>226</v>
      </c>
      <c r="DP425" s="21">
        <f t="shared" si="2466"/>
        <v>226</v>
      </c>
      <c r="DQ425" s="248"/>
      <c r="DR425" s="248"/>
      <c r="DS425" s="248"/>
      <c r="DT425" s="248"/>
      <c r="DU425" s="248"/>
      <c r="DV425" s="248"/>
      <c r="DW425" s="248"/>
      <c r="DX425" s="248"/>
      <c r="DY425" s="248"/>
      <c r="ED425" s="429"/>
      <c r="EE425" s="23"/>
      <c r="EF425" s="23"/>
      <c r="EG425" s="23"/>
      <c r="EH425" s="18">
        <f t="shared" si="2467"/>
        <v>21</v>
      </c>
      <c r="EI425" s="18">
        <f t="shared" si="2468"/>
        <v>40</v>
      </c>
      <c r="EJ425" s="18">
        <f t="shared" si="2469"/>
        <v>226</v>
      </c>
      <c r="EK425" s="24">
        <f>$EK$1/12</f>
        <v>0.91666666666666663</v>
      </c>
      <c r="EL425" s="14">
        <f t="shared" si="2470"/>
        <v>1.9090909090909092</v>
      </c>
      <c r="EM425" s="14">
        <f t="shared" si="2470"/>
        <v>1.2121212121212122</v>
      </c>
      <c r="EN425" s="14">
        <f>EJ425/EG402</f>
        <v>1.7936507936507937</v>
      </c>
      <c r="EO425" s="46" t="str">
        <f t="shared" si="2471"/>
        <v>Ç</v>
      </c>
      <c r="EP425" s="46" t="str">
        <f t="shared" si="2471"/>
        <v>Ç</v>
      </c>
      <c r="EQ425" s="2">
        <f t="shared" si="2472"/>
        <v>1</v>
      </c>
      <c r="ER425" s="2">
        <f t="shared" si="2473"/>
        <v>1</v>
      </c>
      <c r="ES425" s="2">
        <f t="shared" si="2474"/>
        <v>1</v>
      </c>
    </row>
    <row r="426" spans="1:149" ht="12.75" customHeight="1">
      <c r="A426" s="6" t="s">
        <v>22</v>
      </c>
      <c r="B426" s="2" t="s">
        <v>3</v>
      </c>
      <c r="C426" s="3" t="s">
        <v>57</v>
      </c>
      <c r="E426" s="3" t="s">
        <v>16</v>
      </c>
      <c r="G426" s="1" t="s">
        <v>91</v>
      </c>
      <c r="I426" s="18">
        <v>66</v>
      </c>
      <c r="J426" s="21">
        <v>76</v>
      </c>
      <c r="K426" s="21">
        <v>82</v>
      </c>
      <c r="L426" s="21">
        <v>87</v>
      </c>
      <c r="M426" s="22">
        <v>6</v>
      </c>
      <c r="N426" s="21">
        <v>9</v>
      </c>
      <c r="O426" s="21">
        <v>9</v>
      </c>
      <c r="P426" s="21">
        <v>13</v>
      </c>
      <c r="Q426" s="21">
        <v>17</v>
      </c>
      <c r="R426" s="21">
        <v>18</v>
      </c>
      <c r="S426" s="21">
        <v>24</v>
      </c>
      <c r="T426" s="21">
        <v>32</v>
      </c>
      <c r="U426" s="21">
        <v>38</v>
      </c>
      <c r="V426" s="27">
        <v>41</v>
      </c>
      <c r="W426" s="21">
        <v>42</v>
      </c>
      <c r="X426" s="21">
        <v>44</v>
      </c>
      <c r="Y426" s="359">
        <v>4</v>
      </c>
      <c r="Z426" s="21">
        <v>11</v>
      </c>
      <c r="AA426" s="21">
        <v>17</v>
      </c>
      <c r="AB426" s="21">
        <v>23</v>
      </c>
      <c r="AC426" s="21">
        <v>28</v>
      </c>
      <c r="AD426" s="21">
        <v>41</v>
      </c>
      <c r="AE426" s="21">
        <v>45</v>
      </c>
      <c r="AF426" s="21">
        <v>51</v>
      </c>
      <c r="AG426" s="21">
        <v>55</v>
      </c>
      <c r="AH426" s="21">
        <v>60</v>
      </c>
      <c r="AI426" s="21">
        <v>68</v>
      </c>
      <c r="AJ426" s="21"/>
      <c r="AK426" s="408"/>
      <c r="AL426" s="21">
        <f t="shared" si="2442"/>
        <v>10</v>
      </c>
      <c r="AM426" s="21">
        <f t="shared" si="2442"/>
        <v>6</v>
      </c>
      <c r="AN426" s="21">
        <f t="shared" si="2443"/>
        <v>5</v>
      </c>
      <c r="AO426" s="21">
        <f>M426</f>
        <v>6</v>
      </c>
      <c r="AP426" s="129">
        <f t="shared" si="2444"/>
        <v>3</v>
      </c>
      <c r="AQ426" s="129">
        <f t="shared" si="2445"/>
        <v>0</v>
      </c>
      <c r="AR426" s="129">
        <f t="shared" si="2446"/>
        <v>4</v>
      </c>
      <c r="AS426" s="129">
        <f t="shared" si="2447"/>
        <v>4</v>
      </c>
      <c r="AT426" s="129">
        <f t="shared" si="2448"/>
        <v>1</v>
      </c>
      <c r="AU426" s="129">
        <f t="shared" si="2449"/>
        <v>6</v>
      </c>
      <c r="AV426" s="129">
        <f t="shared" si="2450"/>
        <v>8</v>
      </c>
      <c r="AW426" s="129">
        <f t="shared" si="2451"/>
        <v>6</v>
      </c>
      <c r="AX426" s="129">
        <f>IF(V426&lt;&gt;"",V426-U426,0)</f>
        <v>3</v>
      </c>
      <c r="AY426" s="129">
        <f t="shared" si="2452"/>
        <v>1</v>
      </c>
      <c r="AZ426" s="129">
        <f t="shared" si="2453"/>
        <v>2</v>
      </c>
      <c r="BA426" s="21">
        <f>Y426</f>
        <v>4</v>
      </c>
      <c r="BB426" s="129">
        <f t="shared" si="2454"/>
        <v>7</v>
      </c>
      <c r="BC426" s="129">
        <f t="shared" si="2455"/>
        <v>6</v>
      </c>
      <c r="BD426" s="129">
        <f t="shared" si="2456"/>
        <v>6</v>
      </c>
      <c r="BE426" s="129">
        <f t="shared" si="2457"/>
        <v>5</v>
      </c>
      <c r="BF426" s="129">
        <f t="shared" si="2458"/>
        <v>13</v>
      </c>
      <c r="BG426" s="129">
        <f t="shared" si="2459"/>
        <v>4</v>
      </c>
      <c r="BH426" s="129">
        <f t="shared" si="2460"/>
        <v>6</v>
      </c>
      <c r="BI426" s="129">
        <f t="shared" si="2461"/>
        <v>4</v>
      </c>
      <c r="BJ426" s="129">
        <f>IF(AH426&lt;&gt;"",AH426-AG426,0)</f>
        <v>5</v>
      </c>
      <c r="BK426" s="129">
        <f t="shared" si="2462"/>
        <v>8</v>
      </c>
      <c r="BL426" s="129">
        <f t="shared" si="2463"/>
        <v>0</v>
      </c>
      <c r="BM426" s="408"/>
      <c r="BN426" s="48">
        <f t="shared" si="2475"/>
        <v>21</v>
      </c>
      <c r="BO426" s="48">
        <f t="shared" si="2476"/>
        <v>21</v>
      </c>
      <c r="BP426" s="48">
        <f t="shared" si="2477"/>
        <v>21</v>
      </c>
      <c r="BQ426" s="48">
        <f t="shared" si="2478"/>
        <v>9</v>
      </c>
      <c r="BR426" s="48">
        <f t="shared" si="2479"/>
        <v>9</v>
      </c>
      <c r="BS426" s="48">
        <f t="shared" si="2480"/>
        <v>9</v>
      </c>
      <c r="BT426" s="48">
        <f t="shared" si="2481"/>
        <v>9</v>
      </c>
      <c r="BU426" s="48">
        <f t="shared" si="2482"/>
        <v>9</v>
      </c>
      <c r="BV426" s="48">
        <f t="shared" si="2483"/>
        <v>9</v>
      </c>
      <c r="BW426" s="48">
        <f t="shared" si="2484"/>
        <v>20</v>
      </c>
      <c r="BX426" s="48">
        <f t="shared" si="2485"/>
        <v>20</v>
      </c>
      <c r="BY426" s="48">
        <f t="shared" si="2486"/>
        <v>20</v>
      </c>
      <c r="BZ426" s="48">
        <f t="shared" si="2487"/>
        <v>6</v>
      </c>
      <c r="CA426" s="48">
        <f t="shared" si="2488"/>
        <v>6</v>
      </c>
      <c r="CB426" s="48">
        <f t="shared" si="2489"/>
        <v>6</v>
      </c>
      <c r="CC426" s="48">
        <f t="shared" si="2490"/>
        <v>17</v>
      </c>
      <c r="CD426" s="48">
        <f t="shared" si="2491"/>
        <v>17</v>
      </c>
      <c r="CE426" s="48">
        <f t="shared" si="2492"/>
        <v>17</v>
      </c>
      <c r="CF426" s="48">
        <f t="shared" si="2493"/>
        <v>24</v>
      </c>
      <c r="CG426" s="48">
        <f t="shared" si="2494"/>
        <v>24</v>
      </c>
      <c r="CH426" s="48">
        <f t="shared" si="2495"/>
        <v>24</v>
      </c>
      <c r="CI426" s="48">
        <f t="shared" si="2496"/>
        <v>14</v>
      </c>
      <c r="CJ426" s="48">
        <f t="shared" si="2497"/>
        <v>14</v>
      </c>
      <c r="CK426" s="48">
        <f t="shared" si="2498"/>
        <v>14</v>
      </c>
      <c r="CL426" s="48">
        <f t="shared" si="2499"/>
        <v>13</v>
      </c>
      <c r="CM426" s="48">
        <f t="shared" si="2500"/>
        <v>13</v>
      </c>
      <c r="CN426" s="48">
        <f t="shared" si="2501"/>
        <v>13</v>
      </c>
      <c r="CO426" s="406"/>
      <c r="CP426" s="21">
        <f t="shared" si="2464"/>
        <v>76</v>
      </c>
      <c r="CQ426" s="21">
        <f t="shared" si="2464"/>
        <v>82</v>
      </c>
      <c r="CR426" s="21">
        <f t="shared" si="2464"/>
        <v>87</v>
      </c>
      <c r="CS426" s="21">
        <f>AO426</f>
        <v>6</v>
      </c>
      <c r="CT426" s="21">
        <f t="shared" si="2465"/>
        <v>9</v>
      </c>
      <c r="CU426" s="21">
        <f t="shared" si="2465"/>
        <v>9</v>
      </c>
      <c r="CV426" s="21">
        <f t="shared" si="2465"/>
        <v>13</v>
      </c>
      <c r="CW426" s="21">
        <f t="shared" si="2465"/>
        <v>17</v>
      </c>
      <c r="CX426" s="21">
        <f t="shared" si="2465"/>
        <v>18</v>
      </c>
      <c r="CY426" s="21">
        <f t="shared" si="2465"/>
        <v>24</v>
      </c>
      <c r="CZ426" s="21">
        <f t="shared" si="2465"/>
        <v>32</v>
      </c>
      <c r="DA426" s="21">
        <f t="shared" si="2465"/>
        <v>38</v>
      </c>
      <c r="DB426" s="21">
        <f t="shared" si="2465"/>
        <v>41</v>
      </c>
      <c r="DC426" s="21">
        <f t="shared" si="2465"/>
        <v>42</v>
      </c>
      <c r="DD426" s="21">
        <f t="shared" si="2465"/>
        <v>44</v>
      </c>
      <c r="DE426" s="21">
        <f>+BA426</f>
        <v>4</v>
      </c>
      <c r="DF426" s="21">
        <f t="shared" si="2466"/>
        <v>11</v>
      </c>
      <c r="DG426" s="21">
        <f t="shared" si="2466"/>
        <v>17</v>
      </c>
      <c r="DH426" s="21">
        <f t="shared" si="2466"/>
        <v>23</v>
      </c>
      <c r="DI426" s="21">
        <f t="shared" si="2466"/>
        <v>28</v>
      </c>
      <c r="DJ426" s="21">
        <f t="shared" si="2466"/>
        <v>41</v>
      </c>
      <c r="DK426" s="21">
        <f t="shared" si="2466"/>
        <v>45</v>
      </c>
      <c r="DL426" s="21">
        <f t="shared" si="2466"/>
        <v>51</v>
      </c>
      <c r="DM426" s="21">
        <f t="shared" si="2466"/>
        <v>55</v>
      </c>
      <c r="DN426" s="21">
        <f t="shared" si="2466"/>
        <v>60</v>
      </c>
      <c r="DO426" s="21">
        <f t="shared" si="2466"/>
        <v>68</v>
      </c>
      <c r="DP426" s="21">
        <f t="shared" si="2466"/>
        <v>68</v>
      </c>
      <c r="DQ426" s="248"/>
      <c r="DR426" s="248"/>
      <c r="DS426" s="248"/>
      <c r="DT426" s="248"/>
      <c r="DU426" s="248"/>
      <c r="DV426" s="248"/>
      <c r="DW426" s="248"/>
      <c r="DX426" s="248"/>
      <c r="DY426" s="248"/>
      <c r="ED426" s="429"/>
      <c r="EE426" s="23"/>
      <c r="EF426" s="23"/>
      <c r="EG426" s="23"/>
      <c r="EH426" s="18">
        <f t="shared" si="2467"/>
        <v>8</v>
      </c>
      <c r="EI426" s="18">
        <f t="shared" si="2468"/>
        <v>13</v>
      </c>
      <c r="EJ426" s="18">
        <f t="shared" si="2469"/>
        <v>68</v>
      </c>
      <c r="EK426" s="24">
        <f>$EK$1/12</f>
        <v>0.91666666666666663</v>
      </c>
      <c r="EL426" s="14">
        <f t="shared" si="2470"/>
        <v>2.7434842249657061</v>
      </c>
      <c r="EM426" s="14">
        <f t="shared" si="2470"/>
        <v>1.486053955189758</v>
      </c>
      <c r="EN426" s="14">
        <f>EJ426/EG403</f>
        <v>1.9433013260173755</v>
      </c>
      <c r="EO426" s="46" t="str">
        <f t="shared" si="2471"/>
        <v>Ç</v>
      </c>
      <c r="EP426" s="46" t="str">
        <f>IF(EI426&lt;0,,IF(EI426&gt;EF403,"È",IF(EI426=EF403,"Æ","Ç")))</f>
        <v>È</v>
      </c>
      <c r="EQ426" s="2">
        <f t="shared" si="2472"/>
        <v>1</v>
      </c>
      <c r="ER426" s="2">
        <f t="shared" si="2473"/>
        <v>1</v>
      </c>
      <c r="ES426" s="2">
        <f t="shared" si="2474"/>
        <v>1</v>
      </c>
    </row>
    <row r="427" spans="1:149" ht="12.75" customHeight="1" thickBot="1">
      <c r="A427" s="6" t="s">
        <v>22</v>
      </c>
      <c r="B427" s="2" t="s">
        <v>94</v>
      </c>
      <c r="C427" s="3" t="s">
        <v>58</v>
      </c>
      <c r="E427" s="3" t="s">
        <v>16</v>
      </c>
      <c r="G427" s="1" t="s">
        <v>91</v>
      </c>
      <c r="I427" s="116">
        <v>11.041</v>
      </c>
      <c r="J427" s="116">
        <v>12.282</v>
      </c>
      <c r="K427" s="116">
        <v>12.484</v>
      </c>
      <c r="L427" s="116">
        <v>12.595000000000001</v>
      </c>
      <c r="M427" s="117">
        <v>1.022</v>
      </c>
      <c r="N427" s="116">
        <v>1.1919999999999999</v>
      </c>
      <c r="O427" s="116">
        <v>1.2021999999999999</v>
      </c>
      <c r="P427" s="116">
        <v>1.2021999999999999</v>
      </c>
      <c r="Q427" s="116">
        <v>1.4472</v>
      </c>
      <c r="R427" s="116">
        <v>1.6621999999999999</v>
      </c>
      <c r="S427" s="116">
        <v>4.0659999999999998</v>
      </c>
      <c r="T427" s="116">
        <v>4.1350249999999997</v>
      </c>
      <c r="U427" s="116">
        <v>4.2414249999999996</v>
      </c>
      <c r="V427" s="123">
        <v>4.4587250000000003</v>
      </c>
      <c r="W427" s="116">
        <v>4.552575</v>
      </c>
      <c r="X427" s="116">
        <v>6.173775</v>
      </c>
      <c r="Y427" s="360">
        <v>2.35466</v>
      </c>
      <c r="Z427" s="116">
        <v>2.59701</v>
      </c>
      <c r="AA427" s="116">
        <v>3.1393080000000002</v>
      </c>
      <c r="AB427" s="116">
        <v>5.0737480000000001</v>
      </c>
      <c r="AC427" s="116">
        <v>5.3907480000000003</v>
      </c>
      <c r="AD427" s="116">
        <v>5.7528180000000004</v>
      </c>
      <c r="AE427" s="116">
        <v>5.9078179999999998</v>
      </c>
      <c r="AF427" s="116">
        <v>6.1180000000000003</v>
      </c>
      <c r="AG427" s="116">
        <v>6.6899410000000001</v>
      </c>
      <c r="AH427" s="116">
        <v>6.78</v>
      </c>
      <c r="AI427" s="116">
        <v>7.5117409999999998</v>
      </c>
      <c r="AJ427" s="116"/>
      <c r="AK427" s="416"/>
      <c r="AL427" s="116">
        <f t="shared" si="2442"/>
        <v>1.2409999999999997</v>
      </c>
      <c r="AM427" s="116">
        <f t="shared" si="2442"/>
        <v>0.20199999999999996</v>
      </c>
      <c r="AN427" s="116">
        <f t="shared" si="2443"/>
        <v>0.11100000000000065</v>
      </c>
      <c r="AO427" s="116">
        <f>M427</f>
        <v>1.022</v>
      </c>
      <c r="AP427" s="129">
        <f t="shared" si="2444"/>
        <v>0.16999999999999993</v>
      </c>
      <c r="AQ427" s="129">
        <f t="shared" si="2445"/>
        <v>1.0199999999999987E-2</v>
      </c>
      <c r="AR427" s="129">
        <f t="shared" si="2446"/>
        <v>0</v>
      </c>
      <c r="AS427" s="129">
        <f t="shared" si="2447"/>
        <v>0.24500000000000011</v>
      </c>
      <c r="AT427" s="129">
        <f t="shared" si="2448"/>
        <v>0.21499999999999986</v>
      </c>
      <c r="AU427" s="129">
        <f t="shared" si="2449"/>
        <v>2.4037999999999999</v>
      </c>
      <c r="AV427" s="285">
        <f t="shared" si="2450"/>
        <v>6.9024999999999892E-2</v>
      </c>
      <c r="AW427" s="129">
        <f t="shared" si="2451"/>
        <v>0.10639999999999983</v>
      </c>
      <c r="AX427" s="129">
        <f>IF(V427&lt;&gt;"",V427-U427,0)</f>
        <v>0.21730000000000071</v>
      </c>
      <c r="AY427" s="129">
        <f t="shared" si="2452"/>
        <v>9.3849999999999767E-2</v>
      </c>
      <c r="AZ427" s="129">
        <f t="shared" si="2453"/>
        <v>1.6212</v>
      </c>
      <c r="BA427" s="116">
        <f>Y427</f>
        <v>2.35466</v>
      </c>
      <c r="BB427" s="129">
        <f t="shared" si="2454"/>
        <v>0.24235000000000007</v>
      </c>
      <c r="BC427" s="129">
        <f t="shared" si="2455"/>
        <v>0.54229800000000017</v>
      </c>
      <c r="BD427" s="129">
        <f t="shared" si="2456"/>
        <v>1.9344399999999999</v>
      </c>
      <c r="BE427" s="129">
        <f t="shared" si="2457"/>
        <v>0.31700000000000017</v>
      </c>
      <c r="BF427" s="129">
        <f t="shared" si="2458"/>
        <v>0.36207000000000011</v>
      </c>
      <c r="BG427" s="129">
        <f t="shared" si="2459"/>
        <v>0.15499999999999936</v>
      </c>
      <c r="BH427" s="129">
        <f t="shared" si="2460"/>
        <v>0.21018200000000054</v>
      </c>
      <c r="BI427" s="129">
        <f t="shared" si="2461"/>
        <v>0.57194099999999981</v>
      </c>
      <c r="BJ427" s="286">
        <f>IF(AH427&lt;&gt;"",AH427-AG427,0)</f>
        <v>9.0059000000000111E-2</v>
      </c>
      <c r="BK427" s="129">
        <f t="shared" si="2462"/>
        <v>0.73174099999999953</v>
      </c>
      <c r="BL427" s="129">
        <f t="shared" si="2463"/>
        <v>0</v>
      </c>
      <c r="BM427" s="409"/>
      <c r="BN427" s="119">
        <f t="shared" si="2475"/>
        <v>1.5540000000000003</v>
      </c>
      <c r="BO427" s="119">
        <f t="shared" si="2476"/>
        <v>1.5540000000000003</v>
      </c>
      <c r="BP427" s="119">
        <f t="shared" si="2477"/>
        <v>1.5540000000000003</v>
      </c>
      <c r="BQ427" s="119">
        <f t="shared" si="2478"/>
        <v>1.2021999999999999</v>
      </c>
      <c r="BR427" s="119">
        <f t="shared" si="2479"/>
        <v>1.2021999999999999</v>
      </c>
      <c r="BS427" s="119">
        <f t="shared" si="2480"/>
        <v>1.2021999999999999</v>
      </c>
      <c r="BT427" s="119">
        <f t="shared" si="2481"/>
        <v>0.45999999999999996</v>
      </c>
      <c r="BU427" s="119">
        <f t="shared" si="2482"/>
        <v>0.45999999999999996</v>
      </c>
      <c r="BV427" s="119">
        <f t="shared" si="2483"/>
        <v>0.45999999999999996</v>
      </c>
      <c r="BW427" s="119">
        <f t="shared" si="2484"/>
        <v>2.5792249999999997</v>
      </c>
      <c r="BX427" s="119">
        <f t="shared" si="2485"/>
        <v>2.5792249999999997</v>
      </c>
      <c r="BY427" s="119">
        <f t="shared" si="2486"/>
        <v>2.5792249999999997</v>
      </c>
      <c r="BZ427" s="119">
        <f t="shared" si="2487"/>
        <v>1.9323500000000005</v>
      </c>
      <c r="CA427" s="119">
        <f t="shared" si="2488"/>
        <v>1.9323500000000005</v>
      </c>
      <c r="CB427" s="119">
        <f t="shared" si="2489"/>
        <v>1.9323500000000005</v>
      </c>
      <c r="CC427" s="119">
        <f t="shared" si="2490"/>
        <v>3.1393080000000002</v>
      </c>
      <c r="CD427" s="119">
        <f t="shared" si="2491"/>
        <v>3.1393080000000002</v>
      </c>
      <c r="CE427" s="119">
        <f t="shared" si="2492"/>
        <v>3.1393080000000002</v>
      </c>
      <c r="CF427" s="119">
        <f t="shared" si="2493"/>
        <v>2.6135100000000002</v>
      </c>
      <c r="CG427" s="119">
        <f t="shared" si="2494"/>
        <v>2.6135100000000002</v>
      </c>
      <c r="CH427" s="119">
        <f t="shared" si="2495"/>
        <v>2.6135100000000002</v>
      </c>
      <c r="CI427" s="119">
        <f t="shared" si="2496"/>
        <v>0.93712299999999971</v>
      </c>
      <c r="CJ427" s="119">
        <f t="shared" si="2497"/>
        <v>0.93712299999999971</v>
      </c>
      <c r="CK427" s="119">
        <f t="shared" si="2498"/>
        <v>0.93712299999999971</v>
      </c>
      <c r="CL427" s="119">
        <f t="shared" si="2499"/>
        <v>0.82179999999999964</v>
      </c>
      <c r="CM427" s="119">
        <f t="shared" si="2500"/>
        <v>0.82179999999999964</v>
      </c>
      <c r="CN427" s="119">
        <f t="shared" si="2501"/>
        <v>0.82179999999999964</v>
      </c>
      <c r="CO427" s="421"/>
      <c r="CP427" s="116">
        <f t="shared" si="2464"/>
        <v>12.282</v>
      </c>
      <c r="CQ427" s="116">
        <f t="shared" si="2464"/>
        <v>12.484</v>
      </c>
      <c r="CR427" s="116">
        <f t="shared" si="2464"/>
        <v>12.595000000000001</v>
      </c>
      <c r="CS427" s="116">
        <f>AO427</f>
        <v>1.022</v>
      </c>
      <c r="CT427" s="116">
        <f t="shared" si="2465"/>
        <v>1.1919999999999999</v>
      </c>
      <c r="CU427" s="116">
        <f t="shared" si="2465"/>
        <v>1.2021999999999999</v>
      </c>
      <c r="CV427" s="116">
        <f t="shared" si="2465"/>
        <v>1.2021999999999999</v>
      </c>
      <c r="CW427" s="116">
        <f t="shared" si="2465"/>
        <v>1.4472</v>
      </c>
      <c r="CX427" s="116">
        <f t="shared" si="2465"/>
        <v>1.6621999999999999</v>
      </c>
      <c r="CY427" s="116">
        <f t="shared" si="2465"/>
        <v>4.0659999999999998</v>
      </c>
      <c r="CZ427" s="116">
        <f t="shared" si="2465"/>
        <v>4.1350249999999997</v>
      </c>
      <c r="DA427" s="116">
        <f t="shared" si="2465"/>
        <v>4.2414249999999996</v>
      </c>
      <c r="DB427" s="116">
        <f t="shared" si="2465"/>
        <v>4.4587250000000003</v>
      </c>
      <c r="DC427" s="116">
        <f t="shared" si="2465"/>
        <v>4.552575</v>
      </c>
      <c r="DD427" s="116">
        <f t="shared" si="2465"/>
        <v>6.173775</v>
      </c>
      <c r="DE427" s="116">
        <f>+BA427</f>
        <v>2.35466</v>
      </c>
      <c r="DF427" s="116">
        <f t="shared" si="2466"/>
        <v>2.59701</v>
      </c>
      <c r="DG427" s="116">
        <f t="shared" si="2466"/>
        <v>3.1393080000000002</v>
      </c>
      <c r="DH427" s="116">
        <f t="shared" si="2466"/>
        <v>5.0737480000000001</v>
      </c>
      <c r="DI427" s="116">
        <f t="shared" si="2466"/>
        <v>5.3907480000000003</v>
      </c>
      <c r="DJ427" s="116">
        <f t="shared" si="2466"/>
        <v>5.7528180000000004</v>
      </c>
      <c r="DK427" s="116">
        <f t="shared" si="2466"/>
        <v>5.9078179999999998</v>
      </c>
      <c r="DL427" s="116">
        <f t="shared" si="2466"/>
        <v>6.1180000000000003</v>
      </c>
      <c r="DM427" s="116">
        <f t="shared" si="2466"/>
        <v>6.6899410000000001</v>
      </c>
      <c r="DN427" s="116">
        <f t="shared" si="2466"/>
        <v>6.78</v>
      </c>
      <c r="DO427" s="116">
        <f t="shared" si="2466"/>
        <v>7.5117409999999998</v>
      </c>
      <c r="DP427" s="116">
        <f t="shared" si="2466"/>
        <v>7.5117409999999998</v>
      </c>
      <c r="DQ427" s="243"/>
      <c r="DR427" s="243"/>
      <c r="DS427" s="243"/>
      <c r="DT427" s="243"/>
      <c r="DU427" s="243"/>
      <c r="DV427" s="243"/>
      <c r="DW427" s="243"/>
      <c r="DX427" s="243"/>
      <c r="DY427" s="243"/>
      <c r="DZ427" s="124"/>
      <c r="EA427" s="124"/>
      <c r="EB427" s="124"/>
      <c r="EC427" s="124"/>
      <c r="ED427" s="431"/>
      <c r="EE427" s="125"/>
      <c r="EF427" s="125"/>
      <c r="EG427" s="125"/>
      <c r="EH427" s="116">
        <f t="shared" si="2467"/>
        <v>0.73174099999999953</v>
      </c>
      <c r="EI427" s="116">
        <f t="shared" si="2468"/>
        <v>0.82179999999999964</v>
      </c>
      <c r="EJ427" s="116">
        <f t="shared" si="2469"/>
        <v>7.5117409999999998</v>
      </c>
      <c r="EK427" s="24">
        <f>$EK$1/12</f>
        <v>0.91666666666666663</v>
      </c>
      <c r="EL427" s="14">
        <f t="shared" si="2470"/>
        <v>1.4634819999999991</v>
      </c>
      <c r="EM427" s="14">
        <f t="shared" si="2470"/>
        <v>0.54786666666666639</v>
      </c>
      <c r="EN427" s="14">
        <f>EJ427/EG404</f>
        <v>1.2519568333333333</v>
      </c>
      <c r="EO427" s="46" t="str">
        <f t="shared" si="2471"/>
        <v>Ç</v>
      </c>
      <c r="EP427" s="46" t="str">
        <f>IF(EI427&lt;0,,IF(EI427&lt;EF404,"È",IF(EI427=EF404,"Æ","Ç")))</f>
        <v>È</v>
      </c>
      <c r="EQ427" s="2">
        <f t="shared" si="2472"/>
        <v>1</v>
      </c>
      <c r="ER427" s="2">
        <f t="shared" si="2473"/>
        <v>3</v>
      </c>
      <c r="ES427" s="2">
        <f t="shared" si="2474"/>
        <v>1</v>
      </c>
    </row>
    <row r="428" spans="1:149" ht="12.75" customHeight="1">
      <c r="A428" s="6" t="s">
        <v>23</v>
      </c>
      <c r="B428" s="2" t="s">
        <v>5</v>
      </c>
      <c r="C428" s="3" t="s">
        <v>61</v>
      </c>
      <c r="E428" s="3" t="s">
        <v>16</v>
      </c>
      <c r="G428" s="3" t="s">
        <v>91</v>
      </c>
      <c r="I428" s="23"/>
      <c r="J428" s="19">
        <v>37</v>
      </c>
      <c r="K428" s="19">
        <v>84</v>
      </c>
      <c r="L428" s="19">
        <v>123</v>
      </c>
      <c r="M428" s="19">
        <v>159</v>
      </c>
      <c r="N428" s="19">
        <v>171</v>
      </c>
      <c r="O428" s="19">
        <v>192</v>
      </c>
      <c r="P428" s="19">
        <v>206</v>
      </c>
      <c r="Q428" s="19">
        <v>218</v>
      </c>
      <c r="R428" s="19">
        <v>259</v>
      </c>
      <c r="S428" s="19">
        <v>297</v>
      </c>
      <c r="T428" s="19">
        <v>333</v>
      </c>
      <c r="U428" s="19">
        <v>357</v>
      </c>
      <c r="V428" s="31">
        <v>27</v>
      </c>
      <c r="W428" s="19">
        <v>66</v>
      </c>
      <c r="X428" s="19">
        <v>110</v>
      </c>
      <c r="Y428" s="356">
        <v>153</v>
      </c>
      <c r="Z428" s="19">
        <v>198</v>
      </c>
      <c r="AA428" s="19">
        <v>227</v>
      </c>
      <c r="AB428" s="19">
        <v>268</v>
      </c>
      <c r="AC428" s="19">
        <v>311</v>
      </c>
      <c r="AD428" s="19">
        <v>347</v>
      </c>
      <c r="AE428" s="19">
        <v>388</v>
      </c>
      <c r="AF428" s="19">
        <v>430</v>
      </c>
      <c r="AG428" s="19">
        <v>467</v>
      </c>
      <c r="AH428" s="31">
        <v>37</v>
      </c>
      <c r="AI428" s="19">
        <v>71</v>
      </c>
      <c r="AJ428" s="19"/>
      <c r="AK428" s="408"/>
      <c r="AL428" s="19">
        <f t="shared" ref="AL428:AL444" si="2502">J428</f>
        <v>37</v>
      </c>
      <c r="AM428" s="19">
        <f>K428-J428</f>
        <v>47</v>
      </c>
      <c r="AN428" s="19">
        <f t="shared" si="2443"/>
        <v>39</v>
      </c>
      <c r="AO428" s="19">
        <f>M428-L428</f>
        <v>36</v>
      </c>
      <c r="AP428" s="129">
        <f t="shared" si="2444"/>
        <v>12</v>
      </c>
      <c r="AQ428" s="129">
        <f t="shared" si="2445"/>
        <v>21</v>
      </c>
      <c r="AR428" s="129">
        <f t="shared" si="2446"/>
        <v>14</v>
      </c>
      <c r="AS428" s="129">
        <f t="shared" si="2447"/>
        <v>12</v>
      </c>
      <c r="AT428" s="129">
        <f t="shared" si="2448"/>
        <v>41</v>
      </c>
      <c r="AU428" s="129">
        <f t="shared" si="2449"/>
        <v>38</v>
      </c>
      <c r="AV428" s="129">
        <f t="shared" si="2450"/>
        <v>36</v>
      </c>
      <c r="AW428" s="129">
        <f t="shared" si="2451"/>
        <v>24</v>
      </c>
      <c r="AX428" s="19">
        <f t="shared" ref="AX428:AX442" si="2503">V428</f>
        <v>27</v>
      </c>
      <c r="AY428" s="129">
        <f t="shared" si="2452"/>
        <v>39</v>
      </c>
      <c r="AZ428" s="129">
        <f t="shared" si="2453"/>
        <v>44</v>
      </c>
      <c r="BA428" s="129">
        <f t="shared" ref="BA428:BA442" si="2504">IF(Y428&lt;&gt;"",Y428-X428,0)</f>
        <v>43</v>
      </c>
      <c r="BB428" s="129">
        <f t="shared" si="2454"/>
        <v>45</v>
      </c>
      <c r="BC428" s="129">
        <f t="shared" si="2455"/>
        <v>29</v>
      </c>
      <c r="BD428" s="129">
        <f t="shared" si="2456"/>
        <v>41</v>
      </c>
      <c r="BE428" s="129">
        <f t="shared" si="2457"/>
        <v>43</v>
      </c>
      <c r="BF428" s="129">
        <f t="shared" si="2458"/>
        <v>36</v>
      </c>
      <c r="BG428" s="129">
        <f t="shared" si="2459"/>
        <v>41</v>
      </c>
      <c r="BH428" s="129">
        <f t="shared" si="2460"/>
        <v>42</v>
      </c>
      <c r="BI428" s="129">
        <f t="shared" si="2461"/>
        <v>37</v>
      </c>
      <c r="BJ428" s="19">
        <f t="shared" ref="BJ428:BJ439" si="2505">AH428</f>
        <v>37</v>
      </c>
      <c r="BK428" s="129">
        <f t="shared" si="2462"/>
        <v>34</v>
      </c>
      <c r="BL428" s="129">
        <f t="shared" si="2463"/>
        <v>0</v>
      </c>
      <c r="BM428" s="408"/>
      <c r="BN428" s="48">
        <f t="shared" si="2475"/>
        <v>123</v>
      </c>
      <c r="BO428" s="48">
        <f t="shared" si="2476"/>
        <v>123</v>
      </c>
      <c r="BP428" s="48">
        <f t="shared" si="2477"/>
        <v>123</v>
      </c>
      <c r="BQ428" s="48">
        <f t="shared" si="2478"/>
        <v>69</v>
      </c>
      <c r="BR428" s="48">
        <f t="shared" si="2479"/>
        <v>69</v>
      </c>
      <c r="BS428" s="48">
        <f t="shared" si="2480"/>
        <v>69</v>
      </c>
      <c r="BT428" s="48">
        <f t="shared" si="2481"/>
        <v>67</v>
      </c>
      <c r="BU428" s="48">
        <f t="shared" si="2482"/>
        <v>67</v>
      </c>
      <c r="BV428" s="48">
        <f t="shared" si="2483"/>
        <v>67</v>
      </c>
      <c r="BW428" s="48">
        <f t="shared" si="2484"/>
        <v>98</v>
      </c>
      <c r="BX428" s="48">
        <f t="shared" si="2485"/>
        <v>98</v>
      </c>
      <c r="BY428" s="48">
        <f t="shared" si="2486"/>
        <v>98</v>
      </c>
      <c r="BZ428" s="48">
        <f t="shared" si="2487"/>
        <v>110</v>
      </c>
      <c r="CA428" s="48">
        <f t="shared" si="2488"/>
        <v>110</v>
      </c>
      <c r="CB428" s="48">
        <f t="shared" si="2489"/>
        <v>110</v>
      </c>
      <c r="CC428" s="48">
        <f t="shared" si="2490"/>
        <v>117</v>
      </c>
      <c r="CD428" s="48">
        <f t="shared" si="2491"/>
        <v>117</v>
      </c>
      <c r="CE428" s="48">
        <f t="shared" si="2492"/>
        <v>117</v>
      </c>
      <c r="CF428" s="48">
        <f t="shared" si="2493"/>
        <v>120</v>
      </c>
      <c r="CG428" s="48">
        <f t="shared" si="2494"/>
        <v>120</v>
      </c>
      <c r="CH428" s="48">
        <f t="shared" si="2495"/>
        <v>120</v>
      </c>
      <c r="CI428" s="48">
        <f t="shared" si="2496"/>
        <v>120</v>
      </c>
      <c r="CJ428" s="48">
        <f t="shared" si="2497"/>
        <v>120</v>
      </c>
      <c r="CK428" s="48">
        <f t="shared" si="2498"/>
        <v>120</v>
      </c>
      <c r="CL428" s="48">
        <f t="shared" si="2499"/>
        <v>71</v>
      </c>
      <c r="CM428" s="48">
        <f t="shared" si="2500"/>
        <v>71</v>
      </c>
      <c r="CN428" s="48">
        <f t="shared" si="2501"/>
        <v>71</v>
      </c>
      <c r="CO428" s="406"/>
      <c r="CP428" s="21">
        <f>+AL428</f>
        <v>37</v>
      </c>
      <c r="CQ428" s="21">
        <f t="shared" ref="CQ428:DA428" si="2506">+CP428+AM428</f>
        <v>84</v>
      </c>
      <c r="CR428" s="21">
        <f t="shared" si="2506"/>
        <v>123</v>
      </c>
      <c r="CS428" s="21">
        <f t="shared" si="2506"/>
        <v>159</v>
      </c>
      <c r="CT428" s="21">
        <f t="shared" si="2506"/>
        <v>171</v>
      </c>
      <c r="CU428" s="21">
        <f t="shared" si="2506"/>
        <v>192</v>
      </c>
      <c r="CV428" s="21">
        <f t="shared" si="2506"/>
        <v>206</v>
      </c>
      <c r="CW428" s="21">
        <f t="shared" si="2506"/>
        <v>218</v>
      </c>
      <c r="CX428" s="21">
        <f t="shared" si="2506"/>
        <v>259</v>
      </c>
      <c r="CY428" s="21">
        <f t="shared" si="2506"/>
        <v>297</v>
      </c>
      <c r="CZ428" s="21">
        <f t="shared" si="2506"/>
        <v>333</v>
      </c>
      <c r="DA428" s="21">
        <f t="shared" si="2506"/>
        <v>357</v>
      </c>
      <c r="DB428" s="21">
        <f>AX428</f>
        <v>27</v>
      </c>
      <c r="DC428" s="21">
        <f t="shared" ref="DC428:DM428" si="2507">+DB428+AY428</f>
        <v>66</v>
      </c>
      <c r="DD428" s="21">
        <f t="shared" si="2507"/>
        <v>110</v>
      </c>
      <c r="DE428" s="21">
        <f t="shared" si="2507"/>
        <v>153</v>
      </c>
      <c r="DF428" s="21">
        <f t="shared" si="2507"/>
        <v>198</v>
      </c>
      <c r="DG428" s="21">
        <f t="shared" si="2507"/>
        <v>227</v>
      </c>
      <c r="DH428" s="21">
        <f t="shared" si="2507"/>
        <v>268</v>
      </c>
      <c r="DI428" s="21">
        <f t="shared" si="2507"/>
        <v>311</v>
      </c>
      <c r="DJ428" s="21">
        <f t="shared" si="2507"/>
        <v>347</v>
      </c>
      <c r="DK428" s="21">
        <f t="shared" si="2507"/>
        <v>388</v>
      </c>
      <c r="DL428" s="21">
        <f t="shared" si="2507"/>
        <v>430</v>
      </c>
      <c r="DM428" s="21">
        <f t="shared" si="2507"/>
        <v>467</v>
      </c>
      <c r="DN428" s="21">
        <f>+BJ428</f>
        <v>37</v>
      </c>
      <c r="DO428" s="21">
        <f>+DN428+BK428</f>
        <v>71</v>
      </c>
      <c r="DP428" s="21">
        <f>+DO428+BL428</f>
        <v>71</v>
      </c>
      <c r="DQ428" s="248"/>
      <c r="DR428" s="248"/>
      <c r="DS428" s="248"/>
      <c r="DT428" s="248"/>
      <c r="DU428" s="248"/>
      <c r="DV428" s="248"/>
      <c r="DW428" s="248"/>
      <c r="DX428" s="248"/>
      <c r="DY428" s="248"/>
      <c r="ED428" s="429"/>
      <c r="EE428" s="23"/>
      <c r="EF428" s="23"/>
      <c r="EG428" s="23"/>
      <c r="EH428" s="18">
        <f t="shared" si="2467"/>
        <v>34</v>
      </c>
      <c r="EI428" s="18">
        <f t="shared" si="2468"/>
        <v>71</v>
      </c>
      <c r="EJ428" s="18">
        <f t="shared" si="2469"/>
        <v>71</v>
      </c>
      <c r="EK428" s="24">
        <f>$EK$2/12</f>
        <v>0.16666666666666666</v>
      </c>
      <c r="EL428" s="14">
        <f t="shared" si="2470"/>
        <v>0.68</v>
      </c>
      <c r="EM428" s="14">
        <f t="shared" si="2470"/>
        <v>0.94666666666666666</v>
      </c>
      <c r="EN428" s="14">
        <f>EJ428/EK428/EG405</f>
        <v>1.6014816838364383</v>
      </c>
      <c r="EO428" s="46" t="str">
        <f t="shared" si="2471"/>
        <v>È</v>
      </c>
      <c r="EP428" s="46" t="str">
        <f t="shared" si="2471"/>
        <v>È</v>
      </c>
      <c r="EQ428" s="2">
        <f t="shared" si="2472"/>
        <v>3</v>
      </c>
      <c r="ER428" s="2">
        <f t="shared" si="2473"/>
        <v>1</v>
      </c>
      <c r="ES428" s="2">
        <f t="shared" si="2474"/>
        <v>1</v>
      </c>
    </row>
    <row r="429" spans="1:149" ht="12.75" customHeight="1">
      <c r="A429" s="6" t="s">
        <v>23</v>
      </c>
      <c r="B429" s="2" t="s">
        <v>4</v>
      </c>
      <c r="C429" s="3" t="s">
        <v>62</v>
      </c>
      <c r="E429" s="3" t="s">
        <v>16</v>
      </c>
      <c r="G429" s="3" t="s">
        <v>91</v>
      </c>
      <c r="I429" s="23"/>
      <c r="J429" s="19">
        <v>22</v>
      </c>
      <c r="K429" s="19">
        <v>45</v>
      </c>
      <c r="L429" s="19">
        <v>68</v>
      </c>
      <c r="M429" s="19">
        <v>91</v>
      </c>
      <c r="N429" s="19">
        <v>98</v>
      </c>
      <c r="O429" s="19">
        <v>108</v>
      </c>
      <c r="P429" s="19">
        <v>118</v>
      </c>
      <c r="Q429" s="19">
        <v>128</v>
      </c>
      <c r="R429" s="19">
        <v>150</v>
      </c>
      <c r="S429" s="19">
        <v>168</v>
      </c>
      <c r="T429" s="19">
        <v>182</v>
      </c>
      <c r="U429" s="19">
        <v>196</v>
      </c>
      <c r="V429" s="31">
        <v>16</v>
      </c>
      <c r="W429" s="19">
        <v>38</v>
      </c>
      <c r="X429" s="19">
        <v>59</v>
      </c>
      <c r="Y429" s="356">
        <v>78</v>
      </c>
      <c r="Z429" s="19">
        <v>100</v>
      </c>
      <c r="AA429" s="19">
        <v>115</v>
      </c>
      <c r="AB429" s="19">
        <v>135</v>
      </c>
      <c r="AC429" s="19">
        <v>160</v>
      </c>
      <c r="AD429" s="19">
        <v>175</v>
      </c>
      <c r="AE429" s="19">
        <v>196</v>
      </c>
      <c r="AF429" s="19">
        <v>217</v>
      </c>
      <c r="AG429" s="19">
        <v>233</v>
      </c>
      <c r="AH429" s="31">
        <v>21</v>
      </c>
      <c r="AI429" s="19">
        <v>37</v>
      </c>
      <c r="AJ429" s="19"/>
      <c r="AK429" s="408"/>
      <c r="AL429" s="19">
        <f t="shared" si="2502"/>
        <v>22</v>
      </c>
      <c r="AM429" s="19">
        <f>K429-J429</f>
        <v>23</v>
      </c>
      <c r="AN429" s="19">
        <f t="shared" si="2443"/>
        <v>23</v>
      </c>
      <c r="AO429" s="19">
        <f>M429-L429</f>
        <v>23</v>
      </c>
      <c r="AP429" s="129">
        <f t="shared" si="2444"/>
        <v>7</v>
      </c>
      <c r="AQ429" s="129">
        <f t="shared" si="2445"/>
        <v>10</v>
      </c>
      <c r="AR429" s="129">
        <f t="shared" si="2446"/>
        <v>10</v>
      </c>
      <c r="AS429" s="129">
        <f t="shared" si="2447"/>
        <v>10</v>
      </c>
      <c r="AT429" s="129">
        <f t="shared" si="2448"/>
        <v>22</v>
      </c>
      <c r="AU429" s="129">
        <f t="shared" si="2449"/>
        <v>18</v>
      </c>
      <c r="AV429" s="129">
        <f t="shared" si="2450"/>
        <v>14</v>
      </c>
      <c r="AW429" s="129">
        <f t="shared" si="2451"/>
        <v>14</v>
      </c>
      <c r="AX429" s="19">
        <f t="shared" si="2503"/>
        <v>16</v>
      </c>
      <c r="AY429" s="129">
        <f t="shared" si="2452"/>
        <v>22</v>
      </c>
      <c r="AZ429" s="129">
        <f t="shared" si="2453"/>
        <v>21</v>
      </c>
      <c r="BA429" s="129">
        <f t="shared" si="2504"/>
        <v>19</v>
      </c>
      <c r="BB429" s="129">
        <f t="shared" si="2454"/>
        <v>22</v>
      </c>
      <c r="BC429" s="129">
        <f t="shared" si="2455"/>
        <v>15</v>
      </c>
      <c r="BD429" s="129">
        <f t="shared" si="2456"/>
        <v>20</v>
      </c>
      <c r="BE429" s="129">
        <f t="shared" si="2457"/>
        <v>25</v>
      </c>
      <c r="BF429" s="129">
        <f t="shared" si="2458"/>
        <v>15</v>
      </c>
      <c r="BG429" s="129">
        <f t="shared" si="2459"/>
        <v>21</v>
      </c>
      <c r="BH429" s="129">
        <f t="shared" si="2460"/>
        <v>21</v>
      </c>
      <c r="BI429" s="129">
        <f t="shared" si="2461"/>
        <v>16</v>
      </c>
      <c r="BJ429" s="19">
        <f t="shared" si="2505"/>
        <v>21</v>
      </c>
      <c r="BK429" s="129">
        <f t="shared" si="2462"/>
        <v>16</v>
      </c>
      <c r="BL429" s="129">
        <f t="shared" si="2463"/>
        <v>0</v>
      </c>
      <c r="BM429" s="408"/>
      <c r="BN429" s="48">
        <f t="shared" si="2475"/>
        <v>68</v>
      </c>
      <c r="BO429" s="48">
        <f t="shared" si="2476"/>
        <v>68</v>
      </c>
      <c r="BP429" s="48">
        <f t="shared" si="2477"/>
        <v>68</v>
      </c>
      <c r="BQ429" s="48">
        <f t="shared" si="2478"/>
        <v>40</v>
      </c>
      <c r="BR429" s="48">
        <f t="shared" si="2479"/>
        <v>40</v>
      </c>
      <c r="BS429" s="48">
        <f t="shared" si="2480"/>
        <v>40</v>
      </c>
      <c r="BT429" s="48">
        <f t="shared" si="2481"/>
        <v>42</v>
      </c>
      <c r="BU429" s="48">
        <f t="shared" si="2482"/>
        <v>42</v>
      </c>
      <c r="BV429" s="48">
        <f t="shared" si="2483"/>
        <v>42</v>
      </c>
      <c r="BW429" s="48">
        <f t="shared" si="2484"/>
        <v>46</v>
      </c>
      <c r="BX429" s="48">
        <f t="shared" si="2485"/>
        <v>46</v>
      </c>
      <c r="BY429" s="48">
        <f t="shared" si="2486"/>
        <v>46</v>
      </c>
      <c r="BZ429" s="48">
        <f t="shared" si="2487"/>
        <v>59</v>
      </c>
      <c r="CA429" s="48">
        <f t="shared" si="2488"/>
        <v>59</v>
      </c>
      <c r="CB429" s="48">
        <f t="shared" si="2489"/>
        <v>59</v>
      </c>
      <c r="CC429" s="48">
        <f t="shared" si="2490"/>
        <v>56</v>
      </c>
      <c r="CD429" s="48">
        <f t="shared" si="2491"/>
        <v>56</v>
      </c>
      <c r="CE429" s="48">
        <f t="shared" si="2492"/>
        <v>56</v>
      </c>
      <c r="CF429" s="48">
        <f t="shared" si="2493"/>
        <v>60</v>
      </c>
      <c r="CG429" s="48">
        <f t="shared" si="2494"/>
        <v>60</v>
      </c>
      <c r="CH429" s="48">
        <f t="shared" si="2495"/>
        <v>60</v>
      </c>
      <c r="CI429" s="48">
        <f t="shared" si="2496"/>
        <v>58</v>
      </c>
      <c r="CJ429" s="48">
        <f t="shared" si="2497"/>
        <v>58</v>
      </c>
      <c r="CK429" s="48">
        <f t="shared" si="2498"/>
        <v>58</v>
      </c>
      <c r="CL429" s="48">
        <f t="shared" si="2499"/>
        <v>37</v>
      </c>
      <c r="CM429" s="48">
        <f t="shared" si="2500"/>
        <v>37</v>
      </c>
      <c r="CN429" s="48">
        <f t="shared" si="2501"/>
        <v>37</v>
      </c>
      <c r="CO429" s="406"/>
      <c r="CP429" s="21">
        <f>+AL429</f>
        <v>22</v>
      </c>
      <c r="CQ429" s="21">
        <f t="shared" ref="CQ429:CR431" si="2508">+CP429+AM429</f>
        <v>45</v>
      </c>
      <c r="CR429" s="21">
        <f t="shared" si="2508"/>
        <v>68</v>
      </c>
      <c r="CS429" s="21">
        <f t="shared" ref="CS429:DA431" si="2509">L429+AO429</f>
        <v>91</v>
      </c>
      <c r="CT429" s="21">
        <f t="shared" si="2509"/>
        <v>98</v>
      </c>
      <c r="CU429" s="21">
        <f t="shared" si="2509"/>
        <v>108</v>
      </c>
      <c r="CV429" s="21">
        <f t="shared" si="2509"/>
        <v>118</v>
      </c>
      <c r="CW429" s="21">
        <f t="shared" si="2509"/>
        <v>128</v>
      </c>
      <c r="CX429" s="21">
        <f t="shared" si="2509"/>
        <v>150</v>
      </c>
      <c r="CY429" s="21">
        <f t="shared" si="2509"/>
        <v>168</v>
      </c>
      <c r="CZ429" s="21">
        <f t="shared" si="2509"/>
        <v>182</v>
      </c>
      <c r="DA429" s="21">
        <f t="shared" si="2509"/>
        <v>196</v>
      </c>
      <c r="DB429" s="21">
        <f>AX429</f>
        <v>16</v>
      </c>
      <c r="DC429" s="21">
        <f t="shared" ref="DC429:DM431" si="2510">V429+AY429</f>
        <v>38</v>
      </c>
      <c r="DD429" s="21">
        <f t="shared" si="2510"/>
        <v>59</v>
      </c>
      <c r="DE429" s="21">
        <f t="shared" si="2510"/>
        <v>78</v>
      </c>
      <c r="DF429" s="21">
        <f t="shared" si="2510"/>
        <v>100</v>
      </c>
      <c r="DG429" s="21">
        <f t="shared" si="2510"/>
        <v>115</v>
      </c>
      <c r="DH429" s="21">
        <f t="shared" si="2510"/>
        <v>135</v>
      </c>
      <c r="DI429" s="21">
        <f t="shared" si="2510"/>
        <v>160</v>
      </c>
      <c r="DJ429" s="21">
        <f t="shared" si="2510"/>
        <v>175</v>
      </c>
      <c r="DK429" s="21">
        <f t="shared" si="2510"/>
        <v>196</v>
      </c>
      <c r="DL429" s="21">
        <f t="shared" si="2510"/>
        <v>217</v>
      </c>
      <c r="DM429" s="21">
        <f t="shared" si="2510"/>
        <v>233</v>
      </c>
      <c r="DN429" s="21">
        <f>BJ429</f>
        <v>21</v>
      </c>
      <c r="DO429" s="21">
        <f t="shared" ref="DO429:DP431" si="2511">AH429+BK429</f>
        <v>37</v>
      </c>
      <c r="DP429" s="21">
        <f t="shared" si="2511"/>
        <v>37</v>
      </c>
      <c r="DQ429" s="248"/>
      <c r="DR429" s="248"/>
      <c r="DS429" s="248"/>
      <c r="DT429" s="248"/>
      <c r="DU429" s="248"/>
      <c r="DV429" s="248"/>
      <c r="DW429" s="248"/>
      <c r="DX429" s="248"/>
      <c r="DY429" s="248"/>
      <c r="ED429" s="429"/>
      <c r="EE429" s="23"/>
      <c r="EF429" s="23"/>
      <c r="EG429" s="23"/>
      <c r="EH429" s="18">
        <f t="shared" si="2467"/>
        <v>16</v>
      </c>
      <c r="EI429" s="18">
        <f t="shared" si="2468"/>
        <v>37</v>
      </c>
      <c r="EJ429" s="18">
        <f t="shared" si="2469"/>
        <v>37</v>
      </c>
      <c r="EK429" s="24">
        <f t="shared" ref="EK429:EK445" si="2512">$EK$2/12</f>
        <v>0.16666666666666666</v>
      </c>
      <c r="EL429" s="14">
        <f t="shared" si="2470"/>
        <v>1.28</v>
      </c>
      <c r="EM429" s="14">
        <f t="shared" si="2470"/>
        <v>1.9733333333333334</v>
      </c>
      <c r="EN429" s="14">
        <f>EJ429/EK429/EG406</f>
        <v>3.3384462690607233</v>
      </c>
      <c r="EO429" s="46" t="str">
        <f t="shared" si="2471"/>
        <v>Ç</v>
      </c>
      <c r="EP429" s="46" t="str">
        <f t="shared" si="2471"/>
        <v>Ç</v>
      </c>
      <c r="EQ429" s="2">
        <f t="shared" si="2472"/>
        <v>1</v>
      </c>
      <c r="ER429" s="2">
        <f t="shared" si="2473"/>
        <v>1</v>
      </c>
      <c r="ES429" s="2">
        <f t="shared" si="2474"/>
        <v>1</v>
      </c>
    </row>
    <row r="430" spans="1:149" ht="12.75" customHeight="1">
      <c r="A430" s="6" t="s">
        <v>23</v>
      </c>
      <c r="B430" s="2" t="s">
        <v>162</v>
      </c>
      <c r="C430" s="3" t="s">
        <v>62</v>
      </c>
      <c r="E430" s="3" t="s">
        <v>16</v>
      </c>
      <c r="G430" s="3" t="s">
        <v>91</v>
      </c>
      <c r="I430" s="23"/>
      <c r="J430" s="19">
        <v>96</v>
      </c>
      <c r="K430" s="19">
        <v>163</v>
      </c>
      <c r="L430" s="19">
        <v>210</v>
      </c>
      <c r="M430" s="19">
        <v>265</v>
      </c>
      <c r="N430" s="19">
        <v>282</v>
      </c>
      <c r="O430" s="19">
        <v>305</v>
      </c>
      <c r="P430" s="19">
        <v>323</v>
      </c>
      <c r="Q430" s="19">
        <v>337</v>
      </c>
      <c r="R430" s="19">
        <v>385</v>
      </c>
      <c r="S430" s="19">
        <v>429</v>
      </c>
      <c r="T430" s="19">
        <v>470</v>
      </c>
      <c r="U430" s="19">
        <v>498</v>
      </c>
      <c r="V430" s="31">
        <v>89</v>
      </c>
      <c r="W430" s="19">
        <v>165</v>
      </c>
      <c r="X430" s="19">
        <v>226</v>
      </c>
      <c r="Y430" s="356">
        <v>276</v>
      </c>
      <c r="Z430" s="19">
        <v>328</v>
      </c>
      <c r="AA430" s="19">
        <v>365</v>
      </c>
      <c r="AB430" s="19">
        <v>415</v>
      </c>
      <c r="AC430" s="19">
        <v>464</v>
      </c>
      <c r="AD430" s="19">
        <v>508</v>
      </c>
      <c r="AE430" s="19">
        <v>553</v>
      </c>
      <c r="AF430" s="19">
        <v>596</v>
      </c>
      <c r="AG430" s="19">
        <v>645</v>
      </c>
      <c r="AH430" s="31">
        <v>130</v>
      </c>
      <c r="AI430" s="19">
        <v>207</v>
      </c>
      <c r="AJ430" s="19"/>
      <c r="AK430" s="408"/>
      <c r="AL430" s="19">
        <f t="shared" si="2502"/>
        <v>96</v>
      </c>
      <c r="AM430" s="19">
        <f>K430-J430</f>
        <v>67</v>
      </c>
      <c r="AN430" s="19">
        <f t="shared" si="2443"/>
        <v>47</v>
      </c>
      <c r="AO430" s="19">
        <f>M430-L430</f>
        <v>55</v>
      </c>
      <c r="AP430" s="129">
        <f t="shared" si="2444"/>
        <v>17</v>
      </c>
      <c r="AQ430" s="129">
        <f t="shared" si="2445"/>
        <v>23</v>
      </c>
      <c r="AR430" s="129">
        <f t="shared" si="2446"/>
        <v>18</v>
      </c>
      <c r="AS430" s="129">
        <f t="shared" si="2447"/>
        <v>14</v>
      </c>
      <c r="AT430" s="129">
        <f t="shared" si="2448"/>
        <v>48</v>
      </c>
      <c r="AU430" s="129">
        <f t="shared" si="2449"/>
        <v>44</v>
      </c>
      <c r="AV430" s="129">
        <f t="shared" si="2450"/>
        <v>41</v>
      </c>
      <c r="AW430" s="129">
        <f t="shared" si="2451"/>
        <v>28</v>
      </c>
      <c r="AX430" s="19">
        <f t="shared" si="2503"/>
        <v>89</v>
      </c>
      <c r="AY430" s="129">
        <f t="shared" si="2452"/>
        <v>76</v>
      </c>
      <c r="AZ430" s="129">
        <f t="shared" si="2453"/>
        <v>61</v>
      </c>
      <c r="BA430" s="129">
        <f t="shared" si="2504"/>
        <v>50</v>
      </c>
      <c r="BB430" s="129">
        <f t="shared" si="2454"/>
        <v>52</v>
      </c>
      <c r="BC430" s="129">
        <f t="shared" si="2455"/>
        <v>37</v>
      </c>
      <c r="BD430" s="129">
        <f t="shared" si="2456"/>
        <v>50</v>
      </c>
      <c r="BE430" s="129">
        <f t="shared" si="2457"/>
        <v>49</v>
      </c>
      <c r="BF430" s="129">
        <f t="shared" si="2458"/>
        <v>44</v>
      </c>
      <c r="BG430" s="129">
        <f t="shared" si="2459"/>
        <v>45</v>
      </c>
      <c r="BH430" s="129">
        <f t="shared" si="2460"/>
        <v>43</v>
      </c>
      <c r="BI430" s="129">
        <f t="shared" si="2461"/>
        <v>49</v>
      </c>
      <c r="BJ430" s="19">
        <f t="shared" si="2505"/>
        <v>130</v>
      </c>
      <c r="BK430" s="129">
        <f t="shared" si="2462"/>
        <v>77</v>
      </c>
      <c r="BL430" s="129">
        <f t="shared" si="2463"/>
        <v>0</v>
      </c>
      <c r="BM430" s="408"/>
      <c r="BN430" s="48">
        <f t="shared" si="2475"/>
        <v>210</v>
      </c>
      <c r="BO430" s="48">
        <f t="shared" si="2476"/>
        <v>210</v>
      </c>
      <c r="BP430" s="48">
        <f>SUM(AL430:AN430)</f>
        <v>210</v>
      </c>
      <c r="BQ430" s="48">
        <f t="shared" si="2478"/>
        <v>95</v>
      </c>
      <c r="BR430" s="48">
        <f t="shared" si="2479"/>
        <v>95</v>
      </c>
      <c r="BS430" s="48">
        <f>SUM(AO430:AQ430)</f>
        <v>95</v>
      </c>
      <c r="BT430" s="48">
        <f t="shared" si="2481"/>
        <v>80</v>
      </c>
      <c r="BU430" s="48">
        <f t="shared" si="2482"/>
        <v>80</v>
      </c>
      <c r="BV430" s="48">
        <f>SUM(AR430:AT430)</f>
        <v>80</v>
      </c>
      <c r="BW430" s="48">
        <f t="shared" si="2484"/>
        <v>113</v>
      </c>
      <c r="BX430" s="48">
        <f t="shared" si="2485"/>
        <v>113</v>
      </c>
      <c r="BY430" s="48">
        <f>SUM(AU430:AW430)</f>
        <v>113</v>
      </c>
      <c r="BZ430" s="48">
        <f t="shared" si="2487"/>
        <v>226</v>
      </c>
      <c r="CA430" s="48">
        <f t="shared" si="2488"/>
        <v>226</v>
      </c>
      <c r="CB430" s="48">
        <f>SUM(AX430:AZ430)</f>
        <v>226</v>
      </c>
      <c r="CC430" s="48">
        <f t="shared" si="2490"/>
        <v>139</v>
      </c>
      <c r="CD430" s="48">
        <f t="shared" si="2491"/>
        <v>139</v>
      </c>
      <c r="CE430" s="48">
        <f>SUM(BA430:BC430)</f>
        <v>139</v>
      </c>
      <c r="CF430" s="48">
        <f t="shared" si="2493"/>
        <v>143</v>
      </c>
      <c r="CG430" s="48">
        <f t="shared" si="2494"/>
        <v>143</v>
      </c>
      <c r="CH430" s="48">
        <f>SUM(BD430:BF430)</f>
        <v>143</v>
      </c>
      <c r="CI430" s="48">
        <f t="shared" si="2496"/>
        <v>137</v>
      </c>
      <c r="CJ430" s="48">
        <f t="shared" si="2497"/>
        <v>137</v>
      </c>
      <c r="CK430" s="48">
        <f>SUM(BG430:BI430)</f>
        <v>137</v>
      </c>
      <c r="CL430" s="48">
        <f t="shared" si="2499"/>
        <v>207</v>
      </c>
      <c r="CM430" s="48">
        <f t="shared" si="2500"/>
        <v>207</v>
      </c>
      <c r="CN430" s="48">
        <f>SUM(BJ430:BL430)</f>
        <v>207</v>
      </c>
      <c r="CO430" s="406"/>
      <c r="CP430" s="21">
        <f>+AL430</f>
        <v>96</v>
      </c>
      <c r="CQ430" s="21">
        <f t="shared" si="2508"/>
        <v>163</v>
      </c>
      <c r="CR430" s="21">
        <f t="shared" si="2508"/>
        <v>210</v>
      </c>
      <c r="CS430" s="21">
        <f t="shared" si="2509"/>
        <v>265</v>
      </c>
      <c r="CT430" s="21">
        <f t="shared" si="2509"/>
        <v>282</v>
      </c>
      <c r="CU430" s="21">
        <f t="shared" si="2509"/>
        <v>305</v>
      </c>
      <c r="CV430" s="21">
        <f t="shared" si="2509"/>
        <v>323</v>
      </c>
      <c r="CW430" s="21">
        <f t="shared" si="2509"/>
        <v>337</v>
      </c>
      <c r="CX430" s="21">
        <f t="shared" si="2509"/>
        <v>385</v>
      </c>
      <c r="CY430" s="21">
        <f t="shared" si="2509"/>
        <v>429</v>
      </c>
      <c r="CZ430" s="21">
        <f t="shared" si="2509"/>
        <v>470</v>
      </c>
      <c r="DA430" s="21">
        <f t="shared" si="2509"/>
        <v>498</v>
      </c>
      <c r="DB430" s="21">
        <f>AX430</f>
        <v>89</v>
      </c>
      <c r="DC430" s="21">
        <f t="shared" si="2510"/>
        <v>165</v>
      </c>
      <c r="DD430" s="21">
        <f t="shared" si="2510"/>
        <v>226</v>
      </c>
      <c r="DE430" s="21">
        <f t="shared" si="2510"/>
        <v>276</v>
      </c>
      <c r="DF430" s="21">
        <f t="shared" si="2510"/>
        <v>328</v>
      </c>
      <c r="DG430" s="21">
        <f t="shared" si="2510"/>
        <v>365</v>
      </c>
      <c r="DH430" s="21">
        <f t="shared" si="2510"/>
        <v>415</v>
      </c>
      <c r="DI430" s="21">
        <f t="shared" si="2510"/>
        <v>464</v>
      </c>
      <c r="DJ430" s="21">
        <f t="shared" si="2510"/>
        <v>508</v>
      </c>
      <c r="DK430" s="21">
        <f t="shared" si="2510"/>
        <v>553</v>
      </c>
      <c r="DL430" s="21">
        <f t="shared" si="2510"/>
        <v>596</v>
      </c>
      <c r="DM430" s="21">
        <f t="shared" si="2510"/>
        <v>645</v>
      </c>
      <c r="DN430" s="21">
        <f>BJ430</f>
        <v>130</v>
      </c>
      <c r="DO430" s="21">
        <f t="shared" si="2511"/>
        <v>207</v>
      </c>
      <c r="DP430" s="21">
        <f t="shared" si="2511"/>
        <v>207</v>
      </c>
      <c r="DQ430" s="248"/>
      <c r="DR430" s="248"/>
      <c r="DS430" s="248"/>
      <c r="DT430" s="248"/>
      <c r="DU430" s="248"/>
      <c r="DV430" s="248"/>
      <c r="DW430" s="248"/>
      <c r="DX430" s="248"/>
      <c r="DY430" s="248"/>
      <c r="ED430" s="429"/>
      <c r="EE430" s="23"/>
      <c r="EF430" s="23"/>
      <c r="EG430" s="23"/>
      <c r="EH430" s="18">
        <f t="shared" si="2467"/>
        <v>77</v>
      </c>
      <c r="EI430" s="18">
        <f t="shared" si="2468"/>
        <v>207</v>
      </c>
      <c r="EJ430" s="18">
        <f t="shared" si="2469"/>
        <v>207</v>
      </c>
      <c r="EK430" s="24">
        <f t="shared" si="2512"/>
        <v>0.16666666666666666</v>
      </c>
      <c r="EL430" s="14"/>
      <c r="EM430" s="14"/>
      <c r="EN430" s="14"/>
      <c r="EO430" s="46" t="str">
        <f>IF(EH430&lt;0,,IF(EH430&lt;EE408,"È",IF(EH430=EE408,"Æ","Ç")))</f>
        <v>Ç</v>
      </c>
      <c r="EP430" s="46" t="str">
        <f>IF(EI430&lt;0,,IF(EI430&lt;EF408,"È",IF(EI430=EF408,"Æ","Ç")))</f>
        <v>Ç</v>
      </c>
      <c r="EQ430" s="2">
        <f t="shared" si="2472"/>
        <v>3</v>
      </c>
      <c r="ER430" s="2">
        <f t="shared" si="2473"/>
        <v>3</v>
      </c>
      <c r="ES430" s="2">
        <f t="shared" si="2474"/>
        <v>3</v>
      </c>
    </row>
    <row r="431" spans="1:149" ht="12.75" customHeight="1">
      <c r="A431" s="6" t="s">
        <v>23</v>
      </c>
      <c r="B431" s="2" t="s">
        <v>163</v>
      </c>
      <c r="C431" s="3" t="s">
        <v>62</v>
      </c>
      <c r="E431" s="3" t="s">
        <v>16</v>
      </c>
      <c r="G431" s="3" t="s">
        <v>91</v>
      </c>
      <c r="I431" s="23"/>
      <c r="J431" s="19">
        <v>38</v>
      </c>
      <c r="K431" s="19">
        <v>59</v>
      </c>
      <c r="L431" s="19">
        <v>71</v>
      </c>
      <c r="M431" s="19">
        <v>85</v>
      </c>
      <c r="N431" s="19">
        <v>98</v>
      </c>
      <c r="O431" s="19">
        <v>102</v>
      </c>
      <c r="P431" s="19">
        <v>107</v>
      </c>
      <c r="Q431" s="19">
        <v>117</v>
      </c>
      <c r="R431" s="19">
        <v>131</v>
      </c>
      <c r="S431" s="19">
        <v>140</v>
      </c>
      <c r="T431" s="19">
        <v>153</v>
      </c>
      <c r="U431" s="19">
        <v>165</v>
      </c>
      <c r="V431" s="31">
        <v>49</v>
      </c>
      <c r="W431" s="19">
        <v>85</v>
      </c>
      <c r="X431" s="19">
        <v>98</v>
      </c>
      <c r="Y431" s="356">
        <v>124</v>
      </c>
      <c r="Z431" s="19">
        <v>150</v>
      </c>
      <c r="AA431" s="19">
        <v>167</v>
      </c>
      <c r="AB431" s="19">
        <v>183</v>
      </c>
      <c r="AC431" s="19">
        <v>204</v>
      </c>
      <c r="AD431" s="19">
        <v>222</v>
      </c>
      <c r="AE431" s="19">
        <v>241</v>
      </c>
      <c r="AF431" s="19">
        <v>262</v>
      </c>
      <c r="AG431" s="19">
        <v>287</v>
      </c>
      <c r="AH431" s="31">
        <v>78</v>
      </c>
      <c r="AI431" s="19">
        <v>125</v>
      </c>
      <c r="AJ431" s="19"/>
      <c r="AK431" s="408"/>
      <c r="AL431" s="19">
        <f t="shared" si="2502"/>
        <v>38</v>
      </c>
      <c r="AM431" s="19">
        <f>K431-J431</f>
        <v>21</v>
      </c>
      <c r="AN431" s="19">
        <f t="shared" si="2443"/>
        <v>12</v>
      </c>
      <c r="AO431" s="19">
        <f>M431-L431</f>
        <v>14</v>
      </c>
      <c r="AP431" s="129">
        <f t="shared" si="2444"/>
        <v>13</v>
      </c>
      <c r="AQ431" s="129">
        <f t="shared" si="2445"/>
        <v>4</v>
      </c>
      <c r="AR431" s="129">
        <f t="shared" si="2446"/>
        <v>5</v>
      </c>
      <c r="AS431" s="129">
        <f t="shared" si="2447"/>
        <v>10</v>
      </c>
      <c r="AT431" s="129">
        <f t="shared" si="2448"/>
        <v>14</v>
      </c>
      <c r="AU431" s="129">
        <f t="shared" si="2449"/>
        <v>9</v>
      </c>
      <c r="AV431" s="129">
        <f t="shared" si="2450"/>
        <v>13</v>
      </c>
      <c r="AW431" s="129">
        <f t="shared" si="2451"/>
        <v>12</v>
      </c>
      <c r="AX431" s="19">
        <f t="shared" si="2503"/>
        <v>49</v>
      </c>
      <c r="AY431" s="129">
        <f t="shared" si="2452"/>
        <v>36</v>
      </c>
      <c r="AZ431" s="129">
        <f t="shared" si="2453"/>
        <v>13</v>
      </c>
      <c r="BA431" s="129">
        <f t="shared" si="2504"/>
        <v>26</v>
      </c>
      <c r="BB431" s="129">
        <f t="shared" si="2454"/>
        <v>26</v>
      </c>
      <c r="BC431" s="129">
        <f t="shared" si="2455"/>
        <v>17</v>
      </c>
      <c r="BD431" s="129">
        <f t="shared" si="2456"/>
        <v>16</v>
      </c>
      <c r="BE431" s="129">
        <f t="shared" si="2457"/>
        <v>21</v>
      </c>
      <c r="BF431" s="129">
        <f t="shared" si="2458"/>
        <v>18</v>
      </c>
      <c r="BG431" s="129">
        <f t="shared" si="2459"/>
        <v>19</v>
      </c>
      <c r="BH431" s="129">
        <f t="shared" si="2460"/>
        <v>21</v>
      </c>
      <c r="BI431" s="129">
        <f t="shared" si="2461"/>
        <v>25</v>
      </c>
      <c r="BJ431" s="19">
        <f t="shared" si="2505"/>
        <v>78</v>
      </c>
      <c r="BK431" s="129">
        <f t="shared" si="2462"/>
        <v>47</v>
      </c>
      <c r="BL431" s="129">
        <f t="shared" si="2463"/>
        <v>0</v>
      </c>
      <c r="BM431" s="408"/>
      <c r="BN431" s="48">
        <f t="shared" si="2475"/>
        <v>71</v>
      </c>
      <c r="BO431" s="48">
        <f t="shared" si="2476"/>
        <v>71</v>
      </c>
      <c r="BP431" s="48">
        <f>SUM(AL431:AN431)</f>
        <v>71</v>
      </c>
      <c r="BQ431" s="48">
        <f t="shared" si="2478"/>
        <v>31</v>
      </c>
      <c r="BR431" s="48">
        <f t="shared" si="2479"/>
        <v>31</v>
      </c>
      <c r="BS431" s="48">
        <f>SUM(AO431:AQ431)</f>
        <v>31</v>
      </c>
      <c r="BT431" s="48">
        <f t="shared" si="2481"/>
        <v>29</v>
      </c>
      <c r="BU431" s="48">
        <f t="shared" si="2482"/>
        <v>29</v>
      </c>
      <c r="BV431" s="48">
        <f>SUM(AR431:AT431)</f>
        <v>29</v>
      </c>
      <c r="BW431" s="48">
        <f t="shared" si="2484"/>
        <v>34</v>
      </c>
      <c r="BX431" s="48">
        <f t="shared" si="2485"/>
        <v>34</v>
      </c>
      <c r="BY431" s="48">
        <f>SUM(AU431:AW431)</f>
        <v>34</v>
      </c>
      <c r="BZ431" s="48">
        <f t="shared" si="2487"/>
        <v>98</v>
      </c>
      <c r="CA431" s="48">
        <f t="shared" si="2488"/>
        <v>98</v>
      </c>
      <c r="CB431" s="48">
        <f>SUM(AX431:AZ431)</f>
        <v>98</v>
      </c>
      <c r="CC431" s="48">
        <f t="shared" si="2490"/>
        <v>69</v>
      </c>
      <c r="CD431" s="48">
        <f t="shared" si="2491"/>
        <v>69</v>
      </c>
      <c r="CE431" s="48">
        <f>SUM(BA431:BC431)</f>
        <v>69</v>
      </c>
      <c r="CF431" s="48">
        <f t="shared" si="2493"/>
        <v>55</v>
      </c>
      <c r="CG431" s="48">
        <f t="shared" si="2494"/>
        <v>55</v>
      </c>
      <c r="CH431" s="48">
        <f>SUM(BD431:BF431)</f>
        <v>55</v>
      </c>
      <c r="CI431" s="48">
        <f t="shared" si="2496"/>
        <v>65</v>
      </c>
      <c r="CJ431" s="48">
        <f t="shared" si="2497"/>
        <v>65</v>
      </c>
      <c r="CK431" s="48">
        <f>SUM(BG431:BI431)</f>
        <v>65</v>
      </c>
      <c r="CL431" s="48">
        <f t="shared" si="2499"/>
        <v>125</v>
      </c>
      <c r="CM431" s="48">
        <f t="shared" si="2500"/>
        <v>125</v>
      </c>
      <c r="CN431" s="48">
        <f>SUM(BJ431:BL431)</f>
        <v>125</v>
      </c>
      <c r="CO431" s="406"/>
      <c r="CP431" s="21">
        <f>+AL431</f>
        <v>38</v>
      </c>
      <c r="CQ431" s="21">
        <f t="shared" si="2508"/>
        <v>59</v>
      </c>
      <c r="CR431" s="21">
        <f t="shared" si="2508"/>
        <v>71</v>
      </c>
      <c r="CS431" s="21">
        <f t="shared" si="2509"/>
        <v>85</v>
      </c>
      <c r="CT431" s="21">
        <f t="shared" si="2509"/>
        <v>98</v>
      </c>
      <c r="CU431" s="21">
        <f t="shared" si="2509"/>
        <v>102</v>
      </c>
      <c r="CV431" s="21">
        <f t="shared" si="2509"/>
        <v>107</v>
      </c>
      <c r="CW431" s="21">
        <f t="shared" si="2509"/>
        <v>117</v>
      </c>
      <c r="CX431" s="21">
        <f t="shared" si="2509"/>
        <v>131</v>
      </c>
      <c r="CY431" s="21">
        <f t="shared" si="2509"/>
        <v>140</v>
      </c>
      <c r="CZ431" s="21">
        <f t="shared" si="2509"/>
        <v>153</v>
      </c>
      <c r="DA431" s="21">
        <f t="shared" si="2509"/>
        <v>165</v>
      </c>
      <c r="DB431" s="21">
        <f>AX431</f>
        <v>49</v>
      </c>
      <c r="DC431" s="21">
        <f t="shared" si="2510"/>
        <v>85</v>
      </c>
      <c r="DD431" s="21">
        <f t="shared" si="2510"/>
        <v>98</v>
      </c>
      <c r="DE431" s="21">
        <f t="shared" si="2510"/>
        <v>124</v>
      </c>
      <c r="DF431" s="21">
        <f t="shared" si="2510"/>
        <v>150</v>
      </c>
      <c r="DG431" s="21">
        <f t="shared" si="2510"/>
        <v>167</v>
      </c>
      <c r="DH431" s="21">
        <f t="shared" si="2510"/>
        <v>183</v>
      </c>
      <c r="DI431" s="21">
        <f t="shared" si="2510"/>
        <v>204</v>
      </c>
      <c r="DJ431" s="21">
        <f t="shared" si="2510"/>
        <v>222</v>
      </c>
      <c r="DK431" s="21">
        <f t="shared" si="2510"/>
        <v>241</v>
      </c>
      <c r="DL431" s="21">
        <f t="shared" si="2510"/>
        <v>262</v>
      </c>
      <c r="DM431" s="21">
        <f t="shared" si="2510"/>
        <v>287</v>
      </c>
      <c r="DN431" s="21">
        <f>BJ431</f>
        <v>78</v>
      </c>
      <c r="DO431" s="21">
        <f t="shared" si="2511"/>
        <v>125</v>
      </c>
      <c r="DP431" s="21">
        <f t="shared" si="2511"/>
        <v>125</v>
      </c>
      <c r="DQ431" s="248"/>
      <c r="DR431" s="248"/>
      <c r="DS431" s="248"/>
      <c r="DT431" s="248"/>
      <c r="DU431" s="248"/>
      <c r="DV431" s="248"/>
      <c r="DW431" s="248"/>
      <c r="DX431" s="248"/>
      <c r="DY431" s="248"/>
      <c r="ED431" s="429"/>
      <c r="EE431" s="23"/>
      <c r="EF431" s="23"/>
      <c r="EG431" s="23"/>
      <c r="EH431" s="18">
        <f t="shared" si="2467"/>
        <v>47</v>
      </c>
      <c r="EI431" s="18">
        <f t="shared" si="2468"/>
        <v>125</v>
      </c>
      <c r="EJ431" s="18">
        <f t="shared" si="2469"/>
        <v>125</v>
      </c>
      <c r="EK431" s="24">
        <f t="shared" si="2512"/>
        <v>0.16666666666666666</v>
      </c>
      <c r="EL431" s="14"/>
      <c r="EM431" s="14"/>
      <c r="EN431" s="14"/>
      <c r="EO431" s="46" t="str">
        <f>IF(EH431&lt;0,,IF(EH431&lt;EE407,"È",IF(EH431=EE407,"Æ","Ç")))</f>
        <v>Ç</v>
      </c>
      <c r="EP431" s="46" t="str">
        <f>IF(EI431&lt;0,,IF(EI431&lt;EF407,"È",IF(EI431=EF407,"Æ","Ç")))</f>
        <v>Ç</v>
      </c>
      <c r="EQ431" s="2">
        <f t="shared" si="2472"/>
        <v>3</v>
      </c>
      <c r="ER431" s="2">
        <f t="shared" si="2473"/>
        <v>3</v>
      </c>
      <c r="ES431" s="2">
        <f t="shared" si="2474"/>
        <v>3</v>
      </c>
    </row>
    <row r="432" spans="1:149" ht="12.75" customHeight="1">
      <c r="A432" s="6" t="s">
        <v>23</v>
      </c>
      <c r="B432" s="2" t="s">
        <v>6</v>
      </c>
      <c r="C432" s="3" t="s">
        <v>63</v>
      </c>
      <c r="E432" s="3" t="s">
        <v>16</v>
      </c>
      <c r="G432" s="3" t="s">
        <v>89</v>
      </c>
      <c r="I432" s="23"/>
      <c r="J432" s="19">
        <v>0</v>
      </c>
      <c r="K432" s="19">
        <v>7</v>
      </c>
      <c r="L432" s="19">
        <v>5</v>
      </c>
      <c r="M432" s="19">
        <v>7</v>
      </c>
      <c r="N432" s="19">
        <v>9</v>
      </c>
      <c r="O432" s="19">
        <v>2</v>
      </c>
      <c r="P432" s="19">
        <v>9</v>
      </c>
      <c r="Q432" s="19">
        <v>3</v>
      </c>
      <c r="R432" s="19">
        <v>3</v>
      </c>
      <c r="S432" s="19">
        <v>8</v>
      </c>
      <c r="T432" s="19">
        <v>7</v>
      </c>
      <c r="U432" s="19">
        <v>5</v>
      </c>
      <c r="V432" s="31">
        <v>9</v>
      </c>
      <c r="W432" s="19">
        <v>6</v>
      </c>
      <c r="X432" s="19">
        <v>12</v>
      </c>
      <c r="Y432" s="356">
        <v>14</v>
      </c>
      <c r="Z432" s="19">
        <v>10</v>
      </c>
      <c r="AA432" s="19">
        <v>9</v>
      </c>
      <c r="AB432" s="19">
        <v>7</v>
      </c>
      <c r="AC432" s="19">
        <v>16</v>
      </c>
      <c r="AD432" s="19">
        <v>18</v>
      </c>
      <c r="AE432" s="19">
        <v>15</v>
      </c>
      <c r="AF432" s="19">
        <v>18</v>
      </c>
      <c r="AG432" s="376">
        <v>19</v>
      </c>
      <c r="AH432" s="31">
        <v>17</v>
      </c>
      <c r="AI432" s="19">
        <v>19</v>
      </c>
      <c r="AJ432" s="19"/>
      <c r="AK432" s="408"/>
      <c r="AL432" s="19">
        <f t="shared" si="2502"/>
        <v>0</v>
      </c>
      <c r="AM432" s="19">
        <f t="shared" ref="AM432:AO433" si="2513">K432</f>
        <v>7</v>
      </c>
      <c r="AN432" s="19">
        <f t="shared" si="2513"/>
        <v>5</v>
      </c>
      <c r="AO432" s="246">
        <f t="shared" ref="AO432:AV432" si="2514">M432</f>
        <v>7</v>
      </c>
      <c r="AP432" s="246">
        <f t="shared" si="2514"/>
        <v>9</v>
      </c>
      <c r="AQ432" s="246">
        <f t="shared" si="2514"/>
        <v>2</v>
      </c>
      <c r="AR432" s="246">
        <f t="shared" si="2514"/>
        <v>9</v>
      </c>
      <c r="AS432" s="246">
        <f t="shared" si="2514"/>
        <v>3</v>
      </c>
      <c r="AT432" s="246">
        <f t="shared" si="2514"/>
        <v>3</v>
      </c>
      <c r="AU432" s="246">
        <f t="shared" si="2514"/>
        <v>8</v>
      </c>
      <c r="AV432" s="246">
        <f t="shared" si="2514"/>
        <v>7</v>
      </c>
      <c r="AW432" s="376">
        <f>U432</f>
        <v>5</v>
      </c>
      <c r="AX432" s="376">
        <f t="shared" si="2503"/>
        <v>9</v>
      </c>
      <c r="AY432" s="376">
        <f t="shared" ref="AY432:BI432" si="2515">W432</f>
        <v>6</v>
      </c>
      <c r="AZ432" s="376">
        <f t="shared" si="2515"/>
        <v>12</v>
      </c>
      <c r="BA432" s="376">
        <f t="shared" si="2515"/>
        <v>14</v>
      </c>
      <c r="BB432" s="376">
        <f t="shared" si="2515"/>
        <v>10</v>
      </c>
      <c r="BC432" s="376">
        <f t="shared" si="2515"/>
        <v>9</v>
      </c>
      <c r="BD432" s="376">
        <f t="shared" si="2515"/>
        <v>7</v>
      </c>
      <c r="BE432" s="376">
        <f t="shared" si="2515"/>
        <v>16</v>
      </c>
      <c r="BF432" s="376">
        <f t="shared" si="2515"/>
        <v>18</v>
      </c>
      <c r="BG432" s="376">
        <f t="shared" si="2515"/>
        <v>15</v>
      </c>
      <c r="BH432" s="376">
        <f t="shared" si="2515"/>
        <v>18</v>
      </c>
      <c r="BI432" s="376">
        <f t="shared" si="2515"/>
        <v>19</v>
      </c>
      <c r="BJ432" s="376">
        <f t="shared" si="2505"/>
        <v>17</v>
      </c>
      <c r="BK432" s="376">
        <f>AI432</f>
        <v>19</v>
      </c>
      <c r="BL432" s="376">
        <f>AJ432</f>
        <v>0</v>
      </c>
      <c r="BM432" s="408"/>
      <c r="BN432" s="48">
        <f t="shared" si="2475"/>
        <v>12</v>
      </c>
      <c r="BO432" s="48">
        <f t="shared" si="2476"/>
        <v>12</v>
      </c>
      <c r="BP432" s="48">
        <f>SUM(AL432:AN432)</f>
        <v>12</v>
      </c>
      <c r="BQ432" s="48">
        <f t="shared" si="2478"/>
        <v>18</v>
      </c>
      <c r="BR432" s="48">
        <f t="shared" si="2479"/>
        <v>18</v>
      </c>
      <c r="BS432" s="48">
        <f>SUM(AO432:AQ432)</f>
        <v>18</v>
      </c>
      <c r="BT432" s="48">
        <f t="shared" si="2481"/>
        <v>15</v>
      </c>
      <c r="BU432" s="48">
        <f t="shared" si="2482"/>
        <v>15</v>
      </c>
      <c r="BV432" s="48">
        <f>SUM(AR432:AT432)</f>
        <v>15</v>
      </c>
      <c r="BW432" s="48">
        <f t="shared" si="2484"/>
        <v>20</v>
      </c>
      <c r="BX432" s="48">
        <f t="shared" si="2485"/>
        <v>20</v>
      </c>
      <c r="BY432" s="48">
        <f>SUM(AU432:AW432)</f>
        <v>20</v>
      </c>
      <c r="BZ432" s="48">
        <f t="shared" si="2487"/>
        <v>27</v>
      </c>
      <c r="CA432" s="48">
        <f t="shared" si="2488"/>
        <v>27</v>
      </c>
      <c r="CB432" s="48">
        <f>SUM(AX432:AZ432)</f>
        <v>27</v>
      </c>
      <c r="CC432" s="48">
        <f t="shared" si="2490"/>
        <v>33</v>
      </c>
      <c r="CD432" s="48">
        <f t="shared" si="2491"/>
        <v>33</v>
      </c>
      <c r="CE432" s="48">
        <f>SUM(BA432:BC432)</f>
        <v>33</v>
      </c>
      <c r="CF432" s="48">
        <f t="shared" si="2493"/>
        <v>41</v>
      </c>
      <c r="CG432" s="48">
        <f t="shared" si="2494"/>
        <v>41</v>
      </c>
      <c r="CH432" s="48">
        <f>SUM(BD432:BF432)</f>
        <v>41</v>
      </c>
      <c r="CI432" s="48">
        <f t="shared" si="2496"/>
        <v>52</v>
      </c>
      <c r="CJ432" s="48">
        <f t="shared" si="2497"/>
        <v>52</v>
      </c>
      <c r="CK432" s="48">
        <f>SUM(BG432:BI432)</f>
        <v>52</v>
      </c>
      <c r="CL432" s="48">
        <f t="shared" si="2499"/>
        <v>36</v>
      </c>
      <c r="CM432" s="48">
        <f t="shared" si="2500"/>
        <v>36</v>
      </c>
      <c r="CN432" s="48">
        <f>SUM(BJ432:BL432)</f>
        <v>36</v>
      </c>
      <c r="CO432" s="406"/>
      <c r="CP432" s="21">
        <f>+J432</f>
        <v>0</v>
      </c>
      <c r="CQ432" s="21">
        <f t="shared" ref="CQ432:DA432" si="2516">+CP432+K432</f>
        <v>7</v>
      </c>
      <c r="CR432" s="21">
        <f t="shared" si="2516"/>
        <v>12</v>
      </c>
      <c r="CS432" s="21">
        <f t="shared" si="2516"/>
        <v>19</v>
      </c>
      <c r="CT432" s="21">
        <f t="shared" si="2516"/>
        <v>28</v>
      </c>
      <c r="CU432" s="21">
        <f t="shared" si="2516"/>
        <v>30</v>
      </c>
      <c r="CV432" s="21">
        <f t="shared" si="2516"/>
        <v>39</v>
      </c>
      <c r="CW432" s="21">
        <f t="shared" si="2516"/>
        <v>42</v>
      </c>
      <c r="CX432" s="21">
        <f t="shared" si="2516"/>
        <v>45</v>
      </c>
      <c r="CY432" s="21">
        <f t="shared" si="2516"/>
        <v>53</v>
      </c>
      <c r="CZ432" s="21">
        <f t="shared" si="2516"/>
        <v>60</v>
      </c>
      <c r="DA432" s="21">
        <f t="shared" si="2516"/>
        <v>65</v>
      </c>
      <c r="DB432" s="21">
        <f>+V432</f>
        <v>9</v>
      </c>
      <c r="DC432" s="21">
        <f t="shared" ref="DC432:DM432" si="2517">+DB432+W432</f>
        <v>15</v>
      </c>
      <c r="DD432" s="21">
        <f t="shared" si="2517"/>
        <v>27</v>
      </c>
      <c r="DE432" s="21">
        <f t="shared" si="2517"/>
        <v>41</v>
      </c>
      <c r="DF432" s="21">
        <f t="shared" si="2517"/>
        <v>51</v>
      </c>
      <c r="DG432" s="21">
        <f t="shared" si="2517"/>
        <v>60</v>
      </c>
      <c r="DH432" s="21">
        <f t="shared" si="2517"/>
        <v>67</v>
      </c>
      <c r="DI432" s="21">
        <f t="shared" si="2517"/>
        <v>83</v>
      </c>
      <c r="DJ432" s="21">
        <f t="shared" si="2517"/>
        <v>101</v>
      </c>
      <c r="DK432" s="21">
        <f t="shared" si="2517"/>
        <v>116</v>
      </c>
      <c r="DL432" s="21">
        <f t="shared" si="2517"/>
        <v>134</v>
      </c>
      <c r="DM432" s="21">
        <f t="shared" si="2517"/>
        <v>153</v>
      </c>
      <c r="DN432" s="21">
        <f>BJ432</f>
        <v>17</v>
      </c>
      <c r="DO432" s="21">
        <f>DN432+BK432</f>
        <v>36</v>
      </c>
      <c r="DP432" s="21">
        <f>DO432+BL432</f>
        <v>36</v>
      </c>
      <c r="DQ432" s="248"/>
      <c r="DR432" s="248"/>
      <c r="DS432" s="248"/>
      <c r="DT432" s="248"/>
      <c r="DU432" s="248"/>
      <c r="DV432" s="248"/>
      <c r="DW432" s="248"/>
      <c r="DX432" s="248"/>
      <c r="DY432" s="248"/>
      <c r="ED432" s="429"/>
      <c r="EE432" s="23"/>
      <c r="EF432" s="23"/>
      <c r="EG432" s="23"/>
      <c r="EH432" s="18">
        <f t="shared" si="2467"/>
        <v>19</v>
      </c>
      <c r="EI432" s="18">
        <f t="shared" si="2468"/>
        <v>36</v>
      </c>
      <c r="EJ432" s="18">
        <f t="shared" si="2469"/>
        <v>36</v>
      </c>
      <c r="EK432" s="24">
        <f t="shared" si="2512"/>
        <v>0.16666666666666666</v>
      </c>
      <c r="EL432" s="14" t="e">
        <f t="shared" ref="EL432:EN439" si="2518">EH432/EE407</f>
        <v>#DIV/0!</v>
      </c>
      <c r="EM432" s="14" t="e">
        <f t="shared" si="2518"/>
        <v>#DIV/0!</v>
      </c>
      <c r="EN432" s="14">
        <f>EJ432/EK432/EG407</f>
        <v>4.5</v>
      </c>
      <c r="EO432" s="46" t="str">
        <f t="shared" ref="EO432:EO444" si="2519">IF(EH432&lt;0,,IF(EH432&lt;EE407,"È",IF(EH432=EE407,"Æ","Ç")))</f>
        <v>Ç</v>
      </c>
      <c r="EP432" s="46" t="str">
        <f t="shared" ref="EP432:EP444" si="2520">IF(EI432&lt;0,,IF(EI432&lt;EF407,"È",IF(EI432=EF407,"Æ","Ç")))</f>
        <v>Ç</v>
      </c>
      <c r="EQ432" s="2" t="e">
        <f t="shared" si="2472"/>
        <v>#DIV/0!</v>
      </c>
      <c r="ER432" s="2" t="e">
        <f t="shared" si="2473"/>
        <v>#DIV/0!</v>
      </c>
      <c r="ES432" s="2">
        <f t="shared" si="2474"/>
        <v>1</v>
      </c>
    </row>
    <row r="433" spans="1:150" ht="12.75" customHeight="1">
      <c r="A433" s="15" t="s">
        <v>23</v>
      </c>
      <c r="B433" s="14" t="s">
        <v>7</v>
      </c>
      <c r="C433" s="16" t="s">
        <v>64</v>
      </c>
      <c r="D433" s="16"/>
      <c r="E433" s="16" t="s">
        <v>16</v>
      </c>
      <c r="F433" s="16"/>
      <c r="G433" s="16" t="s">
        <v>89</v>
      </c>
      <c r="H433" s="16"/>
      <c r="I433" s="24"/>
      <c r="J433" s="25">
        <v>0</v>
      </c>
      <c r="K433" s="25">
        <v>1</v>
      </c>
      <c r="L433" s="25">
        <v>1</v>
      </c>
      <c r="M433" s="25">
        <v>1</v>
      </c>
      <c r="N433" s="25">
        <v>1</v>
      </c>
      <c r="O433" s="25">
        <v>1</v>
      </c>
      <c r="P433" s="25">
        <v>1</v>
      </c>
      <c r="Q433" s="25">
        <v>1</v>
      </c>
      <c r="R433" s="25">
        <v>1</v>
      </c>
      <c r="S433" s="25">
        <v>1</v>
      </c>
      <c r="T433" s="25">
        <v>1</v>
      </c>
      <c r="U433" s="25">
        <v>1</v>
      </c>
      <c r="V433" s="33">
        <v>1</v>
      </c>
      <c r="W433" s="25">
        <v>1</v>
      </c>
      <c r="X433" s="25">
        <v>1</v>
      </c>
      <c r="Y433" s="357">
        <v>0.98499999999999999</v>
      </c>
      <c r="Z433" s="25">
        <v>0.96</v>
      </c>
      <c r="AA433" s="25">
        <v>1</v>
      </c>
      <c r="AB433" s="25">
        <v>1</v>
      </c>
      <c r="AC433" s="25">
        <v>1</v>
      </c>
      <c r="AD433" s="25">
        <v>1</v>
      </c>
      <c r="AE433" s="25">
        <v>1</v>
      </c>
      <c r="AF433" s="25">
        <v>1</v>
      </c>
      <c r="AG433" s="377">
        <v>1</v>
      </c>
      <c r="AH433" s="33">
        <v>1</v>
      </c>
      <c r="AI433" s="25">
        <v>1</v>
      </c>
      <c r="AJ433" s="25"/>
      <c r="AK433" s="412"/>
      <c r="AL433" s="14">
        <f t="shared" si="2502"/>
        <v>0</v>
      </c>
      <c r="AM433" s="14">
        <f t="shared" si="2513"/>
        <v>1</v>
      </c>
      <c r="AN433" s="14">
        <f t="shared" si="2513"/>
        <v>1</v>
      </c>
      <c r="AO433" s="14">
        <f t="shared" si="2513"/>
        <v>1</v>
      </c>
      <c r="AP433" s="129">
        <f>IF(N433&lt;&gt;"",N433-M433,0)</f>
        <v>0</v>
      </c>
      <c r="AQ433" s="129">
        <f t="shared" ref="AQ433:AW433" si="2521">IF(O433&lt;&gt;"",O433,0)</f>
        <v>1</v>
      </c>
      <c r="AR433" s="129">
        <f t="shared" si="2521"/>
        <v>1</v>
      </c>
      <c r="AS433" s="129">
        <f t="shared" si="2521"/>
        <v>1</v>
      </c>
      <c r="AT433" s="129">
        <f t="shared" si="2521"/>
        <v>1</v>
      </c>
      <c r="AU433" s="129">
        <f t="shared" si="2521"/>
        <v>1</v>
      </c>
      <c r="AV433" s="129">
        <f t="shared" si="2521"/>
        <v>1</v>
      </c>
      <c r="AW433" s="129">
        <f t="shared" si="2521"/>
        <v>1</v>
      </c>
      <c r="AX433" s="14">
        <f t="shared" si="2503"/>
        <v>1</v>
      </c>
      <c r="AY433" s="129">
        <f>+W433</f>
        <v>1</v>
      </c>
      <c r="AZ433" s="129">
        <f t="shared" ref="AZ433:BI433" si="2522">+X433</f>
        <v>1</v>
      </c>
      <c r="BA433" s="129">
        <f t="shared" si="2522"/>
        <v>0.98499999999999999</v>
      </c>
      <c r="BB433" s="129">
        <f t="shared" si="2522"/>
        <v>0.96</v>
      </c>
      <c r="BC433" s="129">
        <f t="shared" si="2522"/>
        <v>1</v>
      </c>
      <c r="BD433" s="129">
        <f t="shared" si="2522"/>
        <v>1</v>
      </c>
      <c r="BE433" s="129">
        <f t="shared" si="2522"/>
        <v>1</v>
      </c>
      <c r="BF433" s="129">
        <f t="shared" si="2522"/>
        <v>1</v>
      </c>
      <c r="BG433" s="129">
        <f t="shared" si="2522"/>
        <v>1</v>
      </c>
      <c r="BH433" s="129">
        <f t="shared" si="2522"/>
        <v>1</v>
      </c>
      <c r="BI433" s="129">
        <f t="shared" si="2522"/>
        <v>1</v>
      </c>
      <c r="BJ433" s="14">
        <f t="shared" si="2505"/>
        <v>1</v>
      </c>
      <c r="BK433" s="129">
        <f t="shared" si="2462"/>
        <v>0</v>
      </c>
      <c r="BL433" s="129">
        <f t="shared" si="2463"/>
        <v>0</v>
      </c>
      <c r="BM433" s="410"/>
      <c r="BN433" s="56">
        <f t="shared" si="2475"/>
        <v>1</v>
      </c>
      <c r="BO433" s="56">
        <f t="shared" si="2476"/>
        <v>1</v>
      </c>
      <c r="BP433" s="56">
        <f>(AL433*AL432+AM433*AM432+AN433*AN432)/BP432</f>
        <v>1</v>
      </c>
      <c r="BQ433" s="56">
        <f t="shared" si="2478"/>
        <v>0.5</v>
      </c>
      <c r="BR433" s="56">
        <f t="shared" si="2479"/>
        <v>0.5</v>
      </c>
      <c r="BS433" s="56">
        <f>(AO433*AO432+AP433*AP432+AQ433*AQ432)/BS432</f>
        <v>0.5</v>
      </c>
      <c r="BT433" s="56">
        <f t="shared" si="2481"/>
        <v>1</v>
      </c>
      <c r="BU433" s="56">
        <f t="shared" si="2482"/>
        <v>1</v>
      </c>
      <c r="BV433" s="56">
        <f>(AR433*AR432+AS433*AS432+AT433*AT432)/BV432</f>
        <v>1</v>
      </c>
      <c r="BW433" s="56">
        <f t="shared" si="2484"/>
        <v>1</v>
      </c>
      <c r="BX433" s="56">
        <f t="shared" si="2485"/>
        <v>1</v>
      </c>
      <c r="BY433" s="56">
        <f>(AU433*AU432+AV433*AV432+AW433*AW432)/BY432</f>
        <v>1</v>
      </c>
      <c r="BZ433" s="56">
        <f t="shared" si="2487"/>
        <v>1</v>
      </c>
      <c r="CA433" s="56">
        <f t="shared" si="2488"/>
        <v>1</v>
      </c>
      <c r="CB433" s="56">
        <f>(AX433*AX432+AY433*AY432+AZ433*AZ432)/CB432</f>
        <v>1</v>
      </c>
      <c r="CC433" s="56">
        <f t="shared" si="2490"/>
        <v>0.98151515151515156</v>
      </c>
      <c r="CD433" s="56">
        <f t="shared" si="2491"/>
        <v>0.98151515151515156</v>
      </c>
      <c r="CE433" s="56">
        <f>(BA433*BA432+BB433*BB432+BC433*BC432)/CE432</f>
        <v>0.98151515151515156</v>
      </c>
      <c r="CF433" s="56">
        <f t="shared" si="2493"/>
        <v>1</v>
      </c>
      <c r="CG433" s="56">
        <f t="shared" si="2494"/>
        <v>1</v>
      </c>
      <c r="CH433" s="56">
        <f>(BD433*BD432+BE433*BE432+BF433*BF432)/CH432</f>
        <v>1</v>
      </c>
      <c r="CI433" s="56">
        <f t="shared" si="2496"/>
        <v>1</v>
      </c>
      <c r="CJ433" s="56">
        <f t="shared" si="2497"/>
        <v>1</v>
      </c>
      <c r="CK433" s="56">
        <f>(BG433*BG432+BH433*BH432+BI433*BI432)/CK432</f>
        <v>1</v>
      </c>
      <c r="CL433" s="56">
        <f t="shared" si="2499"/>
        <v>0.47222222222222221</v>
      </c>
      <c r="CM433" s="56">
        <f t="shared" si="2500"/>
        <v>0.47222222222222221</v>
      </c>
      <c r="CN433" s="56">
        <f>(BJ433*BJ432+BK433*BK432+BL433*BL432)/CN432</f>
        <v>0.47222222222222221</v>
      </c>
      <c r="CO433" s="422"/>
      <c r="CP433" s="25">
        <f>J433</f>
        <v>0</v>
      </c>
      <c r="CQ433" s="25">
        <f t="shared" ref="CQ433:DP433" si="2523">CQ445/CQ432</f>
        <v>1</v>
      </c>
      <c r="CR433" s="25">
        <f t="shared" si="2523"/>
        <v>1</v>
      </c>
      <c r="CS433" s="25">
        <f t="shared" si="2523"/>
        <v>1</v>
      </c>
      <c r="CT433" s="25">
        <f t="shared" si="2523"/>
        <v>1</v>
      </c>
      <c r="CU433" s="25">
        <f t="shared" si="2523"/>
        <v>1</v>
      </c>
      <c r="CV433" s="25">
        <f t="shared" si="2523"/>
        <v>1</v>
      </c>
      <c r="CW433" s="25">
        <f t="shared" si="2523"/>
        <v>1</v>
      </c>
      <c r="CX433" s="25">
        <f t="shared" si="2523"/>
        <v>1</v>
      </c>
      <c r="CY433" s="25">
        <f t="shared" si="2523"/>
        <v>1</v>
      </c>
      <c r="CZ433" s="25">
        <f t="shared" si="2523"/>
        <v>1</v>
      </c>
      <c r="DA433" s="25">
        <f t="shared" si="2523"/>
        <v>1</v>
      </c>
      <c r="DB433" s="25">
        <f t="shared" si="2523"/>
        <v>1</v>
      </c>
      <c r="DC433" s="25">
        <f t="shared" si="2523"/>
        <v>1</v>
      </c>
      <c r="DD433" s="25">
        <f t="shared" si="2523"/>
        <v>1</v>
      </c>
      <c r="DE433" s="25">
        <f t="shared" si="2523"/>
        <v>0.9948780487804878</v>
      </c>
      <c r="DF433" s="25">
        <f t="shared" si="2523"/>
        <v>0.98803921568627451</v>
      </c>
      <c r="DG433" s="25">
        <f t="shared" si="2523"/>
        <v>0.98983333333333334</v>
      </c>
      <c r="DH433" s="25">
        <f t="shared" si="2523"/>
        <v>0.99089552238805967</v>
      </c>
      <c r="DI433" s="25">
        <f t="shared" si="2523"/>
        <v>0.99265060240963854</v>
      </c>
      <c r="DJ433" s="25">
        <f t="shared" si="2523"/>
        <v>0.99396039603960396</v>
      </c>
      <c r="DK433" s="25">
        <f t="shared" si="2523"/>
        <v>0.99474137931034479</v>
      </c>
      <c r="DL433" s="25">
        <f t="shared" si="2523"/>
        <v>0.99544776119402978</v>
      </c>
      <c r="DM433" s="25">
        <f t="shared" si="2523"/>
        <v>0.99601307189542476</v>
      </c>
      <c r="DN433" s="25">
        <f t="shared" si="2523"/>
        <v>1</v>
      </c>
      <c r="DO433" s="25">
        <f t="shared" si="2523"/>
        <v>1</v>
      </c>
      <c r="DP433" s="25">
        <f t="shared" si="2523"/>
        <v>1</v>
      </c>
      <c r="DQ433" s="377"/>
      <c r="DR433" s="377"/>
      <c r="DS433" s="377"/>
      <c r="DT433" s="377"/>
      <c r="DU433" s="377"/>
      <c r="DV433" s="377"/>
      <c r="DW433" s="377"/>
      <c r="DX433" s="377"/>
      <c r="DY433" s="377"/>
      <c r="DZ433" s="14"/>
      <c r="EA433" s="14"/>
      <c r="EB433" s="14"/>
      <c r="EC433" s="14"/>
      <c r="ED433" s="430"/>
      <c r="EE433" s="24"/>
      <c r="EF433" s="24"/>
      <c r="EG433" s="24"/>
      <c r="EH433" s="25">
        <f t="shared" si="2467"/>
        <v>0</v>
      </c>
      <c r="EI433" s="25">
        <f t="shared" si="2468"/>
        <v>0.47222222222222221</v>
      </c>
      <c r="EJ433" s="25">
        <f t="shared" si="2469"/>
        <v>1</v>
      </c>
      <c r="EK433" s="24">
        <f t="shared" si="2512"/>
        <v>0.16666666666666666</v>
      </c>
      <c r="EL433" s="14">
        <f>EH433</f>
        <v>0</v>
      </c>
      <c r="EM433" s="14">
        <f>EI433</f>
        <v>0.47222222222222221</v>
      </c>
      <c r="EN433" s="14">
        <f>EJ433</f>
        <v>1</v>
      </c>
      <c r="EO433" s="46" t="str">
        <f t="shared" si="2519"/>
        <v>È</v>
      </c>
      <c r="EP433" s="46" t="str">
        <f>IF(EI433&lt;0,,IF(EI433&lt;EF408,"È",IF(EI433=EF408,"Æ","Ç")))</f>
        <v>È</v>
      </c>
      <c r="EQ433" s="2">
        <f t="shared" si="2472"/>
        <v>3</v>
      </c>
      <c r="ER433" s="2">
        <f t="shared" si="2473"/>
        <v>3</v>
      </c>
      <c r="ES433" s="2">
        <f t="shared" si="2474"/>
        <v>1</v>
      </c>
      <c r="ET433" s="14"/>
    </row>
    <row r="434" spans="1:150" ht="12.75" customHeight="1">
      <c r="A434" s="6" t="s">
        <v>23</v>
      </c>
      <c r="B434" s="2" t="s">
        <v>8</v>
      </c>
      <c r="C434" s="3" t="s">
        <v>87</v>
      </c>
      <c r="E434" s="3" t="s">
        <v>16</v>
      </c>
      <c r="G434" s="3" t="s">
        <v>91</v>
      </c>
      <c r="I434" s="23"/>
      <c r="J434" s="19">
        <v>0</v>
      </c>
      <c r="K434" s="19">
        <v>0</v>
      </c>
      <c r="L434" s="19">
        <v>0</v>
      </c>
      <c r="M434" s="19">
        <v>0</v>
      </c>
      <c r="N434" s="19">
        <v>2</v>
      </c>
      <c r="O434" s="19">
        <v>2</v>
      </c>
      <c r="P434" s="19">
        <v>6</v>
      </c>
      <c r="Q434" s="19">
        <v>7</v>
      </c>
      <c r="R434" s="19">
        <v>7</v>
      </c>
      <c r="S434" s="19">
        <v>7</v>
      </c>
      <c r="T434" s="19">
        <v>8</v>
      </c>
      <c r="U434" s="19">
        <v>8</v>
      </c>
      <c r="V434" s="219">
        <v>10</v>
      </c>
      <c r="W434" s="19">
        <v>36</v>
      </c>
      <c r="X434" s="19">
        <v>37</v>
      </c>
      <c r="Y434" s="356">
        <v>39</v>
      </c>
      <c r="Z434" s="19">
        <v>50</v>
      </c>
      <c r="AA434" s="19">
        <v>53</v>
      </c>
      <c r="AB434" s="19">
        <v>60</v>
      </c>
      <c r="AC434" s="19">
        <v>61</v>
      </c>
      <c r="AD434" s="19">
        <v>61</v>
      </c>
      <c r="AE434" s="19">
        <v>62</v>
      </c>
      <c r="AF434" s="19">
        <f>34+30</f>
        <v>64</v>
      </c>
      <c r="AG434" s="19">
        <v>66</v>
      </c>
      <c r="AH434" s="31">
        <v>1</v>
      </c>
      <c r="AI434" s="19">
        <v>2</v>
      </c>
      <c r="AJ434" s="19"/>
      <c r="AK434" s="408"/>
      <c r="AL434" s="19">
        <f t="shared" si="2502"/>
        <v>0</v>
      </c>
      <c r="AM434" s="19">
        <f>K434-J434</f>
        <v>0</v>
      </c>
      <c r="AN434" s="19">
        <f t="shared" ref="AN434:AN440" si="2524">L434-K434</f>
        <v>0</v>
      </c>
      <c r="AO434" s="19">
        <f t="shared" ref="AO434:AO440" si="2525">M434-L434</f>
        <v>0</v>
      </c>
      <c r="AP434" s="129">
        <f t="shared" ref="AP434:AP439" si="2526">IF(N434&lt;&gt;"",N434-M434,0)</f>
        <v>2</v>
      </c>
      <c r="AQ434" s="129">
        <f t="shared" ref="AQ434:AQ442" si="2527">IF(O434&lt;&gt;"",O434-N434,0)</f>
        <v>0</v>
      </c>
      <c r="AR434" s="129">
        <f t="shared" si="2446"/>
        <v>4</v>
      </c>
      <c r="AS434" s="129">
        <f t="shared" si="2447"/>
        <v>1</v>
      </c>
      <c r="AT434" s="129">
        <f t="shared" si="2448"/>
        <v>0</v>
      </c>
      <c r="AU434" s="129">
        <f t="shared" si="2449"/>
        <v>0</v>
      </c>
      <c r="AV434" s="129">
        <f t="shared" si="2450"/>
        <v>1</v>
      </c>
      <c r="AW434" s="129">
        <f t="shared" si="2451"/>
        <v>0</v>
      </c>
      <c r="AX434" s="19">
        <f t="shared" si="2503"/>
        <v>10</v>
      </c>
      <c r="AY434" s="129">
        <f t="shared" si="2452"/>
        <v>26</v>
      </c>
      <c r="AZ434" s="129">
        <f t="shared" si="2453"/>
        <v>1</v>
      </c>
      <c r="BA434" s="129">
        <f t="shared" si="2504"/>
        <v>2</v>
      </c>
      <c r="BB434" s="129">
        <f t="shared" si="2454"/>
        <v>11</v>
      </c>
      <c r="BC434" s="129">
        <f t="shared" si="2455"/>
        <v>3</v>
      </c>
      <c r="BD434" s="129">
        <f t="shared" si="2456"/>
        <v>7</v>
      </c>
      <c r="BE434" s="129">
        <f t="shared" si="2457"/>
        <v>1</v>
      </c>
      <c r="BF434" s="129">
        <f t="shared" si="2458"/>
        <v>0</v>
      </c>
      <c r="BG434" s="129">
        <f t="shared" si="2459"/>
        <v>1</v>
      </c>
      <c r="BH434" s="129">
        <f t="shared" si="2460"/>
        <v>2</v>
      </c>
      <c r="BI434" s="129">
        <f t="shared" si="2461"/>
        <v>2</v>
      </c>
      <c r="BJ434" s="19">
        <f t="shared" si="2505"/>
        <v>1</v>
      </c>
      <c r="BK434" s="129">
        <f t="shared" si="2462"/>
        <v>1</v>
      </c>
      <c r="BL434" s="129">
        <f t="shared" si="2463"/>
        <v>0</v>
      </c>
      <c r="BM434" s="408"/>
      <c r="BN434" s="48">
        <f t="shared" si="2475"/>
        <v>0</v>
      </c>
      <c r="BO434" s="48">
        <f t="shared" si="2476"/>
        <v>0</v>
      </c>
      <c r="BP434" s="48">
        <f t="shared" ref="BP434:BP439" si="2528">SUM(AL434:AN434)</f>
        <v>0</v>
      </c>
      <c r="BQ434" s="48">
        <f t="shared" si="2478"/>
        <v>2</v>
      </c>
      <c r="BR434" s="48">
        <f t="shared" si="2479"/>
        <v>2</v>
      </c>
      <c r="BS434" s="48">
        <f t="shared" ref="BS434:BS439" si="2529">SUM(AO434:AQ434)</f>
        <v>2</v>
      </c>
      <c r="BT434" s="48">
        <f t="shared" si="2481"/>
        <v>5</v>
      </c>
      <c r="BU434" s="48">
        <f t="shared" si="2482"/>
        <v>5</v>
      </c>
      <c r="BV434" s="48">
        <f t="shared" ref="BV434:BV439" si="2530">SUM(AR434:AT434)</f>
        <v>5</v>
      </c>
      <c r="BW434" s="48">
        <f t="shared" si="2484"/>
        <v>1</v>
      </c>
      <c r="BX434" s="48">
        <f t="shared" si="2485"/>
        <v>1</v>
      </c>
      <c r="BY434" s="48">
        <f t="shared" ref="BY434:BY439" si="2531">SUM(AU434:AW434)</f>
        <v>1</v>
      </c>
      <c r="BZ434" s="48">
        <f t="shared" si="2487"/>
        <v>37</v>
      </c>
      <c r="CA434" s="48">
        <f t="shared" si="2488"/>
        <v>37</v>
      </c>
      <c r="CB434" s="48">
        <f t="shared" ref="CB434:CB439" si="2532">SUM(AX434:AZ434)</f>
        <v>37</v>
      </c>
      <c r="CC434" s="48">
        <f t="shared" si="2490"/>
        <v>16</v>
      </c>
      <c r="CD434" s="48">
        <f t="shared" si="2491"/>
        <v>16</v>
      </c>
      <c r="CE434" s="48">
        <f t="shared" ref="CE434:CE439" si="2533">SUM(BA434:BC434)</f>
        <v>16</v>
      </c>
      <c r="CF434" s="48">
        <f t="shared" si="2493"/>
        <v>8</v>
      </c>
      <c r="CG434" s="48">
        <f t="shared" si="2494"/>
        <v>8</v>
      </c>
      <c r="CH434" s="48">
        <f t="shared" ref="CH434:CH439" si="2534">SUM(BD434:BF434)</f>
        <v>8</v>
      </c>
      <c r="CI434" s="48">
        <f t="shared" si="2496"/>
        <v>5</v>
      </c>
      <c r="CJ434" s="48">
        <f t="shared" si="2497"/>
        <v>5</v>
      </c>
      <c r="CK434" s="48">
        <f t="shared" ref="CK434:CK439" si="2535">SUM(BG434:BI434)</f>
        <v>5</v>
      </c>
      <c r="CL434" s="48">
        <f t="shared" si="2499"/>
        <v>2</v>
      </c>
      <c r="CM434" s="48">
        <f t="shared" si="2500"/>
        <v>2</v>
      </c>
      <c r="CN434" s="48">
        <f t="shared" ref="CN434:CN439" si="2536">SUM(BJ434:BL434)</f>
        <v>2</v>
      </c>
      <c r="CO434" s="406"/>
      <c r="CP434" s="21">
        <f>AL434</f>
        <v>0</v>
      </c>
      <c r="CQ434" s="21">
        <f>CP434+AM434</f>
        <v>0</v>
      </c>
      <c r="CR434" s="21">
        <f t="shared" ref="CR434:CR440" si="2537">CQ434+AN434</f>
        <v>0</v>
      </c>
      <c r="CS434" s="21">
        <f t="shared" ref="CS434:CS440" si="2538">CR434+AO434</f>
        <v>0</v>
      </c>
      <c r="CT434" s="21">
        <f t="shared" ref="CT434:CT440" si="2539">CS434+AP434</f>
        <v>2</v>
      </c>
      <c r="CU434" s="21">
        <f t="shared" ref="CU434:CU440" si="2540">CT434+AQ434</f>
        <v>2</v>
      </c>
      <c r="CV434" s="21">
        <f t="shared" ref="CV434:CV440" si="2541">CU434+AR434</f>
        <v>6</v>
      </c>
      <c r="CW434" s="21">
        <f t="shared" ref="CW434:CW440" si="2542">CV434+AS434</f>
        <v>7</v>
      </c>
      <c r="CX434" s="21">
        <f t="shared" ref="CX434:CX440" si="2543">CW434+AT434</f>
        <v>7</v>
      </c>
      <c r="CY434" s="21">
        <f t="shared" ref="CY434:CY440" si="2544">CX434+AU434</f>
        <v>7</v>
      </c>
      <c r="CZ434" s="21">
        <f t="shared" ref="CZ434:CZ440" si="2545">CY434+AV434</f>
        <v>8</v>
      </c>
      <c r="DA434" s="21">
        <f t="shared" ref="DA434:DA440" si="2546">CZ434+AW434</f>
        <v>8</v>
      </c>
      <c r="DB434" s="21">
        <f>AX434</f>
        <v>10</v>
      </c>
      <c r="DC434" s="21">
        <f t="shared" ref="DC434:DC440" si="2547">DB434+AY434</f>
        <v>36</v>
      </c>
      <c r="DD434" s="21">
        <f t="shared" ref="DD434:DD440" si="2548">DC434+AZ434</f>
        <v>37</v>
      </c>
      <c r="DE434" s="21">
        <f t="shared" ref="DE434:DE440" si="2549">DD434+BA434</f>
        <v>39</v>
      </c>
      <c r="DF434" s="21">
        <f t="shared" ref="DF434:DF440" si="2550">DE434+BB434</f>
        <v>50</v>
      </c>
      <c r="DG434" s="21">
        <f t="shared" ref="DG434:DG440" si="2551">DF434+BC434</f>
        <v>53</v>
      </c>
      <c r="DH434" s="21">
        <f t="shared" ref="DH434:DH440" si="2552">DG434+BD434</f>
        <v>60</v>
      </c>
      <c r="DI434" s="21">
        <f t="shared" ref="DI434:DI440" si="2553">DH434+BE434</f>
        <v>61</v>
      </c>
      <c r="DJ434" s="21">
        <f t="shared" ref="DJ434:DJ440" si="2554">DI434+BF434</f>
        <v>61</v>
      </c>
      <c r="DK434" s="21">
        <f t="shared" ref="DK434:DK440" si="2555">DJ434+BG434</f>
        <v>62</v>
      </c>
      <c r="DL434" s="21">
        <f t="shared" ref="DL434:DL440" si="2556">DK434+BH434</f>
        <v>64</v>
      </c>
      <c r="DM434" s="21">
        <f t="shared" ref="DM434:DM440" si="2557">DL434+BI434</f>
        <v>66</v>
      </c>
      <c r="DN434" s="21">
        <f t="shared" ref="DN434:DN439" si="2558">BJ434</f>
        <v>1</v>
      </c>
      <c r="DO434" s="21">
        <f t="shared" ref="DO434:DO440" si="2559">DN434+BK434</f>
        <v>2</v>
      </c>
      <c r="DP434" s="21">
        <f t="shared" ref="DP434:DP440" si="2560">DO434+BL434</f>
        <v>2</v>
      </c>
      <c r="DQ434" s="248"/>
      <c r="DR434" s="248"/>
      <c r="DS434" s="248"/>
      <c r="DT434" s="248"/>
      <c r="DU434" s="248"/>
      <c r="DV434" s="248"/>
      <c r="DW434" s="248"/>
      <c r="DX434" s="248"/>
      <c r="DY434" s="248"/>
      <c r="ED434" s="429"/>
      <c r="EE434" s="23"/>
      <c r="EF434" s="23"/>
      <c r="EG434" s="23"/>
      <c r="EH434" s="18">
        <f t="shared" si="2467"/>
        <v>1</v>
      </c>
      <c r="EI434" s="18">
        <f t="shared" si="2468"/>
        <v>2</v>
      </c>
      <c r="EJ434" s="18">
        <f t="shared" si="2469"/>
        <v>2</v>
      </c>
      <c r="EK434" s="24">
        <f t="shared" si="2512"/>
        <v>0.16666666666666666</v>
      </c>
      <c r="EL434" s="14" t="e">
        <f t="shared" si="2518"/>
        <v>#DIV/0!</v>
      </c>
      <c r="EM434" s="14" t="e">
        <f t="shared" si="2518"/>
        <v>#DIV/0!</v>
      </c>
      <c r="EN434" s="14">
        <f>EJ434/EK434/EG409</f>
        <v>0.34282122825227823</v>
      </c>
      <c r="EO434" s="46" t="str">
        <f t="shared" si="2519"/>
        <v>Ç</v>
      </c>
      <c r="EP434" s="46" t="str">
        <f t="shared" si="2520"/>
        <v>Ç</v>
      </c>
      <c r="EQ434" s="2" t="e">
        <f t="shared" si="2472"/>
        <v>#DIV/0!</v>
      </c>
      <c r="ER434" s="2" t="e">
        <f t="shared" si="2473"/>
        <v>#DIV/0!</v>
      </c>
      <c r="ES434" s="2">
        <f t="shared" si="2474"/>
        <v>3</v>
      </c>
    </row>
    <row r="435" spans="1:150" ht="12.75" customHeight="1">
      <c r="A435" s="6" t="s">
        <v>23</v>
      </c>
      <c r="B435" s="2" t="s">
        <v>9</v>
      </c>
      <c r="C435" s="3" t="s">
        <v>65</v>
      </c>
      <c r="E435" s="3" t="s">
        <v>16</v>
      </c>
      <c r="G435" s="3" t="s">
        <v>91</v>
      </c>
      <c r="I435" s="23"/>
      <c r="J435" s="19">
        <v>157.51</v>
      </c>
      <c r="K435" s="19">
        <v>393.02</v>
      </c>
      <c r="L435" s="19">
        <v>549.77</v>
      </c>
      <c r="M435" s="19">
        <v>712.87</v>
      </c>
      <c r="N435" s="19">
        <v>820.9</v>
      </c>
      <c r="O435" s="19">
        <v>914.61</v>
      </c>
      <c r="P435" s="19">
        <v>1008.83</v>
      </c>
      <c r="Q435" s="19">
        <v>1108.32</v>
      </c>
      <c r="R435" s="19">
        <v>1303.8499999999999</v>
      </c>
      <c r="S435" s="19">
        <v>1510.1</v>
      </c>
      <c r="T435" s="19">
        <v>1703.45</v>
      </c>
      <c r="U435" s="19">
        <v>1885.77</v>
      </c>
      <c r="V435" s="31">
        <v>196.82</v>
      </c>
      <c r="W435" s="19">
        <v>403.94</v>
      </c>
      <c r="X435" s="19">
        <v>639.01</v>
      </c>
      <c r="Y435" s="356">
        <v>938.27</v>
      </c>
      <c r="Z435" s="19">
        <v>1334.52</v>
      </c>
      <c r="AA435" s="19">
        <v>1648.86</v>
      </c>
      <c r="AB435" s="19">
        <v>1971.9</v>
      </c>
      <c r="AC435" s="19">
        <v>2312.81</v>
      </c>
      <c r="AD435" s="19">
        <v>2684.57</v>
      </c>
      <c r="AE435" s="19">
        <v>3040.18</v>
      </c>
      <c r="AF435" s="19">
        <v>3365.75</v>
      </c>
      <c r="AG435" s="19">
        <v>3761.27</v>
      </c>
      <c r="AH435" s="31">
        <v>327.85</v>
      </c>
      <c r="AI435" s="19">
        <v>706.35</v>
      </c>
      <c r="AJ435" s="19"/>
      <c r="AK435" s="408"/>
      <c r="AL435" s="19">
        <f t="shared" si="2502"/>
        <v>157.51</v>
      </c>
      <c r="AM435" s="19">
        <f t="shared" ref="AM435:AM440" si="2561">K435-J435</f>
        <v>235.51</v>
      </c>
      <c r="AN435" s="19">
        <f t="shared" si="2524"/>
        <v>156.75</v>
      </c>
      <c r="AO435" s="19">
        <f t="shared" si="2525"/>
        <v>163.10000000000002</v>
      </c>
      <c r="AP435" s="130">
        <f t="shared" si="2526"/>
        <v>108.02999999999997</v>
      </c>
      <c r="AQ435" s="130">
        <f t="shared" si="2527"/>
        <v>93.710000000000036</v>
      </c>
      <c r="AR435" s="130">
        <f t="shared" si="2446"/>
        <v>94.220000000000027</v>
      </c>
      <c r="AS435" s="130">
        <f t="shared" si="2447"/>
        <v>99.489999999999895</v>
      </c>
      <c r="AT435" s="130">
        <f t="shared" si="2448"/>
        <v>195.52999999999997</v>
      </c>
      <c r="AU435" s="130">
        <f t="shared" si="2449"/>
        <v>206.25</v>
      </c>
      <c r="AV435" s="130">
        <f t="shared" si="2450"/>
        <v>193.35000000000014</v>
      </c>
      <c r="AW435" s="130">
        <f t="shared" si="2451"/>
        <v>182.31999999999994</v>
      </c>
      <c r="AX435" s="19">
        <f t="shared" si="2503"/>
        <v>196.82</v>
      </c>
      <c r="AY435" s="130">
        <f t="shared" si="2452"/>
        <v>207.12</v>
      </c>
      <c r="AZ435" s="130">
        <f t="shared" si="2453"/>
        <v>235.07</v>
      </c>
      <c r="BA435" s="130">
        <f t="shared" si="2504"/>
        <v>299.26</v>
      </c>
      <c r="BB435" s="130">
        <f t="shared" si="2454"/>
        <v>396.25</v>
      </c>
      <c r="BC435" s="130">
        <f t="shared" si="2455"/>
        <v>314.33999999999992</v>
      </c>
      <c r="BD435" s="130">
        <f t="shared" si="2456"/>
        <v>323.04000000000019</v>
      </c>
      <c r="BE435" s="130">
        <f t="shared" si="2457"/>
        <v>340.90999999999985</v>
      </c>
      <c r="BF435" s="130">
        <f t="shared" si="2458"/>
        <v>371.76000000000022</v>
      </c>
      <c r="BG435" s="130">
        <f t="shared" si="2459"/>
        <v>355.60999999999967</v>
      </c>
      <c r="BH435" s="130">
        <f t="shared" si="2460"/>
        <v>325.57000000000016</v>
      </c>
      <c r="BI435" s="130">
        <f t="shared" si="2461"/>
        <v>395.52</v>
      </c>
      <c r="BJ435" s="19">
        <f t="shared" si="2505"/>
        <v>327.85</v>
      </c>
      <c r="BK435" s="130">
        <f t="shared" si="2462"/>
        <v>378.5</v>
      </c>
      <c r="BL435" s="130">
        <f t="shared" si="2463"/>
        <v>0</v>
      </c>
      <c r="BM435" s="408"/>
      <c r="BN435" s="48">
        <f t="shared" si="2475"/>
        <v>549.77</v>
      </c>
      <c r="BO435" s="48">
        <f t="shared" si="2476"/>
        <v>549.77</v>
      </c>
      <c r="BP435" s="48">
        <f t="shared" si="2528"/>
        <v>549.77</v>
      </c>
      <c r="BQ435" s="48">
        <f t="shared" si="2478"/>
        <v>364.84000000000003</v>
      </c>
      <c r="BR435" s="48">
        <f t="shared" si="2479"/>
        <v>364.84000000000003</v>
      </c>
      <c r="BS435" s="48">
        <f t="shared" si="2529"/>
        <v>364.84000000000003</v>
      </c>
      <c r="BT435" s="48">
        <f t="shared" si="2481"/>
        <v>389.2399999999999</v>
      </c>
      <c r="BU435" s="48">
        <f t="shared" si="2482"/>
        <v>389.2399999999999</v>
      </c>
      <c r="BV435" s="48">
        <f t="shared" si="2530"/>
        <v>389.2399999999999</v>
      </c>
      <c r="BW435" s="48">
        <f t="shared" si="2484"/>
        <v>581.92000000000007</v>
      </c>
      <c r="BX435" s="48">
        <f t="shared" si="2485"/>
        <v>581.92000000000007</v>
      </c>
      <c r="BY435" s="48">
        <f t="shared" si="2531"/>
        <v>581.92000000000007</v>
      </c>
      <c r="BZ435" s="48">
        <f t="shared" si="2487"/>
        <v>639.01</v>
      </c>
      <c r="CA435" s="48">
        <f t="shared" si="2488"/>
        <v>639.01</v>
      </c>
      <c r="CB435" s="48">
        <f t="shared" si="2532"/>
        <v>639.01</v>
      </c>
      <c r="CC435" s="48">
        <f t="shared" si="2490"/>
        <v>1009.8499999999999</v>
      </c>
      <c r="CD435" s="48">
        <f t="shared" si="2491"/>
        <v>1009.8499999999999</v>
      </c>
      <c r="CE435" s="48">
        <f t="shared" si="2533"/>
        <v>1009.8499999999999</v>
      </c>
      <c r="CF435" s="48">
        <f t="shared" si="2493"/>
        <v>1035.7100000000003</v>
      </c>
      <c r="CG435" s="48">
        <f t="shared" si="2494"/>
        <v>1035.7100000000003</v>
      </c>
      <c r="CH435" s="48">
        <f t="shared" si="2534"/>
        <v>1035.7100000000003</v>
      </c>
      <c r="CI435" s="48">
        <f t="shared" si="2496"/>
        <v>1076.6999999999998</v>
      </c>
      <c r="CJ435" s="48">
        <f t="shared" si="2497"/>
        <v>1076.6999999999998</v>
      </c>
      <c r="CK435" s="48">
        <f t="shared" si="2535"/>
        <v>1076.6999999999998</v>
      </c>
      <c r="CL435" s="48">
        <f t="shared" si="2499"/>
        <v>706.35</v>
      </c>
      <c r="CM435" s="48">
        <f t="shared" si="2500"/>
        <v>706.35</v>
      </c>
      <c r="CN435" s="48">
        <f t="shared" si="2536"/>
        <v>706.35</v>
      </c>
      <c r="CO435" s="406"/>
      <c r="CP435" s="21">
        <f t="shared" ref="CP435:CP440" si="2562">AL435</f>
        <v>157.51</v>
      </c>
      <c r="CQ435" s="21">
        <f t="shared" ref="CQ435:CQ440" si="2563">CP435+AM435</f>
        <v>393.02</v>
      </c>
      <c r="CR435" s="21">
        <f t="shared" si="2537"/>
        <v>549.77</v>
      </c>
      <c r="CS435" s="21">
        <f t="shared" si="2538"/>
        <v>712.87</v>
      </c>
      <c r="CT435" s="21">
        <f t="shared" si="2539"/>
        <v>820.9</v>
      </c>
      <c r="CU435" s="21">
        <f t="shared" si="2540"/>
        <v>914.61</v>
      </c>
      <c r="CV435" s="21">
        <f t="shared" si="2541"/>
        <v>1008.83</v>
      </c>
      <c r="CW435" s="21">
        <f t="shared" si="2542"/>
        <v>1108.32</v>
      </c>
      <c r="CX435" s="21">
        <f t="shared" si="2543"/>
        <v>1303.8499999999999</v>
      </c>
      <c r="CY435" s="21">
        <f t="shared" si="2544"/>
        <v>1510.1</v>
      </c>
      <c r="CZ435" s="21">
        <f t="shared" si="2545"/>
        <v>1703.45</v>
      </c>
      <c r="DA435" s="21">
        <f t="shared" si="2546"/>
        <v>1885.77</v>
      </c>
      <c r="DB435" s="21">
        <f t="shared" ref="DB435:DB440" si="2564">AX435</f>
        <v>196.82</v>
      </c>
      <c r="DC435" s="21">
        <f t="shared" si="2547"/>
        <v>403.94</v>
      </c>
      <c r="DD435" s="21">
        <f t="shared" si="2548"/>
        <v>639.01</v>
      </c>
      <c r="DE435" s="21">
        <f t="shared" si="2549"/>
        <v>938.27</v>
      </c>
      <c r="DF435" s="21">
        <f t="shared" si="2550"/>
        <v>1334.52</v>
      </c>
      <c r="DG435" s="21">
        <f t="shared" si="2551"/>
        <v>1648.86</v>
      </c>
      <c r="DH435" s="21">
        <f t="shared" si="2552"/>
        <v>1971.9</v>
      </c>
      <c r="DI435" s="21">
        <f t="shared" si="2553"/>
        <v>2312.81</v>
      </c>
      <c r="DJ435" s="21">
        <f t="shared" si="2554"/>
        <v>2684.57</v>
      </c>
      <c r="DK435" s="21">
        <f t="shared" si="2555"/>
        <v>3040.18</v>
      </c>
      <c r="DL435" s="21">
        <f t="shared" si="2556"/>
        <v>3365.75</v>
      </c>
      <c r="DM435" s="21">
        <f t="shared" si="2557"/>
        <v>3761.27</v>
      </c>
      <c r="DN435" s="21">
        <f t="shared" si="2558"/>
        <v>327.85</v>
      </c>
      <c r="DO435" s="21">
        <f t="shared" si="2559"/>
        <v>706.35</v>
      </c>
      <c r="DP435" s="21">
        <f t="shared" si="2560"/>
        <v>706.35</v>
      </c>
      <c r="DQ435" s="248"/>
      <c r="DR435" s="248"/>
      <c r="DS435" s="248"/>
      <c r="DT435" s="248"/>
      <c r="DU435" s="248"/>
      <c r="DV435" s="248"/>
      <c r="DW435" s="248"/>
      <c r="DX435" s="248"/>
      <c r="DY435" s="248"/>
      <c r="ED435" s="429"/>
      <c r="EE435" s="23"/>
      <c r="EF435" s="23"/>
      <c r="EG435" s="23"/>
      <c r="EH435" s="18">
        <f t="shared" si="2467"/>
        <v>378.5</v>
      </c>
      <c r="EI435" s="18">
        <f t="shared" si="2468"/>
        <v>706.35</v>
      </c>
      <c r="EJ435" s="18">
        <f t="shared" si="2469"/>
        <v>706.35</v>
      </c>
      <c r="EK435" s="24">
        <f t="shared" si="2512"/>
        <v>0.16666666666666666</v>
      </c>
      <c r="EL435" s="14">
        <f t="shared" si="2518"/>
        <v>1.1214814814814815</v>
      </c>
      <c r="EM435" s="14">
        <f t="shared" si="2518"/>
        <v>1.072258064516129</v>
      </c>
      <c r="EN435" s="14">
        <f>EJ435/EK435/EG410</f>
        <v>1.6083870967741938</v>
      </c>
      <c r="EO435" s="46" t="str">
        <f t="shared" si="2519"/>
        <v>Ç</v>
      </c>
      <c r="EP435" s="46" t="str">
        <f t="shared" si="2520"/>
        <v>Ç</v>
      </c>
      <c r="EQ435" s="2">
        <f t="shared" si="2472"/>
        <v>1</v>
      </c>
      <c r="ER435" s="2">
        <f t="shared" si="2473"/>
        <v>1</v>
      </c>
      <c r="ES435" s="2">
        <f t="shared" si="2474"/>
        <v>1</v>
      </c>
    </row>
    <row r="436" spans="1:150" ht="12.75" customHeight="1">
      <c r="A436" s="6" t="s">
        <v>23</v>
      </c>
      <c r="B436" s="2" t="s">
        <v>10</v>
      </c>
      <c r="C436" s="3" t="s">
        <v>66</v>
      </c>
      <c r="E436" s="3" t="s">
        <v>16</v>
      </c>
      <c r="G436" s="3" t="s">
        <v>91</v>
      </c>
      <c r="I436" s="23"/>
      <c r="J436" s="19">
        <v>8.4600000000000009</v>
      </c>
      <c r="K436" s="19">
        <v>38.46</v>
      </c>
      <c r="L436" s="19">
        <v>42.71</v>
      </c>
      <c r="M436" s="19">
        <v>49.06</v>
      </c>
      <c r="N436" s="19">
        <v>53.08</v>
      </c>
      <c r="O436" s="19">
        <v>56.28</v>
      </c>
      <c r="P436" s="19">
        <v>59.3</v>
      </c>
      <c r="Q436" s="19">
        <v>59.53</v>
      </c>
      <c r="R436" s="19">
        <v>79.290000000000006</v>
      </c>
      <c r="S436" s="19">
        <v>86.04</v>
      </c>
      <c r="T436" s="19">
        <v>90.39</v>
      </c>
      <c r="U436" s="19">
        <v>109.53</v>
      </c>
      <c r="V436" s="31">
        <v>35.880000000000003</v>
      </c>
      <c r="W436" s="19">
        <v>50.55</v>
      </c>
      <c r="X436" s="19">
        <v>85.33</v>
      </c>
      <c r="Y436" s="356">
        <v>115.69</v>
      </c>
      <c r="Z436" s="19">
        <v>195.18</v>
      </c>
      <c r="AA436" s="19">
        <v>268.14999999999998</v>
      </c>
      <c r="AB436" s="19">
        <v>323.85000000000002</v>
      </c>
      <c r="AC436" s="19">
        <v>371.75</v>
      </c>
      <c r="AD436" s="19">
        <v>454.75</v>
      </c>
      <c r="AE436" s="19">
        <v>526.37</v>
      </c>
      <c r="AF436" s="19">
        <v>585.09</v>
      </c>
      <c r="AG436" s="19">
        <v>663.31</v>
      </c>
      <c r="AH436" s="31">
        <v>54.65</v>
      </c>
      <c r="AI436" s="19">
        <v>117.55</v>
      </c>
      <c r="AJ436" s="19"/>
      <c r="AK436" s="408"/>
      <c r="AL436" s="19">
        <f t="shared" si="2502"/>
        <v>8.4600000000000009</v>
      </c>
      <c r="AM436" s="19">
        <f t="shared" si="2561"/>
        <v>30</v>
      </c>
      <c r="AN436" s="19">
        <f t="shared" si="2524"/>
        <v>4.25</v>
      </c>
      <c r="AO436" s="19">
        <f t="shared" si="2525"/>
        <v>6.3500000000000014</v>
      </c>
      <c r="AP436" s="129">
        <f t="shared" si="2526"/>
        <v>4.019999999999996</v>
      </c>
      <c r="AQ436" s="129">
        <f t="shared" si="2527"/>
        <v>3.2000000000000028</v>
      </c>
      <c r="AR436" s="129">
        <f t="shared" si="2446"/>
        <v>3.019999999999996</v>
      </c>
      <c r="AS436" s="129">
        <f t="shared" si="2447"/>
        <v>0.23000000000000398</v>
      </c>
      <c r="AT436" s="129">
        <f t="shared" si="2448"/>
        <v>19.760000000000005</v>
      </c>
      <c r="AU436" s="129">
        <f t="shared" si="2449"/>
        <v>6.75</v>
      </c>
      <c r="AV436" s="129">
        <f t="shared" si="2450"/>
        <v>4.3499999999999943</v>
      </c>
      <c r="AW436" s="129">
        <f t="shared" si="2451"/>
        <v>19.14</v>
      </c>
      <c r="AX436" s="19">
        <f t="shared" si="2503"/>
        <v>35.880000000000003</v>
      </c>
      <c r="AY436" s="129">
        <f t="shared" si="2452"/>
        <v>14.669999999999995</v>
      </c>
      <c r="AZ436" s="129">
        <f t="shared" si="2453"/>
        <v>34.78</v>
      </c>
      <c r="BA436" s="129">
        <f t="shared" si="2504"/>
        <v>30.36</v>
      </c>
      <c r="BB436" s="129">
        <f t="shared" si="2454"/>
        <v>79.490000000000009</v>
      </c>
      <c r="BC436" s="129">
        <f t="shared" si="2455"/>
        <v>72.96999999999997</v>
      </c>
      <c r="BD436" s="129">
        <f t="shared" si="2456"/>
        <v>55.700000000000045</v>
      </c>
      <c r="BE436" s="129">
        <f t="shared" si="2457"/>
        <v>47.899999999999977</v>
      </c>
      <c r="BF436" s="129">
        <f t="shared" si="2458"/>
        <v>83</v>
      </c>
      <c r="BG436" s="129">
        <f t="shared" si="2459"/>
        <v>71.62</v>
      </c>
      <c r="BH436" s="129">
        <f t="shared" si="2460"/>
        <v>58.720000000000027</v>
      </c>
      <c r="BI436" s="129">
        <f t="shared" si="2461"/>
        <v>78.219999999999914</v>
      </c>
      <c r="BJ436" s="19">
        <f t="shared" si="2505"/>
        <v>54.65</v>
      </c>
      <c r="BK436" s="129">
        <f t="shared" si="2462"/>
        <v>62.9</v>
      </c>
      <c r="BL436" s="129">
        <f t="shared" si="2463"/>
        <v>0</v>
      </c>
      <c r="BM436" s="408"/>
      <c r="BN436" s="48">
        <f t="shared" si="2475"/>
        <v>42.71</v>
      </c>
      <c r="BO436" s="48">
        <f t="shared" si="2476"/>
        <v>42.71</v>
      </c>
      <c r="BP436" s="48">
        <f t="shared" si="2528"/>
        <v>42.71</v>
      </c>
      <c r="BQ436" s="48">
        <f t="shared" si="2478"/>
        <v>13.57</v>
      </c>
      <c r="BR436" s="48">
        <f t="shared" si="2479"/>
        <v>13.57</v>
      </c>
      <c r="BS436" s="48">
        <f t="shared" si="2529"/>
        <v>13.57</v>
      </c>
      <c r="BT436" s="48">
        <f t="shared" si="2481"/>
        <v>23.010000000000005</v>
      </c>
      <c r="BU436" s="48">
        <f t="shared" si="2482"/>
        <v>23.010000000000005</v>
      </c>
      <c r="BV436" s="48">
        <f t="shared" si="2530"/>
        <v>23.010000000000005</v>
      </c>
      <c r="BW436" s="48">
        <f t="shared" si="2484"/>
        <v>30.239999999999995</v>
      </c>
      <c r="BX436" s="48">
        <f t="shared" si="2485"/>
        <v>30.239999999999995</v>
      </c>
      <c r="BY436" s="48">
        <f t="shared" si="2531"/>
        <v>30.239999999999995</v>
      </c>
      <c r="BZ436" s="48">
        <f t="shared" si="2487"/>
        <v>85.33</v>
      </c>
      <c r="CA436" s="48">
        <f t="shared" si="2488"/>
        <v>85.33</v>
      </c>
      <c r="CB436" s="48">
        <f t="shared" si="2532"/>
        <v>85.33</v>
      </c>
      <c r="CC436" s="48">
        <f t="shared" si="2490"/>
        <v>182.82</v>
      </c>
      <c r="CD436" s="48">
        <f t="shared" si="2491"/>
        <v>182.82</v>
      </c>
      <c r="CE436" s="48">
        <f t="shared" si="2533"/>
        <v>182.82</v>
      </c>
      <c r="CF436" s="48">
        <f t="shared" si="2493"/>
        <v>186.60000000000002</v>
      </c>
      <c r="CG436" s="48">
        <f t="shared" si="2494"/>
        <v>186.60000000000002</v>
      </c>
      <c r="CH436" s="48">
        <f t="shared" si="2534"/>
        <v>186.60000000000002</v>
      </c>
      <c r="CI436" s="48">
        <f t="shared" si="2496"/>
        <v>208.55999999999995</v>
      </c>
      <c r="CJ436" s="48">
        <f t="shared" si="2497"/>
        <v>208.55999999999995</v>
      </c>
      <c r="CK436" s="48">
        <f t="shared" si="2535"/>
        <v>208.55999999999995</v>
      </c>
      <c r="CL436" s="48">
        <f t="shared" si="2499"/>
        <v>117.55</v>
      </c>
      <c r="CM436" s="48">
        <f t="shared" si="2500"/>
        <v>117.55</v>
      </c>
      <c r="CN436" s="48">
        <f t="shared" si="2536"/>
        <v>117.55</v>
      </c>
      <c r="CO436" s="406"/>
      <c r="CP436" s="21">
        <f t="shared" si="2562"/>
        <v>8.4600000000000009</v>
      </c>
      <c r="CQ436" s="21">
        <f t="shared" si="2563"/>
        <v>38.46</v>
      </c>
      <c r="CR436" s="21">
        <f t="shared" si="2537"/>
        <v>42.71</v>
      </c>
      <c r="CS436" s="21">
        <f t="shared" si="2538"/>
        <v>49.06</v>
      </c>
      <c r="CT436" s="21">
        <f t="shared" si="2539"/>
        <v>53.08</v>
      </c>
      <c r="CU436" s="21">
        <f t="shared" si="2540"/>
        <v>56.28</v>
      </c>
      <c r="CV436" s="21">
        <f t="shared" si="2541"/>
        <v>59.3</v>
      </c>
      <c r="CW436" s="21">
        <f t="shared" si="2542"/>
        <v>59.53</v>
      </c>
      <c r="CX436" s="21">
        <f t="shared" si="2543"/>
        <v>79.290000000000006</v>
      </c>
      <c r="CY436" s="21">
        <f t="shared" si="2544"/>
        <v>86.04</v>
      </c>
      <c r="CZ436" s="21">
        <f t="shared" si="2545"/>
        <v>90.39</v>
      </c>
      <c r="DA436" s="21">
        <f t="shared" si="2546"/>
        <v>109.53</v>
      </c>
      <c r="DB436" s="21">
        <f t="shared" si="2564"/>
        <v>35.880000000000003</v>
      </c>
      <c r="DC436" s="21">
        <f t="shared" si="2547"/>
        <v>50.55</v>
      </c>
      <c r="DD436" s="21">
        <f t="shared" si="2548"/>
        <v>85.33</v>
      </c>
      <c r="DE436" s="21">
        <f t="shared" si="2549"/>
        <v>115.69</v>
      </c>
      <c r="DF436" s="21">
        <f t="shared" si="2550"/>
        <v>195.18</v>
      </c>
      <c r="DG436" s="21">
        <f t="shared" si="2551"/>
        <v>268.14999999999998</v>
      </c>
      <c r="DH436" s="21">
        <f t="shared" si="2552"/>
        <v>323.85000000000002</v>
      </c>
      <c r="DI436" s="21">
        <f t="shared" si="2553"/>
        <v>371.75</v>
      </c>
      <c r="DJ436" s="21">
        <f t="shared" si="2554"/>
        <v>454.75</v>
      </c>
      <c r="DK436" s="21">
        <f t="shared" si="2555"/>
        <v>526.37</v>
      </c>
      <c r="DL436" s="21">
        <f t="shared" si="2556"/>
        <v>585.09</v>
      </c>
      <c r="DM436" s="21">
        <f t="shared" si="2557"/>
        <v>663.31</v>
      </c>
      <c r="DN436" s="21">
        <f t="shared" si="2558"/>
        <v>54.65</v>
      </c>
      <c r="DO436" s="21">
        <f t="shared" si="2559"/>
        <v>117.55</v>
      </c>
      <c r="DP436" s="21">
        <f t="shared" si="2560"/>
        <v>117.55</v>
      </c>
      <c r="DQ436" s="248"/>
      <c r="DR436" s="248"/>
      <c r="DS436" s="248"/>
      <c r="DT436" s="248"/>
      <c r="DU436" s="248"/>
      <c r="DV436" s="248"/>
      <c r="DW436" s="248"/>
      <c r="DX436" s="248"/>
      <c r="DY436" s="248"/>
      <c r="ED436" s="429"/>
      <c r="EE436" s="23"/>
      <c r="EF436" s="23"/>
      <c r="EG436" s="23"/>
      <c r="EH436" s="18">
        <f t="shared" si="2467"/>
        <v>62.9</v>
      </c>
      <c r="EI436" s="18">
        <f t="shared" si="2468"/>
        <v>117.55</v>
      </c>
      <c r="EJ436" s="18">
        <f t="shared" si="2469"/>
        <v>117.55</v>
      </c>
      <c r="EK436" s="24">
        <f t="shared" si="2512"/>
        <v>0.16666666666666666</v>
      </c>
      <c r="EL436" s="14" t="e">
        <f t="shared" si="2518"/>
        <v>#DIV/0!</v>
      </c>
      <c r="EM436" s="14" t="e">
        <f t="shared" si="2518"/>
        <v>#DIV/0!</v>
      </c>
      <c r="EN436" s="14">
        <f>EJ436/EK436/EG411</f>
        <v>3.9624485943504348</v>
      </c>
      <c r="EO436" s="46" t="str">
        <f t="shared" si="2519"/>
        <v>Ç</v>
      </c>
      <c r="EP436" s="46" t="str">
        <f t="shared" si="2520"/>
        <v>Ç</v>
      </c>
      <c r="EQ436" s="2" t="e">
        <f t="shared" si="2472"/>
        <v>#DIV/0!</v>
      </c>
      <c r="ER436" s="2" t="e">
        <f t="shared" si="2473"/>
        <v>#DIV/0!</v>
      </c>
      <c r="ES436" s="2">
        <f t="shared" si="2474"/>
        <v>1</v>
      </c>
    </row>
    <row r="437" spans="1:150" ht="12.75" customHeight="1">
      <c r="A437" s="6" t="s">
        <v>23</v>
      </c>
      <c r="B437" s="2" t="s">
        <v>11</v>
      </c>
      <c r="C437" s="3" t="s">
        <v>67</v>
      </c>
      <c r="E437" s="3" t="s">
        <v>16</v>
      </c>
      <c r="G437" s="3" t="s">
        <v>91</v>
      </c>
      <c r="I437" s="23"/>
      <c r="J437" s="19">
        <v>37</v>
      </c>
      <c r="K437" s="19">
        <v>86</v>
      </c>
      <c r="L437" s="19">
        <v>125</v>
      </c>
      <c r="M437" s="19">
        <v>162</v>
      </c>
      <c r="N437" s="19">
        <v>174</v>
      </c>
      <c r="O437" s="19">
        <v>196</v>
      </c>
      <c r="P437" s="19">
        <v>212</v>
      </c>
      <c r="Q437" s="19">
        <v>224</v>
      </c>
      <c r="R437" s="19">
        <v>270</v>
      </c>
      <c r="S437" s="19">
        <v>309</v>
      </c>
      <c r="T437" s="19">
        <v>347</v>
      </c>
      <c r="U437" s="19">
        <v>371</v>
      </c>
      <c r="V437" s="31">
        <v>27</v>
      </c>
      <c r="W437" s="19">
        <v>68</v>
      </c>
      <c r="X437" s="19">
        <v>113</v>
      </c>
      <c r="Y437" s="356">
        <v>157</v>
      </c>
      <c r="Z437" s="19">
        <v>202</v>
      </c>
      <c r="AA437" s="19">
        <v>232</v>
      </c>
      <c r="AB437" s="19">
        <v>273</v>
      </c>
      <c r="AC437" s="19">
        <v>316</v>
      </c>
      <c r="AD437" s="19">
        <v>353</v>
      </c>
      <c r="AE437" s="19">
        <v>395</v>
      </c>
      <c r="AF437" s="19">
        <v>437</v>
      </c>
      <c r="AG437" s="19">
        <v>475</v>
      </c>
      <c r="AH437" s="31">
        <v>37</v>
      </c>
      <c r="AI437" s="19">
        <v>73</v>
      </c>
      <c r="AJ437" s="19"/>
      <c r="AK437" s="408"/>
      <c r="AL437" s="19">
        <f t="shared" si="2502"/>
        <v>37</v>
      </c>
      <c r="AM437" s="19">
        <f t="shared" si="2561"/>
        <v>49</v>
      </c>
      <c r="AN437" s="19">
        <f t="shared" si="2524"/>
        <v>39</v>
      </c>
      <c r="AO437" s="19">
        <f t="shared" si="2525"/>
        <v>37</v>
      </c>
      <c r="AP437" s="129">
        <f t="shared" si="2526"/>
        <v>12</v>
      </c>
      <c r="AQ437" s="129">
        <f t="shared" si="2527"/>
        <v>22</v>
      </c>
      <c r="AR437" s="129">
        <f t="shared" si="2446"/>
        <v>16</v>
      </c>
      <c r="AS437" s="129">
        <f t="shared" si="2447"/>
        <v>12</v>
      </c>
      <c r="AT437" s="129">
        <f t="shared" si="2448"/>
        <v>46</v>
      </c>
      <c r="AU437" s="129">
        <f t="shared" si="2449"/>
        <v>39</v>
      </c>
      <c r="AV437" s="129">
        <f t="shared" si="2450"/>
        <v>38</v>
      </c>
      <c r="AW437" s="129">
        <f t="shared" si="2451"/>
        <v>24</v>
      </c>
      <c r="AX437" s="19">
        <f t="shared" si="2503"/>
        <v>27</v>
      </c>
      <c r="AY437" s="129">
        <f t="shared" si="2452"/>
        <v>41</v>
      </c>
      <c r="AZ437" s="129">
        <f t="shared" si="2453"/>
        <v>45</v>
      </c>
      <c r="BA437" s="129">
        <f t="shared" si="2504"/>
        <v>44</v>
      </c>
      <c r="BB437" s="129">
        <f t="shared" si="2454"/>
        <v>45</v>
      </c>
      <c r="BC437" s="129">
        <f t="shared" si="2455"/>
        <v>30</v>
      </c>
      <c r="BD437" s="129">
        <f t="shared" si="2456"/>
        <v>41</v>
      </c>
      <c r="BE437" s="129">
        <f t="shared" si="2457"/>
        <v>43</v>
      </c>
      <c r="BF437" s="129">
        <f t="shared" si="2458"/>
        <v>37</v>
      </c>
      <c r="BG437" s="129">
        <f t="shared" si="2459"/>
        <v>42</v>
      </c>
      <c r="BH437" s="129">
        <f t="shared" si="2460"/>
        <v>42</v>
      </c>
      <c r="BI437" s="129">
        <f t="shared" si="2461"/>
        <v>38</v>
      </c>
      <c r="BJ437" s="19">
        <f t="shared" si="2505"/>
        <v>37</v>
      </c>
      <c r="BK437" s="129">
        <f t="shared" si="2462"/>
        <v>36</v>
      </c>
      <c r="BL437" s="129">
        <f t="shared" si="2463"/>
        <v>0</v>
      </c>
      <c r="BM437" s="408"/>
      <c r="BN437" s="48">
        <f t="shared" si="2475"/>
        <v>125</v>
      </c>
      <c r="BO437" s="48">
        <f t="shared" si="2476"/>
        <v>125</v>
      </c>
      <c r="BP437" s="48">
        <f t="shared" si="2528"/>
        <v>125</v>
      </c>
      <c r="BQ437" s="48">
        <f t="shared" si="2478"/>
        <v>71</v>
      </c>
      <c r="BR437" s="48">
        <f t="shared" si="2479"/>
        <v>71</v>
      </c>
      <c r="BS437" s="48">
        <f t="shared" si="2529"/>
        <v>71</v>
      </c>
      <c r="BT437" s="48">
        <f t="shared" si="2481"/>
        <v>74</v>
      </c>
      <c r="BU437" s="48">
        <f t="shared" si="2482"/>
        <v>74</v>
      </c>
      <c r="BV437" s="48">
        <f t="shared" si="2530"/>
        <v>74</v>
      </c>
      <c r="BW437" s="48">
        <f t="shared" si="2484"/>
        <v>101</v>
      </c>
      <c r="BX437" s="48">
        <f t="shared" si="2485"/>
        <v>101</v>
      </c>
      <c r="BY437" s="48">
        <f t="shared" si="2531"/>
        <v>101</v>
      </c>
      <c r="BZ437" s="48">
        <f t="shared" si="2487"/>
        <v>113</v>
      </c>
      <c r="CA437" s="48">
        <f t="shared" si="2488"/>
        <v>113</v>
      </c>
      <c r="CB437" s="48">
        <f t="shared" si="2532"/>
        <v>113</v>
      </c>
      <c r="CC437" s="48">
        <f t="shared" si="2490"/>
        <v>119</v>
      </c>
      <c r="CD437" s="48">
        <f t="shared" si="2491"/>
        <v>119</v>
      </c>
      <c r="CE437" s="48">
        <f t="shared" si="2533"/>
        <v>119</v>
      </c>
      <c r="CF437" s="48">
        <f t="shared" si="2493"/>
        <v>121</v>
      </c>
      <c r="CG437" s="48">
        <f t="shared" si="2494"/>
        <v>121</v>
      </c>
      <c r="CH437" s="48">
        <f t="shared" si="2534"/>
        <v>121</v>
      </c>
      <c r="CI437" s="48">
        <f t="shared" si="2496"/>
        <v>122</v>
      </c>
      <c r="CJ437" s="48">
        <f t="shared" si="2497"/>
        <v>122</v>
      </c>
      <c r="CK437" s="48">
        <f t="shared" si="2535"/>
        <v>122</v>
      </c>
      <c r="CL437" s="48">
        <f t="shared" si="2499"/>
        <v>73</v>
      </c>
      <c r="CM437" s="48">
        <f t="shared" si="2500"/>
        <v>73</v>
      </c>
      <c r="CN437" s="48">
        <f t="shared" si="2536"/>
        <v>73</v>
      </c>
      <c r="CO437" s="406"/>
      <c r="CP437" s="21">
        <f t="shared" si="2562"/>
        <v>37</v>
      </c>
      <c r="CQ437" s="21">
        <f t="shared" si="2563"/>
        <v>86</v>
      </c>
      <c r="CR437" s="21">
        <f t="shared" si="2537"/>
        <v>125</v>
      </c>
      <c r="CS437" s="21">
        <f t="shared" si="2538"/>
        <v>162</v>
      </c>
      <c r="CT437" s="21">
        <f t="shared" si="2539"/>
        <v>174</v>
      </c>
      <c r="CU437" s="21">
        <f t="shared" si="2540"/>
        <v>196</v>
      </c>
      <c r="CV437" s="21">
        <f t="shared" si="2541"/>
        <v>212</v>
      </c>
      <c r="CW437" s="21">
        <f t="shared" si="2542"/>
        <v>224</v>
      </c>
      <c r="CX437" s="21">
        <f t="shared" si="2543"/>
        <v>270</v>
      </c>
      <c r="CY437" s="21">
        <f t="shared" si="2544"/>
        <v>309</v>
      </c>
      <c r="CZ437" s="21">
        <f t="shared" si="2545"/>
        <v>347</v>
      </c>
      <c r="DA437" s="21">
        <f t="shared" si="2546"/>
        <v>371</v>
      </c>
      <c r="DB437" s="21">
        <f t="shared" si="2564"/>
        <v>27</v>
      </c>
      <c r="DC437" s="21">
        <f t="shared" si="2547"/>
        <v>68</v>
      </c>
      <c r="DD437" s="21">
        <f t="shared" si="2548"/>
        <v>113</v>
      </c>
      <c r="DE437" s="21">
        <f t="shared" si="2549"/>
        <v>157</v>
      </c>
      <c r="DF437" s="21">
        <f t="shared" si="2550"/>
        <v>202</v>
      </c>
      <c r="DG437" s="21">
        <f t="shared" si="2551"/>
        <v>232</v>
      </c>
      <c r="DH437" s="21">
        <f t="shared" si="2552"/>
        <v>273</v>
      </c>
      <c r="DI437" s="21">
        <f t="shared" si="2553"/>
        <v>316</v>
      </c>
      <c r="DJ437" s="21">
        <f t="shared" si="2554"/>
        <v>353</v>
      </c>
      <c r="DK437" s="21">
        <f t="shared" si="2555"/>
        <v>395</v>
      </c>
      <c r="DL437" s="21">
        <f t="shared" si="2556"/>
        <v>437</v>
      </c>
      <c r="DM437" s="21">
        <f t="shared" si="2557"/>
        <v>475</v>
      </c>
      <c r="DN437" s="21">
        <f t="shared" si="2558"/>
        <v>37</v>
      </c>
      <c r="DO437" s="21">
        <f t="shared" si="2559"/>
        <v>73</v>
      </c>
      <c r="DP437" s="21">
        <f t="shared" si="2560"/>
        <v>73</v>
      </c>
      <c r="DQ437" s="248"/>
      <c r="DR437" s="248"/>
      <c r="DS437" s="248"/>
      <c r="DT437" s="248"/>
      <c r="DU437" s="248"/>
      <c r="DV437" s="248"/>
      <c r="DW437" s="248"/>
      <c r="DX437" s="248"/>
      <c r="DY437" s="248"/>
      <c r="ED437" s="429"/>
      <c r="EE437" s="23"/>
      <c r="EF437" s="23"/>
      <c r="EG437" s="23"/>
      <c r="EH437" s="18">
        <f t="shared" si="2467"/>
        <v>36</v>
      </c>
      <c r="EI437" s="18">
        <f t="shared" si="2468"/>
        <v>73</v>
      </c>
      <c r="EJ437" s="18">
        <f t="shared" si="2469"/>
        <v>73</v>
      </c>
      <c r="EK437" s="24">
        <f t="shared" si="2512"/>
        <v>0.16666666666666666</v>
      </c>
      <c r="EL437" s="14" t="e">
        <f t="shared" si="2518"/>
        <v>#DIV/0!</v>
      </c>
      <c r="EM437" s="14" t="e">
        <f t="shared" si="2518"/>
        <v>#DIV/0!</v>
      </c>
      <c r="EN437" s="14">
        <f>EJ437/EG412</f>
        <v>0.30544955479681329</v>
      </c>
      <c r="EO437" s="46" t="str">
        <f t="shared" si="2519"/>
        <v>Ç</v>
      </c>
      <c r="EP437" s="46" t="str">
        <f t="shared" si="2520"/>
        <v>Ç</v>
      </c>
      <c r="EQ437" s="2" t="e">
        <f t="shared" si="2472"/>
        <v>#DIV/0!</v>
      </c>
      <c r="ER437" s="2" t="e">
        <f t="shared" si="2473"/>
        <v>#DIV/0!</v>
      </c>
      <c r="ES437" s="2">
        <f t="shared" si="2474"/>
        <v>3</v>
      </c>
    </row>
    <row r="438" spans="1:150" ht="12.75" customHeight="1">
      <c r="A438" s="6" t="s">
        <v>23</v>
      </c>
      <c r="B438" s="2" t="s">
        <v>12</v>
      </c>
      <c r="C438" s="3" t="s">
        <v>68</v>
      </c>
      <c r="E438" s="3" t="s">
        <v>16</v>
      </c>
      <c r="G438" s="3" t="s">
        <v>91</v>
      </c>
      <c r="I438" s="23"/>
      <c r="J438" s="19">
        <v>21</v>
      </c>
      <c r="K438" s="19">
        <v>48</v>
      </c>
      <c r="L438" s="19">
        <v>67</v>
      </c>
      <c r="M438" s="19">
        <v>86</v>
      </c>
      <c r="N438" s="19">
        <v>92</v>
      </c>
      <c r="O438" s="19">
        <v>103</v>
      </c>
      <c r="P438" s="19">
        <v>112</v>
      </c>
      <c r="Q438" s="19">
        <v>127</v>
      </c>
      <c r="R438" s="19">
        <v>144</v>
      </c>
      <c r="S438" s="19">
        <v>154</v>
      </c>
      <c r="T438" s="19">
        <v>169</v>
      </c>
      <c r="U438" s="19">
        <v>243</v>
      </c>
      <c r="V438" s="31">
        <v>97</v>
      </c>
      <c r="W438" s="19">
        <v>258</v>
      </c>
      <c r="X438" s="19">
        <v>405</v>
      </c>
      <c r="Y438" s="356">
        <v>511</v>
      </c>
      <c r="Z438" s="19">
        <v>593</v>
      </c>
      <c r="AA438" s="19">
        <v>653</v>
      </c>
      <c r="AB438" s="19">
        <v>742</v>
      </c>
      <c r="AC438" s="19">
        <v>828</v>
      </c>
      <c r="AD438" s="19">
        <v>902</v>
      </c>
      <c r="AE438" s="19">
        <v>995</v>
      </c>
      <c r="AF438" s="19">
        <v>1063</v>
      </c>
      <c r="AG438" s="19">
        <v>1162</v>
      </c>
      <c r="AH438" s="31">
        <v>70</v>
      </c>
      <c r="AI438" s="19">
        <v>157</v>
      </c>
      <c r="AJ438" s="19"/>
      <c r="AK438" s="408"/>
      <c r="AL438" s="19">
        <f t="shared" si="2502"/>
        <v>21</v>
      </c>
      <c r="AM438" s="19">
        <f t="shared" si="2561"/>
        <v>27</v>
      </c>
      <c r="AN438" s="19">
        <f t="shared" si="2524"/>
        <v>19</v>
      </c>
      <c r="AO438" s="19">
        <f t="shared" si="2525"/>
        <v>19</v>
      </c>
      <c r="AP438" s="129">
        <f t="shared" si="2526"/>
        <v>6</v>
      </c>
      <c r="AQ438" s="129">
        <f t="shared" si="2527"/>
        <v>11</v>
      </c>
      <c r="AR438" s="129">
        <f t="shared" si="2446"/>
        <v>9</v>
      </c>
      <c r="AS438" s="129">
        <f t="shared" si="2447"/>
        <v>15</v>
      </c>
      <c r="AT438" s="129">
        <f t="shared" si="2448"/>
        <v>17</v>
      </c>
      <c r="AU438" s="129">
        <f t="shared" si="2449"/>
        <v>10</v>
      </c>
      <c r="AV438" s="129">
        <f t="shared" si="2450"/>
        <v>15</v>
      </c>
      <c r="AW438" s="129">
        <f t="shared" si="2451"/>
        <v>74</v>
      </c>
      <c r="AX438" s="19">
        <f t="shared" si="2503"/>
        <v>97</v>
      </c>
      <c r="AY438" s="129">
        <f t="shared" si="2452"/>
        <v>161</v>
      </c>
      <c r="AZ438" s="129">
        <f t="shared" si="2453"/>
        <v>147</v>
      </c>
      <c r="BA438" s="129">
        <f t="shared" si="2504"/>
        <v>106</v>
      </c>
      <c r="BB438" s="129">
        <f t="shared" si="2454"/>
        <v>82</v>
      </c>
      <c r="BC438" s="129">
        <f t="shared" si="2455"/>
        <v>60</v>
      </c>
      <c r="BD438" s="129">
        <f t="shared" si="2456"/>
        <v>89</v>
      </c>
      <c r="BE438" s="129">
        <f t="shared" si="2457"/>
        <v>86</v>
      </c>
      <c r="BF438" s="129">
        <f t="shared" si="2458"/>
        <v>74</v>
      </c>
      <c r="BG438" s="129">
        <f t="shared" si="2459"/>
        <v>93</v>
      </c>
      <c r="BH438" s="129">
        <f t="shared" si="2460"/>
        <v>68</v>
      </c>
      <c r="BI438" s="129">
        <f t="shared" si="2461"/>
        <v>99</v>
      </c>
      <c r="BJ438" s="19">
        <f t="shared" si="2505"/>
        <v>70</v>
      </c>
      <c r="BK438" s="129">
        <f t="shared" si="2462"/>
        <v>87</v>
      </c>
      <c r="BL438" s="129">
        <f t="shared" si="2463"/>
        <v>0</v>
      </c>
      <c r="BM438" s="408"/>
      <c r="BN438" s="48">
        <f t="shared" si="2475"/>
        <v>67</v>
      </c>
      <c r="BO438" s="48">
        <f t="shared" si="2476"/>
        <v>67</v>
      </c>
      <c r="BP438" s="48">
        <f t="shared" si="2528"/>
        <v>67</v>
      </c>
      <c r="BQ438" s="48">
        <f t="shared" si="2478"/>
        <v>36</v>
      </c>
      <c r="BR438" s="48">
        <f t="shared" si="2479"/>
        <v>36</v>
      </c>
      <c r="BS438" s="48">
        <f t="shared" si="2529"/>
        <v>36</v>
      </c>
      <c r="BT438" s="48">
        <f t="shared" si="2481"/>
        <v>41</v>
      </c>
      <c r="BU438" s="48">
        <f t="shared" si="2482"/>
        <v>41</v>
      </c>
      <c r="BV438" s="48">
        <f t="shared" si="2530"/>
        <v>41</v>
      </c>
      <c r="BW438" s="48">
        <f t="shared" si="2484"/>
        <v>99</v>
      </c>
      <c r="BX438" s="48">
        <f t="shared" si="2485"/>
        <v>99</v>
      </c>
      <c r="BY438" s="48">
        <f t="shared" si="2531"/>
        <v>99</v>
      </c>
      <c r="BZ438" s="48">
        <f t="shared" si="2487"/>
        <v>405</v>
      </c>
      <c r="CA438" s="48">
        <f t="shared" si="2488"/>
        <v>405</v>
      </c>
      <c r="CB438" s="48">
        <f t="shared" si="2532"/>
        <v>405</v>
      </c>
      <c r="CC438" s="48">
        <f t="shared" si="2490"/>
        <v>248</v>
      </c>
      <c r="CD438" s="48">
        <f t="shared" si="2491"/>
        <v>248</v>
      </c>
      <c r="CE438" s="48">
        <f t="shared" si="2533"/>
        <v>248</v>
      </c>
      <c r="CF438" s="48">
        <f t="shared" si="2493"/>
        <v>249</v>
      </c>
      <c r="CG438" s="48">
        <f t="shared" si="2494"/>
        <v>249</v>
      </c>
      <c r="CH438" s="48">
        <f t="shared" si="2534"/>
        <v>249</v>
      </c>
      <c r="CI438" s="48">
        <f t="shared" si="2496"/>
        <v>260</v>
      </c>
      <c r="CJ438" s="48">
        <f t="shared" si="2497"/>
        <v>260</v>
      </c>
      <c r="CK438" s="48">
        <f t="shared" si="2535"/>
        <v>260</v>
      </c>
      <c r="CL438" s="48">
        <f t="shared" si="2499"/>
        <v>157</v>
      </c>
      <c r="CM438" s="48">
        <f t="shared" si="2500"/>
        <v>157</v>
      </c>
      <c r="CN438" s="48">
        <f t="shared" si="2536"/>
        <v>157</v>
      </c>
      <c r="CO438" s="406"/>
      <c r="CP438" s="21">
        <f t="shared" si="2562"/>
        <v>21</v>
      </c>
      <c r="CQ438" s="21">
        <f t="shared" si="2563"/>
        <v>48</v>
      </c>
      <c r="CR438" s="21">
        <f t="shared" si="2537"/>
        <v>67</v>
      </c>
      <c r="CS438" s="21">
        <f t="shared" si="2538"/>
        <v>86</v>
      </c>
      <c r="CT438" s="21">
        <f t="shared" si="2539"/>
        <v>92</v>
      </c>
      <c r="CU438" s="21">
        <f t="shared" si="2540"/>
        <v>103</v>
      </c>
      <c r="CV438" s="21">
        <f t="shared" si="2541"/>
        <v>112</v>
      </c>
      <c r="CW438" s="21">
        <f t="shared" si="2542"/>
        <v>127</v>
      </c>
      <c r="CX438" s="21">
        <f t="shared" si="2543"/>
        <v>144</v>
      </c>
      <c r="CY438" s="21">
        <f t="shared" si="2544"/>
        <v>154</v>
      </c>
      <c r="CZ438" s="21">
        <f t="shared" si="2545"/>
        <v>169</v>
      </c>
      <c r="DA438" s="21">
        <f t="shared" si="2546"/>
        <v>243</v>
      </c>
      <c r="DB438" s="21">
        <f t="shared" si="2564"/>
        <v>97</v>
      </c>
      <c r="DC438" s="21">
        <f t="shared" si="2547"/>
        <v>258</v>
      </c>
      <c r="DD438" s="21">
        <f t="shared" si="2548"/>
        <v>405</v>
      </c>
      <c r="DE438" s="21">
        <f t="shared" si="2549"/>
        <v>511</v>
      </c>
      <c r="DF438" s="21">
        <f t="shared" si="2550"/>
        <v>593</v>
      </c>
      <c r="DG438" s="21">
        <f t="shared" si="2551"/>
        <v>653</v>
      </c>
      <c r="DH438" s="21">
        <f t="shared" si="2552"/>
        <v>742</v>
      </c>
      <c r="DI438" s="21">
        <f t="shared" si="2553"/>
        <v>828</v>
      </c>
      <c r="DJ438" s="21">
        <f t="shared" si="2554"/>
        <v>902</v>
      </c>
      <c r="DK438" s="21">
        <f t="shared" si="2555"/>
        <v>995</v>
      </c>
      <c r="DL438" s="21">
        <f t="shared" si="2556"/>
        <v>1063</v>
      </c>
      <c r="DM438" s="21">
        <f t="shared" si="2557"/>
        <v>1162</v>
      </c>
      <c r="DN438" s="21">
        <f t="shared" si="2558"/>
        <v>70</v>
      </c>
      <c r="DO438" s="21">
        <f t="shared" si="2559"/>
        <v>157</v>
      </c>
      <c r="DP438" s="21">
        <f t="shared" si="2560"/>
        <v>157</v>
      </c>
      <c r="DQ438" s="248"/>
      <c r="DR438" s="248"/>
      <c r="DS438" s="248"/>
      <c r="DT438" s="248"/>
      <c r="DU438" s="248"/>
      <c r="DV438" s="248"/>
      <c r="DW438" s="248"/>
      <c r="DX438" s="248"/>
      <c r="DY438" s="248"/>
      <c r="ED438" s="429"/>
      <c r="EE438" s="23"/>
      <c r="EF438" s="23"/>
      <c r="EG438" s="23"/>
      <c r="EH438" s="18">
        <f t="shared" si="2467"/>
        <v>87</v>
      </c>
      <c r="EI438" s="18">
        <f t="shared" si="2468"/>
        <v>157</v>
      </c>
      <c r="EJ438" s="18">
        <f t="shared" si="2469"/>
        <v>157</v>
      </c>
      <c r="EK438" s="24">
        <f t="shared" si="2512"/>
        <v>0.16666666666666666</v>
      </c>
      <c r="EL438" s="14" t="e">
        <f t="shared" si="2518"/>
        <v>#DIV/0!</v>
      </c>
      <c r="EM438" s="14" t="e">
        <f t="shared" si="2518"/>
        <v>#DIV/0!</v>
      </c>
      <c r="EN438" s="14">
        <f t="shared" si="2518"/>
        <v>0.52861952861952866</v>
      </c>
      <c r="EO438" s="46" t="str">
        <f t="shared" si="2519"/>
        <v>Ç</v>
      </c>
      <c r="EP438" s="46" t="str">
        <f t="shared" si="2520"/>
        <v>Ç</v>
      </c>
      <c r="EQ438" s="2" t="e">
        <f t="shared" si="2472"/>
        <v>#DIV/0!</v>
      </c>
      <c r="ER438" s="2" t="e">
        <f t="shared" si="2473"/>
        <v>#DIV/0!</v>
      </c>
      <c r="ES438" s="2">
        <f t="shared" si="2474"/>
        <v>3</v>
      </c>
    </row>
    <row r="439" spans="1:150" ht="12.75" customHeight="1">
      <c r="A439" s="6" t="s">
        <v>23</v>
      </c>
      <c r="B439" s="2" t="s">
        <v>17</v>
      </c>
      <c r="C439" s="3" t="s">
        <v>69</v>
      </c>
      <c r="E439" s="3" t="s">
        <v>18</v>
      </c>
      <c r="G439" s="3" t="s">
        <v>91</v>
      </c>
      <c r="I439" s="23"/>
      <c r="J439" s="19">
        <v>0</v>
      </c>
      <c r="K439" s="19">
        <v>0</v>
      </c>
      <c r="L439" s="19">
        <v>2</v>
      </c>
      <c r="M439" s="19">
        <v>2</v>
      </c>
      <c r="N439" s="19">
        <v>2</v>
      </c>
      <c r="O439" s="19">
        <v>2</v>
      </c>
      <c r="P439" s="19">
        <v>4</v>
      </c>
      <c r="Q439" s="19">
        <v>4</v>
      </c>
      <c r="R439" s="246">
        <v>4</v>
      </c>
      <c r="S439" s="19">
        <v>4</v>
      </c>
      <c r="T439" s="19">
        <v>7</v>
      </c>
      <c r="U439" s="19">
        <v>7</v>
      </c>
      <c r="V439" s="31">
        <v>0</v>
      </c>
      <c r="W439" s="19">
        <v>2</v>
      </c>
      <c r="X439" s="19">
        <v>2</v>
      </c>
      <c r="Y439" s="356">
        <v>2</v>
      </c>
      <c r="Z439" s="19">
        <v>2</v>
      </c>
      <c r="AA439" s="19">
        <v>2</v>
      </c>
      <c r="AB439" s="19">
        <v>4</v>
      </c>
      <c r="AC439" s="19">
        <v>4</v>
      </c>
      <c r="AD439" s="19">
        <v>4</v>
      </c>
      <c r="AE439" s="19">
        <v>4</v>
      </c>
      <c r="AF439" s="19"/>
      <c r="AG439" s="19">
        <v>2</v>
      </c>
      <c r="AH439" s="31"/>
      <c r="AI439" s="19"/>
      <c r="AJ439" s="19"/>
      <c r="AK439" s="408"/>
      <c r="AL439" s="19">
        <f t="shared" si="2502"/>
        <v>0</v>
      </c>
      <c r="AM439" s="19">
        <f t="shared" si="2561"/>
        <v>0</v>
      </c>
      <c r="AN439" s="19">
        <f t="shared" si="2524"/>
        <v>2</v>
      </c>
      <c r="AO439" s="19">
        <f t="shared" si="2525"/>
        <v>0</v>
      </c>
      <c r="AP439" s="129">
        <f t="shared" si="2526"/>
        <v>0</v>
      </c>
      <c r="AQ439" s="129">
        <f t="shared" si="2527"/>
        <v>0</v>
      </c>
      <c r="AR439" s="129">
        <f t="shared" si="2446"/>
        <v>2</v>
      </c>
      <c r="AS439" s="129">
        <f t="shared" si="2447"/>
        <v>0</v>
      </c>
      <c r="AT439" s="129">
        <f t="shared" si="2448"/>
        <v>0</v>
      </c>
      <c r="AU439" s="129">
        <f t="shared" si="2449"/>
        <v>0</v>
      </c>
      <c r="AV439" s="129">
        <f t="shared" si="2450"/>
        <v>3</v>
      </c>
      <c r="AW439" s="129">
        <f t="shared" si="2451"/>
        <v>0</v>
      </c>
      <c r="AX439" s="19">
        <f t="shared" si="2503"/>
        <v>0</v>
      </c>
      <c r="AY439" s="129">
        <f t="shared" si="2452"/>
        <v>2</v>
      </c>
      <c r="AZ439" s="129">
        <f t="shared" si="2453"/>
        <v>0</v>
      </c>
      <c r="BA439" s="129">
        <f t="shared" si="2504"/>
        <v>0</v>
      </c>
      <c r="BB439" s="129">
        <f t="shared" si="2454"/>
        <v>0</v>
      </c>
      <c r="BC439" s="129">
        <f t="shared" si="2455"/>
        <v>0</v>
      </c>
      <c r="BD439" s="129">
        <f t="shared" si="2456"/>
        <v>2</v>
      </c>
      <c r="BE439" s="129">
        <f t="shared" si="2457"/>
        <v>0</v>
      </c>
      <c r="BF439" s="129">
        <f t="shared" si="2458"/>
        <v>0</v>
      </c>
      <c r="BG439" s="129">
        <f t="shared" si="2459"/>
        <v>0</v>
      </c>
      <c r="BH439" s="129">
        <f t="shared" si="2460"/>
        <v>0</v>
      </c>
      <c r="BI439" s="129">
        <f t="shared" si="2461"/>
        <v>2</v>
      </c>
      <c r="BJ439" s="19">
        <f t="shared" si="2505"/>
        <v>0</v>
      </c>
      <c r="BK439" s="129">
        <f t="shared" si="2462"/>
        <v>0</v>
      </c>
      <c r="BL439" s="129">
        <f t="shared" si="2463"/>
        <v>0</v>
      </c>
      <c r="BM439" s="408"/>
      <c r="BN439" s="48">
        <f t="shared" si="2475"/>
        <v>2</v>
      </c>
      <c r="BO439" s="48">
        <f t="shared" si="2476"/>
        <v>2</v>
      </c>
      <c r="BP439" s="48">
        <f t="shared" si="2528"/>
        <v>2</v>
      </c>
      <c r="BQ439" s="48">
        <f t="shared" si="2478"/>
        <v>0</v>
      </c>
      <c r="BR439" s="48">
        <f t="shared" si="2479"/>
        <v>0</v>
      </c>
      <c r="BS439" s="48">
        <f t="shared" si="2529"/>
        <v>0</v>
      </c>
      <c r="BT439" s="48">
        <f t="shared" si="2481"/>
        <v>2</v>
      </c>
      <c r="BU439" s="48">
        <f t="shared" si="2482"/>
        <v>2</v>
      </c>
      <c r="BV439" s="48">
        <f t="shared" si="2530"/>
        <v>2</v>
      </c>
      <c r="BW439" s="48">
        <f t="shared" si="2484"/>
        <v>3</v>
      </c>
      <c r="BX439" s="48">
        <f t="shared" si="2485"/>
        <v>3</v>
      </c>
      <c r="BY439" s="48">
        <f t="shared" si="2531"/>
        <v>3</v>
      </c>
      <c r="BZ439" s="48">
        <f t="shared" si="2487"/>
        <v>2</v>
      </c>
      <c r="CA439" s="48">
        <f t="shared" si="2488"/>
        <v>2</v>
      </c>
      <c r="CB439" s="48">
        <f t="shared" si="2532"/>
        <v>2</v>
      </c>
      <c r="CC439" s="48">
        <f t="shared" si="2490"/>
        <v>0</v>
      </c>
      <c r="CD439" s="48">
        <f t="shared" si="2491"/>
        <v>0</v>
      </c>
      <c r="CE439" s="48">
        <f t="shared" si="2533"/>
        <v>0</v>
      </c>
      <c r="CF439" s="48">
        <f t="shared" si="2493"/>
        <v>2</v>
      </c>
      <c r="CG439" s="48">
        <f t="shared" si="2494"/>
        <v>2</v>
      </c>
      <c r="CH439" s="48">
        <f t="shared" si="2534"/>
        <v>2</v>
      </c>
      <c r="CI439" s="48">
        <f t="shared" si="2496"/>
        <v>2</v>
      </c>
      <c r="CJ439" s="48">
        <f t="shared" si="2497"/>
        <v>2</v>
      </c>
      <c r="CK439" s="48">
        <f t="shared" si="2535"/>
        <v>2</v>
      </c>
      <c r="CL439" s="48">
        <f t="shared" si="2499"/>
        <v>0</v>
      </c>
      <c r="CM439" s="48">
        <f t="shared" si="2500"/>
        <v>0</v>
      </c>
      <c r="CN439" s="48">
        <f t="shared" si="2536"/>
        <v>0</v>
      </c>
      <c r="CO439" s="406"/>
      <c r="CP439" s="21">
        <f t="shared" si="2562"/>
        <v>0</v>
      </c>
      <c r="CQ439" s="21">
        <f t="shared" si="2563"/>
        <v>0</v>
      </c>
      <c r="CR439" s="21">
        <f t="shared" si="2537"/>
        <v>2</v>
      </c>
      <c r="CS439" s="21">
        <f t="shared" si="2538"/>
        <v>2</v>
      </c>
      <c r="CT439" s="21">
        <f t="shared" si="2539"/>
        <v>2</v>
      </c>
      <c r="CU439" s="21">
        <f t="shared" si="2540"/>
        <v>2</v>
      </c>
      <c r="CV439" s="21">
        <f t="shared" si="2541"/>
        <v>4</v>
      </c>
      <c r="CW439" s="21">
        <f t="shared" si="2542"/>
        <v>4</v>
      </c>
      <c r="CX439" s="21">
        <f t="shared" si="2543"/>
        <v>4</v>
      </c>
      <c r="CY439" s="21">
        <f t="shared" si="2544"/>
        <v>4</v>
      </c>
      <c r="CZ439" s="21">
        <f t="shared" si="2545"/>
        <v>7</v>
      </c>
      <c r="DA439" s="21">
        <f t="shared" si="2546"/>
        <v>7</v>
      </c>
      <c r="DB439" s="21">
        <f t="shared" si="2564"/>
        <v>0</v>
      </c>
      <c r="DC439" s="21">
        <f t="shared" si="2547"/>
        <v>2</v>
      </c>
      <c r="DD439" s="21">
        <f t="shared" si="2548"/>
        <v>2</v>
      </c>
      <c r="DE439" s="21">
        <f t="shared" si="2549"/>
        <v>2</v>
      </c>
      <c r="DF439" s="21">
        <f t="shared" si="2550"/>
        <v>2</v>
      </c>
      <c r="DG439" s="21">
        <f t="shared" si="2551"/>
        <v>2</v>
      </c>
      <c r="DH439" s="21">
        <f t="shared" si="2552"/>
        <v>4</v>
      </c>
      <c r="DI439" s="21">
        <f t="shared" si="2553"/>
        <v>4</v>
      </c>
      <c r="DJ439" s="21">
        <f t="shared" si="2554"/>
        <v>4</v>
      </c>
      <c r="DK439" s="21">
        <f t="shared" si="2555"/>
        <v>4</v>
      </c>
      <c r="DL439" s="21">
        <f t="shared" si="2556"/>
        <v>4</v>
      </c>
      <c r="DM439" s="21">
        <f t="shared" si="2557"/>
        <v>6</v>
      </c>
      <c r="DN439" s="21">
        <f t="shared" si="2558"/>
        <v>0</v>
      </c>
      <c r="DO439" s="21">
        <f t="shared" si="2559"/>
        <v>0</v>
      </c>
      <c r="DP439" s="21">
        <f t="shared" si="2560"/>
        <v>0</v>
      </c>
      <c r="DQ439" s="248"/>
      <c r="DR439" s="248"/>
      <c r="DS439" s="248"/>
      <c r="DT439" s="248"/>
      <c r="DU439" s="248"/>
      <c r="DV439" s="248"/>
      <c r="DW439" s="248"/>
      <c r="DX439" s="248"/>
      <c r="DY439" s="248"/>
      <c r="ED439" s="429"/>
      <c r="EE439" s="23"/>
      <c r="EF439" s="23"/>
      <c r="EG439" s="23"/>
      <c r="EH439" s="18">
        <f t="shared" si="2467"/>
        <v>0</v>
      </c>
      <c r="EI439" s="18">
        <f t="shared" si="2468"/>
        <v>0</v>
      </c>
      <c r="EJ439" s="18">
        <f t="shared" si="2469"/>
        <v>0</v>
      </c>
      <c r="EK439" s="24">
        <f t="shared" si="2512"/>
        <v>0.16666666666666666</v>
      </c>
      <c r="EL439" s="14">
        <f>IF(EE414=0,0,EH439/EE414)</f>
        <v>0</v>
      </c>
      <c r="EM439" s="14" t="str">
        <f>IF(EF414=0,"",EI439/EF414)</f>
        <v/>
      </c>
      <c r="EN439" s="14">
        <f t="shared" si="2518"/>
        <v>0</v>
      </c>
      <c r="EO439" s="46" t="str">
        <f t="shared" si="2519"/>
        <v>Æ</v>
      </c>
      <c r="EP439" s="46" t="str">
        <f t="shared" si="2520"/>
        <v>Æ</v>
      </c>
      <c r="EQ439" s="24" t="str">
        <f>IF(EJ414&lt;&gt;0,EM439/EJ414,"N/A")</f>
        <v>N/A</v>
      </c>
      <c r="ER439" s="2">
        <f>IF(EM439&gt;=0.9,1,IF(EM439&gt;0.75,2,3))</f>
        <v>1</v>
      </c>
      <c r="ES439" s="2">
        <f>IF(EN439="","",IF(EN439&gt;=0.9*EN414,1,IF(EN439&lt;0.75*EN414,3,2)))</f>
        <v>1</v>
      </c>
    </row>
    <row r="440" spans="1:150" ht="12.75" customHeight="1">
      <c r="A440" s="6" t="s">
        <v>23</v>
      </c>
      <c r="B440" s="324" t="s">
        <v>202</v>
      </c>
      <c r="C440" s="3" t="s">
        <v>70</v>
      </c>
      <c r="E440" s="3" t="s">
        <v>15</v>
      </c>
      <c r="G440" s="3" t="s">
        <v>91</v>
      </c>
      <c r="I440" s="23"/>
      <c r="J440" s="19">
        <v>0</v>
      </c>
      <c r="K440" s="19">
        <v>0</v>
      </c>
      <c r="L440" s="19">
        <v>0</v>
      </c>
      <c r="M440" s="19">
        <v>0</v>
      </c>
      <c r="N440" s="19">
        <v>0</v>
      </c>
      <c r="O440" s="19">
        <v>2</v>
      </c>
      <c r="P440" s="19">
        <v>2</v>
      </c>
      <c r="Q440" s="19">
        <v>2</v>
      </c>
      <c r="R440" s="246">
        <v>2</v>
      </c>
      <c r="S440" s="19">
        <v>2</v>
      </c>
      <c r="T440" s="19">
        <v>2</v>
      </c>
      <c r="U440" s="19">
        <v>4</v>
      </c>
      <c r="V440" s="31">
        <v>0</v>
      </c>
      <c r="W440" s="19">
        <v>0</v>
      </c>
      <c r="X440" s="19">
        <v>0</v>
      </c>
      <c r="Y440" s="356">
        <v>0</v>
      </c>
      <c r="Z440" s="19">
        <v>0</v>
      </c>
      <c r="AA440" s="19">
        <v>0</v>
      </c>
      <c r="AB440" s="19">
        <v>0</v>
      </c>
      <c r="AC440" s="19">
        <v>2</v>
      </c>
      <c r="AD440" s="19">
        <v>2</v>
      </c>
      <c r="AE440" s="19">
        <v>2</v>
      </c>
      <c r="AF440" s="19">
        <v>2</v>
      </c>
      <c r="AG440" s="19">
        <v>4</v>
      </c>
      <c r="AH440" s="31"/>
      <c r="AI440" s="19"/>
      <c r="AJ440" s="19"/>
      <c r="AK440" s="408"/>
      <c r="AL440" s="40">
        <f t="shared" si="2502"/>
        <v>0</v>
      </c>
      <c r="AM440" s="40">
        <f t="shared" si="2561"/>
        <v>0</v>
      </c>
      <c r="AN440" s="40">
        <f t="shared" si="2524"/>
        <v>0</v>
      </c>
      <c r="AO440" s="40">
        <f t="shared" si="2525"/>
        <v>0</v>
      </c>
      <c r="AP440" s="40">
        <f t="shared" ref="AP440:AW440" si="2565">N440-M440</f>
        <v>0</v>
      </c>
      <c r="AQ440" s="40">
        <f t="shared" si="2565"/>
        <v>2</v>
      </c>
      <c r="AR440" s="40">
        <f t="shared" si="2565"/>
        <v>0</v>
      </c>
      <c r="AS440" s="40">
        <f t="shared" si="2565"/>
        <v>0</v>
      </c>
      <c r="AT440" s="40">
        <f t="shared" si="2565"/>
        <v>0</v>
      </c>
      <c r="AU440" s="40">
        <f t="shared" si="2565"/>
        <v>0</v>
      </c>
      <c r="AV440" s="40">
        <f t="shared" si="2565"/>
        <v>0</v>
      </c>
      <c r="AW440" s="40">
        <f t="shared" si="2565"/>
        <v>2</v>
      </c>
      <c r="AX440" s="40">
        <f t="shared" si="2503"/>
        <v>0</v>
      </c>
      <c r="AY440" s="40">
        <f t="shared" ref="AY440:BL441" si="2566">W440-V440</f>
        <v>0</v>
      </c>
      <c r="AZ440" s="40">
        <f t="shared" si="2566"/>
        <v>0</v>
      </c>
      <c r="BA440" s="40">
        <f t="shared" si="2566"/>
        <v>0</v>
      </c>
      <c r="BB440" s="40">
        <f t="shared" si="2566"/>
        <v>0</v>
      </c>
      <c r="BC440" s="40">
        <f t="shared" si="2566"/>
        <v>0</v>
      </c>
      <c r="BD440" s="40">
        <f t="shared" si="2566"/>
        <v>0</v>
      </c>
      <c r="BE440" s="40">
        <f t="shared" si="2566"/>
        <v>2</v>
      </c>
      <c r="BF440" s="40">
        <f t="shared" si="2566"/>
        <v>0</v>
      </c>
      <c r="BG440" s="40">
        <f t="shared" si="2566"/>
        <v>0</v>
      </c>
      <c r="BH440" s="40">
        <f t="shared" si="2566"/>
        <v>0</v>
      </c>
      <c r="BI440" s="40">
        <f t="shared" si="2566"/>
        <v>2</v>
      </c>
      <c r="BJ440" s="40">
        <f t="shared" si="2566"/>
        <v>-4</v>
      </c>
      <c r="BK440" s="40">
        <f t="shared" si="2566"/>
        <v>0</v>
      </c>
      <c r="BL440" s="40">
        <f t="shared" si="2566"/>
        <v>0</v>
      </c>
      <c r="BM440" s="408"/>
      <c r="BN440" s="48">
        <f t="shared" si="2475"/>
        <v>0</v>
      </c>
      <c r="BO440" s="48">
        <f t="shared" si="2476"/>
        <v>0</v>
      </c>
      <c r="BP440" s="48">
        <f>SUM(AL440:AN440)</f>
        <v>0</v>
      </c>
      <c r="BQ440" s="48">
        <f t="shared" si="2478"/>
        <v>2</v>
      </c>
      <c r="BR440" s="48">
        <f t="shared" si="2479"/>
        <v>2</v>
      </c>
      <c r="BS440" s="48">
        <f>SUM(AO440:AQ440)</f>
        <v>2</v>
      </c>
      <c r="BT440" s="48">
        <f t="shared" si="2481"/>
        <v>0</v>
      </c>
      <c r="BU440" s="48">
        <f t="shared" si="2482"/>
        <v>0</v>
      </c>
      <c r="BV440" s="48">
        <f>SUM(AR440:AT440)</f>
        <v>0</v>
      </c>
      <c r="BW440" s="48">
        <f t="shared" si="2484"/>
        <v>2</v>
      </c>
      <c r="BX440" s="48">
        <f t="shared" si="2485"/>
        <v>2</v>
      </c>
      <c r="BY440" s="48">
        <f>SUM(AU440:AW440)</f>
        <v>2</v>
      </c>
      <c r="BZ440" s="48">
        <f t="shared" si="2487"/>
        <v>0</v>
      </c>
      <c r="CA440" s="48">
        <f t="shared" si="2488"/>
        <v>0</v>
      </c>
      <c r="CB440" s="48">
        <f>SUM(AX440:AZ440)</f>
        <v>0</v>
      </c>
      <c r="CC440" s="48">
        <f t="shared" si="2490"/>
        <v>0</v>
      </c>
      <c r="CD440" s="48">
        <f t="shared" si="2491"/>
        <v>0</v>
      </c>
      <c r="CE440" s="48">
        <f>SUM(BA440:BC440)</f>
        <v>0</v>
      </c>
      <c r="CF440" s="48">
        <f t="shared" si="2493"/>
        <v>2</v>
      </c>
      <c r="CG440" s="48">
        <f t="shared" si="2494"/>
        <v>2</v>
      </c>
      <c r="CH440" s="48">
        <f>SUM(BD440:BF440)</f>
        <v>2</v>
      </c>
      <c r="CI440" s="48">
        <f t="shared" si="2496"/>
        <v>2</v>
      </c>
      <c r="CJ440" s="48">
        <f t="shared" si="2497"/>
        <v>2</v>
      </c>
      <c r="CK440" s="48">
        <f>SUM(BG440:BI440)</f>
        <v>2</v>
      </c>
      <c r="CL440" s="48">
        <f t="shared" si="2499"/>
        <v>-4</v>
      </c>
      <c r="CM440" s="48">
        <f t="shared" si="2500"/>
        <v>-4</v>
      </c>
      <c r="CN440" s="48">
        <f>SUM(BJ440:BL440)</f>
        <v>-4</v>
      </c>
      <c r="CO440" s="406"/>
      <c r="CP440" s="48">
        <f t="shared" si="2562"/>
        <v>0</v>
      </c>
      <c r="CQ440" s="48">
        <f t="shared" si="2563"/>
        <v>0</v>
      </c>
      <c r="CR440" s="48">
        <f t="shared" si="2537"/>
        <v>0</v>
      </c>
      <c r="CS440" s="48">
        <f t="shared" si="2538"/>
        <v>0</v>
      </c>
      <c r="CT440" s="48">
        <f t="shared" si="2539"/>
        <v>0</v>
      </c>
      <c r="CU440" s="48">
        <f t="shared" si="2540"/>
        <v>2</v>
      </c>
      <c r="CV440" s="48">
        <f t="shared" si="2541"/>
        <v>2</v>
      </c>
      <c r="CW440" s="48">
        <f t="shared" si="2542"/>
        <v>2</v>
      </c>
      <c r="CX440" s="48">
        <f t="shared" si="2543"/>
        <v>2</v>
      </c>
      <c r="CY440" s="48">
        <f t="shared" si="2544"/>
        <v>2</v>
      </c>
      <c r="CZ440" s="48">
        <f t="shared" si="2545"/>
        <v>2</v>
      </c>
      <c r="DA440" s="48">
        <f t="shared" si="2546"/>
        <v>4</v>
      </c>
      <c r="DB440" s="48">
        <f t="shared" si="2564"/>
        <v>0</v>
      </c>
      <c r="DC440" s="48">
        <f t="shared" si="2547"/>
        <v>0</v>
      </c>
      <c r="DD440" s="48">
        <f t="shared" si="2548"/>
        <v>0</v>
      </c>
      <c r="DE440" s="48">
        <f t="shared" si="2549"/>
        <v>0</v>
      </c>
      <c r="DF440" s="48">
        <f t="shared" si="2550"/>
        <v>0</v>
      </c>
      <c r="DG440" s="48">
        <f t="shared" si="2551"/>
        <v>0</v>
      </c>
      <c r="DH440" s="48">
        <f t="shared" si="2552"/>
        <v>0</v>
      </c>
      <c r="DI440" s="48">
        <f t="shared" si="2553"/>
        <v>2</v>
      </c>
      <c r="DJ440" s="48">
        <f t="shared" si="2554"/>
        <v>2</v>
      </c>
      <c r="DK440" s="48">
        <f t="shared" si="2555"/>
        <v>2</v>
      </c>
      <c r="DL440" s="48">
        <f t="shared" si="2556"/>
        <v>2</v>
      </c>
      <c r="DM440" s="48">
        <f t="shared" si="2557"/>
        <v>4</v>
      </c>
      <c r="DN440" s="48">
        <f>DM440+BJ440</f>
        <v>0</v>
      </c>
      <c r="DO440" s="48">
        <f t="shared" si="2559"/>
        <v>0</v>
      </c>
      <c r="DP440" s="48">
        <f t="shared" si="2560"/>
        <v>0</v>
      </c>
      <c r="DQ440" s="48"/>
      <c r="DR440" s="48"/>
      <c r="DS440" s="48"/>
      <c r="DT440" s="48"/>
      <c r="DU440" s="48"/>
      <c r="DV440" s="48"/>
      <c r="DW440" s="48"/>
      <c r="DX440" s="48"/>
      <c r="DY440" s="48"/>
      <c r="ED440" s="429"/>
      <c r="EE440" s="23"/>
      <c r="EF440" s="23"/>
      <c r="EG440" s="23"/>
      <c r="EH440" s="18">
        <f t="shared" si="2467"/>
        <v>0</v>
      </c>
      <c r="EI440" s="18">
        <f t="shared" si="2468"/>
        <v>-4</v>
      </c>
      <c r="EJ440" s="18">
        <f t="shared" si="2469"/>
        <v>0</v>
      </c>
      <c r="EK440" s="24">
        <f>IF(EK398&lt;6,0.5,IF(AND(EK398&gt;=6,EK398&lt;12),0.5,1))</f>
        <v>0.5</v>
      </c>
      <c r="EL440" s="14">
        <f>IF(EE415=0,0,EH440/EE415)</f>
        <v>0</v>
      </c>
      <c r="EM440" s="14">
        <f>IF(EF415=0,0,EI440/EF415)</f>
        <v>1</v>
      </c>
      <c r="EN440" s="14">
        <f>IF(EG415="","",EJ440/EG415)</f>
        <v>0</v>
      </c>
      <c r="EO440" s="46" t="str">
        <f t="shared" si="2519"/>
        <v>Æ</v>
      </c>
      <c r="EP440" s="46">
        <f t="shared" si="2520"/>
        <v>0</v>
      </c>
      <c r="EQ440" s="24" t="str">
        <f>IF(EJ415&lt;&gt;0,EM440/EJ415,"N/A")</f>
        <v>N/A</v>
      </c>
      <c r="ER440" s="24" t="str">
        <f>IF(EK415&lt;&gt;0,EN440/EK415,"N/A")</f>
        <v>N/A</v>
      </c>
      <c r="ES440" s="2">
        <f>IF(EN440="","",IF(EN440&gt;=0.9*EN415,1,IF(EN440&lt;0.75*EN415,3,2)))</f>
        <v>1</v>
      </c>
    </row>
    <row r="441" spans="1:150" ht="12.75" customHeight="1">
      <c r="A441" s="6" t="s">
        <v>23</v>
      </c>
      <c r="B441" s="2" t="s">
        <v>13</v>
      </c>
      <c r="C441" s="3" t="s">
        <v>71</v>
      </c>
      <c r="E441" s="3" t="s">
        <v>15</v>
      </c>
      <c r="G441" s="3" t="s">
        <v>91</v>
      </c>
      <c r="I441" s="23"/>
      <c r="J441" s="19">
        <v>0</v>
      </c>
      <c r="K441" s="19">
        <f>J441</f>
        <v>0</v>
      </c>
      <c r="L441" s="19">
        <v>13295.6</v>
      </c>
      <c r="M441" s="19">
        <f>L441</f>
        <v>13295.6</v>
      </c>
      <c r="N441" s="19">
        <f>M441</f>
        <v>13295.6</v>
      </c>
      <c r="O441" s="19">
        <v>13295.58</v>
      </c>
      <c r="P441" s="19">
        <v>25083.61</v>
      </c>
      <c r="Q441" s="19">
        <f>P441</f>
        <v>25083.61</v>
      </c>
      <c r="R441" s="246">
        <f>Q441</f>
        <v>25083.61</v>
      </c>
      <c r="S441" s="19">
        <v>25083.61</v>
      </c>
      <c r="T441" s="19">
        <v>25083.61</v>
      </c>
      <c r="U441" s="19">
        <v>25083.61</v>
      </c>
      <c r="V441" s="31">
        <v>0</v>
      </c>
      <c r="W441" s="19">
        <v>0</v>
      </c>
      <c r="X441" s="19">
        <v>0</v>
      </c>
      <c r="Y441" s="356">
        <v>0</v>
      </c>
      <c r="Z441" s="19">
        <v>0</v>
      </c>
      <c r="AA441" s="19">
        <v>0</v>
      </c>
      <c r="AB441" s="263">
        <v>50140.98</v>
      </c>
      <c r="AC441" s="19">
        <v>0</v>
      </c>
      <c r="AD441" s="19">
        <v>0</v>
      </c>
      <c r="AE441" s="19">
        <v>0</v>
      </c>
      <c r="AF441" s="19">
        <v>0</v>
      </c>
      <c r="AG441" s="19"/>
      <c r="AH441" s="404">
        <v>76416.44</v>
      </c>
      <c r="AI441" s="19"/>
      <c r="AJ441" s="19"/>
      <c r="AK441" s="408"/>
      <c r="AL441" s="19">
        <f t="shared" si="2502"/>
        <v>0</v>
      </c>
      <c r="AM441" s="19"/>
      <c r="AN441" s="19"/>
      <c r="AO441" s="19"/>
      <c r="AP441" s="19"/>
      <c r="AQ441" s="19">
        <f t="shared" si="2527"/>
        <v>-2.0000000000436557E-2</v>
      </c>
      <c r="AR441" s="19">
        <f t="shared" si="2446"/>
        <v>11788.03</v>
      </c>
      <c r="AS441" s="19">
        <f t="shared" si="2447"/>
        <v>0</v>
      </c>
      <c r="AT441" s="19"/>
      <c r="AU441" s="19"/>
      <c r="AV441" s="19">
        <f t="shared" si="2450"/>
        <v>0</v>
      </c>
      <c r="AW441" s="19">
        <f t="shared" si="2451"/>
        <v>0</v>
      </c>
      <c r="AX441" s="19">
        <f t="shared" si="2503"/>
        <v>0</v>
      </c>
      <c r="AY441" s="19">
        <f t="shared" si="2452"/>
        <v>0</v>
      </c>
      <c r="AZ441" s="19">
        <f t="shared" si="2453"/>
        <v>0</v>
      </c>
      <c r="BA441" s="19">
        <f t="shared" si="2504"/>
        <v>0</v>
      </c>
      <c r="BB441" s="19">
        <f t="shared" si="2566"/>
        <v>0</v>
      </c>
      <c r="BC441" s="19">
        <f t="shared" si="2566"/>
        <v>0</v>
      </c>
      <c r="BD441" s="19">
        <f t="shared" si="2566"/>
        <v>50140.98</v>
      </c>
      <c r="BE441" s="19"/>
      <c r="BF441" s="19">
        <f t="shared" si="2566"/>
        <v>0</v>
      </c>
      <c r="BG441" s="19">
        <f t="shared" si="2566"/>
        <v>0</v>
      </c>
      <c r="BH441" s="19">
        <f t="shared" si="2566"/>
        <v>0</v>
      </c>
      <c r="BI441" s="19">
        <f t="shared" si="2566"/>
        <v>0</v>
      </c>
      <c r="BJ441" s="19"/>
      <c r="BK441" s="19"/>
      <c r="BL441" s="19"/>
      <c r="BM441" s="408"/>
      <c r="BN441" s="40" t="s">
        <v>97</v>
      </c>
      <c r="BO441" s="40" t="s">
        <v>97</v>
      </c>
      <c r="BP441" s="40" t="s">
        <v>97</v>
      </c>
      <c r="BQ441" s="40" t="s">
        <v>97</v>
      </c>
      <c r="BR441" s="40" t="s">
        <v>97</v>
      </c>
      <c r="BS441" s="40" t="s">
        <v>97</v>
      </c>
      <c r="BT441" s="40" t="s">
        <v>97</v>
      </c>
      <c r="BU441" s="40" t="s">
        <v>97</v>
      </c>
      <c r="BV441" s="40" t="s">
        <v>97</v>
      </c>
      <c r="BW441" s="40" t="s">
        <v>97</v>
      </c>
      <c r="BX441" s="40" t="s">
        <v>97</v>
      </c>
      <c r="BY441" s="40" t="s">
        <v>97</v>
      </c>
      <c r="BZ441" s="40" t="s">
        <v>97</v>
      </c>
      <c r="CA441" s="40" t="s">
        <v>97</v>
      </c>
      <c r="CB441" s="40" t="s">
        <v>97</v>
      </c>
      <c r="CC441" s="40" t="s">
        <v>97</v>
      </c>
      <c r="CD441" s="40" t="s">
        <v>97</v>
      </c>
      <c r="CE441" s="40" t="s">
        <v>97</v>
      </c>
      <c r="CF441" s="40" t="s">
        <v>97</v>
      </c>
      <c r="CG441" s="40" t="s">
        <v>97</v>
      </c>
      <c r="CH441" s="40" t="s">
        <v>97</v>
      </c>
      <c r="CI441" s="40" t="s">
        <v>97</v>
      </c>
      <c r="CJ441" s="40" t="s">
        <v>97</v>
      </c>
      <c r="CK441" s="40" t="s">
        <v>97</v>
      </c>
      <c r="CL441" s="40" t="s">
        <v>97</v>
      </c>
      <c r="CM441" s="40" t="s">
        <v>97</v>
      </c>
      <c r="CN441" s="40" t="s">
        <v>97</v>
      </c>
      <c r="CO441" s="408"/>
      <c r="CP441" s="21">
        <f t="shared" ref="CP441:CY442" si="2567">J441</f>
        <v>0</v>
      </c>
      <c r="CQ441" s="21">
        <f t="shared" si="2567"/>
        <v>0</v>
      </c>
      <c r="CR441" s="21">
        <f t="shared" si="2567"/>
        <v>13295.6</v>
      </c>
      <c r="CS441" s="21">
        <f t="shared" si="2567"/>
        <v>13295.6</v>
      </c>
      <c r="CT441" s="21">
        <f t="shared" si="2567"/>
        <v>13295.6</v>
      </c>
      <c r="CU441" s="21">
        <f t="shared" si="2567"/>
        <v>13295.58</v>
      </c>
      <c r="CV441" s="21">
        <f t="shared" si="2567"/>
        <v>25083.61</v>
      </c>
      <c r="CW441" s="21">
        <f t="shared" si="2567"/>
        <v>25083.61</v>
      </c>
      <c r="CX441" s="21">
        <f t="shared" si="2567"/>
        <v>25083.61</v>
      </c>
      <c r="CY441" s="21">
        <f t="shared" si="2567"/>
        <v>25083.61</v>
      </c>
      <c r="CZ441" s="21">
        <f t="shared" ref="CZ441:DI442" si="2568">T441</f>
        <v>25083.61</v>
      </c>
      <c r="DA441" s="21">
        <f t="shared" si="2568"/>
        <v>25083.61</v>
      </c>
      <c r="DB441" s="21">
        <f t="shared" si="2568"/>
        <v>0</v>
      </c>
      <c r="DC441" s="21">
        <f t="shared" si="2568"/>
        <v>0</v>
      </c>
      <c r="DD441" s="21">
        <f t="shared" si="2568"/>
        <v>0</v>
      </c>
      <c r="DE441" s="21">
        <f t="shared" si="2568"/>
        <v>0</v>
      </c>
      <c r="DF441" s="21">
        <f t="shared" si="2568"/>
        <v>0</v>
      </c>
      <c r="DG441" s="21">
        <f t="shared" si="2568"/>
        <v>0</v>
      </c>
      <c r="DH441" s="21">
        <f t="shared" si="2568"/>
        <v>50140.98</v>
      </c>
      <c r="DI441" s="21">
        <f t="shared" si="2568"/>
        <v>0</v>
      </c>
      <c r="DJ441" s="21">
        <f t="shared" ref="DJ441:DP442" si="2569">AD441</f>
        <v>0</v>
      </c>
      <c r="DK441" s="21">
        <f t="shared" si="2569"/>
        <v>0</v>
      </c>
      <c r="DL441" s="21">
        <f t="shared" si="2569"/>
        <v>0</v>
      </c>
      <c r="DM441" s="21">
        <f t="shared" si="2569"/>
        <v>0</v>
      </c>
      <c r="DN441" s="21">
        <f t="shared" si="2569"/>
        <v>76416.44</v>
      </c>
      <c r="DO441" s="21">
        <f t="shared" si="2569"/>
        <v>0</v>
      </c>
      <c r="DP441" s="21">
        <f t="shared" si="2569"/>
        <v>0</v>
      </c>
      <c r="DQ441" s="248"/>
      <c r="DR441" s="248"/>
      <c r="DS441" s="248"/>
      <c r="DT441" s="248"/>
      <c r="DU441" s="248"/>
      <c r="DV441" s="248"/>
      <c r="DW441" s="248"/>
      <c r="DX441" s="248"/>
      <c r="DY441" s="248"/>
      <c r="ED441" s="429"/>
      <c r="EE441" s="23"/>
      <c r="EF441" s="23"/>
      <c r="EG441" s="23"/>
      <c r="EH441" s="24" t="s">
        <v>97</v>
      </c>
      <c r="EI441" s="24" t="s">
        <v>97</v>
      </c>
      <c r="EJ441" s="18">
        <f t="shared" si="2469"/>
        <v>0</v>
      </c>
      <c r="EK441" s="24">
        <f t="shared" si="2512"/>
        <v>0.16666666666666666</v>
      </c>
      <c r="EL441" s="24" t="s">
        <v>97</v>
      </c>
      <c r="EM441" s="24" t="s">
        <v>97</v>
      </c>
      <c r="EN441" s="24">
        <f>EJ441/EG416</f>
        <v>0</v>
      </c>
      <c r="EO441" s="46" t="str">
        <f t="shared" si="2519"/>
        <v>Æ</v>
      </c>
      <c r="EP441" s="46" t="str">
        <f t="shared" si="2520"/>
        <v>Æ</v>
      </c>
      <c r="EQ441" s="24" t="s">
        <v>97</v>
      </c>
      <c r="ER441" s="24" t="s">
        <v>97</v>
      </c>
      <c r="ES441" s="2">
        <f>IF(EN441&gt;=0.9,1,IF(EN441&lt;0.75,2,3))</f>
        <v>2</v>
      </c>
    </row>
    <row r="442" spans="1:150" ht="12.75" customHeight="1" thickBot="1">
      <c r="A442" s="6" t="s">
        <v>23</v>
      </c>
      <c r="B442" s="2" t="s">
        <v>14</v>
      </c>
      <c r="C442" s="3" t="s">
        <v>72</v>
      </c>
      <c r="E442" s="3" t="s">
        <v>15</v>
      </c>
      <c r="G442" s="3" t="s">
        <v>91</v>
      </c>
      <c r="I442" s="23"/>
      <c r="J442" s="19">
        <v>0</v>
      </c>
      <c r="K442" s="19">
        <f>J442</f>
        <v>0</v>
      </c>
      <c r="L442" s="19">
        <v>22420.799999999999</v>
      </c>
      <c r="M442" s="19">
        <f>L442</f>
        <v>22420.799999999999</v>
      </c>
      <c r="N442" s="19">
        <f>+M442</f>
        <v>22420.799999999999</v>
      </c>
      <c r="O442" s="19">
        <f>14349.34+8071.5</f>
        <v>22420.84</v>
      </c>
      <c r="P442" s="19">
        <f>32288.17+18162.09</f>
        <v>50450.259999999995</v>
      </c>
      <c r="Q442" s="19">
        <f>P442</f>
        <v>50450.259999999995</v>
      </c>
      <c r="R442" s="246">
        <f>Q442</f>
        <v>50450.259999999995</v>
      </c>
      <c r="S442" s="19">
        <v>50450.26</v>
      </c>
      <c r="T442" s="19">
        <v>50450.26</v>
      </c>
      <c r="U442" s="19">
        <v>50450.26</v>
      </c>
      <c r="V442" s="34">
        <v>0</v>
      </c>
      <c r="W442" s="19">
        <v>0</v>
      </c>
      <c r="X442" s="19">
        <v>0</v>
      </c>
      <c r="Y442" s="356">
        <v>0</v>
      </c>
      <c r="Z442" s="19">
        <v>0</v>
      </c>
      <c r="AA442" s="19">
        <v>0</v>
      </c>
      <c r="AB442" s="263">
        <v>100152.23</v>
      </c>
      <c r="AC442" s="19">
        <v>0</v>
      </c>
      <c r="AD442" s="19">
        <v>0</v>
      </c>
      <c r="AE442" s="19">
        <v>0</v>
      </c>
      <c r="AF442" s="19">
        <v>0</v>
      </c>
      <c r="AG442" s="19"/>
      <c r="AH442" s="387">
        <v>17023.87</v>
      </c>
      <c r="AI442" s="19"/>
      <c r="AJ442" s="19"/>
      <c r="AK442" s="408"/>
      <c r="AL442" s="19">
        <f t="shared" si="2502"/>
        <v>0</v>
      </c>
      <c r="AM442" s="19"/>
      <c r="AN442" s="19"/>
      <c r="AO442" s="19"/>
      <c r="AP442" s="19"/>
      <c r="AQ442" s="19">
        <f t="shared" si="2527"/>
        <v>4.0000000000873115E-2</v>
      </c>
      <c r="AR442" s="19">
        <f t="shared" si="2446"/>
        <v>28029.419999999995</v>
      </c>
      <c r="AS442" s="19">
        <f t="shared" si="2447"/>
        <v>0</v>
      </c>
      <c r="AT442" s="19"/>
      <c r="AU442" s="19"/>
      <c r="AV442" s="19">
        <f t="shared" si="2450"/>
        <v>0</v>
      </c>
      <c r="AW442" s="19">
        <f t="shared" si="2451"/>
        <v>0</v>
      </c>
      <c r="AX442" s="19">
        <f t="shared" si="2503"/>
        <v>0</v>
      </c>
      <c r="AY442" s="19">
        <f t="shared" si="2452"/>
        <v>0</v>
      </c>
      <c r="AZ442" s="19">
        <f t="shared" si="2453"/>
        <v>0</v>
      </c>
      <c r="BA442" s="19">
        <f t="shared" si="2504"/>
        <v>0</v>
      </c>
      <c r="BB442" s="19"/>
      <c r="BC442" s="19"/>
      <c r="BD442" s="19"/>
      <c r="BE442" s="19"/>
      <c r="BF442" s="19"/>
      <c r="BG442" s="19"/>
      <c r="BH442" s="19"/>
      <c r="BI442" s="19"/>
      <c r="BJ442" s="19"/>
      <c r="BK442" s="19"/>
      <c r="BL442" s="19"/>
      <c r="BM442" s="408"/>
      <c r="BN442" s="40" t="s">
        <v>97</v>
      </c>
      <c r="BO442" s="40" t="s">
        <v>97</v>
      </c>
      <c r="BP442" s="40" t="s">
        <v>97</v>
      </c>
      <c r="BQ442" s="40" t="s">
        <v>97</v>
      </c>
      <c r="BR442" s="40" t="s">
        <v>97</v>
      </c>
      <c r="BS442" s="40" t="s">
        <v>97</v>
      </c>
      <c r="BT442" s="40" t="s">
        <v>97</v>
      </c>
      <c r="BU442" s="40" t="s">
        <v>97</v>
      </c>
      <c r="BV442" s="40" t="s">
        <v>97</v>
      </c>
      <c r="BW442" s="40" t="s">
        <v>97</v>
      </c>
      <c r="BX442" s="40" t="s">
        <v>97</v>
      </c>
      <c r="BY442" s="40" t="s">
        <v>97</v>
      </c>
      <c r="BZ442" s="40" t="s">
        <v>97</v>
      </c>
      <c r="CA442" s="40" t="s">
        <v>97</v>
      </c>
      <c r="CB442" s="40" t="s">
        <v>97</v>
      </c>
      <c r="CC442" s="40" t="s">
        <v>97</v>
      </c>
      <c r="CD442" s="40" t="s">
        <v>97</v>
      </c>
      <c r="CE442" s="40" t="s">
        <v>97</v>
      </c>
      <c r="CF442" s="40" t="s">
        <v>97</v>
      </c>
      <c r="CG442" s="40" t="s">
        <v>97</v>
      </c>
      <c r="CH442" s="40" t="s">
        <v>97</v>
      </c>
      <c r="CI442" s="40" t="s">
        <v>97</v>
      </c>
      <c r="CJ442" s="40" t="s">
        <v>97</v>
      </c>
      <c r="CK442" s="40" t="s">
        <v>97</v>
      </c>
      <c r="CL442" s="40" t="s">
        <v>97</v>
      </c>
      <c r="CM442" s="40" t="s">
        <v>97</v>
      </c>
      <c r="CN442" s="40" t="s">
        <v>97</v>
      </c>
      <c r="CO442" s="408"/>
      <c r="CP442" s="21">
        <f t="shared" si="2567"/>
        <v>0</v>
      </c>
      <c r="CQ442" s="21">
        <f t="shared" si="2567"/>
        <v>0</v>
      </c>
      <c r="CR442" s="21">
        <f t="shared" si="2567"/>
        <v>22420.799999999999</v>
      </c>
      <c r="CS442" s="21">
        <f t="shared" si="2567"/>
        <v>22420.799999999999</v>
      </c>
      <c r="CT442" s="21">
        <f t="shared" si="2567"/>
        <v>22420.799999999999</v>
      </c>
      <c r="CU442" s="21">
        <f t="shared" si="2567"/>
        <v>22420.84</v>
      </c>
      <c r="CV442" s="21">
        <f t="shared" si="2567"/>
        <v>50450.259999999995</v>
      </c>
      <c r="CW442" s="21">
        <f t="shared" si="2567"/>
        <v>50450.259999999995</v>
      </c>
      <c r="CX442" s="21">
        <f t="shared" si="2567"/>
        <v>50450.259999999995</v>
      </c>
      <c r="CY442" s="21">
        <f t="shared" si="2567"/>
        <v>50450.26</v>
      </c>
      <c r="CZ442" s="21">
        <f t="shared" si="2568"/>
        <v>50450.26</v>
      </c>
      <c r="DA442" s="21">
        <f t="shared" si="2568"/>
        <v>50450.26</v>
      </c>
      <c r="DB442" s="21">
        <f t="shared" si="2568"/>
        <v>0</v>
      </c>
      <c r="DC442" s="21">
        <f t="shared" si="2568"/>
        <v>0</v>
      </c>
      <c r="DD442" s="21">
        <f t="shared" si="2568"/>
        <v>0</v>
      </c>
      <c r="DE442" s="21">
        <f t="shared" si="2568"/>
        <v>0</v>
      </c>
      <c r="DF442" s="21">
        <f t="shared" si="2568"/>
        <v>0</v>
      </c>
      <c r="DG442" s="21">
        <f t="shared" si="2568"/>
        <v>0</v>
      </c>
      <c r="DH442" s="21">
        <f t="shared" si="2568"/>
        <v>100152.23</v>
      </c>
      <c r="DI442" s="21">
        <f t="shared" si="2568"/>
        <v>0</v>
      </c>
      <c r="DJ442" s="21">
        <f t="shared" si="2569"/>
        <v>0</v>
      </c>
      <c r="DK442" s="21">
        <f t="shared" si="2569"/>
        <v>0</v>
      </c>
      <c r="DL442" s="21">
        <f t="shared" si="2569"/>
        <v>0</v>
      </c>
      <c r="DM442" s="21">
        <f t="shared" si="2569"/>
        <v>0</v>
      </c>
      <c r="DN442" s="21">
        <f t="shared" si="2569"/>
        <v>17023.87</v>
      </c>
      <c r="DO442" s="21">
        <f t="shared" si="2569"/>
        <v>0</v>
      </c>
      <c r="DP442" s="21">
        <f t="shared" si="2569"/>
        <v>0</v>
      </c>
      <c r="DQ442" s="248"/>
      <c r="DR442" s="248"/>
      <c r="DS442" s="248"/>
      <c r="DT442" s="248"/>
      <c r="DU442" s="248"/>
      <c r="DV442" s="248"/>
      <c r="DW442" s="248"/>
      <c r="DX442" s="248"/>
      <c r="DY442" s="248"/>
      <c r="ED442" s="429"/>
      <c r="EE442" s="23"/>
      <c r="EF442" s="23"/>
      <c r="EG442" s="23"/>
      <c r="EH442" s="24" t="s">
        <v>97</v>
      </c>
      <c r="EI442" s="24" t="s">
        <v>97</v>
      </c>
      <c r="EJ442" s="18">
        <f t="shared" si="2469"/>
        <v>0</v>
      </c>
      <c r="EK442" s="24">
        <f t="shared" si="2512"/>
        <v>0.16666666666666666</v>
      </c>
      <c r="EL442" s="24" t="s">
        <v>97</v>
      </c>
      <c r="EM442" s="24" t="s">
        <v>97</v>
      </c>
      <c r="EN442" s="24">
        <f>EJ442/EG417</f>
        <v>0</v>
      </c>
      <c r="EO442" s="46" t="str">
        <f t="shared" si="2519"/>
        <v>Æ</v>
      </c>
      <c r="EP442" s="46" t="str">
        <f t="shared" si="2520"/>
        <v>Æ</v>
      </c>
      <c r="EQ442" s="24" t="s">
        <v>97</v>
      </c>
      <c r="ER442" s="24" t="s">
        <v>97</v>
      </c>
      <c r="ES442" s="2">
        <f>IF(EN442&gt;=0.9,1,IF(EN442&lt;0.75,2,3))</f>
        <v>2</v>
      </c>
    </row>
    <row r="443" spans="1:150" ht="12.75" customHeight="1">
      <c r="A443" s="6" t="s">
        <v>23</v>
      </c>
      <c r="B443" s="2" t="s">
        <v>0</v>
      </c>
      <c r="C443" s="3" t="s">
        <v>59</v>
      </c>
      <c r="E443" s="3" t="s">
        <v>16</v>
      </c>
      <c r="G443" s="28" t="s">
        <v>92</v>
      </c>
      <c r="H443" s="28"/>
      <c r="I443" s="29"/>
      <c r="J443" s="30">
        <f t="shared" ref="J443:U443" si="2570">IF(J430&lt;&gt;"",+J430-I430,"")</f>
        <v>96</v>
      </c>
      <c r="K443" s="30">
        <f t="shared" si="2570"/>
        <v>67</v>
      </c>
      <c r="L443" s="30">
        <f t="shared" si="2570"/>
        <v>47</v>
      </c>
      <c r="M443" s="30">
        <f>IF(M430&lt;&gt;"",+M430,"")</f>
        <v>265</v>
      </c>
      <c r="N443" s="30">
        <f t="shared" si="2570"/>
        <v>17</v>
      </c>
      <c r="O443" s="30">
        <f t="shared" si="2570"/>
        <v>23</v>
      </c>
      <c r="P443" s="30">
        <f t="shared" si="2570"/>
        <v>18</v>
      </c>
      <c r="Q443" s="30">
        <f t="shared" si="2570"/>
        <v>14</v>
      </c>
      <c r="R443" s="30">
        <f t="shared" si="2570"/>
        <v>48</v>
      </c>
      <c r="S443" s="30">
        <f t="shared" si="2570"/>
        <v>44</v>
      </c>
      <c r="T443" s="30">
        <f t="shared" si="2570"/>
        <v>41</v>
      </c>
      <c r="U443" s="30">
        <f t="shared" si="2570"/>
        <v>28</v>
      </c>
      <c r="V443" s="30">
        <f>IF(V423&lt;&gt;"",+V423-U423,"")</f>
        <v>30</v>
      </c>
      <c r="W443" s="30">
        <f>IF(W430&lt;&gt;"",+W430-V430,"")</f>
        <v>76</v>
      </c>
      <c r="X443" s="30">
        <f>IF(X430&lt;&gt;"",+X430-W430,"")</f>
        <v>61</v>
      </c>
      <c r="Y443" s="30">
        <f>+Y430-X430</f>
        <v>50</v>
      </c>
      <c r="Z443" s="30">
        <f t="shared" ref="Z443:AG444" si="2571">IF(Z430&lt;&gt;"",+Z430-Y430,"")</f>
        <v>52</v>
      </c>
      <c r="AA443" s="30">
        <f t="shared" si="2571"/>
        <v>37</v>
      </c>
      <c r="AB443" s="30">
        <f t="shared" si="2571"/>
        <v>50</v>
      </c>
      <c r="AC443" s="30">
        <f t="shared" si="2571"/>
        <v>49</v>
      </c>
      <c r="AD443" s="30">
        <f t="shared" si="2571"/>
        <v>44</v>
      </c>
      <c r="AE443" s="30">
        <f t="shared" si="2571"/>
        <v>45</v>
      </c>
      <c r="AF443" s="30">
        <f t="shared" si="2571"/>
        <v>43</v>
      </c>
      <c r="AG443" s="30">
        <f t="shared" si="2571"/>
        <v>49</v>
      </c>
      <c r="AH443" s="30">
        <f>IF(AH430&lt;&gt;"",+AH430,"")</f>
        <v>130</v>
      </c>
      <c r="AI443" s="30">
        <f>IF(AI430&lt;&gt;"",+AI430-AH430,"")</f>
        <v>77</v>
      </c>
      <c r="AJ443" s="30" t="str">
        <f>IF(AJ430&lt;&gt;"",+AJ430-AI430,"")</f>
        <v/>
      </c>
      <c r="AK443" s="408"/>
      <c r="AL443" s="48">
        <f t="shared" si="2502"/>
        <v>96</v>
      </c>
      <c r="AM443" s="48">
        <f t="shared" ref="AM443:AV444" si="2572">K443</f>
        <v>67</v>
      </c>
      <c r="AN443" s="48">
        <f t="shared" si="2572"/>
        <v>47</v>
      </c>
      <c r="AO443" s="48">
        <f t="shared" si="2572"/>
        <v>265</v>
      </c>
      <c r="AP443" s="48">
        <f t="shared" si="2572"/>
        <v>17</v>
      </c>
      <c r="AQ443" s="48">
        <f t="shared" si="2572"/>
        <v>23</v>
      </c>
      <c r="AR443" s="48">
        <f t="shared" si="2572"/>
        <v>18</v>
      </c>
      <c r="AS443" s="48">
        <f t="shared" si="2572"/>
        <v>14</v>
      </c>
      <c r="AT443" s="48">
        <f t="shared" si="2572"/>
        <v>48</v>
      </c>
      <c r="AU443" s="48">
        <f t="shared" si="2572"/>
        <v>44</v>
      </c>
      <c r="AV443" s="48">
        <f t="shared" si="2572"/>
        <v>41</v>
      </c>
      <c r="AW443" s="48">
        <f t="shared" ref="AW443:BF444" si="2573">U443</f>
        <v>28</v>
      </c>
      <c r="AX443" s="48">
        <f t="shared" si="2573"/>
        <v>30</v>
      </c>
      <c r="AY443" s="48">
        <f t="shared" si="2573"/>
        <v>76</v>
      </c>
      <c r="AZ443" s="48">
        <f t="shared" si="2573"/>
        <v>61</v>
      </c>
      <c r="BA443" s="48">
        <f t="shared" si="2573"/>
        <v>50</v>
      </c>
      <c r="BB443" s="48">
        <f t="shared" si="2573"/>
        <v>52</v>
      </c>
      <c r="BC443" s="48">
        <f t="shared" si="2573"/>
        <v>37</v>
      </c>
      <c r="BD443" s="48">
        <f t="shared" si="2573"/>
        <v>50</v>
      </c>
      <c r="BE443" s="48">
        <f t="shared" si="2573"/>
        <v>49</v>
      </c>
      <c r="BF443" s="48">
        <f t="shared" si="2573"/>
        <v>44</v>
      </c>
      <c r="BG443" s="48">
        <f t="shared" ref="BG443:BL444" si="2574">AE443</f>
        <v>45</v>
      </c>
      <c r="BH443" s="48">
        <f t="shared" si="2574"/>
        <v>43</v>
      </c>
      <c r="BI443" s="48">
        <f t="shared" si="2574"/>
        <v>49</v>
      </c>
      <c r="BJ443" s="48">
        <f t="shared" si="2574"/>
        <v>130</v>
      </c>
      <c r="BK443" s="48">
        <f t="shared" si="2574"/>
        <v>77</v>
      </c>
      <c r="BL443" s="48" t="str">
        <f t="shared" si="2574"/>
        <v/>
      </c>
      <c r="BM443" s="408"/>
      <c r="BN443" s="48">
        <f>+AL443</f>
        <v>96</v>
      </c>
      <c r="BO443" s="48">
        <f t="shared" ref="BO443:BP445" si="2575">+BN443+AM443</f>
        <v>163</v>
      </c>
      <c r="BP443" s="48">
        <f t="shared" si="2575"/>
        <v>210</v>
      </c>
      <c r="BQ443" s="48">
        <f>+AO443</f>
        <v>265</v>
      </c>
      <c r="BR443" s="48">
        <f t="shared" ref="BR443:BS445" si="2576">+BQ443+AP443</f>
        <v>282</v>
      </c>
      <c r="BS443" s="48">
        <f t="shared" si="2576"/>
        <v>305</v>
      </c>
      <c r="BT443" s="48">
        <f>+AR443</f>
        <v>18</v>
      </c>
      <c r="BU443" s="48">
        <f t="shared" ref="BU443:BV445" si="2577">+BT443+AS443</f>
        <v>32</v>
      </c>
      <c r="BV443" s="48">
        <f t="shared" si="2577"/>
        <v>80</v>
      </c>
      <c r="BW443" s="48">
        <f>+AU443</f>
        <v>44</v>
      </c>
      <c r="BX443" s="48">
        <f t="shared" ref="BX443:BY445" si="2578">+BW443+AV443</f>
        <v>85</v>
      </c>
      <c r="BY443" s="48">
        <f t="shared" si="2578"/>
        <v>113</v>
      </c>
      <c r="BZ443" s="48">
        <f>+AX443</f>
        <v>30</v>
      </c>
      <c r="CA443" s="48">
        <f t="shared" ref="CA443:CB445" si="2579">+BZ443+AY443</f>
        <v>106</v>
      </c>
      <c r="CB443" s="48">
        <f t="shared" ref="CB443:CK443" si="2580">+CA443+AZ443</f>
        <v>167</v>
      </c>
      <c r="CC443" s="48">
        <f>+BA443</f>
        <v>50</v>
      </c>
      <c r="CD443" s="48">
        <f t="shared" si="2580"/>
        <v>102</v>
      </c>
      <c r="CE443" s="48">
        <f t="shared" si="2580"/>
        <v>139</v>
      </c>
      <c r="CF443" s="48">
        <f t="shared" si="2580"/>
        <v>189</v>
      </c>
      <c r="CG443" s="48">
        <f t="shared" si="2580"/>
        <v>238</v>
      </c>
      <c r="CH443" s="48">
        <f t="shared" si="2580"/>
        <v>282</v>
      </c>
      <c r="CI443" s="48">
        <f t="shared" si="2580"/>
        <v>327</v>
      </c>
      <c r="CJ443" s="48">
        <f t="shared" si="2580"/>
        <v>370</v>
      </c>
      <c r="CK443" s="48">
        <f t="shared" si="2580"/>
        <v>419</v>
      </c>
      <c r="CL443" s="48">
        <f>BJ443</f>
        <v>130</v>
      </c>
      <c r="CM443" s="48">
        <f t="shared" ref="CM443" si="2581">+CL443+BK443</f>
        <v>207</v>
      </c>
      <c r="CN443" s="48" t="e">
        <f t="shared" ref="CN443" si="2582">+CM443+BL443</f>
        <v>#VALUE!</v>
      </c>
      <c r="CO443" s="406"/>
      <c r="CP443" s="40">
        <f>AL443</f>
        <v>96</v>
      </c>
      <c r="CQ443" s="40">
        <f t="shared" ref="CQ443:DA444" si="2583">CP443+AM443</f>
        <v>163</v>
      </c>
      <c r="CR443" s="40">
        <f t="shared" si="2583"/>
        <v>210</v>
      </c>
      <c r="CS443" s="40">
        <f t="shared" si="2583"/>
        <v>475</v>
      </c>
      <c r="CT443" s="40">
        <f t="shared" si="2583"/>
        <v>492</v>
      </c>
      <c r="CU443" s="40">
        <f t="shared" si="2583"/>
        <v>515</v>
      </c>
      <c r="CV443" s="40">
        <f t="shared" si="2583"/>
        <v>533</v>
      </c>
      <c r="CW443" s="40">
        <f t="shared" si="2583"/>
        <v>547</v>
      </c>
      <c r="CX443" s="40">
        <f t="shared" si="2583"/>
        <v>595</v>
      </c>
      <c r="CY443" s="40">
        <f t="shared" si="2583"/>
        <v>639</v>
      </c>
      <c r="CZ443" s="40">
        <f t="shared" si="2583"/>
        <v>680</v>
      </c>
      <c r="DA443" s="40">
        <f t="shared" si="2583"/>
        <v>708</v>
      </c>
      <c r="DB443" s="40">
        <f>AX443</f>
        <v>30</v>
      </c>
      <c r="DC443" s="40">
        <f t="shared" ref="DC443:DM444" si="2584">DB443+AY443</f>
        <v>106</v>
      </c>
      <c r="DD443" s="40">
        <f t="shared" si="2584"/>
        <v>167</v>
      </c>
      <c r="DE443" s="40">
        <f t="shared" si="2584"/>
        <v>217</v>
      </c>
      <c r="DF443" s="40">
        <f t="shared" si="2584"/>
        <v>269</v>
      </c>
      <c r="DG443" s="40">
        <f t="shared" si="2584"/>
        <v>306</v>
      </c>
      <c r="DH443" s="40">
        <f t="shared" si="2584"/>
        <v>356</v>
      </c>
      <c r="DI443" s="40">
        <f t="shared" si="2584"/>
        <v>405</v>
      </c>
      <c r="DJ443" s="40">
        <f t="shared" si="2584"/>
        <v>449</v>
      </c>
      <c r="DK443" s="40">
        <f t="shared" si="2584"/>
        <v>494</v>
      </c>
      <c r="DL443" s="40">
        <f t="shared" si="2584"/>
        <v>537</v>
      </c>
      <c r="DM443" s="40">
        <f t="shared" si="2584"/>
        <v>586</v>
      </c>
      <c r="DN443" s="40">
        <f>BJ443</f>
        <v>130</v>
      </c>
      <c r="DO443" s="40">
        <f>DN443+BK443</f>
        <v>207</v>
      </c>
      <c r="DP443" s="40" t="e">
        <f>DO443+BL443</f>
        <v>#VALUE!</v>
      </c>
      <c r="DQ443" s="40"/>
      <c r="DR443" s="40"/>
      <c r="DS443" s="40"/>
      <c r="DT443" s="40"/>
      <c r="DU443" s="40"/>
      <c r="DV443" s="40"/>
      <c r="DW443" s="40"/>
      <c r="DX443" s="40"/>
      <c r="DY443" s="40"/>
      <c r="EA443" s="53"/>
      <c r="EB443" s="53"/>
      <c r="EC443" s="53"/>
      <c r="ED443" s="429"/>
      <c r="EE443" s="54"/>
      <c r="EF443" s="54"/>
      <c r="EG443" s="54"/>
      <c r="EH443" s="18">
        <f>HLOOKUP($I$1,Month,ROW()-1)</f>
        <v>77</v>
      </c>
      <c r="EI443" s="18">
        <f>HLOOKUP($I$1,Qtr,ROW()-1)</f>
        <v>207</v>
      </c>
      <c r="EJ443" s="18">
        <f t="shared" si="2469"/>
        <v>207</v>
      </c>
      <c r="EK443" s="57">
        <f t="shared" si="2512"/>
        <v>0.16666666666666666</v>
      </c>
      <c r="EL443" s="14">
        <f>EH443/EE418</f>
        <v>2.0533333333333332</v>
      </c>
      <c r="EM443" s="14">
        <f>EI443/EF418</f>
        <v>1.38</v>
      </c>
      <c r="EN443" s="14">
        <f>EJ443/EG418</f>
        <v>0.46</v>
      </c>
      <c r="EO443" s="46" t="str">
        <f t="shared" si="2519"/>
        <v>Ç</v>
      </c>
      <c r="EP443" s="46" t="str">
        <f>IF(EI443&lt;0,,IF(EI443&lt;EF418,"È",IF(EI443=EF418,"Æ","Ç")))</f>
        <v>Ç</v>
      </c>
      <c r="EQ443" s="2">
        <f>IF(EL443&gt;=0.9,1,IF(EL443&lt;0.75,2,3))</f>
        <v>1</v>
      </c>
      <c r="ER443" s="2">
        <f>IF(EM443&gt;=0.9,1,IF(EM443&lt;0.75,2,3))</f>
        <v>1</v>
      </c>
      <c r="ES443" s="2">
        <f>IF(EN443&gt;=0.9,1,IF(EN443&lt;0.75,2,3))</f>
        <v>2</v>
      </c>
    </row>
    <row r="444" spans="1:150">
      <c r="A444" s="6" t="s">
        <v>23</v>
      </c>
      <c r="B444" s="2" t="s">
        <v>1</v>
      </c>
      <c r="C444" s="3" t="s">
        <v>60</v>
      </c>
      <c r="E444" s="3" t="s">
        <v>16</v>
      </c>
      <c r="G444" s="28" t="s">
        <v>92</v>
      </c>
      <c r="H444" s="28"/>
      <c r="I444" s="29"/>
      <c r="J444" s="30">
        <f>IF(J431&lt;&gt;"",,"")+J431-I431</f>
        <v>38</v>
      </c>
      <c r="K444" s="30">
        <f t="shared" ref="K444:U444" si="2585">IF(K431&lt;&gt;"",+K431-J431,"")</f>
        <v>21</v>
      </c>
      <c r="L444" s="30">
        <f t="shared" si="2585"/>
        <v>12</v>
      </c>
      <c r="M444" s="30">
        <f t="shared" si="2585"/>
        <v>14</v>
      </c>
      <c r="N444" s="30">
        <f t="shared" si="2585"/>
        <v>13</v>
      </c>
      <c r="O444" s="30">
        <f t="shared" si="2585"/>
        <v>4</v>
      </c>
      <c r="P444" s="30">
        <f t="shared" si="2585"/>
        <v>5</v>
      </c>
      <c r="Q444" s="30">
        <f t="shared" si="2585"/>
        <v>10</v>
      </c>
      <c r="R444" s="30">
        <f t="shared" si="2585"/>
        <v>14</v>
      </c>
      <c r="S444" s="30">
        <f t="shared" si="2585"/>
        <v>9</v>
      </c>
      <c r="T444" s="30">
        <f t="shared" si="2585"/>
        <v>13</v>
      </c>
      <c r="U444" s="30">
        <f t="shared" si="2585"/>
        <v>12</v>
      </c>
      <c r="V444" s="30">
        <f>IF(V431&lt;&gt;"",+V431,"")</f>
        <v>49</v>
      </c>
      <c r="W444" s="30">
        <f>IF(W431&lt;&gt;"",+W431-V431,"")</f>
        <v>36</v>
      </c>
      <c r="X444" s="30">
        <f>IF(X431&lt;&gt;"",+X431-W431,"")</f>
        <v>13</v>
      </c>
      <c r="Y444" s="30">
        <f>IF(Y431&lt;&gt;"",+Y431-X431,"")</f>
        <v>26</v>
      </c>
      <c r="Z444" s="30">
        <f t="shared" si="2571"/>
        <v>26</v>
      </c>
      <c r="AA444" s="30">
        <f t="shared" si="2571"/>
        <v>17</v>
      </c>
      <c r="AB444" s="30">
        <f t="shared" si="2571"/>
        <v>16</v>
      </c>
      <c r="AC444" s="30">
        <f t="shared" si="2571"/>
        <v>21</v>
      </c>
      <c r="AD444" s="30">
        <f t="shared" si="2571"/>
        <v>18</v>
      </c>
      <c r="AE444" s="30">
        <f t="shared" si="2571"/>
        <v>19</v>
      </c>
      <c r="AF444" s="30">
        <f t="shared" si="2571"/>
        <v>21</v>
      </c>
      <c r="AG444" s="30">
        <f t="shared" si="2571"/>
        <v>25</v>
      </c>
      <c r="AH444" s="30">
        <f>IF(AH431&lt;&gt;"",+AH431,"")</f>
        <v>78</v>
      </c>
      <c r="AI444" s="30">
        <f>IF(AI431&lt;&gt;"",+AI431-AH431,"")</f>
        <v>47</v>
      </c>
      <c r="AJ444" s="30" t="str">
        <f>IF(AJ431&lt;&gt;"",+AJ431-AI431,"")</f>
        <v/>
      </c>
      <c r="AK444" s="408"/>
      <c r="AL444" s="48">
        <f t="shared" si="2502"/>
        <v>38</v>
      </c>
      <c r="AM444" s="48">
        <f t="shared" si="2572"/>
        <v>21</v>
      </c>
      <c r="AN444" s="48">
        <f t="shared" si="2572"/>
        <v>12</v>
      </c>
      <c r="AO444" s="48">
        <f t="shared" si="2572"/>
        <v>14</v>
      </c>
      <c r="AP444" s="48">
        <f t="shared" si="2572"/>
        <v>13</v>
      </c>
      <c r="AQ444" s="48">
        <f t="shared" si="2572"/>
        <v>4</v>
      </c>
      <c r="AR444" s="48">
        <f t="shared" si="2572"/>
        <v>5</v>
      </c>
      <c r="AS444" s="48">
        <f t="shared" si="2572"/>
        <v>10</v>
      </c>
      <c r="AT444" s="48">
        <f t="shared" si="2572"/>
        <v>14</v>
      </c>
      <c r="AU444" s="48">
        <f t="shared" si="2572"/>
        <v>9</v>
      </c>
      <c r="AV444" s="48">
        <f t="shared" si="2572"/>
        <v>13</v>
      </c>
      <c r="AW444" s="48">
        <f t="shared" si="2573"/>
        <v>12</v>
      </c>
      <c r="AX444" s="48">
        <f t="shared" si="2573"/>
        <v>49</v>
      </c>
      <c r="AY444" s="48">
        <f t="shared" si="2573"/>
        <v>36</v>
      </c>
      <c r="AZ444" s="48">
        <f t="shared" si="2573"/>
        <v>13</v>
      </c>
      <c r="BA444" s="48">
        <f t="shared" si="2573"/>
        <v>26</v>
      </c>
      <c r="BB444" s="48">
        <f t="shared" si="2573"/>
        <v>26</v>
      </c>
      <c r="BC444" s="48">
        <f t="shared" si="2573"/>
        <v>17</v>
      </c>
      <c r="BD444" s="48">
        <f t="shared" si="2573"/>
        <v>16</v>
      </c>
      <c r="BE444" s="48">
        <f t="shared" si="2573"/>
        <v>21</v>
      </c>
      <c r="BF444" s="48">
        <f t="shared" si="2573"/>
        <v>18</v>
      </c>
      <c r="BG444" s="48">
        <f t="shared" si="2574"/>
        <v>19</v>
      </c>
      <c r="BH444" s="48">
        <f t="shared" si="2574"/>
        <v>21</v>
      </c>
      <c r="BI444" s="48">
        <f t="shared" si="2574"/>
        <v>25</v>
      </c>
      <c r="BJ444" s="48">
        <f t="shared" si="2574"/>
        <v>78</v>
      </c>
      <c r="BK444" s="48">
        <f t="shared" si="2574"/>
        <v>47</v>
      </c>
      <c r="BL444" s="48" t="str">
        <f t="shared" si="2574"/>
        <v/>
      </c>
      <c r="BM444" s="408"/>
      <c r="BN444" s="48">
        <f>+AL444</f>
        <v>38</v>
      </c>
      <c r="BO444" s="48">
        <f t="shared" si="2575"/>
        <v>59</v>
      </c>
      <c r="BP444" s="48">
        <f t="shared" si="2575"/>
        <v>71</v>
      </c>
      <c r="BQ444" s="48">
        <f>+AO444</f>
        <v>14</v>
      </c>
      <c r="BR444" s="48">
        <f t="shared" si="2576"/>
        <v>27</v>
      </c>
      <c r="BS444" s="48">
        <f t="shared" si="2576"/>
        <v>31</v>
      </c>
      <c r="BT444" s="48">
        <f>+AR444</f>
        <v>5</v>
      </c>
      <c r="BU444" s="48">
        <f t="shared" si="2577"/>
        <v>15</v>
      </c>
      <c r="BV444" s="48">
        <f t="shared" si="2577"/>
        <v>29</v>
      </c>
      <c r="BW444" s="48">
        <f>+AU444</f>
        <v>9</v>
      </c>
      <c r="BX444" s="48">
        <f t="shared" si="2578"/>
        <v>22</v>
      </c>
      <c r="BY444" s="48">
        <f t="shared" si="2578"/>
        <v>34</v>
      </c>
      <c r="BZ444" s="48">
        <f>+AX444</f>
        <v>49</v>
      </c>
      <c r="CA444" s="48">
        <f t="shared" si="2579"/>
        <v>85</v>
      </c>
      <c r="CB444" s="48">
        <f t="shared" si="2579"/>
        <v>98</v>
      </c>
      <c r="CC444" s="48">
        <f>+BA444</f>
        <v>26</v>
      </c>
      <c r="CD444" s="48">
        <f>+CC444+BB444</f>
        <v>52</v>
      </c>
      <c r="CE444" s="48">
        <f>+CD444+BC444</f>
        <v>69</v>
      </c>
      <c r="CF444" s="48">
        <f>+BD444</f>
        <v>16</v>
      </c>
      <c r="CG444" s="48">
        <f>+CF444+BE444</f>
        <v>37</v>
      </c>
      <c r="CH444" s="48">
        <f>+CG444+BF444</f>
        <v>55</v>
      </c>
      <c r="CI444" s="48">
        <f>+BG444</f>
        <v>19</v>
      </c>
      <c r="CJ444" s="48">
        <f>+CI444+BH444</f>
        <v>40</v>
      </c>
      <c r="CK444" s="48">
        <f>+CJ444+BI444</f>
        <v>65</v>
      </c>
      <c r="CL444" s="48">
        <f>+BJ444</f>
        <v>78</v>
      </c>
      <c r="CM444" s="48">
        <f>+CL444+BK444</f>
        <v>125</v>
      </c>
      <c r="CN444" s="48" t="e">
        <f>+CM444+BL444</f>
        <v>#VALUE!</v>
      </c>
      <c r="CO444" s="406"/>
      <c r="CP444" s="40">
        <f>AL444</f>
        <v>38</v>
      </c>
      <c r="CQ444" s="40">
        <f t="shared" si="2583"/>
        <v>59</v>
      </c>
      <c r="CR444" s="40">
        <f t="shared" si="2583"/>
        <v>71</v>
      </c>
      <c r="CS444" s="40">
        <f t="shared" si="2583"/>
        <v>85</v>
      </c>
      <c r="CT444" s="40">
        <f t="shared" si="2583"/>
        <v>98</v>
      </c>
      <c r="CU444" s="40">
        <f t="shared" si="2583"/>
        <v>102</v>
      </c>
      <c r="CV444" s="40">
        <f t="shared" si="2583"/>
        <v>107</v>
      </c>
      <c r="CW444" s="40">
        <f t="shared" si="2583"/>
        <v>117</v>
      </c>
      <c r="CX444" s="40">
        <f t="shared" si="2583"/>
        <v>131</v>
      </c>
      <c r="CY444" s="40">
        <f t="shared" si="2583"/>
        <v>140</v>
      </c>
      <c r="CZ444" s="40">
        <f t="shared" si="2583"/>
        <v>153</v>
      </c>
      <c r="DA444" s="40">
        <f t="shared" si="2583"/>
        <v>165</v>
      </c>
      <c r="DB444" s="40">
        <f>AX444</f>
        <v>49</v>
      </c>
      <c r="DC444" s="40">
        <f t="shared" si="2584"/>
        <v>85</v>
      </c>
      <c r="DD444" s="40">
        <f t="shared" si="2584"/>
        <v>98</v>
      </c>
      <c r="DE444" s="40">
        <f t="shared" si="2584"/>
        <v>124</v>
      </c>
      <c r="DF444" s="40">
        <f t="shared" si="2584"/>
        <v>150</v>
      </c>
      <c r="DG444" s="40">
        <f t="shared" si="2584"/>
        <v>167</v>
      </c>
      <c r="DH444" s="40">
        <f t="shared" si="2584"/>
        <v>183</v>
      </c>
      <c r="DI444" s="40">
        <f t="shared" si="2584"/>
        <v>204</v>
      </c>
      <c r="DJ444" s="40">
        <f t="shared" si="2584"/>
        <v>222</v>
      </c>
      <c r="DK444" s="40">
        <f t="shared" si="2584"/>
        <v>241</v>
      </c>
      <c r="DL444" s="40">
        <f t="shared" si="2584"/>
        <v>262</v>
      </c>
      <c r="DM444" s="40">
        <f t="shared" si="2584"/>
        <v>287</v>
      </c>
      <c r="DN444" s="40">
        <f>BJ444</f>
        <v>78</v>
      </c>
      <c r="DO444" s="40">
        <f>DN444+BK444</f>
        <v>125</v>
      </c>
      <c r="DP444" s="40" t="e">
        <f>DO444+BL444</f>
        <v>#VALUE!</v>
      </c>
      <c r="DQ444" s="40"/>
      <c r="DR444" s="40"/>
      <c r="DS444" s="40"/>
      <c r="DT444" s="40"/>
      <c r="DU444" s="40"/>
      <c r="DV444" s="40"/>
      <c r="DW444" s="40"/>
      <c r="DX444" s="40"/>
      <c r="DY444" s="40"/>
      <c r="EA444" s="53"/>
      <c r="EB444" s="53"/>
      <c r="EC444" s="53"/>
      <c r="ED444" s="429"/>
      <c r="EE444" s="54"/>
      <c r="EF444" s="54"/>
      <c r="EG444" s="54"/>
      <c r="EH444" s="18">
        <f>HLOOKUP($I$1,Month,ROW()-1)</f>
        <v>47</v>
      </c>
      <c r="EI444" s="18">
        <f>HLOOKUP($I$1,Qtr,ROW()-1)</f>
        <v>125</v>
      </c>
      <c r="EJ444" s="18">
        <f t="shared" si="2469"/>
        <v>125</v>
      </c>
      <c r="EK444" s="57">
        <f t="shared" si="2512"/>
        <v>0.16666666666666666</v>
      </c>
      <c r="EL444" s="14">
        <f>EH444/EE419</f>
        <v>3.1509788146956295</v>
      </c>
      <c r="EM444" s="14">
        <f>EI444/EF419</f>
        <v>4.1901314025207839</v>
      </c>
      <c r="EN444" s="14">
        <f>EJ444/EG419</f>
        <v>0.76689939511680782</v>
      </c>
      <c r="EO444" s="46" t="str">
        <f t="shared" si="2519"/>
        <v>Ç</v>
      </c>
      <c r="EP444" s="46" t="str">
        <f t="shared" si="2520"/>
        <v>Ç</v>
      </c>
      <c r="EQ444" s="2">
        <f>IF(EL444&gt;=0.9,1,IF(EL444&lt;0.75,2,3))</f>
        <v>1</v>
      </c>
      <c r="ER444" s="2">
        <f>IF(EM444&gt;=0.9,1,IF(EM444&lt;0.75,2,3))</f>
        <v>1</v>
      </c>
      <c r="ES444" s="2">
        <f>IF(EN444&gt;=0.9,1,IF(EN444&lt;0.75,2,3))</f>
        <v>3</v>
      </c>
    </row>
    <row r="445" spans="1:150">
      <c r="A445" s="6" t="s">
        <v>23</v>
      </c>
      <c r="B445" s="2" t="s">
        <v>98</v>
      </c>
      <c r="G445" s="28" t="s">
        <v>92</v>
      </c>
      <c r="H445" s="28"/>
      <c r="I445" s="29"/>
      <c r="J445" s="32">
        <f>J432*J433</f>
        <v>0</v>
      </c>
      <c r="K445" s="32">
        <f t="shared" ref="K445:AJ445" si="2586">K432*K433</f>
        <v>7</v>
      </c>
      <c r="L445" s="32">
        <f t="shared" si="2586"/>
        <v>5</v>
      </c>
      <c r="M445" s="32">
        <f t="shared" si="2586"/>
        <v>7</v>
      </c>
      <c r="N445" s="32">
        <f t="shared" si="2586"/>
        <v>9</v>
      </c>
      <c r="O445" s="32">
        <f t="shared" si="2586"/>
        <v>2</v>
      </c>
      <c r="P445" s="32">
        <f t="shared" si="2586"/>
        <v>9</v>
      </c>
      <c r="Q445" s="32">
        <f t="shared" si="2586"/>
        <v>3</v>
      </c>
      <c r="R445" s="32">
        <f t="shared" si="2586"/>
        <v>3</v>
      </c>
      <c r="S445" s="32">
        <f t="shared" si="2586"/>
        <v>8</v>
      </c>
      <c r="T445" s="32">
        <f t="shared" si="2586"/>
        <v>7</v>
      </c>
      <c r="U445" s="32">
        <f t="shared" si="2586"/>
        <v>5</v>
      </c>
      <c r="V445" s="32">
        <f t="shared" si="2586"/>
        <v>9</v>
      </c>
      <c r="W445" s="32">
        <f t="shared" si="2586"/>
        <v>6</v>
      </c>
      <c r="X445" s="32">
        <f t="shared" si="2586"/>
        <v>12</v>
      </c>
      <c r="Y445" s="32">
        <f t="shared" si="2586"/>
        <v>13.79</v>
      </c>
      <c r="Z445" s="32">
        <f t="shared" si="2586"/>
        <v>9.6</v>
      </c>
      <c r="AA445" s="32">
        <f t="shared" si="2586"/>
        <v>9</v>
      </c>
      <c r="AB445" s="32">
        <f t="shared" si="2586"/>
        <v>7</v>
      </c>
      <c r="AC445" s="32">
        <f t="shared" si="2586"/>
        <v>16</v>
      </c>
      <c r="AD445" s="32">
        <f t="shared" si="2586"/>
        <v>18</v>
      </c>
      <c r="AE445" s="32">
        <f t="shared" si="2586"/>
        <v>15</v>
      </c>
      <c r="AF445" s="32">
        <f t="shared" si="2586"/>
        <v>18</v>
      </c>
      <c r="AG445" s="32">
        <f t="shared" si="2586"/>
        <v>19</v>
      </c>
      <c r="AH445" s="32">
        <f t="shared" si="2586"/>
        <v>17</v>
      </c>
      <c r="AI445" s="32">
        <f t="shared" si="2586"/>
        <v>19</v>
      </c>
      <c r="AJ445" s="32">
        <f t="shared" si="2586"/>
        <v>0</v>
      </c>
      <c r="AK445" s="408"/>
      <c r="AL445" s="56">
        <f t="shared" ref="AL445:BL445" si="2587">AL432*AL433</f>
        <v>0</v>
      </c>
      <c r="AM445" s="56">
        <f t="shared" si="2587"/>
        <v>7</v>
      </c>
      <c r="AN445" s="56">
        <f t="shared" si="2587"/>
        <v>5</v>
      </c>
      <c r="AO445" s="56">
        <f t="shared" si="2587"/>
        <v>7</v>
      </c>
      <c r="AP445" s="56">
        <f t="shared" si="2587"/>
        <v>0</v>
      </c>
      <c r="AQ445" s="56">
        <f t="shared" si="2587"/>
        <v>2</v>
      </c>
      <c r="AR445" s="56">
        <f t="shared" si="2587"/>
        <v>9</v>
      </c>
      <c r="AS445" s="56">
        <f t="shared" si="2587"/>
        <v>3</v>
      </c>
      <c r="AT445" s="56">
        <f t="shared" si="2587"/>
        <v>3</v>
      </c>
      <c r="AU445" s="56">
        <f t="shared" si="2587"/>
        <v>8</v>
      </c>
      <c r="AV445" s="56">
        <f t="shared" si="2587"/>
        <v>7</v>
      </c>
      <c r="AW445" s="56">
        <f t="shared" si="2587"/>
        <v>5</v>
      </c>
      <c r="AX445" s="56">
        <f t="shared" si="2587"/>
        <v>9</v>
      </c>
      <c r="AY445" s="56">
        <f t="shared" si="2587"/>
        <v>6</v>
      </c>
      <c r="AZ445" s="56">
        <f t="shared" si="2587"/>
        <v>12</v>
      </c>
      <c r="BA445" s="56">
        <f t="shared" si="2587"/>
        <v>13.79</v>
      </c>
      <c r="BB445" s="56">
        <f t="shared" si="2587"/>
        <v>9.6</v>
      </c>
      <c r="BC445" s="56">
        <f t="shared" si="2587"/>
        <v>9</v>
      </c>
      <c r="BD445" s="56">
        <f t="shared" si="2587"/>
        <v>7</v>
      </c>
      <c r="BE445" s="56">
        <f t="shared" si="2587"/>
        <v>16</v>
      </c>
      <c r="BF445" s="56">
        <f t="shared" si="2587"/>
        <v>18</v>
      </c>
      <c r="BG445" s="56">
        <f t="shared" si="2587"/>
        <v>15</v>
      </c>
      <c r="BH445" s="56">
        <f t="shared" si="2587"/>
        <v>18</v>
      </c>
      <c r="BI445" s="56">
        <f t="shared" si="2587"/>
        <v>19</v>
      </c>
      <c r="BJ445" s="56">
        <f t="shared" si="2587"/>
        <v>17</v>
      </c>
      <c r="BK445" s="56">
        <f t="shared" si="2587"/>
        <v>0</v>
      </c>
      <c r="BL445" s="56">
        <f t="shared" si="2587"/>
        <v>0</v>
      </c>
      <c r="BM445" s="408"/>
      <c r="BN445" s="56">
        <f>+AL445</f>
        <v>0</v>
      </c>
      <c r="BO445" s="56">
        <f t="shared" si="2575"/>
        <v>7</v>
      </c>
      <c r="BP445" s="56">
        <f t="shared" si="2575"/>
        <v>12</v>
      </c>
      <c r="BQ445" s="56">
        <f>+AO445</f>
        <v>7</v>
      </c>
      <c r="BR445" s="56">
        <f t="shared" si="2576"/>
        <v>7</v>
      </c>
      <c r="BS445" s="56">
        <f t="shared" si="2576"/>
        <v>9</v>
      </c>
      <c r="BT445" s="56">
        <f>+AR445</f>
        <v>9</v>
      </c>
      <c r="BU445" s="56">
        <f t="shared" si="2577"/>
        <v>12</v>
      </c>
      <c r="BV445" s="56">
        <f t="shared" si="2577"/>
        <v>15</v>
      </c>
      <c r="BW445" s="56">
        <f>+AU445</f>
        <v>8</v>
      </c>
      <c r="BX445" s="56">
        <f t="shared" si="2578"/>
        <v>15</v>
      </c>
      <c r="BY445" s="56">
        <f t="shared" si="2578"/>
        <v>20</v>
      </c>
      <c r="BZ445" s="56">
        <f>+AX445</f>
        <v>9</v>
      </c>
      <c r="CA445" s="56">
        <f t="shared" si="2579"/>
        <v>15</v>
      </c>
      <c r="CB445" s="56">
        <f t="shared" si="2579"/>
        <v>27</v>
      </c>
      <c r="CC445" s="56">
        <f>+BA445</f>
        <v>13.79</v>
      </c>
      <c r="CD445" s="56">
        <f>+CC445+BB445</f>
        <v>23.39</v>
      </c>
      <c r="CE445" s="56">
        <f>+CD445+BC445</f>
        <v>32.39</v>
      </c>
      <c r="CF445" s="56">
        <f>+BD445</f>
        <v>7</v>
      </c>
      <c r="CG445" s="56">
        <f>+CF445+BE445</f>
        <v>23</v>
      </c>
      <c r="CH445" s="56">
        <f>+CG445+BF445</f>
        <v>41</v>
      </c>
      <c r="CI445" s="56">
        <f>+BG445</f>
        <v>15</v>
      </c>
      <c r="CJ445" s="56">
        <f>+CI445+BH445</f>
        <v>33</v>
      </c>
      <c r="CK445" s="56">
        <f>+CJ445+BI445</f>
        <v>52</v>
      </c>
      <c r="CL445" s="56">
        <f>+BJ445</f>
        <v>17</v>
      </c>
      <c r="CM445" s="56">
        <f>+CL445+BK445</f>
        <v>17</v>
      </c>
      <c r="CN445" s="56">
        <f>+CM445+BL445</f>
        <v>17</v>
      </c>
      <c r="CO445" s="406"/>
      <c r="CP445" s="60">
        <f>J445</f>
        <v>0</v>
      </c>
      <c r="CQ445" s="60">
        <f t="shared" ref="CQ445:DA445" si="2588">CP445+K445</f>
        <v>7</v>
      </c>
      <c r="CR445" s="60">
        <f t="shared" si="2588"/>
        <v>12</v>
      </c>
      <c r="CS445" s="60">
        <f t="shared" si="2588"/>
        <v>19</v>
      </c>
      <c r="CT445" s="60">
        <f t="shared" si="2588"/>
        <v>28</v>
      </c>
      <c r="CU445" s="60">
        <f t="shared" si="2588"/>
        <v>30</v>
      </c>
      <c r="CV445" s="60">
        <f t="shared" si="2588"/>
        <v>39</v>
      </c>
      <c r="CW445" s="60">
        <f t="shared" si="2588"/>
        <v>42</v>
      </c>
      <c r="CX445" s="60">
        <f t="shared" si="2588"/>
        <v>45</v>
      </c>
      <c r="CY445" s="60">
        <f t="shared" si="2588"/>
        <v>53</v>
      </c>
      <c r="CZ445" s="60">
        <f t="shared" si="2588"/>
        <v>60</v>
      </c>
      <c r="DA445" s="60">
        <f t="shared" si="2588"/>
        <v>65</v>
      </c>
      <c r="DB445" s="60">
        <f>V445</f>
        <v>9</v>
      </c>
      <c r="DC445" s="60">
        <f t="shared" ref="DC445:DM445" si="2589">DB445+W445</f>
        <v>15</v>
      </c>
      <c r="DD445" s="60">
        <f t="shared" si="2589"/>
        <v>27</v>
      </c>
      <c r="DE445" s="60">
        <f t="shared" si="2589"/>
        <v>40.79</v>
      </c>
      <c r="DF445" s="60">
        <f t="shared" si="2589"/>
        <v>50.39</v>
      </c>
      <c r="DG445" s="60">
        <f t="shared" si="2589"/>
        <v>59.39</v>
      </c>
      <c r="DH445" s="60">
        <f t="shared" si="2589"/>
        <v>66.39</v>
      </c>
      <c r="DI445" s="60">
        <f t="shared" si="2589"/>
        <v>82.39</v>
      </c>
      <c r="DJ445" s="60">
        <f t="shared" si="2589"/>
        <v>100.39</v>
      </c>
      <c r="DK445" s="60">
        <f t="shared" si="2589"/>
        <v>115.39</v>
      </c>
      <c r="DL445" s="60">
        <f t="shared" si="2589"/>
        <v>133.38999999999999</v>
      </c>
      <c r="DM445" s="60">
        <f t="shared" si="2589"/>
        <v>152.38999999999999</v>
      </c>
      <c r="DN445" s="60">
        <f>AH445</f>
        <v>17</v>
      </c>
      <c r="DO445" s="60">
        <f>DN445+AI445</f>
        <v>36</v>
      </c>
      <c r="DP445" s="60">
        <f>DO445+AJ445</f>
        <v>36</v>
      </c>
      <c r="DQ445" s="60"/>
      <c r="DR445" s="60"/>
      <c r="DS445" s="60"/>
      <c r="DT445" s="60"/>
      <c r="DU445" s="60"/>
      <c r="DV445" s="60"/>
      <c r="DW445" s="60"/>
      <c r="DX445" s="60"/>
      <c r="DY445" s="60"/>
      <c r="EA445" s="53"/>
      <c r="EB445" s="53"/>
      <c r="EC445" s="53"/>
      <c r="ED445" s="429"/>
      <c r="EE445" s="54"/>
      <c r="EF445" s="54"/>
      <c r="EG445" s="54"/>
      <c r="EH445" s="18">
        <f>HLOOKUP($I$1,Month,ROW()-1)</f>
        <v>0</v>
      </c>
      <c r="EI445" s="18">
        <f>HLOOKUP($I$1,Qtr,ROW()-1)</f>
        <v>17</v>
      </c>
      <c r="EJ445" s="18">
        <f t="shared" si="2469"/>
        <v>36</v>
      </c>
      <c r="EK445" s="57">
        <f t="shared" si="2512"/>
        <v>0.16666666666666666</v>
      </c>
      <c r="EL445" s="14"/>
      <c r="EM445" s="14" t="e">
        <f>EI445/EF421</f>
        <v>#DIV/0!</v>
      </c>
      <c r="EN445" s="14"/>
      <c r="EO445" s="46" t="str">
        <f>IF(EH445&lt;0,,IF(EH445&lt;EE421,"È",IF(EH445=EE421,"Æ","Ç")))</f>
        <v>Æ</v>
      </c>
      <c r="EP445" s="46" t="str">
        <f>IF(EI445&lt;0,,IF(EI445&lt;EF421,"È",IF(EI445=EF421,"Æ","Ç")))</f>
        <v>Ç</v>
      </c>
    </row>
    <row r="446" spans="1:150" ht="13.5" thickBot="1">
      <c r="K446" s="42" t="s">
        <v>114</v>
      </c>
      <c r="AL446" s="14"/>
      <c r="CN446" s="23" t="s">
        <v>152</v>
      </c>
      <c r="CP446" s="2">
        <v>10</v>
      </c>
      <c r="CQ446" s="2">
        <v>11</v>
      </c>
      <c r="CR446" s="2">
        <v>12</v>
      </c>
      <c r="CS446" s="2">
        <v>1</v>
      </c>
      <c r="CT446" s="2">
        <v>2</v>
      </c>
      <c r="CU446" s="2">
        <v>3</v>
      </c>
      <c r="CV446" s="2">
        <v>4</v>
      </c>
      <c r="CW446" s="2">
        <v>5</v>
      </c>
      <c r="CX446" s="2">
        <v>6</v>
      </c>
      <c r="CY446" s="2">
        <v>7</v>
      </c>
      <c r="CZ446" s="2">
        <v>8</v>
      </c>
      <c r="DA446" s="2">
        <v>9</v>
      </c>
      <c r="DB446" s="2">
        <v>10</v>
      </c>
      <c r="DC446" s="2">
        <v>11</v>
      </c>
      <c r="DD446" s="2">
        <v>12</v>
      </c>
      <c r="DE446" s="2">
        <v>1</v>
      </c>
      <c r="DF446" s="2">
        <v>2</v>
      </c>
      <c r="DG446" s="2">
        <v>3</v>
      </c>
      <c r="DH446" s="2">
        <v>4</v>
      </c>
      <c r="DI446" s="2">
        <v>5</v>
      </c>
      <c r="DJ446" s="2">
        <v>6</v>
      </c>
      <c r="DK446" s="2">
        <v>7</v>
      </c>
      <c r="DL446" s="2">
        <v>8</v>
      </c>
      <c r="DM446" s="2">
        <v>9</v>
      </c>
      <c r="DN446" s="2">
        <v>10</v>
      </c>
      <c r="DO446" s="2">
        <v>11</v>
      </c>
      <c r="DP446" s="2">
        <v>12</v>
      </c>
      <c r="ED446" s="429"/>
      <c r="EE446" s="23"/>
      <c r="EF446" s="23"/>
      <c r="EG446" s="23"/>
      <c r="EH446" s="23"/>
      <c r="EI446" s="23"/>
      <c r="EJ446" s="23"/>
      <c r="EK446" s="23"/>
    </row>
    <row r="447" spans="1:150" ht="13.5" thickBot="1">
      <c r="E447" s="666" t="s">
        <v>88</v>
      </c>
      <c r="F447" s="667"/>
      <c r="G447" s="667"/>
      <c r="H447" s="667"/>
      <c r="I447" s="668"/>
      <c r="CN447" s="23" t="s">
        <v>153</v>
      </c>
      <c r="CP447" s="2">
        <v>1</v>
      </c>
      <c r="CQ447" s="2">
        <v>2</v>
      </c>
      <c r="CR447" s="2">
        <v>3</v>
      </c>
      <c r="CS447" s="2">
        <v>4</v>
      </c>
      <c r="CT447" s="2">
        <v>5</v>
      </c>
      <c r="CU447" s="2">
        <v>6</v>
      </c>
      <c r="CV447" s="2">
        <v>7</v>
      </c>
      <c r="CW447" s="2">
        <v>8</v>
      </c>
      <c r="CX447" s="2">
        <v>9</v>
      </c>
      <c r="CY447" s="2">
        <v>10</v>
      </c>
      <c r="CZ447" s="2">
        <v>11</v>
      </c>
      <c r="DA447" s="2">
        <v>12</v>
      </c>
      <c r="DB447" s="2">
        <v>1</v>
      </c>
      <c r="DC447" s="2">
        <v>2</v>
      </c>
      <c r="DD447" s="2">
        <v>3</v>
      </c>
      <c r="DE447" s="2">
        <v>4</v>
      </c>
      <c r="DF447" s="2">
        <v>5</v>
      </c>
      <c r="DG447" s="2">
        <v>6</v>
      </c>
      <c r="DH447" s="2">
        <v>7</v>
      </c>
      <c r="DI447" s="2">
        <v>8</v>
      </c>
      <c r="DJ447" s="2">
        <v>9</v>
      </c>
      <c r="DK447" s="2">
        <v>10</v>
      </c>
      <c r="DL447" s="2">
        <v>11</v>
      </c>
      <c r="DM447" s="2">
        <v>12</v>
      </c>
      <c r="ED447" s="429"/>
      <c r="EE447" s="23"/>
      <c r="EF447" s="23"/>
      <c r="EG447" s="23"/>
      <c r="EH447" s="23"/>
      <c r="EI447" s="23"/>
      <c r="EJ447" s="23"/>
      <c r="EK447" s="23"/>
    </row>
    <row r="448" spans="1:150" ht="13.5" thickBot="1">
      <c r="A448" s="6" t="s">
        <v>30</v>
      </c>
      <c r="C448" s="11" t="s">
        <v>73</v>
      </c>
      <c r="E448" s="8" t="s">
        <v>34</v>
      </c>
      <c r="F448" s="11" t="s">
        <v>33</v>
      </c>
      <c r="G448" s="9" t="s">
        <v>34</v>
      </c>
      <c r="H448" s="11" t="s">
        <v>33</v>
      </c>
      <c r="I448" s="11" t="s">
        <v>34</v>
      </c>
      <c r="AL448" s="109"/>
    </row>
    <row r="449" spans="1:149">
      <c r="A449" s="6" t="s">
        <v>23</v>
      </c>
      <c r="B449" s="2" t="s">
        <v>24</v>
      </c>
      <c r="C449" s="3" t="s">
        <v>74</v>
      </c>
      <c r="E449" s="4" t="str">
        <f>C406</f>
        <v>BInBusNew</v>
      </c>
      <c r="F449" s="4" t="s">
        <v>31</v>
      </c>
      <c r="G449" s="28" t="str">
        <f>C405</f>
        <v>BAllNew</v>
      </c>
      <c r="H449" s="28"/>
      <c r="I449" s="28"/>
      <c r="J449" s="62">
        <f t="shared" ref="J449:AJ449" si="2590">J406/J405</f>
        <v>0.5</v>
      </c>
      <c r="K449" s="62">
        <f t="shared" si="2590"/>
        <v>0.4999999988721805</v>
      </c>
      <c r="L449" s="62">
        <f t="shared" si="2590"/>
        <v>0.49999999849624061</v>
      </c>
      <c r="M449" s="62">
        <f t="shared" si="2590"/>
        <v>0.49999999830827063</v>
      </c>
      <c r="N449" s="62">
        <f t="shared" si="2590"/>
        <v>0.49999999819548863</v>
      </c>
      <c r="O449" s="62">
        <f t="shared" si="2590"/>
        <v>0.49999999812030066</v>
      </c>
      <c r="P449" s="62">
        <f t="shared" si="2590"/>
        <v>0.4999999980665949</v>
      </c>
      <c r="Q449" s="62">
        <f t="shared" si="2590"/>
        <v>0.49999999802631556</v>
      </c>
      <c r="R449" s="62">
        <f t="shared" si="2590"/>
        <v>0.49999999799498723</v>
      </c>
      <c r="S449" s="62">
        <f t="shared" si="2590"/>
        <v>0.49999999796992456</v>
      </c>
      <c r="T449" s="62">
        <f t="shared" si="2590"/>
        <v>0.49999999794941874</v>
      </c>
      <c r="U449" s="62">
        <f t="shared" si="2590"/>
        <v>0.49999999793233058</v>
      </c>
      <c r="V449" s="62">
        <f t="shared" si="2590"/>
        <v>0.50001503804625702</v>
      </c>
      <c r="W449" s="62">
        <f t="shared" si="2590"/>
        <v>0.50001496285602576</v>
      </c>
      <c r="X449" s="62">
        <f t="shared" si="2590"/>
        <v>0.5000149377926153</v>
      </c>
      <c r="Y449" s="62">
        <f t="shared" si="2590"/>
        <v>0.50001492526091018</v>
      </c>
      <c r="Z449" s="62">
        <f t="shared" si="2590"/>
        <v>0.50001491774188711</v>
      </c>
      <c r="AA449" s="62">
        <f t="shared" si="2590"/>
        <v>0.50001491272920495</v>
      </c>
      <c r="AB449" s="62">
        <f t="shared" si="2590"/>
        <v>0.50001490914871782</v>
      </c>
      <c r="AC449" s="62">
        <f t="shared" si="2590"/>
        <v>0.50001490646335234</v>
      </c>
      <c r="AD449" s="62">
        <f t="shared" si="2590"/>
        <v>0.50001490437473484</v>
      </c>
      <c r="AE449" s="62">
        <f t="shared" si="2590"/>
        <v>0.50001490270384086</v>
      </c>
      <c r="AF449" s="62">
        <f t="shared" si="2590"/>
        <v>0.50001490133674575</v>
      </c>
      <c r="AG449" s="62">
        <f t="shared" si="2590"/>
        <v>0.50001490019749972</v>
      </c>
      <c r="AH449" s="62">
        <f t="shared" si="2590"/>
        <v>0.25</v>
      </c>
      <c r="AI449" s="62">
        <f t="shared" si="2590"/>
        <v>0.25</v>
      </c>
      <c r="AJ449" s="62" t="e">
        <f t="shared" si="2590"/>
        <v>#DIV/0!</v>
      </c>
      <c r="AK449" s="412"/>
      <c r="AL449" s="14">
        <f t="shared" ref="AL449:BL449" si="2591">AL406/AL405</f>
        <v>0.5</v>
      </c>
      <c r="AM449" s="14">
        <f t="shared" si="2591"/>
        <v>0.49999999774436105</v>
      </c>
      <c r="AN449" s="14">
        <f t="shared" si="2591"/>
        <v>0.49999999774436071</v>
      </c>
      <c r="AO449" s="14">
        <f t="shared" si="2591"/>
        <v>0.49999999774436071</v>
      </c>
      <c r="AP449" s="14">
        <f t="shared" si="2591"/>
        <v>0.49999999774436071</v>
      </c>
      <c r="AQ449" s="14">
        <f t="shared" si="2591"/>
        <v>0.49999999774436071</v>
      </c>
      <c r="AR449" s="14">
        <f t="shared" si="2591"/>
        <v>0.49999999774436038</v>
      </c>
      <c r="AS449" s="14">
        <f t="shared" si="2591"/>
        <v>0.49999999774436038</v>
      </c>
      <c r="AT449" s="14">
        <f t="shared" si="2591"/>
        <v>0.49999999774436038</v>
      </c>
      <c r="AU449" s="14">
        <f t="shared" si="2591"/>
        <v>0.49999999774436038</v>
      </c>
      <c r="AV449" s="14">
        <f t="shared" si="2591"/>
        <v>0.49999999774436038</v>
      </c>
      <c r="AW449" s="14">
        <f t="shared" si="2591"/>
        <v>0.49999999774436105</v>
      </c>
      <c r="AX449" s="14">
        <f t="shared" si="2591"/>
        <v>0.24999248120300752</v>
      </c>
      <c r="AY449" s="14">
        <f t="shared" si="2591"/>
        <v>0.24999248120300752</v>
      </c>
      <c r="AZ449" s="14">
        <f t="shared" si="2591"/>
        <v>0.24999248120300754</v>
      </c>
      <c r="BA449" s="14">
        <f t="shared" si="2591"/>
        <v>0.24999248120300746</v>
      </c>
      <c r="BB449" s="14">
        <f t="shared" si="2591"/>
        <v>0.24999248120300746</v>
      </c>
      <c r="BC449" s="14">
        <f t="shared" si="2591"/>
        <v>0.24999248120300763</v>
      </c>
      <c r="BD449" s="14">
        <f t="shared" si="2591"/>
        <v>0.24999248120300746</v>
      </c>
      <c r="BE449" s="14">
        <f t="shared" si="2591"/>
        <v>0.24999248120300746</v>
      </c>
      <c r="BF449" s="14">
        <f t="shared" si="2591"/>
        <v>0.24999248120300746</v>
      </c>
      <c r="BG449" s="14">
        <f t="shared" si="2591"/>
        <v>0.24999248120300746</v>
      </c>
      <c r="BH449" s="14">
        <f t="shared" si="2591"/>
        <v>0.24999248120300746</v>
      </c>
      <c r="BI449" s="14">
        <f t="shared" si="2591"/>
        <v>0.24999248120300779</v>
      </c>
      <c r="BJ449" s="14">
        <f t="shared" si="2591"/>
        <v>0.25</v>
      </c>
      <c r="BK449" s="14">
        <f t="shared" si="2591"/>
        <v>0.25</v>
      </c>
      <c r="BL449" s="14" t="e">
        <f t="shared" si="2591"/>
        <v>#DIV/0!</v>
      </c>
      <c r="BM449" s="412"/>
      <c r="BN449" s="14">
        <f t="shared" ref="BN449:CN449" si="2592">BN406/BN405</f>
        <v>0.49999999849624061</v>
      </c>
      <c r="BO449" s="14">
        <f t="shared" si="2592"/>
        <v>0.49999999849624061</v>
      </c>
      <c r="BP449" s="14">
        <f t="shared" si="2592"/>
        <v>0.49999999849624061</v>
      </c>
      <c r="BQ449" s="14">
        <f t="shared" si="2592"/>
        <v>0.49999999774436071</v>
      </c>
      <c r="BR449" s="14">
        <f t="shared" si="2592"/>
        <v>0.49999999774436071</v>
      </c>
      <c r="BS449" s="14">
        <f t="shared" si="2592"/>
        <v>0.49999999774436071</v>
      </c>
      <c r="BT449" s="14">
        <f t="shared" si="2592"/>
        <v>0.49999999774436038</v>
      </c>
      <c r="BU449" s="14">
        <f t="shared" si="2592"/>
        <v>0.49999999774436038</v>
      </c>
      <c r="BV449" s="14">
        <f t="shared" si="2592"/>
        <v>0.49999999774436038</v>
      </c>
      <c r="BW449" s="14">
        <f t="shared" si="2592"/>
        <v>0.4999999977443606</v>
      </c>
      <c r="BX449" s="14">
        <f t="shared" si="2592"/>
        <v>0.4999999977443606</v>
      </c>
      <c r="BY449" s="14">
        <f t="shared" si="2592"/>
        <v>0.4999999977443606</v>
      </c>
      <c r="BZ449" s="14">
        <f t="shared" si="2592"/>
        <v>0.24999248120300754</v>
      </c>
      <c r="CA449" s="14">
        <f t="shared" si="2592"/>
        <v>0.24999248120300754</v>
      </c>
      <c r="CB449" s="14">
        <f t="shared" si="2592"/>
        <v>0.25</v>
      </c>
      <c r="CC449" s="14">
        <f t="shared" si="2592"/>
        <v>0.25</v>
      </c>
      <c r="CD449" s="14">
        <f t="shared" si="2592"/>
        <v>0.25</v>
      </c>
      <c r="CE449" s="14">
        <f t="shared" si="2592"/>
        <v>0.24999248120300754</v>
      </c>
      <c r="CF449" s="14">
        <f t="shared" si="2592"/>
        <v>0.24999248120300749</v>
      </c>
      <c r="CG449" s="14">
        <f t="shared" si="2592"/>
        <v>0.24999248120300749</v>
      </c>
      <c r="CH449" s="14">
        <f t="shared" si="2592"/>
        <v>0.24999248120300749</v>
      </c>
      <c r="CI449" s="14">
        <f t="shared" si="2592"/>
        <v>0.2499924812030076</v>
      </c>
      <c r="CJ449" s="14">
        <f t="shared" si="2592"/>
        <v>0.2499924812030076</v>
      </c>
      <c r="CK449" s="14">
        <f t="shared" si="2592"/>
        <v>0.2499924812030076</v>
      </c>
      <c r="CL449" s="14">
        <f t="shared" si="2592"/>
        <v>0.25</v>
      </c>
      <c r="CM449" s="14">
        <f t="shared" si="2592"/>
        <v>0.25</v>
      </c>
      <c r="CN449" s="14">
        <f t="shared" si="2592"/>
        <v>0.25</v>
      </c>
      <c r="CO449" s="412"/>
      <c r="CP449" s="14">
        <f t="shared" ref="CP449:DP449" si="2593">CP406/CP405</f>
        <v>0.78195488721804518</v>
      </c>
      <c r="CQ449" s="14">
        <f t="shared" si="2593"/>
        <v>0.4999999988721805</v>
      </c>
      <c r="CR449" s="14">
        <f t="shared" si="2593"/>
        <v>0.49999999849624061</v>
      </c>
      <c r="CS449" s="14">
        <f t="shared" si="2593"/>
        <v>0.49999999830827063</v>
      </c>
      <c r="CT449" s="14">
        <f t="shared" si="2593"/>
        <v>0.49999999819548863</v>
      </c>
      <c r="CU449" s="14">
        <f t="shared" si="2593"/>
        <v>0.49999999812030066</v>
      </c>
      <c r="CV449" s="14">
        <f t="shared" si="2593"/>
        <v>0.4999999980665949</v>
      </c>
      <c r="CW449" s="14">
        <f t="shared" si="2593"/>
        <v>0.49999999802631556</v>
      </c>
      <c r="CX449" s="14">
        <f t="shared" si="2593"/>
        <v>0.49999999799498723</v>
      </c>
      <c r="CY449" s="14">
        <f t="shared" si="2593"/>
        <v>0.49999999796992456</v>
      </c>
      <c r="CZ449" s="14">
        <f t="shared" si="2593"/>
        <v>0.49999999794941874</v>
      </c>
      <c r="DA449" s="14">
        <f t="shared" si="2593"/>
        <v>0.49999999793233058</v>
      </c>
      <c r="DB449" s="14">
        <f t="shared" si="2593"/>
        <v>0.24999248120300752</v>
      </c>
      <c r="DC449" s="14">
        <f t="shared" si="2593"/>
        <v>0.24999060157442421</v>
      </c>
      <c r="DD449" s="14">
        <f t="shared" si="2593"/>
        <v>0.24998997503784423</v>
      </c>
      <c r="DE449" s="14">
        <f t="shared" si="2593"/>
        <v>0.2499896617707319</v>
      </c>
      <c r="DF449" s="14">
        <f t="shared" si="2593"/>
        <v>0.24998947381084136</v>
      </c>
      <c r="DG449" s="14">
        <f t="shared" si="2593"/>
        <v>0.24998934850440474</v>
      </c>
      <c r="DH449" s="14">
        <f t="shared" si="2593"/>
        <v>0.249989258999884</v>
      </c>
      <c r="DI449" s="14">
        <f t="shared" si="2593"/>
        <v>0.24998919187153554</v>
      </c>
      <c r="DJ449" s="14">
        <f t="shared" si="2593"/>
        <v>0.24998913966062275</v>
      </c>
      <c r="DK449" s="14">
        <f t="shared" si="2593"/>
        <v>0.24998909789190821</v>
      </c>
      <c r="DL449" s="14">
        <f t="shared" si="2593"/>
        <v>0.24998906371751581</v>
      </c>
      <c r="DM449" s="14">
        <f t="shared" si="2593"/>
        <v>0.24998903523886262</v>
      </c>
      <c r="DN449" s="14">
        <f t="shared" si="2593"/>
        <v>0.25</v>
      </c>
      <c r="DO449" s="14">
        <f t="shared" si="2593"/>
        <v>0.25</v>
      </c>
      <c r="DP449" s="14">
        <f t="shared" si="2593"/>
        <v>0.16666666666666666</v>
      </c>
      <c r="DQ449" s="14"/>
      <c r="DR449" s="14"/>
      <c r="DS449" s="14"/>
      <c r="DT449" s="14"/>
      <c r="DU449" s="14"/>
      <c r="DV449" s="14"/>
      <c r="DW449" s="14"/>
      <c r="DX449" s="14"/>
      <c r="DY449" s="14"/>
      <c r="DZ449" s="14"/>
      <c r="EA449" s="14">
        <f>EA406/EA405</f>
        <v>0.49999999793233058</v>
      </c>
      <c r="EB449" s="14">
        <f>EB406/EB405</f>
        <v>0.24998903523886262</v>
      </c>
      <c r="EC449" s="14"/>
      <c r="ED449" s="429"/>
      <c r="EE449" s="14">
        <f>EE406/EE405</f>
        <v>0.25</v>
      </c>
      <c r="EF449" s="14">
        <f>EF406/EF405</f>
        <v>0.25</v>
      </c>
      <c r="EG449" s="14">
        <f>EG406/EG405</f>
        <v>0.24998903523886262</v>
      </c>
      <c r="EK449" s="24"/>
      <c r="EL449" s="47"/>
      <c r="EM449" s="47"/>
      <c r="EN449" s="47"/>
    </row>
    <row r="450" spans="1:149">
      <c r="A450" s="6" t="s">
        <v>23</v>
      </c>
      <c r="B450" s="2" t="s">
        <v>25</v>
      </c>
      <c r="C450" s="3" t="s">
        <v>75</v>
      </c>
      <c r="E450" s="4" t="str">
        <f>C419</f>
        <v>BSEE</v>
      </c>
      <c r="F450" s="4" t="s">
        <v>31</v>
      </c>
      <c r="G450" s="28" t="str">
        <f>C418</f>
        <v>BSUniq</v>
      </c>
      <c r="H450" s="28"/>
      <c r="I450" s="28"/>
      <c r="J450" s="62">
        <f t="shared" ref="J450:AJ450" si="2594">J419/J418</f>
        <v>0.26680000000000009</v>
      </c>
      <c r="K450" s="62">
        <f t="shared" si="2594"/>
        <v>0.26680000000000009</v>
      </c>
      <c r="L450" s="62">
        <f t="shared" si="2594"/>
        <v>0.26680000000000009</v>
      </c>
      <c r="M450" s="62">
        <f t="shared" si="2594"/>
        <v>0.3066666666666667</v>
      </c>
      <c r="N450" s="62">
        <f t="shared" si="2594"/>
        <v>0.30666666656000002</v>
      </c>
      <c r="O450" s="62">
        <f t="shared" si="2594"/>
        <v>0.30666666655999997</v>
      </c>
      <c r="P450" s="62">
        <f t="shared" si="2594"/>
        <v>0.30666666656000008</v>
      </c>
      <c r="Q450" s="62">
        <f t="shared" si="2594"/>
        <v>0.30666666656000008</v>
      </c>
      <c r="R450" s="62">
        <f t="shared" si="2594"/>
        <v>0.30666666656000008</v>
      </c>
      <c r="S450" s="62">
        <f t="shared" si="2594"/>
        <v>0.30666666656000008</v>
      </c>
      <c r="T450" s="62">
        <f t="shared" si="2594"/>
        <v>0.30666666656000008</v>
      </c>
      <c r="U450" s="62">
        <f t="shared" si="2594"/>
        <v>0.30666666656000008</v>
      </c>
      <c r="V450" s="62">
        <f t="shared" si="2594"/>
        <v>0.23232323224242429</v>
      </c>
      <c r="W450" s="62">
        <f t="shared" si="2594"/>
        <v>0.11616161612121215</v>
      </c>
      <c r="X450" s="62">
        <f t="shared" si="2594"/>
        <v>7.7441077414141427E-2</v>
      </c>
      <c r="Y450" s="62">
        <f t="shared" si="2594"/>
        <v>9.0400000000000008E-2</v>
      </c>
      <c r="Z450" s="62">
        <f t="shared" si="2594"/>
        <v>7.2319999999999995E-2</v>
      </c>
      <c r="AA450" s="62">
        <f t="shared" si="2594"/>
        <v>6.0266666666666684E-2</v>
      </c>
      <c r="AB450" s="62">
        <f t="shared" si="2594"/>
        <v>5.1657142857142846E-2</v>
      </c>
      <c r="AC450" s="62">
        <f t="shared" si="2594"/>
        <v>4.519999999999999E-2</v>
      </c>
      <c r="AD450" s="62">
        <f t="shared" si="2594"/>
        <v>4.0177777777777771E-2</v>
      </c>
      <c r="AE450" s="62">
        <f t="shared" si="2594"/>
        <v>3.6159999999999991E-2</v>
      </c>
      <c r="AF450" s="62">
        <f t="shared" si="2594"/>
        <v>3.2872727272727269E-2</v>
      </c>
      <c r="AG450" s="62">
        <f t="shared" si="2594"/>
        <v>3.0133333333333356E-2</v>
      </c>
      <c r="AH450" s="62">
        <f t="shared" si="2594"/>
        <v>0.39775999999999989</v>
      </c>
      <c r="AI450" s="62">
        <f t="shared" si="2594"/>
        <v>0.19887999999999995</v>
      </c>
      <c r="AJ450" s="62" t="e">
        <f t="shared" si="2594"/>
        <v>#DIV/0!</v>
      </c>
      <c r="AK450" s="412"/>
      <c r="AL450" s="14">
        <f t="shared" ref="AL450:BL450" si="2595">AL419/AL418</f>
        <v>0.26680000000000009</v>
      </c>
      <c r="AM450" s="14">
        <f t="shared" si="2595"/>
        <v>0.26680000000000009</v>
      </c>
      <c r="AN450" s="14">
        <f t="shared" si="2595"/>
        <v>0.26680000000000009</v>
      </c>
      <c r="AO450" s="14">
        <f t="shared" si="2595"/>
        <v>0.3066666666666667</v>
      </c>
      <c r="AP450" s="14">
        <f t="shared" si="2595"/>
        <v>0.30666666656000002</v>
      </c>
      <c r="AQ450" s="14">
        <f t="shared" si="2595"/>
        <v>0.30666666655999997</v>
      </c>
      <c r="AR450" s="14">
        <f t="shared" si="2595"/>
        <v>0.30666666656000008</v>
      </c>
      <c r="AS450" s="14">
        <f t="shared" si="2595"/>
        <v>0.30666666656000008</v>
      </c>
      <c r="AT450" s="14">
        <f t="shared" si="2595"/>
        <v>0.30666666656000008</v>
      </c>
      <c r="AU450" s="14">
        <f t="shared" si="2595"/>
        <v>0.30666666656000008</v>
      </c>
      <c r="AV450" s="14">
        <f t="shared" si="2595"/>
        <v>0.30666666656000008</v>
      </c>
      <c r="AW450" s="14">
        <f t="shared" si="2595"/>
        <v>0.30666666656000008</v>
      </c>
      <c r="AX450" s="14">
        <f t="shared" si="2595"/>
        <v>0.23232323224242429</v>
      </c>
      <c r="AY450" s="14">
        <f t="shared" si="2595"/>
        <v>0.23232323224242429</v>
      </c>
      <c r="AZ450" s="14">
        <f t="shared" si="2595"/>
        <v>0.23232323224242429</v>
      </c>
      <c r="BA450" s="14">
        <f t="shared" si="2595"/>
        <v>0.36160000000000003</v>
      </c>
      <c r="BB450" s="14">
        <f t="shared" si="2595"/>
        <v>0.36160000000000003</v>
      </c>
      <c r="BC450" s="14">
        <f t="shared" si="2595"/>
        <v>0.36160000000000009</v>
      </c>
      <c r="BD450" s="14">
        <f t="shared" si="2595"/>
        <v>0.36159999999999992</v>
      </c>
      <c r="BE450" s="14">
        <f t="shared" si="2595"/>
        <v>0.36159999999999992</v>
      </c>
      <c r="BF450" s="14">
        <f t="shared" si="2595"/>
        <v>0.36159999999999992</v>
      </c>
      <c r="BG450" s="14">
        <f t="shared" si="2595"/>
        <v>0.36159999999999992</v>
      </c>
      <c r="BH450" s="14">
        <f t="shared" si="2595"/>
        <v>0.36159999999999992</v>
      </c>
      <c r="BI450" s="14">
        <f t="shared" si="2595"/>
        <v>0.36160000000000025</v>
      </c>
      <c r="BJ450" s="14">
        <f t="shared" si="2595"/>
        <v>0.39252631578947361</v>
      </c>
      <c r="BK450" s="14">
        <f t="shared" si="2595"/>
        <v>0.39775999999999989</v>
      </c>
      <c r="BL450" s="14">
        <f t="shared" si="2595"/>
        <v>-0.19887999999999995</v>
      </c>
      <c r="BM450" s="412"/>
      <c r="BN450" s="14">
        <f t="shared" ref="BN450:CN450" si="2596">BN419/BN418</f>
        <v>0.26680000000000009</v>
      </c>
      <c r="BO450" s="14">
        <f t="shared" si="2596"/>
        <v>0.26680000000000009</v>
      </c>
      <c r="BP450" s="14">
        <f t="shared" si="2596"/>
        <v>0.26680000000000009</v>
      </c>
      <c r="BQ450" s="14">
        <f t="shared" si="2596"/>
        <v>0.3066666666666667</v>
      </c>
      <c r="BR450" s="14">
        <f t="shared" si="2596"/>
        <v>0.30666666661333336</v>
      </c>
      <c r="BS450" s="14">
        <f t="shared" si="2596"/>
        <v>0.30666666659555553</v>
      </c>
      <c r="BT450" s="14">
        <f t="shared" si="2596"/>
        <v>0.30666666656000008</v>
      </c>
      <c r="BU450" s="14">
        <f t="shared" si="2596"/>
        <v>0.30666666656000008</v>
      </c>
      <c r="BV450" s="14">
        <f t="shared" si="2596"/>
        <v>0.30666666656000008</v>
      </c>
      <c r="BW450" s="14">
        <f t="shared" si="2596"/>
        <v>0.30666666656000008</v>
      </c>
      <c r="BX450" s="14">
        <f t="shared" si="2596"/>
        <v>0.30666666656000008</v>
      </c>
      <c r="BY450" s="14">
        <f t="shared" si="2596"/>
        <v>0.30666666656000008</v>
      </c>
      <c r="BZ450" s="14">
        <f t="shared" si="2596"/>
        <v>7.7284946209677435E-2</v>
      </c>
      <c r="CA450" s="14">
        <f t="shared" si="2596"/>
        <v>0.15456989241935487</v>
      </c>
      <c r="CB450" s="14">
        <f t="shared" si="2596"/>
        <v>0.23232323224242429</v>
      </c>
      <c r="CC450" s="14">
        <f t="shared" si="2596"/>
        <v>6.0145161290322581E-2</v>
      </c>
      <c r="CD450" s="14">
        <f t="shared" si="2596"/>
        <v>0.12029032258064516</v>
      </c>
      <c r="CE450" s="14">
        <f t="shared" si="2596"/>
        <v>0.18080000000000002</v>
      </c>
      <c r="CF450" s="14">
        <f t="shared" si="2596"/>
        <v>4.0204851752021556E-2</v>
      </c>
      <c r="CG450" s="14">
        <f t="shared" si="2596"/>
        <v>8.0409703504043112E-2</v>
      </c>
      <c r="CH450" s="14">
        <f t="shared" si="2596"/>
        <v>0.12053333333333331</v>
      </c>
      <c r="CI450" s="14">
        <f t="shared" si="2596"/>
        <v>3.0133333333333328E-2</v>
      </c>
      <c r="CJ450" s="14">
        <f t="shared" si="2596"/>
        <v>6.0266666666666656E-2</v>
      </c>
      <c r="CK450" s="14">
        <f t="shared" si="2596"/>
        <v>9.0400000000000008E-2</v>
      </c>
      <c r="CL450" s="14">
        <f t="shared" si="2596"/>
        <v>0.13258666666666663</v>
      </c>
      <c r="CM450" s="14">
        <f t="shared" si="2596"/>
        <v>0.19887999999999995</v>
      </c>
      <c r="CN450" s="14">
        <f t="shared" si="2596"/>
        <v>0.39775999999999989</v>
      </c>
      <c r="CO450" s="412"/>
      <c r="CP450" s="14">
        <f t="shared" ref="CP450:DP450" si="2597">CP419/CP418</f>
        <v>0.26680000000000009</v>
      </c>
      <c r="CQ450" s="14">
        <f t="shared" si="2597"/>
        <v>0.26680000000000009</v>
      </c>
      <c r="CR450" s="14">
        <f t="shared" si="2597"/>
        <v>0.26680000000000009</v>
      </c>
      <c r="CS450" s="14">
        <f t="shared" si="2597"/>
        <v>0.27852549019607853</v>
      </c>
      <c r="CT450" s="14">
        <f t="shared" si="2597"/>
        <v>0.28492121209696974</v>
      </c>
      <c r="CU450" s="14">
        <f t="shared" si="2597"/>
        <v>0.288948148108642</v>
      </c>
      <c r="CV450" s="14">
        <f t="shared" si="2597"/>
        <v>0.29171666661666668</v>
      </c>
      <c r="CW450" s="14">
        <f t="shared" si="2597"/>
        <v>0.29373693687927932</v>
      </c>
      <c r="CX450" s="14">
        <f t="shared" si="2597"/>
        <v>0.29527619041269848</v>
      </c>
      <c r="CY450" s="14">
        <f t="shared" si="2597"/>
        <v>0.29648794319432631</v>
      </c>
      <c r="CZ450" s="14">
        <f t="shared" si="2597"/>
        <v>0.29746666659487186</v>
      </c>
      <c r="DA450" s="14">
        <f t="shared" si="2597"/>
        <v>0.29827368413567257</v>
      </c>
      <c r="DB450" s="14">
        <f t="shared" si="2597"/>
        <v>0.23232323224242429</v>
      </c>
      <c r="DC450" s="14">
        <f t="shared" si="2597"/>
        <v>0.23232323224242429</v>
      </c>
      <c r="DD450" s="14">
        <f t="shared" si="2597"/>
        <v>0.23232323224242429</v>
      </c>
      <c r="DE450" s="14">
        <f t="shared" si="2597"/>
        <v>0.26464242418181821</v>
      </c>
      <c r="DF450" s="14">
        <f t="shared" si="2597"/>
        <v>0.28403393934545457</v>
      </c>
      <c r="DG450" s="14">
        <f t="shared" si="2597"/>
        <v>0.29696161612121219</v>
      </c>
      <c r="DH450" s="14">
        <f t="shared" si="2597"/>
        <v>0.306195670961039</v>
      </c>
      <c r="DI450" s="14">
        <f t="shared" si="2597"/>
        <v>0.3131212120909091</v>
      </c>
      <c r="DJ450" s="14">
        <f t="shared" si="2597"/>
        <v>0.31850774408080806</v>
      </c>
      <c r="DK450" s="14">
        <f t="shared" si="2597"/>
        <v>0.32281696967272727</v>
      </c>
      <c r="DL450" s="14">
        <f t="shared" si="2597"/>
        <v>0.32634269970247931</v>
      </c>
      <c r="DM450" s="14">
        <f t="shared" si="2597"/>
        <v>0.32928080806060611</v>
      </c>
      <c r="DN450" s="14">
        <f t="shared" si="2597"/>
        <v>0.39252631578947361</v>
      </c>
      <c r="DO450" s="14">
        <f t="shared" si="2597"/>
        <v>0.39512582781456945</v>
      </c>
      <c r="DP450" s="14">
        <f t="shared" si="2597"/>
        <v>89.495999999999981</v>
      </c>
      <c r="DQ450" s="14"/>
      <c r="DR450" s="14"/>
      <c r="DS450" s="14"/>
      <c r="DT450" s="14"/>
      <c r="DU450" s="14"/>
      <c r="DV450" s="14"/>
      <c r="DW450" s="14"/>
      <c r="DX450" s="14"/>
      <c r="DY450" s="14"/>
      <c r="DZ450" s="14"/>
      <c r="EA450" s="14">
        <f>EA419/EA418</f>
        <v>0.29827368413567257</v>
      </c>
      <c r="EB450" s="14">
        <f>EB419/EB418</f>
        <v>0.32928080806060611</v>
      </c>
      <c r="EC450" s="14"/>
      <c r="ED450" s="429"/>
      <c r="EE450" s="14">
        <f>EE419/EE418</f>
        <v>0.39775999999999989</v>
      </c>
      <c r="EF450" s="14">
        <f>EF419/EF418</f>
        <v>0.19887999999999995</v>
      </c>
      <c r="EG450" s="14">
        <f>+EF450</f>
        <v>0.19887999999999995</v>
      </c>
      <c r="EK450" s="24"/>
      <c r="EL450" s="47"/>
      <c r="EM450" s="47"/>
      <c r="EN450" s="47"/>
    </row>
    <row r="451" spans="1:149">
      <c r="A451" s="6" t="s">
        <v>23</v>
      </c>
      <c r="B451" s="2" t="s">
        <v>160</v>
      </c>
      <c r="C451" s="3" t="s">
        <v>76</v>
      </c>
      <c r="E451" s="3" t="str">
        <f>C408</f>
        <v>BSatRate</v>
      </c>
      <c r="F451" s="3" t="s">
        <v>32</v>
      </c>
      <c r="G451" s="28" t="str">
        <f>C405</f>
        <v>BAllNew</v>
      </c>
      <c r="H451" s="63" t="s">
        <v>31</v>
      </c>
      <c r="I451" s="28" t="str">
        <f>C407</f>
        <v>BSatResp</v>
      </c>
      <c r="J451" s="62">
        <f t="shared" ref="J451:AJ451" si="2598">J408*J407/J405</f>
        <v>0.22500000000000003</v>
      </c>
      <c r="K451" s="62">
        <f t="shared" si="2598"/>
        <v>0.11249999991541355</v>
      </c>
      <c r="L451" s="62">
        <f t="shared" si="2598"/>
        <v>7.499999992481203E-2</v>
      </c>
      <c r="M451" s="62">
        <f t="shared" si="2598"/>
        <v>5.6249999936560151E-2</v>
      </c>
      <c r="N451" s="62">
        <f t="shared" si="2598"/>
        <v>4.4999999945864663E-2</v>
      </c>
      <c r="O451" s="62">
        <f t="shared" si="2598"/>
        <v>3.7499999953007519E-2</v>
      </c>
      <c r="P451" s="62">
        <f t="shared" si="2598"/>
        <v>3.2142857101427037E-2</v>
      </c>
      <c r="Q451" s="62">
        <f t="shared" si="2598"/>
        <v>2.8124999962993419E-2</v>
      </c>
      <c r="R451" s="62">
        <f t="shared" si="2598"/>
        <v>2.4999999966583121E-2</v>
      </c>
      <c r="S451" s="62">
        <f t="shared" si="2598"/>
        <v>2.2499999969548868E-2</v>
      </c>
      <c r="T451" s="62">
        <f t="shared" si="2598"/>
        <v>2.0454545426582985E-2</v>
      </c>
      <c r="U451" s="62">
        <f t="shared" si="2598"/>
        <v>1.8749999974154136E-2</v>
      </c>
      <c r="V451" s="62">
        <f t="shared" si="2598"/>
        <v>0.17143372733014525</v>
      </c>
      <c r="W451" s="62">
        <f t="shared" si="2598"/>
        <v>0.17143372733014525</v>
      </c>
      <c r="X451" s="62">
        <f t="shared" si="2598"/>
        <v>0.17143372733014522</v>
      </c>
      <c r="Y451" s="62">
        <f t="shared" si="2598"/>
        <v>0.17143372733014525</v>
      </c>
      <c r="Z451" s="62">
        <f t="shared" si="2598"/>
        <v>0.17143372733014528</v>
      </c>
      <c r="AA451" s="62">
        <f t="shared" si="2598"/>
        <v>0.17143372733014522</v>
      </c>
      <c r="AB451" s="62">
        <f t="shared" si="2598"/>
        <v>0.17143372733014525</v>
      </c>
      <c r="AC451" s="62">
        <f t="shared" si="2598"/>
        <v>0.17143372733014525</v>
      </c>
      <c r="AD451" s="62">
        <f t="shared" si="2598"/>
        <v>0.17143372733014525</v>
      </c>
      <c r="AE451" s="62">
        <f t="shared" si="2598"/>
        <v>0.17143372733014528</v>
      </c>
      <c r="AF451" s="62">
        <f t="shared" si="2598"/>
        <v>0.17143372733014525</v>
      </c>
      <c r="AG451" s="62">
        <f t="shared" si="2598"/>
        <v>0.17143372733014522</v>
      </c>
      <c r="AH451" s="62">
        <f t="shared" si="2598"/>
        <v>0</v>
      </c>
      <c r="AI451" s="62">
        <f t="shared" si="2598"/>
        <v>0</v>
      </c>
      <c r="AJ451" s="62" t="e">
        <f t="shared" si="2598"/>
        <v>#DIV/0!</v>
      </c>
      <c r="AK451" s="412"/>
      <c r="AL451" s="14">
        <f t="shared" ref="AL451:BL451" si="2599">AL408*AL407/AL405</f>
        <v>0.22500000000000003</v>
      </c>
      <c r="AM451" s="14">
        <f t="shared" si="2599"/>
        <v>0.22499999966165421</v>
      </c>
      <c r="AN451" s="14">
        <f t="shared" si="2599"/>
        <v>0.2249999996616541</v>
      </c>
      <c r="AO451" s="14">
        <f t="shared" si="2599"/>
        <v>0.2249999996616541</v>
      </c>
      <c r="AP451" s="14">
        <f t="shared" si="2599"/>
        <v>0.2249999996616541</v>
      </c>
      <c r="AQ451" s="14">
        <f t="shared" si="2599"/>
        <v>0.2249999996616541</v>
      </c>
      <c r="AR451" s="14">
        <f t="shared" si="2599"/>
        <v>0.2249999996616541</v>
      </c>
      <c r="AS451" s="14">
        <f t="shared" si="2599"/>
        <v>0.2249999996616541</v>
      </c>
      <c r="AT451" s="14">
        <f t="shared" si="2599"/>
        <v>0.2249999996616541</v>
      </c>
      <c r="AU451" s="14">
        <f t="shared" si="2599"/>
        <v>0.2249999996616541</v>
      </c>
      <c r="AV451" s="14">
        <f t="shared" si="2599"/>
        <v>0.2249999996616541</v>
      </c>
      <c r="AW451" s="14">
        <f t="shared" si="2599"/>
        <v>0.22499999966165438</v>
      </c>
      <c r="AX451" s="14">
        <f t="shared" si="2599"/>
        <v>0.1714285714285714</v>
      </c>
      <c r="AY451" s="14">
        <f t="shared" si="2599"/>
        <v>0.1714285714285714</v>
      </c>
      <c r="AZ451" s="14">
        <f t="shared" si="2599"/>
        <v>0.1714285714285714</v>
      </c>
      <c r="BA451" s="14">
        <f t="shared" si="2599"/>
        <v>0.1714285714285714</v>
      </c>
      <c r="BB451" s="14">
        <f t="shared" si="2599"/>
        <v>0.1714285714285714</v>
      </c>
      <c r="BC451" s="14">
        <f t="shared" si="2599"/>
        <v>0.1714285714285714</v>
      </c>
      <c r="BD451" s="14">
        <f t="shared" si="2599"/>
        <v>0.1714285714285714</v>
      </c>
      <c r="BE451" s="14">
        <f t="shared" si="2599"/>
        <v>0.1714285714285714</v>
      </c>
      <c r="BF451" s="14">
        <f t="shared" si="2599"/>
        <v>0.1714285714285714</v>
      </c>
      <c r="BG451" s="14">
        <f t="shared" si="2599"/>
        <v>0.1714285714285714</v>
      </c>
      <c r="BH451" s="14">
        <f t="shared" si="2599"/>
        <v>0.1714285714285714</v>
      </c>
      <c r="BI451" s="14">
        <f t="shared" si="2599"/>
        <v>0.1714285714285714</v>
      </c>
      <c r="BJ451" s="14">
        <f t="shared" si="2599"/>
        <v>0</v>
      </c>
      <c r="BK451" s="14">
        <f t="shared" si="2599"/>
        <v>0</v>
      </c>
      <c r="BL451" s="14" t="e">
        <f t="shared" si="2599"/>
        <v>#DIV/0!</v>
      </c>
      <c r="BM451" s="412"/>
      <c r="BN451" s="14">
        <f t="shared" ref="BN451:CN451" si="2600">BN408*BN407/BN405</f>
        <v>0.2249999997744361</v>
      </c>
      <c r="BO451" s="14">
        <f t="shared" si="2600"/>
        <v>0.2249999997744361</v>
      </c>
      <c r="BP451" s="14">
        <f t="shared" si="2600"/>
        <v>0.2249999997744361</v>
      </c>
      <c r="BQ451" s="14">
        <f t="shared" si="2600"/>
        <v>0.2249999996616541</v>
      </c>
      <c r="BR451" s="14">
        <f t="shared" si="2600"/>
        <v>0.2249999996616541</v>
      </c>
      <c r="BS451" s="14">
        <f t="shared" si="2600"/>
        <v>0.2249999996616541</v>
      </c>
      <c r="BT451" s="14">
        <f t="shared" si="2600"/>
        <v>0.2249999996616541</v>
      </c>
      <c r="BU451" s="14">
        <f t="shared" si="2600"/>
        <v>0.2249999996616541</v>
      </c>
      <c r="BV451" s="14">
        <f t="shared" si="2600"/>
        <v>0.2249999996616541</v>
      </c>
      <c r="BW451" s="14">
        <f t="shared" si="2600"/>
        <v>0.22499999966165418</v>
      </c>
      <c r="BX451" s="14">
        <f t="shared" si="2600"/>
        <v>0.22499999966165418</v>
      </c>
      <c r="BY451" s="14">
        <f t="shared" si="2600"/>
        <v>0.22499999966165418</v>
      </c>
      <c r="BZ451" s="14">
        <f t="shared" si="2600"/>
        <v>0.1714285714285714</v>
      </c>
      <c r="CA451" s="14">
        <f t="shared" si="2600"/>
        <v>0.1714285714285714</v>
      </c>
      <c r="CB451" s="14">
        <f t="shared" si="2600"/>
        <v>0.17143372733014522</v>
      </c>
      <c r="CC451" s="14">
        <f t="shared" si="2600"/>
        <v>0.51430118199043573</v>
      </c>
      <c r="CD451" s="14">
        <f t="shared" si="2600"/>
        <v>0.51430118199043573</v>
      </c>
      <c r="CE451" s="14">
        <f t="shared" si="2600"/>
        <v>0.51428571428571423</v>
      </c>
      <c r="CF451" s="14">
        <f t="shared" si="2600"/>
        <v>0.51428571428571423</v>
      </c>
      <c r="CG451" s="14">
        <f t="shared" si="2600"/>
        <v>0.51428571428571423</v>
      </c>
      <c r="CH451" s="14">
        <f t="shared" si="2600"/>
        <v>0.51428571428571423</v>
      </c>
      <c r="CI451" s="14">
        <f t="shared" si="2600"/>
        <v>0.51428571428571423</v>
      </c>
      <c r="CJ451" s="14">
        <f t="shared" si="2600"/>
        <v>0.51428571428571423</v>
      </c>
      <c r="CK451" s="14">
        <f t="shared" si="2600"/>
        <v>0.51428571428571423</v>
      </c>
      <c r="CL451" s="14">
        <f t="shared" si="2600"/>
        <v>0</v>
      </c>
      <c r="CM451" s="14">
        <f t="shared" si="2600"/>
        <v>0</v>
      </c>
      <c r="CN451" s="14">
        <f t="shared" si="2600"/>
        <v>0</v>
      </c>
      <c r="CO451" s="412"/>
      <c r="CP451" s="14">
        <f t="shared" ref="CP451:DP451" si="2601">CP408*CP407/CP405</f>
        <v>0.22500000000000003</v>
      </c>
      <c r="CQ451" s="14">
        <f t="shared" si="2601"/>
        <v>0.22499999983082711</v>
      </c>
      <c r="CR451" s="14">
        <f t="shared" si="2601"/>
        <v>0.2249999997744361</v>
      </c>
      <c r="CS451" s="14">
        <f t="shared" si="2601"/>
        <v>0.2249999997462406</v>
      </c>
      <c r="CT451" s="14">
        <f t="shared" si="2601"/>
        <v>0.2249999997293233</v>
      </c>
      <c r="CU451" s="14">
        <f t="shared" si="2601"/>
        <v>0.2249999997180451</v>
      </c>
      <c r="CV451" s="14">
        <f t="shared" si="2601"/>
        <v>0.22499999970998927</v>
      </c>
      <c r="CW451" s="14">
        <f t="shared" si="2601"/>
        <v>0.22499999970394735</v>
      </c>
      <c r="CX451" s="14">
        <f t="shared" si="2601"/>
        <v>0.22499999969924808</v>
      </c>
      <c r="CY451" s="14">
        <f t="shared" si="2601"/>
        <v>0.22499999969548867</v>
      </c>
      <c r="CZ451" s="14">
        <f t="shared" si="2601"/>
        <v>0.22499999969241277</v>
      </c>
      <c r="DA451" s="14">
        <f t="shared" si="2601"/>
        <v>0.22499999968984957</v>
      </c>
      <c r="DB451" s="14">
        <f t="shared" si="2601"/>
        <v>0.162406015037594</v>
      </c>
      <c r="DC451" s="14">
        <f t="shared" si="2601"/>
        <v>0.16240479394891769</v>
      </c>
      <c r="DD451" s="14">
        <f t="shared" si="2601"/>
        <v>0.16240438692343936</v>
      </c>
      <c r="DE451" s="14">
        <f t="shared" si="2601"/>
        <v>0.16240418341146529</v>
      </c>
      <c r="DF451" s="14">
        <f t="shared" si="2601"/>
        <v>0.16240406130452567</v>
      </c>
      <c r="DG451" s="14">
        <f t="shared" si="2601"/>
        <v>0.16240397990000127</v>
      </c>
      <c r="DH451" s="14">
        <f t="shared" si="2601"/>
        <v>0.16240392175396237</v>
      </c>
      <c r="DI451" s="14">
        <f t="shared" si="2601"/>
        <v>0.16240387814446053</v>
      </c>
      <c r="DJ451" s="14">
        <f t="shared" si="2601"/>
        <v>0.16240384422597529</v>
      </c>
      <c r="DK451" s="14">
        <f t="shared" si="2601"/>
        <v>0.16240381709119728</v>
      </c>
      <c r="DL451" s="14">
        <f t="shared" si="2601"/>
        <v>0.16240379489002205</v>
      </c>
      <c r="DM451" s="14">
        <f t="shared" si="2601"/>
        <v>0.16240377638904727</v>
      </c>
      <c r="DN451" s="14">
        <f t="shared" si="2601"/>
        <v>0</v>
      </c>
      <c r="DO451" s="14">
        <f t="shared" si="2601"/>
        <v>0</v>
      </c>
      <c r="DP451" s="14">
        <f t="shared" si="2601"/>
        <v>0</v>
      </c>
      <c r="DQ451" s="14"/>
      <c r="DR451" s="14"/>
      <c r="DS451" s="14"/>
      <c r="DT451" s="14"/>
      <c r="DU451" s="14"/>
      <c r="DV451" s="14"/>
      <c r="DW451" s="14"/>
      <c r="DX451" s="14"/>
      <c r="DY451" s="14"/>
      <c r="DZ451" s="14"/>
      <c r="EA451" s="14">
        <f>EA408*EA407/EA405</f>
        <v>0.22499999968984957</v>
      </c>
      <c r="EB451" s="14">
        <f>EB408*EB407/EB405</f>
        <v>0.16240377638904727</v>
      </c>
      <c r="EC451" s="14"/>
      <c r="ED451" s="429"/>
      <c r="EE451" s="14" t="e">
        <f>EE407*EE408/EE407</f>
        <v>#DIV/0!</v>
      </c>
      <c r="EF451" s="14" t="e">
        <f>EF408*EF407/EF407</f>
        <v>#DIV/0!</v>
      </c>
      <c r="EG451" s="14">
        <f>EG407*EG408/EG407</f>
        <v>0.9</v>
      </c>
      <c r="EK451" s="24"/>
      <c r="EL451" s="47"/>
      <c r="EM451" s="47"/>
      <c r="EN451" s="47"/>
    </row>
    <row r="452" spans="1:149">
      <c r="A452" s="6" t="s">
        <v>23</v>
      </c>
      <c r="B452" s="2" t="s">
        <v>26</v>
      </c>
      <c r="C452" s="3" t="s">
        <v>84</v>
      </c>
      <c r="E452" s="3" t="str">
        <f>C409</f>
        <v>BSpec1</v>
      </c>
      <c r="F452" s="4" t="s">
        <v>31</v>
      </c>
      <c r="G452" s="28" t="str">
        <f>C418</f>
        <v>BSUniq</v>
      </c>
      <c r="H452" s="28"/>
      <c r="I452" s="28"/>
      <c r="J452" s="62">
        <f t="shared" ref="J452:AJ452" si="2602">J409/J418</f>
        <v>0.11666666666666665</v>
      </c>
      <c r="K452" s="62">
        <f t="shared" si="2602"/>
        <v>0.23333333346666665</v>
      </c>
      <c r="L452" s="62">
        <f t="shared" si="2602"/>
        <v>0.35000000026666667</v>
      </c>
      <c r="M452" s="62">
        <f t="shared" si="2602"/>
        <v>0.37333333365333332</v>
      </c>
      <c r="N452" s="62">
        <f t="shared" si="2602"/>
        <v>0.46666666709333332</v>
      </c>
      <c r="O452" s="62">
        <f t="shared" si="2602"/>
        <v>0.56000000053333343</v>
      </c>
      <c r="P452" s="62">
        <f t="shared" si="2602"/>
        <v>0.65333333397333337</v>
      </c>
      <c r="Q452" s="62">
        <f t="shared" si="2602"/>
        <v>0.74666666741333343</v>
      </c>
      <c r="R452" s="62">
        <f t="shared" si="2602"/>
        <v>0.84000000085333348</v>
      </c>
      <c r="S452" s="62">
        <f t="shared" si="2602"/>
        <v>0.93333333429333354</v>
      </c>
      <c r="T452" s="62">
        <f t="shared" si="2602"/>
        <v>1.0266666677333336</v>
      </c>
      <c r="U452" s="62">
        <f t="shared" si="2602"/>
        <v>1.1200000011733335</v>
      </c>
      <c r="V452" s="62">
        <f t="shared" si="2602"/>
        <v>7.0690909090909096E-2</v>
      </c>
      <c r="W452" s="62">
        <f t="shared" si="2602"/>
        <v>7.0690909090909096E-2</v>
      </c>
      <c r="X452" s="62">
        <f t="shared" si="2602"/>
        <v>7.0690909090909082E-2</v>
      </c>
      <c r="Y452" s="62">
        <f t="shared" si="2602"/>
        <v>7.0690909090909096E-2</v>
      </c>
      <c r="Z452" s="62">
        <f t="shared" si="2602"/>
        <v>7.0690909090909096E-2</v>
      </c>
      <c r="AA452" s="62">
        <f t="shared" si="2602"/>
        <v>7.0690909090909082E-2</v>
      </c>
      <c r="AB452" s="62">
        <f t="shared" si="2602"/>
        <v>7.0690909090909082E-2</v>
      </c>
      <c r="AC452" s="62">
        <f t="shared" si="2602"/>
        <v>7.0690909090909096E-2</v>
      </c>
      <c r="AD452" s="62">
        <f t="shared" si="2602"/>
        <v>7.0690909090909096E-2</v>
      </c>
      <c r="AE452" s="62">
        <f t="shared" si="2602"/>
        <v>7.0690909090909096E-2</v>
      </c>
      <c r="AF452" s="62">
        <f t="shared" si="2602"/>
        <v>7.0690909090909096E-2</v>
      </c>
      <c r="AG452" s="62">
        <f t="shared" si="2602"/>
        <v>7.0690909090909082E-2</v>
      </c>
      <c r="AH452" s="62">
        <f t="shared" si="2602"/>
        <v>0</v>
      </c>
      <c r="AI452" s="62">
        <f t="shared" si="2602"/>
        <v>0</v>
      </c>
      <c r="AJ452" s="62" t="e">
        <f t="shared" si="2602"/>
        <v>#DIV/0!</v>
      </c>
      <c r="AK452" s="412"/>
      <c r="AL452" s="14">
        <f t="shared" ref="AL452:BL452" si="2603">AL409/AL418</f>
        <v>0.11666666666666665</v>
      </c>
      <c r="AM452" s="14">
        <f t="shared" si="2603"/>
        <v>0.1166666668</v>
      </c>
      <c r="AN452" s="14">
        <f t="shared" si="2603"/>
        <v>0.11666666680000003</v>
      </c>
      <c r="AO452" s="14">
        <f t="shared" si="2603"/>
        <v>9.3333333439999985E-2</v>
      </c>
      <c r="AP452" s="14">
        <f t="shared" si="2603"/>
        <v>9.3333333439999985E-2</v>
      </c>
      <c r="AQ452" s="14">
        <f t="shared" si="2603"/>
        <v>9.3333333440000041E-2</v>
      </c>
      <c r="AR452" s="14">
        <f t="shared" si="2603"/>
        <v>9.3333333440000041E-2</v>
      </c>
      <c r="AS452" s="14">
        <f t="shared" si="2603"/>
        <v>9.3333333440000041E-2</v>
      </c>
      <c r="AT452" s="14">
        <f t="shared" si="2603"/>
        <v>9.3333333440000041E-2</v>
      </c>
      <c r="AU452" s="14">
        <f t="shared" si="2603"/>
        <v>9.3333333440000041E-2</v>
      </c>
      <c r="AV452" s="14">
        <f t="shared" si="2603"/>
        <v>9.333333343999993E-2</v>
      </c>
      <c r="AW452" s="14">
        <f t="shared" si="2603"/>
        <v>9.333333343999993E-2</v>
      </c>
      <c r="AX452" s="14">
        <f t="shared" si="2603"/>
        <v>7.0707070707070704E-2</v>
      </c>
      <c r="AY452" s="14">
        <f t="shared" si="2603"/>
        <v>7.0707070707070704E-2</v>
      </c>
      <c r="AZ452" s="14">
        <f t="shared" si="2603"/>
        <v>7.0707070707070704E-2</v>
      </c>
      <c r="BA452" s="14">
        <f t="shared" si="2603"/>
        <v>7.0707070707070704E-2</v>
      </c>
      <c r="BB452" s="14">
        <f t="shared" si="2603"/>
        <v>7.0707070707070704E-2</v>
      </c>
      <c r="BC452" s="14">
        <f t="shared" si="2603"/>
        <v>7.0707070707070704E-2</v>
      </c>
      <c r="BD452" s="14">
        <f t="shared" si="2603"/>
        <v>7.0707070707070704E-2</v>
      </c>
      <c r="BE452" s="14">
        <f t="shared" si="2603"/>
        <v>7.0707070707070704E-2</v>
      </c>
      <c r="BF452" s="14">
        <f t="shared" si="2603"/>
        <v>7.0707070707070704E-2</v>
      </c>
      <c r="BG452" s="14">
        <f t="shared" si="2603"/>
        <v>7.0707070707070704E-2</v>
      </c>
      <c r="BH452" s="14">
        <f t="shared" si="2603"/>
        <v>7.0707070707070704E-2</v>
      </c>
      <c r="BI452" s="14">
        <f t="shared" si="2603"/>
        <v>7.0707070707070704E-2</v>
      </c>
      <c r="BJ452" s="14">
        <f t="shared" si="2603"/>
        <v>0</v>
      </c>
      <c r="BK452" s="14">
        <f t="shared" si="2603"/>
        <v>0</v>
      </c>
      <c r="BL452" s="14">
        <f t="shared" si="2603"/>
        <v>0</v>
      </c>
      <c r="BM452" s="412"/>
      <c r="BN452" s="14">
        <f t="shared" ref="BN452:CN452" si="2604">BN409/BN418</f>
        <v>0.35000000026666667</v>
      </c>
      <c r="BO452" s="14">
        <f t="shared" si="2604"/>
        <v>0.17500000013333333</v>
      </c>
      <c r="BP452" s="14">
        <f t="shared" si="2604"/>
        <v>0.11666666675555556</v>
      </c>
      <c r="BQ452" s="14">
        <f t="shared" si="2604"/>
        <v>0.28000000032000005</v>
      </c>
      <c r="BR452" s="14">
        <f t="shared" si="2604"/>
        <v>0.14000000016000003</v>
      </c>
      <c r="BS452" s="14">
        <f t="shared" si="2604"/>
        <v>9.3333333440000013E-2</v>
      </c>
      <c r="BT452" s="14">
        <f t="shared" si="2604"/>
        <v>0.28000000032000016</v>
      </c>
      <c r="BU452" s="14">
        <f t="shared" si="2604"/>
        <v>0.14000000016000008</v>
      </c>
      <c r="BV452" s="14">
        <f t="shared" si="2604"/>
        <v>9.3333333440000041E-2</v>
      </c>
      <c r="BW452" s="14">
        <f t="shared" si="2604"/>
        <v>0.28000000031999989</v>
      </c>
      <c r="BX452" s="14">
        <f t="shared" si="2604"/>
        <v>0.14000000015999994</v>
      </c>
      <c r="BY452" s="14">
        <f t="shared" si="2604"/>
        <v>9.3333333439999971E-2</v>
      </c>
      <c r="BZ452" s="14">
        <f t="shared" si="2604"/>
        <v>7.054838709677419E-2</v>
      </c>
      <c r="CA452" s="14">
        <f t="shared" si="2604"/>
        <v>7.054838709677419E-2</v>
      </c>
      <c r="CB452" s="14">
        <f t="shared" si="2604"/>
        <v>7.0690909090909082E-2</v>
      </c>
      <c r="CC452" s="14">
        <f t="shared" si="2604"/>
        <v>3.5282258064516132E-2</v>
      </c>
      <c r="CD452" s="14">
        <f t="shared" si="2604"/>
        <v>3.5282258064516132E-2</v>
      </c>
      <c r="CE452" s="14">
        <f t="shared" si="2604"/>
        <v>3.5353535353535352E-2</v>
      </c>
      <c r="CF452" s="14">
        <f t="shared" si="2604"/>
        <v>2.358490566037736E-2</v>
      </c>
      <c r="CG452" s="14">
        <f t="shared" si="2604"/>
        <v>2.358490566037736E-2</v>
      </c>
      <c r="CH452" s="14">
        <f t="shared" si="2604"/>
        <v>2.3569023569023569E-2</v>
      </c>
      <c r="CI452" s="14">
        <f t="shared" si="2604"/>
        <v>1.7676767676767676E-2</v>
      </c>
      <c r="CJ452" s="14">
        <f t="shared" si="2604"/>
        <v>1.7676767676767676E-2</v>
      </c>
      <c r="CK452" s="14">
        <f t="shared" si="2604"/>
        <v>1.7676767676767676E-2</v>
      </c>
      <c r="CL452" s="14">
        <f t="shared" si="2604"/>
        <v>0</v>
      </c>
      <c r="CM452" s="14">
        <f t="shared" si="2604"/>
        <v>0</v>
      </c>
      <c r="CN452" s="14">
        <f t="shared" si="2604"/>
        <v>0</v>
      </c>
      <c r="CO452" s="412"/>
      <c r="CP452" s="14">
        <f t="shared" ref="CP452:DP452" si="2605">CP409/CP418</f>
        <v>0.11666666666666665</v>
      </c>
      <c r="CQ452" s="14">
        <f t="shared" si="2605"/>
        <v>0.11666666673333333</v>
      </c>
      <c r="CR452" s="14">
        <f t="shared" si="2605"/>
        <v>0.11666666675555556</v>
      </c>
      <c r="CS452" s="14">
        <f t="shared" si="2605"/>
        <v>0.10980392166274509</v>
      </c>
      <c r="CT452" s="14">
        <f t="shared" si="2605"/>
        <v>0.10606060615757576</v>
      </c>
      <c r="CU452" s="14">
        <f t="shared" si="2605"/>
        <v>0.10370370380246914</v>
      </c>
      <c r="CV452" s="14">
        <f t="shared" si="2605"/>
        <v>0.10208333343333335</v>
      </c>
      <c r="CW452" s="14">
        <f t="shared" si="2605"/>
        <v>0.10090090100180182</v>
      </c>
      <c r="CX452" s="14">
        <f t="shared" si="2605"/>
        <v>0.10000000010158733</v>
      </c>
      <c r="CY452" s="14">
        <f t="shared" si="2605"/>
        <v>9.9290780243971657E-2</v>
      </c>
      <c r="CZ452" s="14">
        <f t="shared" si="2605"/>
        <v>9.8717948820512838E-2</v>
      </c>
      <c r="DA452" s="14">
        <f t="shared" si="2605"/>
        <v>9.8245614138011708E-2</v>
      </c>
      <c r="DB452" s="14">
        <f t="shared" si="2605"/>
        <v>7.0707070707070704E-2</v>
      </c>
      <c r="DC452" s="14">
        <f t="shared" si="2605"/>
        <v>7.07111111111111E-2</v>
      </c>
      <c r="DD452" s="14">
        <f t="shared" si="2605"/>
        <v>7.0712457912457907E-2</v>
      </c>
      <c r="DE452" s="14">
        <f t="shared" si="2605"/>
        <v>7.0713131313131311E-2</v>
      </c>
      <c r="DF452" s="14">
        <f t="shared" si="2605"/>
        <v>7.0713535353535348E-2</v>
      </c>
      <c r="DG452" s="14">
        <f t="shared" si="2605"/>
        <v>7.0713804713804701E-2</v>
      </c>
      <c r="DH452" s="14">
        <f t="shared" si="2605"/>
        <v>7.0713997113997118E-2</v>
      </c>
      <c r="DI452" s="14">
        <f t="shared" si="2605"/>
        <v>7.0714141414141424E-2</v>
      </c>
      <c r="DJ452" s="14">
        <f t="shared" si="2605"/>
        <v>7.0714253647586989E-2</v>
      </c>
      <c r="DK452" s="14">
        <f t="shared" si="2605"/>
        <v>7.0714343434343449E-2</v>
      </c>
      <c r="DL452" s="14">
        <f t="shared" si="2605"/>
        <v>7.0714416896235088E-2</v>
      </c>
      <c r="DM452" s="14">
        <f t="shared" si="2605"/>
        <v>7.0714478114478133E-2</v>
      </c>
      <c r="DN452" s="14">
        <f t="shared" si="2605"/>
        <v>0</v>
      </c>
      <c r="DO452" s="14">
        <f t="shared" si="2605"/>
        <v>0</v>
      </c>
      <c r="DP452" s="14">
        <f t="shared" si="2605"/>
        <v>0</v>
      </c>
      <c r="DQ452" s="14"/>
      <c r="DR452" s="14"/>
      <c r="DS452" s="14"/>
      <c r="DT452" s="14"/>
      <c r="DU452" s="14"/>
      <c r="DV452" s="14"/>
      <c r="DW452" s="14"/>
      <c r="DX452" s="14"/>
      <c r="DY452" s="14"/>
      <c r="DZ452" s="14"/>
      <c r="EA452" s="14">
        <f>EA409/EA418</f>
        <v>9.8245614138011708E-2</v>
      </c>
      <c r="EB452" s="14">
        <f>EB409/EB418</f>
        <v>7.0714478114478133E-2</v>
      </c>
      <c r="EC452" s="14"/>
      <c r="ED452" s="429"/>
      <c r="EE452" s="109">
        <f>EE409/EE418</f>
        <v>0</v>
      </c>
      <c r="EF452" s="14">
        <f>EF409/EF418</f>
        <v>0</v>
      </c>
      <c r="EG452" s="14">
        <f>EG409/EG418</f>
        <v>7.7785925925925939E-2</v>
      </c>
      <c r="EK452" s="24"/>
      <c r="EL452" s="47"/>
      <c r="EM452" s="47"/>
      <c r="EN452" s="47"/>
    </row>
    <row r="453" spans="1:149">
      <c r="A453" s="6" t="s">
        <v>23</v>
      </c>
      <c r="B453" s="2" t="s">
        <v>27</v>
      </c>
      <c r="C453" s="3" t="s">
        <v>77</v>
      </c>
      <c r="E453" s="3" t="str">
        <f>C411</f>
        <v>BOnlHrs</v>
      </c>
      <c r="F453" s="4" t="s">
        <v>31</v>
      </c>
      <c r="G453" s="28" t="str">
        <f>C410</f>
        <v>BTotHrs</v>
      </c>
      <c r="H453" s="28"/>
      <c r="I453" s="28"/>
      <c r="J453" s="62">
        <f t="shared" ref="J453:AJ453" si="2606">J411/J410</f>
        <v>7.0000000000000007E-2</v>
      </c>
      <c r="K453" s="62">
        <f t="shared" si="2606"/>
        <v>7.0000000000000007E-2</v>
      </c>
      <c r="L453" s="62">
        <f t="shared" si="2606"/>
        <v>7.0000000000000007E-2</v>
      </c>
      <c r="M453" s="62">
        <f t="shared" si="2606"/>
        <v>7.0000000000000007E-2</v>
      </c>
      <c r="N453" s="62">
        <f t="shared" si="2606"/>
        <v>7.0000000000000007E-2</v>
      </c>
      <c r="O453" s="62">
        <f t="shared" si="2606"/>
        <v>7.0000000000000007E-2</v>
      </c>
      <c r="P453" s="62">
        <f t="shared" si="2606"/>
        <v>7.0000000000000007E-2</v>
      </c>
      <c r="Q453" s="62">
        <f t="shared" si="2606"/>
        <v>7.0000000000000007E-2</v>
      </c>
      <c r="R453" s="62">
        <f t="shared" si="2606"/>
        <v>7.0000000000000007E-2</v>
      </c>
      <c r="S453" s="62">
        <f t="shared" si="2606"/>
        <v>7.0000000000000007E-2</v>
      </c>
      <c r="T453" s="62">
        <f t="shared" si="2606"/>
        <v>7.0000000000000007E-2</v>
      </c>
      <c r="U453" s="62">
        <f t="shared" si="2606"/>
        <v>7.0000000000000007E-2</v>
      </c>
      <c r="V453" s="62">
        <f t="shared" si="2606"/>
        <v>7.985464333781965E-2</v>
      </c>
      <c r="W453" s="62">
        <f t="shared" si="2606"/>
        <v>7.985464333781965E-2</v>
      </c>
      <c r="X453" s="62">
        <f t="shared" si="2606"/>
        <v>7.985464333781965E-2</v>
      </c>
      <c r="Y453" s="62">
        <f t="shared" si="2606"/>
        <v>7.985464333781965E-2</v>
      </c>
      <c r="Z453" s="62">
        <f t="shared" si="2606"/>
        <v>7.985464333781965E-2</v>
      </c>
      <c r="AA453" s="62">
        <f t="shared" si="2606"/>
        <v>7.985464333781965E-2</v>
      </c>
      <c r="AB453" s="62">
        <f t="shared" si="2606"/>
        <v>7.985464333781965E-2</v>
      </c>
      <c r="AC453" s="62">
        <f t="shared" si="2606"/>
        <v>7.985464333781965E-2</v>
      </c>
      <c r="AD453" s="62">
        <f t="shared" si="2606"/>
        <v>7.9854643337819664E-2</v>
      </c>
      <c r="AE453" s="62">
        <f t="shared" si="2606"/>
        <v>7.985464333781965E-2</v>
      </c>
      <c r="AF453" s="62">
        <f t="shared" si="2606"/>
        <v>7.985464333781965E-2</v>
      </c>
      <c r="AG453" s="62">
        <f t="shared" si="2606"/>
        <v>7.985464333781965E-2</v>
      </c>
      <c r="AH453" s="62">
        <f t="shared" si="2606"/>
        <v>0</v>
      </c>
      <c r="AI453" s="62">
        <f t="shared" si="2606"/>
        <v>0</v>
      </c>
      <c r="AJ453" s="62">
        <f t="shared" si="2606"/>
        <v>0</v>
      </c>
      <c r="AK453" s="412"/>
      <c r="AL453" s="14">
        <f t="shared" ref="AL453:BL453" si="2607">AL411/AL410</f>
        <v>7.0000000000000007E-2</v>
      </c>
      <c r="AM453" s="14">
        <f t="shared" si="2607"/>
        <v>7.0000000000000007E-2</v>
      </c>
      <c r="AN453" s="14">
        <f t="shared" si="2607"/>
        <v>7.0000000000000007E-2</v>
      </c>
      <c r="AO453" s="14">
        <f t="shared" si="2607"/>
        <v>7.0000000000000021E-2</v>
      </c>
      <c r="AP453" s="14">
        <f t="shared" si="2607"/>
        <v>7.0000000000000021E-2</v>
      </c>
      <c r="AQ453" s="14">
        <f t="shared" si="2607"/>
        <v>7.0000000000000021E-2</v>
      </c>
      <c r="AR453" s="14">
        <f t="shared" si="2607"/>
        <v>6.9999999999999965E-2</v>
      </c>
      <c r="AS453" s="14">
        <f t="shared" si="2607"/>
        <v>7.0000000000000062E-2</v>
      </c>
      <c r="AT453" s="14">
        <f t="shared" si="2607"/>
        <v>6.9999999999999965E-2</v>
      </c>
      <c r="AU453" s="14">
        <f t="shared" si="2607"/>
        <v>6.9999999999999965E-2</v>
      </c>
      <c r="AV453" s="14">
        <f t="shared" si="2607"/>
        <v>7.0000000000000062E-2</v>
      </c>
      <c r="AW453" s="14">
        <f t="shared" si="2607"/>
        <v>6.9999999999999965E-2</v>
      </c>
      <c r="AX453" s="14">
        <f t="shared" si="2607"/>
        <v>7.985464333781965E-2</v>
      </c>
      <c r="AY453" s="14">
        <f t="shared" si="2607"/>
        <v>7.985464333781965E-2</v>
      </c>
      <c r="AZ453" s="14">
        <f t="shared" si="2607"/>
        <v>7.9854643337819664E-2</v>
      </c>
      <c r="BA453" s="14">
        <f t="shared" si="2607"/>
        <v>7.9854643337819636E-2</v>
      </c>
      <c r="BB453" s="14">
        <f t="shared" si="2607"/>
        <v>7.9854643337819678E-2</v>
      </c>
      <c r="BC453" s="14">
        <f t="shared" si="2607"/>
        <v>7.9854643337819636E-2</v>
      </c>
      <c r="BD453" s="14">
        <f t="shared" si="2607"/>
        <v>7.9854643337819636E-2</v>
      </c>
      <c r="BE453" s="14">
        <f t="shared" si="2607"/>
        <v>7.9854643337819636E-2</v>
      </c>
      <c r="BF453" s="14">
        <f t="shared" si="2607"/>
        <v>7.985464333781972E-2</v>
      </c>
      <c r="BG453" s="14">
        <f t="shared" si="2607"/>
        <v>7.9854643337819636E-2</v>
      </c>
      <c r="BH453" s="14">
        <f t="shared" si="2607"/>
        <v>7.9854643337819636E-2</v>
      </c>
      <c r="BI453" s="14">
        <f t="shared" si="2607"/>
        <v>7.9854643337819636E-2</v>
      </c>
      <c r="BJ453" s="14">
        <f t="shared" si="2607"/>
        <v>0</v>
      </c>
      <c r="BK453" s="14">
        <f t="shared" si="2607"/>
        <v>0</v>
      </c>
      <c r="BL453" s="14">
        <f t="shared" si="2607"/>
        <v>0</v>
      </c>
      <c r="BM453" s="412"/>
      <c r="BN453" s="14">
        <f t="shared" ref="BN453:CN453" si="2608">BN411/BN410</f>
        <v>7.0000000000000007E-2</v>
      </c>
      <c r="BO453" s="14">
        <f t="shared" si="2608"/>
        <v>7.0000000000000007E-2</v>
      </c>
      <c r="BP453" s="14">
        <f t="shared" si="2608"/>
        <v>7.0000000000000007E-2</v>
      </c>
      <c r="BQ453" s="14">
        <f t="shared" si="2608"/>
        <v>7.0000000000000021E-2</v>
      </c>
      <c r="BR453" s="14">
        <f t="shared" si="2608"/>
        <v>7.0000000000000021E-2</v>
      </c>
      <c r="BS453" s="14">
        <f t="shared" si="2608"/>
        <v>7.0000000000000021E-2</v>
      </c>
      <c r="BT453" s="14">
        <f t="shared" si="2608"/>
        <v>6.9999999999999993E-2</v>
      </c>
      <c r="BU453" s="14">
        <f t="shared" si="2608"/>
        <v>6.9999999999999993E-2</v>
      </c>
      <c r="BV453" s="14">
        <f t="shared" si="2608"/>
        <v>6.9999999999999993E-2</v>
      </c>
      <c r="BW453" s="14">
        <f t="shared" si="2608"/>
        <v>6.9999999999999993E-2</v>
      </c>
      <c r="BX453" s="14">
        <f t="shared" si="2608"/>
        <v>6.9999999999999993E-2</v>
      </c>
      <c r="BY453" s="14">
        <f t="shared" si="2608"/>
        <v>6.9999999999999993E-2</v>
      </c>
      <c r="BZ453" s="14">
        <f t="shared" si="2608"/>
        <v>7.985464333781965E-2</v>
      </c>
      <c r="CA453" s="14">
        <f t="shared" si="2608"/>
        <v>7.985464333781965E-2</v>
      </c>
      <c r="CB453" s="14">
        <f t="shared" si="2608"/>
        <v>7.985464333781965E-2</v>
      </c>
      <c r="CC453" s="14">
        <f t="shared" si="2608"/>
        <v>0.23956393001345899</v>
      </c>
      <c r="CD453" s="14">
        <f t="shared" si="2608"/>
        <v>0.23956393001345899</v>
      </c>
      <c r="CE453" s="14">
        <f t="shared" si="2608"/>
        <v>0.23956393001345899</v>
      </c>
      <c r="CF453" s="14">
        <f t="shared" si="2608"/>
        <v>0.23956393001345905</v>
      </c>
      <c r="CG453" s="14">
        <f t="shared" si="2608"/>
        <v>0.23956393001345905</v>
      </c>
      <c r="CH453" s="14">
        <f t="shared" si="2608"/>
        <v>0.23956393001345905</v>
      </c>
      <c r="CI453" s="14">
        <f t="shared" si="2608"/>
        <v>0.23956393001345896</v>
      </c>
      <c r="CJ453" s="14">
        <f t="shared" si="2608"/>
        <v>0.23956393001345896</v>
      </c>
      <c r="CK453" s="14">
        <f t="shared" si="2608"/>
        <v>0.23956393001345896</v>
      </c>
      <c r="CL453" s="14">
        <f t="shared" si="2608"/>
        <v>0</v>
      </c>
      <c r="CM453" s="14">
        <f t="shared" si="2608"/>
        <v>0</v>
      </c>
      <c r="CN453" s="14">
        <f t="shared" si="2608"/>
        <v>0</v>
      </c>
      <c r="CO453" s="412"/>
      <c r="CP453" s="14">
        <f t="shared" ref="CP453:DP453" si="2609">CP411/CP410</f>
        <v>7.0000000000000007E-2</v>
      </c>
      <c r="CQ453" s="14">
        <f t="shared" si="2609"/>
        <v>7.0000000000000007E-2</v>
      </c>
      <c r="CR453" s="14">
        <f t="shared" si="2609"/>
        <v>7.0000000000000007E-2</v>
      </c>
      <c r="CS453" s="14">
        <f t="shared" si="2609"/>
        <v>7.0000000000000007E-2</v>
      </c>
      <c r="CT453" s="14">
        <f t="shared" si="2609"/>
        <v>7.0000000000000007E-2</v>
      </c>
      <c r="CU453" s="14">
        <f t="shared" si="2609"/>
        <v>7.0000000000000007E-2</v>
      </c>
      <c r="CV453" s="14">
        <f t="shared" si="2609"/>
        <v>7.0000000000000007E-2</v>
      </c>
      <c r="CW453" s="14">
        <f t="shared" si="2609"/>
        <v>7.0000000000000007E-2</v>
      </c>
      <c r="CX453" s="14">
        <f t="shared" si="2609"/>
        <v>7.0000000000000007E-2</v>
      </c>
      <c r="CY453" s="14">
        <f t="shared" si="2609"/>
        <v>7.0000000000000007E-2</v>
      </c>
      <c r="CZ453" s="14">
        <f t="shared" si="2609"/>
        <v>7.0000000000000007E-2</v>
      </c>
      <c r="DA453" s="14">
        <f t="shared" si="2609"/>
        <v>7.0000000000000007E-2</v>
      </c>
      <c r="DB453" s="14">
        <f t="shared" si="2609"/>
        <v>7.985464333781965E-2</v>
      </c>
      <c r="DC453" s="14">
        <f t="shared" si="2609"/>
        <v>7.985464333781965E-2</v>
      </c>
      <c r="DD453" s="14">
        <f t="shared" si="2609"/>
        <v>7.985464333781965E-2</v>
      </c>
      <c r="DE453" s="14">
        <f t="shared" si="2609"/>
        <v>7.985464333781965E-2</v>
      </c>
      <c r="DF453" s="14">
        <f t="shared" si="2609"/>
        <v>7.985464333781965E-2</v>
      </c>
      <c r="DG453" s="14">
        <f t="shared" si="2609"/>
        <v>7.985464333781965E-2</v>
      </c>
      <c r="DH453" s="14">
        <f t="shared" si="2609"/>
        <v>7.985464333781965E-2</v>
      </c>
      <c r="DI453" s="14">
        <f t="shared" si="2609"/>
        <v>7.985464333781965E-2</v>
      </c>
      <c r="DJ453" s="14">
        <f t="shared" si="2609"/>
        <v>7.9854643337819664E-2</v>
      </c>
      <c r="DK453" s="14">
        <f t="shared" si="2609"/>
        <v>7.985464333781965E-2</v>
      </c>
      <c r="DL453" s="14">
        <f t="shared" si="2609"/>
        <v>7.985464333781965E-2</v>
      </c>
      <c r="DM453" s="14">
        <f t="shared" si="2609"/>
        <v>7.985464333781965E-2</v>
      </c>
      <c r="DN453" s="14">
        <f t="shared" si="2609"/>
        <v>0</v>
      </c>
      <c r="DO453" s="14">
        <f t="shared" si="2609"/>
        <v>0</v>
      </c>
      <c r="DP453" s="14">
        <f t="shared" si="2609"/>
        <v>0</v>
      </c>
      <c r="DQ453" s="14"/>
      <c r="DR453" s="14"/>
      <c r="DS453" s="14"/>
      <c r="DT453" s="14"/>
      <c r="DU453" s="14"/>
      <c r="DV453" s="14"/>
      <c r="DW453" s="14"/>
      <c r="DX453" s="14"/>
      <c r="DY453" s="14"/>
      <c r="DZ453" s="14"/>
      <c r="EA453" s="14">
        <f>EA411/EA410</f>
        <v>7.0000000000000007E-2</v>
      </c>
      <c r="EB453" s="14">
        <f>EB411/EB410</f>
        <v>7.985464333781965E-2</v>
      </c>
      <c r="EC453" s="14"/>
      <c r="ED453" s="429"/>
      <c r="EE453" s="14">
        <f>EE411/EE410</f>
        <v>0</v>
      </c>
      <c r="EF453" s="14">
        <f>EF411/EF410</f>
        <v>0</v>
      </c>
      <c r="EG453" s="14">
        <f>EG411/EG410</f>
        <v>6.755066413662239E-2</v>
      </c>
      <c r="EK453" s="24"/>
      <c r="EL453" s="47"/>
      <c r="EM453" s="47"/>
      <c r="EN453" s="47"/>
    </row>
    <row r="454" spans="1:149">
      <c r="A454" s="6" t="s">
        <v>23</v>
      </c>
      <c r="B454" s="2" t="s">
        <v>28</v>
      </c>
      <c r="C454" s="3" t="s">
        <v>78</v>
      </c>
      <c r="E454" s="3" t="str">
        <f>C416</f>
        <v>BColCash</v>
      </c>
      <c r="F454" s="4" t="s">
        <v>31</v>
      </c>
      <c r="G454" s="28" t="str">
        <f>C417</f>
        <v>BFSFunds</v>
      </c>
      <c r="H454" s="28"/>
      <c r="I454" s="28"/>
      <c r="J454" s="62" t="str">
        <f t="shared" ref="J454:AJ454" si="2610">IF(J417&lt;&gt;0,J416/J417,"")</f>
        <v/>
      </c>
      <c r="K454" s="62" t="str">
        <f t="shared" si="2610"/>
        <v/>
      </c>
      <c r="L454" s="62">
        <f t="shared" si="2610"/>
        <v>0.5</v>
      </c>
      <c r="M454" s="62">
        <f t="shared" si="2610"/>
        <v>0.5</v>
      </c>
      <c r="N454" s="62">
        <f t="shared" si="2610"/>
        <v>0.5</v>
      </c>
      <c r="O454" s="62">
        <f t="shared" si="2610"/>
        <v>0.5</v>
      </c>
      <c r="P454" s="62">
        <f t="shared" si="2610"/>
        <v>0.5</v>
      </c>
      <c r="Q454" s="62">
        <f t="shared" si="2610"/>
        <v>0.5</v>
      </c>
      <c r="R454" s="62">
        <f t="shared" si="2610"/>
        <v>0.5</v>
      </c>
      <c r="S454" s="62">
        <f t="shared" si="2610"/>
        <v>0.5</v>
      </c>
      <c r="T454" s="62">
        <f t="shared" si="2610"/>
        <v>0.5</v>
      </c>
      <c r="U454" s="62">
        <f t="shared" si="2610"/>
        <v>0.5</v>
      </c>
      <c r="V454" s="62" t="str">
        <f t="shared" si="2610"/>
        <v/>
      </c>
      <c r="W454" s="62" t="str">
        <f t="shared" si="2610"/>
        <v/>
      </c>
      <c r="X454" s="62" t="str">
        <f t="shared" si="2610"/>
        <v/>
      </c>
      <c r="Y454" s="62" t="str">
        <f t="shared" si="2610"/>
        <v/>
      </c>
      <c r="Z454" s="62" t="str">
        <f t="shared" si="2610"/>
        <v/>
      </c>
      <c r="AA454" s="62">
        <f t="shared" si="2610"/>
        <v>0.52373603762492649</v>
      </c>
      <c r="AB454" s="62">
        <f t="shared" si="2610"/>
        <v>0.52373603762492649</v>
      </c>
      <c r="AC454" s="62">
        <f t="shared" si="2610"/>
        <v>0.52373603762492649</v>
      </c>
      <c r="AD454" s="62">
        <f t="shared" si="2610"/>
        <v>0.52373603762492649</v>
      </c>
      <c r="AE454" s="62">
        <f t="shared" si="2610"/>
        <v>0.52373603762492649</v>
      </c>
      <c r="AF454" s="62">
        <f t="shared" si="2610"/>
        <v>0.52373603762492649</v>
      </c>
      <c r="AG454" s="62">
        <f t="shared" si="2610"/>
        <v>0.52373166273205773</v>
      </c>
      <c r="AH454" s="62" t="str">
        <f t="shared" si="2610"/>
        <v/>
      </c>
      <c r="AI454" s="62" t="str">
        <f t="shared" si="2610"/>
        <v/>
      </c>
      <c r="AJ454" s="62" t="str">
        <f t="shared" si="2610"/>
        <v/>
      </c>
      <c r="AK454" s="412"/>
      <c r="AL454" s="14"/>
      <c r="AM454" s="14"/>
      <c r="AN454" s="14"/>
      <c r="AO454" s="14"/>
      <c r="AP454" s="14"/>
      <c r="AQ454" s="14"/>
      <c r="AR454" s="14"/>
      <c r="AS454" s="14"/>
      <c r="AT454" s="14"/>
      <c r="AU454" s="14"/>
      <c r="AV454" s="14"/>
      <c r="AW454" s="14"/>
      <c r="AX454" s="14"/>
      <c r="AY454" s="14"/>
      <c r="AZ454" s="14"/>
      <c r="BA454" s="14"/>
      <c r="BB454" s="14"/>
      <c r="BC454" s="14"/>
      <c r="BD454" s="14"/>
      <c r="BE454" s="14"/>
      <c r="BF454" s="14"/>
      <c r="BG454" s="14"/>
      <c r="BH454" s="14"/>
      <c r="BI454" s="14"/>
      <c r="BJ454" s="14"/>
      <c r="BK454" s="14"/>
      <c r="BL454" s="14"/>
      <c r="BM454" s="412"/>
      <c r="BN454" s="14"/>
      <c r="BO454" s="14"/>
      <c r="BP454" s="14"/>
      <c r="BQ454" s="14"/>
      <c r="BR454" s="14"/>
      <c r="BS454" s="14"/>
      <c r="BT454" s="14"/>
      <c r="BU454" s="14"/>
      <c r="BV454" s="14"/>
      <c r="BW454" s="14"/>
      <c r="BX454" s="14"/>
      <c r="BY454" s="14"/>
      <c r="BZ454" s="14"/>
      <c r="CA454" s="14"/>
      <c r="CB454" s="14"/>
      <c r="CC454" s="14"/>
      <c r="CD454" s="14"/>
      <c r="CE454" s="14"/>
      <c r="CF454" s="14"/>
      <c r="CG454" s="14"/>
      <c r="CH454" s="14"/>
      <c r="CI454" s="14"/>
      <c r="CJ454" s="14"/>
      <c r="CK454" s="14"/>
      <c r="CL454" s="14"/>
      <c r="CM454" s="14"/>
      <c r="CN454" s="14"/>
      <c r="CO454" s="412"/>
      <c r="CP454" s="14" t="str">
        <f t="shared" ref="CP454:DP454" si="2611">IF(CP417&lt;&gt;0,CP416/CP417,"")</f>
        <v/>
      </c>
      <c r="CQ454" s="14" t="str">
        <f t="shared" si="2611"/>
        <v/>
      </c>
      <c r="CR454" s="14">
        <f>CR416/CR417</f>
        <v>0.5</v>
      </c>
      <c r="CS454" s="14">
        <f t="shared" ref="CS454:DA454" si="2612">CS416/CS417</f>
        <v>0.5</v>
      </c>
      <c r="CT454" s="14">
        <f t="shared" si="2612"/>
        <v>0.5</v>
      </c>
      <c r="CU454" s="14">
        <f t="shared" si="2612"/>
        <v>0.5</v>
      </c>
      <c r="CV454" s="14">
        <f t="shared" si="2612"/>
        <v>0.5</v>
      </c>
      <c r="CW454" s="14">
        <f t="shared" si="2612"/>
        <v>0.5</v>
      </c>
      <c r="CX454" s="14">
        <f t="shared" si="2612"/>
        <v>0.5</v>
      </c>
      <c r="CY454" s="14">
        <f t="shared" si="2612"/>
        <v>0.5</v>
      </c>
      <c r="CZ454" s="14">
        <f t="shared" si="2612"/>
        <v>0.5</v>
      </c>
      <c r="DA454" s="14">
        <f t="shared" si="2612"/>
        <v>0.5</v>
      </c>
      <c r="DB454" s="14" t="str">
        <f t="shared" si="2611"/>
        <v/>
      </c>
      <c r="DC454" s="14" t="str">
        <f t="shared" si="2611"/>
        <v/>
      </c>
      <c r="DD454" s="14" t="str">
        <f t="shared" si="2611"/>
        <v/>
      </c>
      <c r="DE454" s="14" t="str">
        <f t="shared" si="2611"/>
        <v/>
      </c>
      <c r="DF454" s="14" t="str">
        <f t="shared" si="2611"/>
        <v/>
      </c>
      <c r="DG454" s="14">
        <f t="shared" si="2611"/>
        <v>0.52373603762492649</v>
      </c>
      <c r="DH454" s="14">
        <f t="shared" si="2611"/>
        <v>0.52373603762492649</v>
      </c>
      <c r="DI454" s="14">
        <f t="shared" si="2611"/>
        <v>0.52373603762492649</v>
      </c>
      <c r="DJ454" s="14">
        <f t="shared" si="2611"/>
        <v>0.52373603762492649</v>
      </c>
      <c r="DK454" s="14">
        <f t="shared" si="2611"/>
        <v>0.52373603762492649</v>
      </c>
      <c r="DL454" s="14">
        <f t="shared" si="2611"/>
        <v>0.52373603762492649</v>
      </c>
      <c r="DM454" s="14">
        <f t="shared" si="2611"/>
        <v>0.52373166273205773</v>
      </c>
      <c r="DN454" s="14" t="str">
        <f t="shared" si="2611"/>
        <v/>
      </c>
      <c r="DO454" s="14" t="str">
        <f t="shared" si="2611"/>
        <v/>
      </c>
      <c r="DP454" s="14" t="str">
        <f t="shared" si="2611"/>
        <v/>
      </c>
      <c r="DQ454" s="14"/>
      <c r="DR454" s="14"/>
      <c r="DS454" s="14"/>
      <c r="DT454" s="14"/>
      <c r="DU454" s="14"/>
      <c r="DV454" s="14"/>
      <c r="DW454" s="14"/>
      <c r="DX454" s="14"/>
      <c r="DY454" s="14"/>
      <c r="DZ454" s="14"/>
      <c r="EA454" s="14">
        <f>IF(EA417&lt;&gt;0,EA416/EA417,"")</f>
        <v>0.5</v>
      </c>
      <c r="EB454" s="14">
        <f>IF(EB417&lt;&gt;0,EB416/EB417,"")</f>
        <v>0.52373166273205773</v>
      </c>
      <c r="EC454" s="14"/>
      <c r="ED454" s="429"/>
      <c r="EE454" s="14"/>
      <c r="EF454" s="14"/>
      <c r="EG454" s="14">
        <f>EA454</f>
        <v>0.5</v>
      </c>
      <c r="EK454" s="24"/>
      <c r="EL454" s="65"/>
      <c r="EM454" s="65"/>
      <c r="EN454" s="47"/>
    </row>
    <row r="455" spans="1:149">
      <c r="A455" s="6" t="s">
        <v>29</v>
      </c>
      <c r="G455" s="28"/>
      <c r="H455" s="28"/>
      <c r="I455" s="28"/>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ED455" s="429"/>
      <c r="EE455" s="23"/>
      <c r="EF455" s="23"/>
      <c r="EG455" s="23"/>
      <c r="EH455" s="25"/>
      <c r="EI455" s="25"/>
      <c r="EJ455" s="25"/>
      <c r="EK455" s="23"/>
    </row>
    <row r="456" spans="1:149">
      <c r="A456" s="6" t="s">
        <v>23</v>
      </c>
      <c r="B456" s="2" t="s">
        <v>24</v>
      </c>
      <c r="C456" s="3" t="s">
        <v>83</v>
      </c>
      <c r="E456" s="4" t="str">
        <f>C429</f>
        <v>AInBusNew</v>
      </c>
      <c r="F456" s="4" t="s">
        <v>31</v>
      </c>
      <c r="G456" s="28" t="str">
        <f>C428</f>
        <v>AAllNew</v>
      </c>
      <c r="H456" s="28"/>
      <c r="I456" s="28"/>
      <c r="J456" s="62">
        <f t="shared" ref="J456:AJ456" si="2613">IF(J428&lt;&gt;0,J429/J428,"")</f>
        <v>0.59459459459459463</v>
      </c>
      <c r="K456" s="62">
        <f t="shared" si="2613"/>
        <v>0.5357142857142857</v>
      </c>
      <c r="L456" s="62">
        <f t="shared" si="2613"/>
        <v>0.55284552845528456</v>
      </c>
      <c r="M456" s="62">
        <f t="shared" si="2613"/>
        <v>0.57232704402515722</v>
      </c>
      <c r="N456" s="62">
        <f t="shared" si="2613"/>
        <v>0.57309941520467833</v>
      </c>
      <c r="O456" s="62">
        <f t="shared" si="2613"/>
        <v>0.5625</v>
      </c>
      <c r="P456" s="62">
        <f t="shared" si="2613"/>
        <v>0.57281553398058249</v>
      </c>
      <c r="Q456" s="62">
        <f t="shared" si="2613"/>
        <v>0.58715596330275233</v>
      </c>
      <c r="R456" s="62">
        <f t="shared" si="2613"/>
        <v>0.5791505791505791</v>
      </c>
      <c r="S456" s="62">
        <f t="shared" si="2613"/>
        <v>0.56565656565656564</v>
      </c>
      <c r="T456" s="62">
        <f t="shared" si="2613"/>
        <v>0.54654654654654655</v>
      </c>
      <c r="U456" s="62">
        <f t="shared" si="2613"/>
        <v>0.5490196078431373</v>
      </c>
      <c r="V456" s="62">
        <f t="shared" si="2613"/>
        <v>0.59259259259259256</v>
      </c>
      <c r="W456" s="62">
        <f t="shared" si="2613"/>
        <v>0.5757575757575758</v>
      </c>
      <c r="X456" s="62">
        <f t="shared" si="2613"/>
        <v>0.53636363636363638</v>
      </c>
      <c r="Y456" s="62">
        <f t="shared" si="2613"/>
        <v>0.50980392156862742</v>
      </c>
      <c r="Z456" s="62">
        <f t="shared" si="2613"/>
        <v>0.50505050505050508</v>
      </c>
      <c r="AA456" s="62">
        <f t="shared" si="2613"/>
        <v>0.50660792951541855</v>
      </c>
      <c r="AB456" s="62">
        <f t="shared" si="2613"/>
        <v>0.50373134328358204</v>
      </c>
      <c r="AC456" s="62">
        <f t="shared" si="2613"/>
        <v>0.51446945337620575</v>
      </c>
      <c r="AD456" s="62">
        <f t="shared" si="2613"/>
        <v>0.50432276657060515</v>
      </c>
      <c r="AE456" s="62">
        <f t="shared" si="2613"/>
        <v>0.50515463917525771</v>
      </c>
      <c r="AF456" s="62">
        <f t="shared" si="2613"/>
        <v>0.50465116279069766</v>
      </c>
      <c r="AG456" s="62">
        <f t="shared" si="2613"/>
        <v>0.49892933618843682</v>
      </c>
      <c r="AH456" s="62">
        <f t="shared" si="2613"/>
        <v>0.56756756756756754</v>
      </c>
      <c r="AI456" s="62">
        <f t="shared" si="2613"/>
        <v>0.52112676056338025</v>
      </c>
      <c r="AJ456" s="62" t="str">
        <f t="shared" si="2613"/>
        <v/>
      </c>
      <c r="AK456" s="412"/>
      <c r="AL456" s="14">
        <f t="shared" ref="AL456:BL456" si="2614">IF(AL428&lt;&gt;0,AL429/AL428,"")</f>
        <v>0.59459459459459463</v>
      </c>
      <c r="AM456" s="14">
        <f t="shared" si="2614"/>
        <v>0.48936170212765956</v>
      </c>
      <c r="AN456" s="14">
        <f t="shared" si="2614"/>
        <v>0.58974358974358976</v>
      </c>
      <c r="AO456" s="14">
        <f t="shared" si="2614"/>
        <v>0.63888888888888884</v>
      </c>
      <c r="AP456" s="14">
        <f t="shared" si="2614"/>
        <v>0.58333333333333337</v>
      </c>
      <c r="AQ456" s="14">
        <f t="shared" si="2614"/>
        <v>0.47619047619047616</v>
      </c>
      <c r="AR456" s="14">
        <f t="shared" si="2614"/>
        <v>0.7142857142857143</v>
      </c>
      <c r="AS456" s="14">
        <f t="shared" si="2614"/>
        <v>0.83333333333333337</v>
      </c>
      <c r="AT456" s="14">
        <f t="shared" si="2614"/>
        <v>0.53658536585365857</v>
      </c>
      <c r="AU456" s="14">
        <f t="shared" si="2614"/>
        <v>0.47368421052631576</v>
      </c>
      <c r="AV456" s="14">
        <f t="shared" si="2614"/>
        <v>0.3888888888888889</v>
      </c>
      <c r="AW456" s="14">
        <f t="shared" si="2614"/>
        <v>0.58333333333333337</v>
      </c>
      <c r="AX456" s="14">
        <f t="shared" si="2614"/>
        <v>0.59259259259259256</v>
      </c>
      <c r="AY456" s="14">
        <f t="shared" si="2614"/>
        <v>0.5641025641025641</v>
      </c>
      <c r="AZ456" s="14">
        <f t="shared" si="2614"/>
        <v>0.47727272727272729</v>
      </c>
      <c r="BA456" s="14">
        <f t="shared" si="2614"/>
        <v>0.44186046511627908</v>
      </c>
      <c r="BB456" s="14">
        <f t="shared" si="2614"/>
        <v>0.48888888888888887</v>
      </c>
      <c r="BC456" s="14">
        <f t="shared" si="2614"/>
        <v>0.51724137931034486</v>
      </c>
      <c r="BD456" s="14">
        <f t="shared" si="2614"/>
        <v>0.48780487804878048</v>
      </c>
      <c r="BE456" s="14">
        <f t="shared" si="2614"/>
        <v>0.58139534883720934</v>
      </c>
      <c r="BF456" s="14">
        <f t="shared" si="2614"/>
        <v>0.41666666666666669</v>
      </c>
      <c r="BG456" s="14">
        <f t="shared" si="2614"/>
        <v>0.51219512195121952</v>
      </c>
      <c r="BH456" s="14">
        <f t="shared" si="2614"/>
        <v>0.5</v>
      </c>
      <c r="BI456" s="14">
        <f t="shared" si="2614"/>
        <v>0.43243243243243246</v>
      </c>
      <c r="BJ456" s="14">
        <f t="shared" si="2614"/>
        <v>0.56756756756756754</v>
      </c>
      <c r="BK456" s="14">
        <f t="shared" si="2614"/>
        <v>0.47058823529411764</v>
      </c>
      <c r="BL456" s="14" t="str">
        <f t="shared" si="2614"/>
        <v/>
      </c>
      <c r="BM456" s="412"/>
      <c r="BN456" s="14">
        <f t="shared" ref="BN456:CN456" si="2615">IF(BN428&lt;&gt;0,BN429/BN428,"")</f>
        <v>0.55284552845528456</v>
      </c>
      <c r="BO456" s="14">
        <f t="shared" si="2615"/>
        <v>0.55284552845528456</v>
      </c>
      <c r="BP456" s="14">
        <f t="shared" si="2615"/>
        <v>0.55284552845528456</v>
      </c>
      <c r="BQ456" s="14">
        <f t="shared" si="2615"/>
        <v>0.57971014492753625</v>
      </c>
      <c r="BR456" s="14">
        <f t="shared" si="2615"/>
        <v>0.57971014492753625</v>
      </c>
      <c r="BS456" s="14">
        <f t="shared" si="2615"/>
        <v>0.57971014492753625</v>
      </c>
      <c r="BT456" s="14">
        <f t="shared" si="2615"/>
        <v>0.62686567164179108</v>
      </c>
      <c r="BU456" s="14">
        <f t="shared" si="2615"/>
        <v>0.62686567164179108</v>
      </c>
      <c r="BV456" s="14">
        <f t="shared" si="2615"/>
        <v>0.62686567164179108</v>
      </c>
      <c r="BW456" s="14">
        <f t="shared" si="2615"/>
        <v>0.46938775510204084</v>
      </c>
      <c r="BX456" s="14">
        <f t="shared" si="2615"/>
        <v>0.46938775510204084</v>
      </c>
      <c r="BY456" s="14">
        <f t="shared" si="2615"/>
        <v>0.46938775510204084</v>
      </c>
      <c r="BZ456" s="14">
        <f t="shared" si="2615"/>
        <v>0.53636363636363638</v>
      </c>
      <c r="CA456" s="14">
        <f t="shared" si="2615"/>
        <v>0.53636363636363638</v>
      </c>
      <c r="CB456" s="14">
        <f t="shared" si="2615"/>
        <v>0.53636363636363638</v>
      </c>
      <c r="CC456" s="14">
        <f t="shared" si="2615"/>
        <v>0.47863247863247865</v>
      </c>
      <c r="CD456" s="14">
        <f t="shared" si="2615"/>
        <v>0.47863247863247865</v>
      </c>
      <c r="CE456" s="14">
        <f t="shared" si="2615"/>
        <v>0.47863247863247865</v>
      </c>
      <c r="CF456" s="14">
        <f t="shared" si="2615"/>
        <v>0.5</v>
      </c>
      <c r="CG456" s="14">
        <f t="shared" si="2615"/>
        <v>0.5</v>
      </c>
      <c r="CH456" s="14">
        <f t="shared" si="2615"/>
        <v>0.5</v>
      </c>
      <c r="CI456" s="14">
        <f t="shared" si="2615"/>
        <v>0.48333333333333334</v>
      </c>
      <c r="CJ456" s="14">
        <f t="shared" si="2615"/>
        <v>0.48333333333333334</v>
      </c>
      <c r="CK456" s="14">
        <f t="shared" si="2615"/>
        <v>0.48333333333333334</v>
      </c>
      <c r="CL456" s="14">
        <f t="shared" si="2615"/>
        <v>0.52112676056338025</v>
      </c>
      <c r="CM456" s="14">
        <f t="shared" si="2615"/>
        <v>0.52112676056338025</v>
      </c>
      <c r="CN456" s="14">
        <f t="shared" si="2615"/>
        <v>0.52112676056338025</v>
      </c>
      <c r="CO456" s="412"/>
      <c r="CP456" s="14">
        <f t="shared" ref="CP456:DP456" si="2616">IF(CP428&lt;&gt;0,CP429/CP428,"")</f>
        <v>0.59459459459459463</v>
      </c>
      <c r="CQ456" s="14">
        <f t="shared" si="2616"/>
        <v>0.5357142857142857</v>
      </c>
      <c r="CR456" s="14">
        <f t="shared" si="2616"/>
        <v>0.55284552845528456</v>
      </c>
      <c r="CS456" s="14">
        <f t="shared" si="2616"/>
        <v>0.57232704402515722</v>
      </c>
      <c r="CT456" s="14">
        <f t="shared" si="2616"/>
        <v>0.57309941520467833</v>
      </c>
      <c r="CU456" s="14">
        <f t="shared" si="2616"/>
        <v>0.5625</v>
      </c>
      <c r="CV456" s="14">
        <f t="shared" si="2616"/>
        <v>0.57281553398058249</v>
      </c>
      <c r="CW456" s="14">
        <f t="shared" si="2616"/>
        <v>0.58715596330275233</v>
      </c>
      <c r="CX456" s="14">
        <f t="shared" si="2616"/>
        <v>0.5791505791505791</v>
      </c>
      <c r="CY456" s="14">
        <f t="shared" si="2616"/>
        <v>0.56565656565656564</v>
      </c>
      <c r="CZ456" s="14">
        <f t="shared" si="2616"/>
        <v>0.54654654654654655</v>
      </c>
      <c r="DA456" s="14">
        <f t="shared" si="2616"/>
        <v>0.5490196078431373</v>
      </c>
      <c r="DB456" s="14">
        <f t="shared" si="2616"/>
        <v>0.59259259259259256</v>
      </c>
      <c r="DC456" s="14">
        <f t="shared" si="2616"/>
        <v>0.5757575757575758</v>
      </c>
      <c r="DD456" s="14">
        <f t="shared" si="2616"/>
        <v>0.53636363636363638</v>
      </c>
      <c r="DE456" s="14">
        <f t="shared" si="2616"/>
        <v>0.50980392156862742</v>
      </c>
      <c r="DF456" s="14">
        <f t="shared" si="2616"/>
        <v>0.50505050505050508</v>
      </c>
      <c r="DG456" s="14">
        <f t="shared" si="2616"/>
        <v>0.50660792951541855</v>
      </c>
      <c r="DH456" s="14">
        <f t="shared" si="2616"/>
        <v>0.50373134328358204</v>
      </c>
      <c r="DI456" s="14">
        <f t="shared" si="2616"/>
        <v>0.51446945337620575</v>
      </c>
      <c r="DJ456" s="14">
        <f t="shared" si="2616"/>
        <v>0.50432276657060515</v>
      </c>
      <c r="DK456" s="14">
        <f t="shared" si="2616"/>
        <v>0.50515463917525771</v>
      </c>
      <c r="DL456" s="14">
        <f t="shared" si="2616"/>
        <v>0.50465116279069766</v>
      </c>
      <c r="DM456" s="14">
        <f t="shared" si="2616"/>
        <v>0.49892933618843682</v>
      </c>
      <c r="DN456" s="14">
        <f t="shared" si="2616"/>
        <v>0.56756756756756754</v>
      </c>
      <c r="DO456" s="14">
        <f t="shared" si="2616"/>
        <v>0.52112676056338025</v>
      </c>
      <c r="DP456" s="14">
        <f t="shared" si="2616"/>
        <v>0.52112676056338025</v>
      </c>
      <c r="DQ456" s="14"/>
      <c r="DR456" s="14"/>
      <c r="DS456" s="14"/>
      <c r="DT456" s="14"/>
      <c r="DU456" s="14"/>
      <c r="DV456" s="14"/>
      <c r="DW456" s="14"/>
      <c r="DX456" s="14"/>
      <c r="DY456" s="14"/>
      <c r="ED456" s="429"/>
      <c r="EE456" s="23"/>
      <c r="EF456" s="23"/>
      <c r="EG456" s="23"/>
      <c r="EH456" s="14">
        <f>IF(EH428&lt;&gt;0,EH429/EH428,"0%")</f>
        <v>0.47058823529411764</v>
      </c>
      <c r="EI456" s="14">
        <f>IF(EI428&lt;&gt;0,EI429/EI428,"0%")</f>
        <v>0.52112676056338025</v>
      </c>
      <c r="EJ456" s="14">
        <f>IF(EJ428&lt;&gt;0,EJ429/EJ428,"0%")</f>
        <v>0.52112676056338025</v>
      </c>
      <c r="EK456" s="24"/>
      <c r="EL456" s="47">
        <f t="shared" ref="EL456:EN460" si="2617">+EH456-EE449</f>
        <v>0.22058823529411764</v>
      </c>
      <c r="EM456" s="47">
        <f t="shared" si="2617"/>
        <v>0.27112676056338025</v>
      </c>
      <c r="EN456" s="47">
        <f t="shared" si="2617"/>
        <v>0.27113772532451763</v>
      </c>
      <c r="EO456" s="46" t="str">
        <f t="shared" ref="EO456:EP460" si="2618">IF(EH456&lt;0,,IF(EH456&lt;EE449,"È",IF(EH456=EE449,"Æ","Ç")))</f>
        <v>Ç</v>
      </c>
      <c r="EP456" s="46" t="str">
        <f t="shared" si="2618"/>
        <v>Ç</v>
      </c>
      <c r="EQ456" s="2">
        <f t="shared" ref="EQ456:ES460" si="2619">IF(EH456/EE449&gt;=0.9,1,IF(EH456/EE449&lt;0.75,3,2))</f>
        <v>1</v>
      </c>
      <c r="ER456" s="2">
        <f t="shared" si="2619"/>
        <v>1</v>
      </c>
      <c r="ES456" s="2">
        <f t="shared" si="2619"/>
        <v>1</v>
      </c>
    </row>
    <row r="457" spans="1:149">
      <c r="A457" s="6" t="s">
        <v>23</v>
      </c>
      <c r="B457" s="2" t="s">
        <v>25</v>
      </c>
      <c r="C457" s="3" t="s">
        <v>79</v>
      </c>
      <c r="E457" s="4" t="str">
        <f>C444</f>
        <v>ASEE</v>
      </c>
      <c r="F457" s="4" t="s">
        <v>31</v>
      </c>
      <c r="G457" s="28" t="str">
        <f>C443</f>
        <v>ASUniq</v>
      </c>
      <c r="H457" s="28"/>
      <c r="I457" s="28"/>
      <c r="J457" s="62">
        <f>IF(J443&lt;&gt;0,J444/J443,"")</f>
        <v>0.39583333333333331</v>
      </c>
      <c r="K457" s="62">
        <f>IF(K443&lt;&gt;0,K444/K443,"")</f>
        <v>0.31343283582089554</v>
      </c>
      <c r="L457" s="62">
        <f>IF(L443&lt;&gt;0,L444/L443,"")</f>
        <v>0.25531914893617019</v>
      </c>
      <c r="M457" s="62">
        <f>IF(M443&lt;&gt;0,M444/M443,"")</f>
        <v>5.2830188679245285E-2</v>
      </c>
      <c r="N457" s="62">
        <f>IF(N443&lt;&gt;0,N444/N443,"")</f>
        <v>0.76470588235294112</v>
      </c>
      <c r="O457" s="62">
        <f>IF(O443&lt;&gt;"",O444/O443,"")</f>
        <v>0.17391304347826086</v>
      </c>
      <c r="P457" s="62">
        <f t="shared" ref="P457:AJ457" si="2620">IF(P443&lt;&gt;"",P444/P443,"")</f>
        <v>0.27777777777777779</v>
      </c>
      <c r="Q457" s="62">
        <f t="shared" si="2620"/>
        <v>0.7142857142857143</v>
      </c>
      <c r="R457" s="62">
        <f t="shared" si="2620"/>
        <v>0.29166666666666669</v>
      </c>
      <c r="S457" s="62">
        <f t="shared" si="2620"/>
        <v>0.20454545454545456</v>
      </c>
      <c r="T457" s="62">
        <f t="shared" si="2620"/>
        <v>0.31707317073170732</v>
      </c>
      <c r="U457" s="62">
        <f t="shared" si="2620"/>
        <v>0.42857142857142855</v>
      </c>
      <c r="V457" s="62">
        <f t="shared" si="2620"/>
        <v>1.6333333333333333</v>
      </c>
      <c r="W457" s="62">
        <f t="shared" si="2620"/>
        <v>0.47368421052631576</v>
      </c>
      <c r="X457" s="62">
        <f t="shared" si="2620"/>
        <v>0.21311475409836064</v>
      </c>
      <c r="Y457" s="62">
        <f t="shared" si="2620"/>
        <v>0.52</v>
      </c>
      <c r="Z457" s="62">
        <f t="shared" si="2620"/>
        <v>0.5</v>
      </c>
      <c r="AA457" s="62">
        <f t="shared" si="2620"/>
        <v>0.45945945945945948</v>
      </c>
      <c r="AB457" s="62">
        <f t="shared" si="2620"/>
        <v>0.32</v>
      </c>
      <c r="AC457" s="62">
        <f t="shared" si="2620"/>
        <v>0.42857142857142855</v>
      </c>
      <c r="AD457" s="62">
        <f t="shared" si="2620"/>
        <v>0.40909090909090912</v>
      </c>
      <c r="AE457" s="62">
        <f t="shared" si="2620"/>
        <v>0.42222222222222222</v>
      </c>
      <c r="AF457" s="62">
        <f t="shared" si="2620"/>
        <v>0.48837209302325579</v>
      </c>
      <c r="AG457" s="62">
        <f t="shared" si="2620"/>
        <v>0.51020408163265307</v>
      </c>
      <c r="AH457" s="62">
        <f t="shared" si="2620"/>
        <v>0.6</v>
      </c>
      <c r="AI457" s="62">
        <f t="shared" si="2620"/>
        <v>0.61038961038961037</v>
      </c>
      <c r="AJ457" s="62" t="str">
        <f t="shared" si="2620"/>
        <v/>
      </c>
      <c r="AK457" s="412"/>
      <c r="AL457" s="14">
        <f t="shared" ref="AL457:BL457" si="2621">IF(AL443&lt;&gt;0,AL444/AL443,"")</f>
        <v>0.39583333333333331</v>
      </c>
      <c r="AM457" s="14">
        <f t="shared" si="2621"/>
        <v>0.31343283582089554</v>
      </c>
      <c r="AN457" s="14">
        <f t="shared" si="2621"/>
        <v>0.25531914893617019</v>
      </c>
      <c r="AO457" s="14">
        <f t="shared" si="2621"/>
        <v>5.2830188679245285E-2</v>
      </c>
      <c r="AP457" s="14">
        <f t="shared" si="2621"/>
        <v>0.76470588235294112</v>
      </c>
      <c r="AQ457" s="14">
        <f t="shared" si="2621"/>
        <v>0.17391304347826086</v>
      </c>
      <c r="AR457" s="14">
        <f t="shared" si="2621"/>
        <v>0.27777777777777779</v>
      </c>
      <c r="AS457" s="14">
        <f t="shared" si="2621"/>
        <v>0.7142857142857143</v>
      </c>
      <c r="AT457" s="14">
        <f t="shared" si="2621"/>
        <v>0.29166666666666669</v>
      </c>
      <c r="AU457" s="14">
        <f t="shared" si="2621"/>
        <v>0.20454545454545456</v>
      </c>
      <c r="AV457" s="14">
        <f t="shared" si="2621"/>
        <v>0.31707317073170732</v>
      </c>
      <c r="AW457" s="14">
        <f t="shared" si="2621"/>
        <v>0.42857142857142855</v>
      </c>
      <c r="AX457" s="14">
        <f t="shared" si="2621"/>
        <v>1.6333333333333333</v>
      </c>
      <c r="AY457" s="14">
        <f t="shared" si="2621"/>
        <v>0.47368421052631576</v>
      </c>
      <c r="AZ457" s="14">
        <f t="shared" si="2621"/>
        <v>0.21311475409836064</v>
      </c>
      <c r="BA457" s="14">
        <f t="shared" si="2621"/>
        <v>0.52</v>
      </c>
      <c r="BB457" s="14">
        <f t="shared" si="2621"/>
        <v>0.5</v>
      </c>
      <c r="BC457" s="14">
        <f t="shared" si="2621"/>
        <v>0.45945945945945948</v>
      </c>
      <c r="BD457" s="14">
        <f t="shared" si="2621"/>
        <v>0.32</v>
      </c>
      <c r="BE457" s="14">
        <f t="shared" si="2621"/>
        <v>0.42857142857142855</v>
      </c>
      <c r="BF457" s="14">
        <f t="shared" si="2621"/>
        <v>0.40909090909090912</v>
      </c>
      <c r="BG457" s="14">
        <f t="shared" si="2621"/>
        <v>0.42222222222222222</v>
      </c>
      <c r="BH457" s="14">
        <f t="shared" si="2621"/>
        <v>0.48837209302325579</v>
      </c>
      <c r="BI457" s="14">
        <f t="shared" si="2621"/>
        <v>0.51020408163265307</v>
      </c>
      <c r="BJ457" s="14">
        <f t="shared" si="2621"/>
        <v>0.6</v>
      </c>
      <c r="BK457" s="14">
        <f t="shared" si="2621"/>
        <v>0.61038961038961037</v>
      </c>
      <c r="BL457" s="14" t="e">
        <f t="shared" si="2621"/>
        <v>#VALUE!</v>
      </c>
      <c r="BM457" s="412"/>
      <c r="BN457" s="14">
        <f t="shared" ref="BN457:CN457" si="2622">IF(BN430&lt;&gt;0,BN431/BN430,"")</f>
        <v>0.33809523809523812</v>
      </c>
      <c r="BO457" s="14">
        <f t="shared" si="2622"/>
        <v>0.33809523809523812</v>
      </c>
      <c r="BP457" s="14">
        <f t="shared" si="2622"/>
        <v>0.33809523809523812</v>
      </c>
      <c r="BQ457" s="14">
        <f t="shared" si="2622"/>
        <v>0.32631578947368423</v>
      </c>
      <c r="BR457" s="14">
        <f t="shared" si="2622"/>
        <v>0.32631578947368423</v>
      </c>
      <c r="BS457" s="14">
        <f t="shared" si="2622"/>
        <v>0.32631578947368423</v>
      </c>
      <c r="BT457" s="14">
        <f t="shared" si="2622"/>
        <v>0.36249999999999999</v>
      </c>
      <c r="BU457" s="14">
        <f t="shared" si="2622"/>
        <v>0.36249999999999999</v>
      </c>
      <c r="BV457" s="14">
        <f t="shared" si="2622"/>
        <v>0.36249999999999999</v>
      </c>
      <c r="BW457" s="14">
        <f t="shared" si="2622"/>
        <v>0.30088495575221241</v>
      </c>
      <c r="BX457" s="14">
        <f t="shared" si="2622"/>
        <v>0.30088495575221241</v>
      </c>
      <c r="BY457" s="14">
        <f t="shared" si="2622"/>
        <v>0.30088495575221241</v>
      </c>
      <c r="BZ457" s="14">
        <f t="shared" si="2622"/>
        <v>0.4336283185840708</v>
      </c>
      <c r="CA457" s="14">
        <f t="shared" si="2622"/>
        <v>0.4336283185840708</v>
      </c>
      <c r="CB457" s="14">
        <f t="shared" si="2622"/>
        <v>0.4336283185840708</v>
      </c>
      <c r="CC457" s="14">
        <f t="shared" si="2622"/>
        <v>0.49640287769784175</v>
      </c>
      <c r="CD457" s="14">
        <f t="shared" si="2622"/>
        <v>0.49640287769784175</v>
      </c>
      <c r="CE457" s="14">
        <f t="shared" si="2622"/>
        <v>0.49640287769784175</v>
      </c>
      <c r="CF457" s="14">
        <f t="shared" si="2622"/>
        <v>0.38461538461538464</v>
      </c>
      <c r="CG457" s="14">
        <f t="shared" si="2622"/>
        <v>0.38461538461538464</v>
      </c>
      <c r="CH457" s="14">
        <f t="shared" si="2622"/>
        <v>0.38461538461538464</v>
      </c>
      <c r="CI457" s="14">
        <f t="shared" si="2622"/>
        <v>0.47445255474452552</v>
      </c>
      <c r="CJ457" s="14">
        <f t="shared" si="2622"/>
        <v>0.47445255474452552</v>
      </c>
      <c r="CK457" s="14">
        <f t="shared" si="2622"/>
        <v>0.47445255474452552</v>
      </c>
      <c r="CL457" s="14">
        <f t="shared" si="2622"/>
        <v>0.60386473429951693</v>
      </c>
      <c r="CM457" s="14">
        <f t="shared" si="2622"/>
        <v>0.60386473429951693</v>
      </c>
      <c r="CN457" s="14">
        <f t="shared" si="2622"/>
        <v>0.60386473429951693</v>
      </c>
      <c r="CO457" s="412"/>
      <c r="CP457" s="14">
        <f t="shared" ref="CP457:CZ457" si="2623">IF(CP430&lt;&gt;0,CP431/CP430,"")</f>
        <v>0.39583333333333331</v>
      </c>
      <c r="CQ457" s="14">
        <f t="shared" si="2623"/>
        <v>0.3619631901840491</v>
      </c>
      <c r="CR457" s="14">
        <f t="shared" si="2623"/>
        <v>0.33809523809523812</v>
      </c>
      <c r="CS457" s="14">
        <f t="shared" si="2623"/>
        <v>0.32075471698113206</v>
      </c>
      <c r="CT457" s="14">
        <f t="shared" si="2623"/>
        <v>0.3475177304964539</v>
      </c>
      <c r="CU457" s="14">
        <f t="shared" si="2623"/>
        <v>0.33442622950819673</v>
      </c>
      <c r="CV457" s="14">
        <f t="shared" si="2623"/>
        <v>0.33126934984520123</v>
      </c>
      <c r="CW457" s="14">
        <f t="shared" si="2623"/>
        <v>0.34718100890207715</v>
      </c>
      <c r="CX457" s="14">
        <f t="shared" si="2623"/>
        <v>0.34025974025974026</v>
      </c>
      <c r="CY457" s="14">
        <f t="shared" si="2623"/>
        <v>0.32634032634032634</v>
      </c>
      <c r="CZ457" s="14">
        <f t="shared" si="2623"/>
        <v>0.32553191489361705</v>
      </c>
      <c r="DA457" s="14">
        <f t="shared" ref="DA457:DP457" si="2624">IF(DA430&lt;&gt;0,DA431/DA430,"")</f>
        <v>0.33132530120481929</v>
      </c>
      <c r="DB457" s="14">
        <f t="shared" si="2624"/>
        <v>0.550561797752809</v>
      </c>
      <c r="DC457" s="14">
        <f t="shared" si="2624"/>
        <v>0.51515151515151514</v>
      </c>
      <c r="DD457" s="14">
        <f t="shared" si="2624"/>
        <v>0.4336283185840708</v>
      </c>
      <c r="DE457" s="14">
        <f t="shared" si="2624"/>
        <v>0.44927536231884058</v>
      </c>
      <c r="DF457" s="14">
        <f t="shared" si="2624"/>
        <v>0.45731707317073172</v>
      </c>
      <c r="DG457" s="14">
        <f t="shared" si="2624"/>
        <v>0.45753424657534247</v>
      </c>
      <c r="DH457" s="14">
        <f t="shared" si="2624"/>
        <v>0.44096385542168676</v>
      </c>
      <c r="DI457" s="14">
        <f t="shared" si="2624"/>
        <v>0.43965517241379309</v>
      </c>
      <c r="DJ457" s="14">
        <f t="shared" si="2624"/>
        <v>0.43700787401574803</v>
      </c>
      <c r="DK457" s="14">
        <f t="shared" si="2624"/>
        <v>0.43580470162748641</v>
      </c>
      <c r="DL457" s="14">
        <f t="shared" si="2624"/>
        <v>0.43959731543624159</v>
      </c>
      <c r="DM457" s="14">
        <f t="shared" si="2624"/>
        <v>0.4449612403100775</v>
      </c>
      <c r="DN457" s="14">
        <f t="shared" si="2624"/>
        <v>0.6</v>
      </c>
      <c r="DO457" s="14">
        <f t="shared" si="2624"/>
        <v>0.60386473429951693</v>
      </c>
      <c r="DP457" s="14">
        <f t="shared" si="2624"/>
        <v>0.60386473429951693</v>
      </c>
      <c r="DQ457" s="14"/>
      <c r="DR457" s="14"/>
      <c r="DS457" s="14"/>
      <c r="DT457" s="14"/>
      <c r="DU457" s="14"/>
      <c r="DV457" s="14"/>
      <c r="DW457" s="14"/>
      <c r="DX457" s="14"/>
      <c r="DY457" s="14"/>
      <c r="ED457" s="429"/>
      <c r="EE457" s="23"/>
      <c r="EF457" s="23"/>
      <c r="EG457" s="23"/>
      <c r="EH457" s="14">
        <f>IF(EH430&lt;&gt;0,EH431/EH430,"0%")</f>
        <v>0.61038961038961037</v>
      </c>
      <c r="EI457" s="14">
        <f>IF(EI430&lt;&gt;0,EI431/EI430,"0%")</f>
        <v>0.60386473429951693</v>
      </c>
      <c r="EJ457" s="14">
        <f>IF(EJ430&lt;&gt;0,EJ431/EJ430,"0%")</f>
        <v>0.60386473429951693</v>
      </c>
      <c r="EK457" s="24"/>
      <c r="EL457" s="47">
        <f t="shared" si="2617"/>
        <v>0.21262961038961048</v>
      </c>
      <c r="EM457" s="47">
        <f t="shared" si="2617"/>
        <v>0.40498473429951698</v>
      </c>
      <c r="EN457" s="47">
        <f t="shared" si="2617"/>
        <v>0.40498473429951698</v>
      </c>
      <c r="EO457" s="46" t="str">
        <f t="shared" si="2618"/>
        <v>Ç</v>
      </c>
      <c r="EP457" s="46" t="str">
        <f t="shared" si="2618"/>
        <v>Ç</v>
      </c>
      <c r="EQ457" s="2">
        <f t="shared" si="2619"/>
        <v>1</v>
      </c>
      <c r="ER457" s="2">
        <f t="shared" si="2619"/>
        <v>1</v>
      </c>
      <c r="ES457" s="2">
        <f t="shared" si="2619"/>
        <v>1</v>
      </c>
    </row>
    <row r="458" spans="1:149">
      <c r="A458" s="6" t="s">
        <v>23</v>
      </c>
      <c r="B458" s="2" t="s">
        <v>160</v>
      </c>
      <c r="C458" s="3" t="s">
        <v>80</v>
      </c>
      <c r="E458" s="3" t="str">
        <f>C433</f>
        <v>ASatRate</v>
      </c>
      <c r="F458" s="3" t="s">
        <v>32</v>
      </c>
      <c r="G458" s="28" t="str">
        <f>C428</f>
        <v>AAllNew</v>
      </c>
      <c r="H458" s="63" t="s">
        <v>31</v>
      </c>
      <c r="I458" s="28" t="str">
        <f>C432</f>
        <v>ASatResp</v>
      </c>
      <c r="J458" s="62">
        <f t="shared" ref="J458:AJ458" si="2625">IF(J428&lt;&gt;0,J433*J432/J428,"")</f>
        <v>0</v>
      </c>
      <c r="K458" s="62">
        <f t="shared" si="2625"/>
        <v>8.3333333333333329E-2</v>
      </c>
      <c r="L458" s="62">
        <f t="shared" si="2625"/>
        <v>4.065040650406504E-2</v>
      </c>
      <c r="M458" s="62">
        <f t="shared" si="2625"/>
        <v>4.40251572327044E-2</v>
      </c>
      <c r="N458" s="62">
        <f t="shared" si="2625"/>
        <v>5.2631578947368418E-2</v>
      </c>
      <c r="O458" s="62">
        <f t="shared" si="2625"/>
        <v>1.0416666666666666E-2</v>
      </c>
      <c r="P458" s="62">
        <f t="shared" si="2625"/>
        <v>4.3689320388349516E-2</v>
      </c>
      <c r="Q458" s="62">
        <f t="shared" si="2625"/>
        <v>1.3761467889908258E-2</v>
      </c>
      <c r="R458" s="62">
        <f t="shared" si="2625"/>
        <v>1.1583011583011582E-2</v>
      </c>
      <c r="S458" s="62">
        <f t="shared" si="2625"/>
        <v>2.6936026936026935E-2</v>
      </c>
      <c r="T458" s="62">
        <f t="shared" si="2625"/>
        <v>2.1021021021021023E-2</v>
      </c>
      <c r="U458" s="62">
        <f t="shared" si="2625"/>
        <v>1.4005602240896359E-2</v>
      </c>
      <c r="V458" s="62">
        <f t="shared" si="2625"/>
        <v>0.33333333333333331</v>
      </c>
      <c r="W458" s="62">
        <f t="shared" si="2625"/>
        <v>9.0909090909090912E-2</v>
      </c>
      <c r="X458" s="62">
        <f t="shared" si="2625"/>
        <v>0.10909090909090909</v>
      </c>
      <c r="Y458" s="62">
        <f t="shared" si="2625"/>
        <v>9.0130718954248359E-2</v>
      </c>
      <c r="Z458" s="62">
        <f t="shared" si="2625"/>
        <v>4.8484848484848485E-2</v>
      </c>
      <c r="AA458" s="62">
        <f t="shared" si="2625"/>
        <v>3.9647577092511016E-2</v>
      </c>
      <c r="AB458" s="62">
        <f t="shared" si="2625"/>
        <v>2.6119402985074626E-2</v>
      </c>
      <c r="AC458" s="62">
        <f t="shared" si="2625"/>
        <v>5.1446945337620578E-2</v>
      </c>
      <c r="AD458" s="62">
        <f t="shared" si="2625"/>
        <v>5.1873198847262249E-2</v>
      </c>
      <c r="AE458" s="62">
        <f t="shared" si="2625"/>
        <v>3.8659793814432991E-2</v>
      </c>
      <c r="AF458" s="62">
        <f t="shared" si="2625"/>
        <v>4.1860465116279069E-2</v>
      </c>
      <c r="AG458" s="62">
        <f t="shared" si="2625"/>
        <v>4.068522483940043E-2</v>
      </c>
      <c r="AH458" s="62">
        <f t="shared" si="2625"/>
        <v>0.45945945945945948</v>
      </c>
      <c r="AI458" s="62">
        <f t="shared" si="2625"/>
        <v>0.26760563380281688</v>
      </c>
      <c r="AJ458" s="62" t="str">
        <f t="shared" si="2625"/>
        <v/>
      </c>
      <c r="AK458" s="412"/>
      <c r="AL458" s="14">
        <f t="shared" ref="AL458:BL458" si="2626">IF(AL428&lt;&gt;0,AL433*AL432/AL428,"")</f>
        <v>0</v>
      </c>
      <c r="AM458" s="14">
        <f t="shared" si="2626"/>
        <v>0.14893617021276595</v>
      </c>
      <c r="AN458" s="14">
        <f t="shared" si="2626"/>
        <v>0.12820512820512819</v>
      </c>
      <c r="AO458" s="14">
        <f t="shared" si="2626"/>
        <v>0.19444444444444445</v>
      </c>
      <c r="AP458" s="14">
        <f t="shared" si="2626"/>
        <v>0</v>
      </c>
      <c r="AQ458" s="14">
        <f t="shared" si="2626"/>
        <v>9.5238095238095233E-2</v>
      </c>
      <c r="AR458" s="14">
        <f t="shared" si="2626"/>
        <v>0.6428571428571429</v>
      </c>
      <c r="AS458" s="14">
        <f t="shared" si="2626"/>
        <v>0.25</v>
      </c>
      <c r="AT458" s="14">
        <f t="shared" si="2626"/>
        <v>7.3170731707317069E-2</v>
      </c>
      <c r="AU458" s="14">
        <f t="shared" si="2626"/>
        <v>0.21052631578947367</v>
      </c>
      <c r="AV458" s="14">
        <f t="shared" si="2626"/>
        <v>0.19444444444444445</v>
      </c>
      <c r="AW458" s="14">
        <f t="shared" si="2626"/>
        <v>0.20833333333333334</v>
      </c>
      <c r="AX458" s="14">
        <f t="shared" si="2626"/>
        <v>0.33333333333333331</v>
      </c>
      <c r="AY458" s="14">
        <f t="shared" si="2626"/>
        <v>0.15384615384615385</v>
      </c>
      <c r="AZ458" s="14">
        <f t="shared" si="2626"/>
        <v>0.27272727272727271</v>
      </c>
      <c r="BA458" s="14">
        <f t="shared" si="2626"/>
        <v>0.32069767441860464</v>
      </c>
      <c r="BB458" s="14">
        <f t="shared" si="2626"/>
        <v>0.21333333333333332</v>
      </c>
      <c r="BC458" s="14">
        <f t="shared" si="2626"/>
        <v>0.31034482758620691</v>
      </c>
      <c r="BD458" s="14">
        <f t="shared" si="2626"/>
        <v>0.17073170731707318</v>
      </c>
      <c r="BE458" s="14">
        <f t="shared" si="2626"/>
        <v>0.37209302325581395</v>
      </c>
      <c r="BF458" s="14">
        <f t="shared" si="2626"/>
        <v>0.5</v>
      </c>
      <c r="BG458" s="14">
        <f t="shared" si="2626"/>
        <v>0.36585365853658536</v>
      </c>
      <c r="BH458" s="14">
        <f t="shared" si="2626"/>
        <v>0.42857142857142855</v>
      </c>
      <c r="BI458" s="14">
        <f t="shared" si="2626"/>
        <v>0.51351351351351349</v>
      </c>
      <c r="BJ458" s="14">
        <f t="shared" si="2626"/>
        <v>0.45945945945945948</v>
      </c>
      <c r="BK458" s="14">
        <f t="shared" si="2626"/>
        <v>0</v>
      </c>
      <c r="BL458" s="14" t="str">
        <f t="shared" si="2626"/>
        <v/>
      </c>
      <c r="BM458" s="412"/>
      <c r="BN458" s="14">
        <f t="shared" ref="BN458:CN458" si="2627">IF(BN428&lt;&gt;0,BN433*BN432/BN428,"")</f>
        <v>9.7560975609756101E-2</v>
      </c>
      <c r="BO458" s="14">
        <f t="shared" si="2627"/>
        <v>9.7560975609756101E-2</v>
      </c>
      <c r="BP458" s="14">
        <f t="shared" si="2627"/>
        <v>9.7560975609756101E-2</v>
      </c>
      <c r="BQ458" s="14">
        <f t="shared" si="2627"/>
        <v>0.13043478260869565</v>
      </c>
      <c r="BR458" s="14">
        <f t="shared" si="2627"/>
        <v>0.13043478260869565</v>
      </c>
      <c r="BS458" s="14">
        <f t="shared" si="2627"/>
        <v>0.13043478260869565</v>
      </c>
      <c r="BT458" s="14">
        <f t="shared" si="2627"/>
        <v>0.22388059701492538</v>
      </c>
      <c r="BU458" s="14">
        <f t="shared" si="2627"/>
        <v>0.22388059701492538</v>
      </c>
      <c r="BV458" s="14">
        <f t="shared" si="2627"/>
        <v>0.22388059701492538</v>
      </c>
      <c r="BW458" s="14">
        <f t="shared" si="2627"/>
        <v>0.20408163265306123</v>
      </c>
      <c r="BX458" s="14">
        <f t="shared" si="2627"/>
        <v>0.20408163265306123</v>
      </c>
      <c r="BY458" s="14">
        <f t="shared" si="2627"/>
        <v>0.20408163265306123</v>
      </c>
      <c r="BZ458" s="14">
        <f t="shared" si="2627"/>
        <v>0.24545454545454545</v>
      </c>
      <c r="CA458" s="14">
        <f t="shared" si="2627"/>
        <v>0.24545454545454545</v>
      </c>
      <c r="CB458" s="14">
        <f t="shared" si="2627"/>
        <v>0.24545454545454545</v>
      </c>
      <c r="CC458" s="14">
        <f t="shared" si="2627"/>
        <v>0.27683760683760683</v>
      </c>
      <c r="CD458" s="14">
        <f t="shared" si="2627"/>
        <v>0.27683760683760683</v>
      </c>
      <c r="CE458" s="14">
        <f t="shared" si="2627"/>
        <v>0.27683760683760683</v>
      </c>
      <c r="CF458" s="14">
        <f t="shared" si="2627"/>
        <v>0.34166666666666667</v>
      </c>
      <c r="CG458" s="14">
        <f t="shared" si="2627"/>
        <v>0.34166666666666667</v>
      </c>
      <c r="CH458" s="14">
        <f t="shared" si="2627"/>
        <v>0.34166666666666667</v>
      </c>
      <c r="CI458" s="14">
        <f t="shared" si="2627"/>
        <v>0.43333333333333335</v>
      </c>
      <c r="CJ458" s="14">
        <f t="shared" si="2627"/>
        <v>0.43333333333333335</v>
      </c>
      <c r="CK458" s="14">
        <f t="shared" si="2627"/>
        <v>0.43333333333333335</v>
      </c>
      <c r="CL458" s="14">
        <f t="shared" si="2627"/>
        <v>0.23943661971830985</v>
      </c>
      <c r="CM458" s="14">
        <f t="shared" si="2627"/>
        <v>0.23943661971830985</v>
      </c>
      <c r="CN458" s="14">
        <f t="shared" si="2627"/>
        <v>0.23943661971830985</v>
      </c>
      <c r="CO458" s="412"/>
      <c r="CP458" s="14">
        <f t="shared" ref="CP458:DP458" si="2628">IF(CP428&lt;&gt;0,CP433*CP432/CP428,"")</f>
        <v>0</v>
      </c>
      <c r="CQ458" s="14">
        <f t="shared" si="2628"/>
        <v>8.3333333333333329E-2</v>
      </c>
      <c r="CR458" s="14">
        <f t="shared" si="2628"/>
        <v>9.7560975609756101E-2</v>
      </c>
      <c r="CS458" s="14">
        <f t="shared" si="2628"/>
        <v>0.11949685534591195</v>
      </c>
      <c r="CT458" s="14">
        <f t="shared" si="2628"/>
        <v>0.16374269005847952</v>
      </c>
      <c r="CU458" s="14">
        <f t="shared" si="2628"/>
        <v>0.15625</v>
      </c>
      <c r="CV458" s="14">
        <f t="shared" si="2628"/>
        <v>0.18932038834951456</v>
      </c>
      <c r="CW458" s="14">
        <f t="shared" si="2628"/>
        <v>0.19266055045871561</v>
      </c>
      <c r="CX458" s="14">
        <f t="shared" si="2628"/>
        <v>0.17374517374517376</v>
      </c>
      <c r="CY458" s="14">
        <f t="shared" si="2628"/>
        <v>0.17845117845117844</v>
      </c>
      <c r="CZ458" s="14">
        <f t="shared" si="2628"/>
        <v>0.18018018018018017</v>
      </c>
      <c r="DA458" s="14">
        <f t="shared" si="2628"/>
        <v>0.18207282913165265</v>
      </c>
      <c r="DB458" s="14">
        <f t="shared" si="2628"/>
        <v>0.33333333333333331</v>
      </c>
      <c r="DC458" s="14">
        <f t="shared" si="2628"/>
        <v>0.22727272727272727</v>
      </c>
      <c r="DD458" s="14">
        <f t="shared" si="2628"/>
        <v>0.24545454545454545</v>
      </c>
      <c r="DE458" s="14">
        <f t="shared" si="2628"/>
        <v>0.2666013071895425</v>
      </c>
      <c r="DF458" s="14">
        <f t="shared" si="2628"/>
        <v>0.2544949494949495</v>
      </c>
      <c r="DG458" s="14">
        <f t="shared" si="2628"/>
        <v>0.26162995594713656</v>
      </c>
      <c r="DH458" s="14">
        <f t="shared" si="2628"/>
        <v>0.24772388059701492</v>
      </c>
      <c r="DI458" s="14">
        <f t="shared" si="2628"/>
        <v>0.26491961414790999</v>
      </c>
      <c r="DJ458" s="14">
        <f t="shared" si="2628"/>
        <v>0.28930835734870319</v>
      </c>
      <c r="DK458" s="14">
        <f t="shared" si="2628"/>
        <v>0.29739690721649487</v>
      </c>
      <c r="DL458" s="14">
        <f t="shared" si="2628"/>
        <v>0.31020930232558136</v>
      </c>
      <c r="DM458" s="14">
        <f t="shared" si="2628"/>
        <v>0.32631691648822264</v>
      </c>
      <c r="DN458" s="14">
        <f t="shared" si="2628"/>
        <v>0.45945945945945948</v>
      </c>
      <c r="DO458" s="14">
        <f t="shared" si="2628"/>
        <v>0.50704225352112675</v>
      </c>
      <c r="DP458" s="14">
        <f t="shared" si="2628"/>
        <v>0.50704225352112675</v>
      </c>
      <c r="DQ458" s="14"/>
      <c r="DR458" s="14"/>
      <c r="DS458" s="14"/>
      <c r="DT458" s="14"/>
      <c r="DU458" s="14"/>
      <c r="DV458" s="14"/>
      <c r="DW458" s="14"/>
      <c r="DX458" s="14"/>
      <c r="DY458" s="14"/>
      <c r="ED458" s="429"/>
      <c r="EE458" s="23"/>
      <c r="EF458" s="23"/>
      <c r="EG458" s="23"/>
      <c r="EH458" s="14">
        <f>IF(EH432&lt;&gt;0,EH433*EH432/EH428,"0%")</f>
        <v>0</v>
      </c>
      <c r="EI458" s="14">
        <f>IF(EI432&lt;&gt;0,EI433*EI432/EI428,"0%")</f>
        <v>0.23943661971830985</v>
      </c>
      <c r="EJ458" s="14">
        <f>IF(EJ432&lt;&gt;0,EJ433*EJ432/EJ428,"0%")</f>
        <v>0.50704225352112675</v>
      </c>
      <c r="EK458" s="24"/>
      <c r="EL458" s="47" t="e">
        <f t="shared" si="2617"/>
        <v>#DIV/0!</v>
      </c>
      <c r="EM458" s="47" t="e">
        <f t="shared" si="2617"/>
        <v>#DIV/0!</v>
      </c>
      <c r="EN458" s="47">
        <f t="shared" si="2617"/>
        <v>-0.39295774647887327</v>
      </c>
      <c r="EO458" s="46" t="e">
        <f t="shared" si="2618"/>
        <v>#DIV/0!</v>
      </c>
      <c r="EP458" s="46" t="e">
        <f t="shared" si="2618"/>
        <v>#DIV/0!</v>
      </c>
      <c r="EQ458" s="2" t="e">
        <f t="shared" si="2619"/>
        <v>#DIV/0!</v>
      </c>
      <c r="ER458" s="2" t="e">
        <f t="shared" si="2619"/>
        <v>#DIV/0!</v>
      </c>
      <c r="ES458" s="2">
        <f t="shared" si="2619"/>
        <v>3</v>
      </c>
    </row>
    <row r="459" spans="1:149">
      <c r="A459" s="6" t="s">
        <v>23</v>
      </c>
      <c r="B459" s="2" t="s">
        <v>26</v>
      </c>
      <c r="C459" s="3" t="s">
        <v>85</v>
      </c>
      <c r="E459" s="3" t="str">
        <f>C434</f>
        <v>ASpec1</v>
      </c>
      <c r="F459" s="4" t="s">
        <v>31</v>
      </c>
      <c r="G459" s="28" t="str">
        <f>C443</f>
        <v>ASUniq</v>
      </c>
      <c r="H459" s="28"/>
      <c r="I459" s="28"/>
      <c r="J459" s="62">
        <f>IF(J443&lt;&gt;0,J434/J443,"")</f>
        <v>0</v>
      </c>
      <c r="K459" s="62">
        <f>IF(K443&lt;&gt;0,K434/K443,"")</f>
        <v>0</v>
      </c>
      <c r="L459" s="62">
        <f>IF(L443&lt;&gt;0,L434/L443,"")</f>
        <v>0</v>
      </c>
      <c r="M459" s="62">
        <f>IF(M443&lt;&gt;0,M434/M443,"")</f>
        <v>0</v>
      </c>
      <c r="N459" s="62">
        <f>IF(N443&lt;&gt;0,N434/N443,"")</f>
        <v>0.11764705882352941</v>
      </c>
      <c r="O459" s="62">
        <f>IF(O443&lt;&gt;"",O434/O443,"")</f>
        <v>8.6956521739130432E-2</v>
      </c>
      <c r="P459" s="62">
        <f t="shared" ref="P459:AJ459" si="2629">IF(P443&lt;&gt;"",P434/P443,"")</f>
        <v>0.33333333333333331</v>
      </c>
      <c r="Q459" s="62">
        <f t="shared" si="2629"/>
        <v>0.5</v>
      </c>
      <c r="R459" s="62">
        <f t="shared" si="2629"/>
        <v>0.14583333333333334</v>
      </c>
      <c r="S459" s="62">
        <f t="shared" si="2629"/>
        <v>0.15909090909090909</v>
      </c>
      <c r="T459" s="62">
        <f t="shared" si="2629"/>
        <v>0.1951219512195122</v>
      </c>
      <c r="U459" s="62">
        <f t="shared" si="2629"/>
        <v>0.2857142857142857</v>
      </c>
      <c r="V459" s="62">
        <f t="shared" si="2629"/>
        <v>0.33333333333333331</v>
      </c>
      <c r="W459" s="62">
        <f t="shared" si="2629"/>
        <v>0.47368421052631576</v>
      </c>
      <c r="X459" s="62">
        <f t="shared" si="2629"/>
        <v>0.60655737704918034</v>
      </c>
      <c r="Y459" s="62">
        <f t="shared" si="2629"/>
        <v>0.78</v>
      </c>
      <c r="Z459" s="62">
        <f t="shared" si="2629"/>
        <v>0.96153846153846156</v>
      </c>
      <c r="AA459" s="62">
        <f t="shared" si="2629"/>
        <v>1.4324324324324325</v>
      </c>
      <c r="AB459" s="62">
        <f t="shared" si="2629"/>
        <v>1.2</v>
      </c>
      <c r="AC459" s="62">
        <f t="shared" si="2629"/>
        <v>1.2448979591836735</v>
      </c>
      <c r="AD459" s="62">
        <f t="shared" si="2629"/>
        <v>1.3863636363636365</v>
      </c>
      <c r="AE459" s="62">
        <f t="shared" si="2629"/>
        <v>1.3777777777777778</v>
      </c>
      <c r="AF459" s="62">
        <f t="shared" si="2629"/>
        <v>1.4883720930232558</v>
      </c>
      <c r="AG459" s="62">
        <f t="shared" si="2629"/>
        <v>1.346938775510204</v>
      </c>
      <c r="AH459" s="62">
        <f t="shared" si="2629"/>
        <v>7.6923076923076927E-3</v>
      </c>
      <c r="AI459" s="62">
        <f t="shared" si="2629"/>
        <v>2.5974025974025976E-2</v>
      </c>
      <c r="AJ459" s="62" t="str">
        <f t="shared" si="2629"/>
        <v/>
      </c>
      <c r="AK459" s="412"/>
      <c r="AL459" s="14">
        <f t="shared" ref="AL459:BL459" si="2630">IF(AL443&lt;&gt;0,AL434/AL443,"")</f>
        <v>0</v>
      </c>
      <c r="AM459" s="14">
        <f t="shared" si="2630"/>
        <v>0</v>
      </c>
      <c r="AN459" s="14">
        <f t="shared" si="2630"/>
        <v>0</v>
      </c>
      <c r="AO459" s="14">
        <f t="shared" si="2630"/>
        <v>0</v>
      </c>
      <c r="AP459" s="14">
        <f t="shared" si="2630"/>
        <v>0.11764705882352941</v>
      </c>
      <c r="AQ459" s="14">
        <f t="shared" si="2630"/>
        <v>0</v>
      </c>
      <c r="AR459" s="14">
        <f t="shared" si="2630"/>
        <v>0.22222222222222221</v>
      </c>
      <c r="AS459" s="14">
        <f t="shared" si="2630"/>
        <v>7.1428571428571425E-2</v>
      </c>
      <c r="AT459" s="14">
        <f t="shared" si="2630"/>
        <v>0</v>
      </c>
      <c r="AU459" s="14">
        <f t="shared" si="2630"/>
        <v>0</v>
      </c>
      <c r="AV459" s="14">
        <f t="shared" si="2630"/>
        <v>2.4390243902439025E-2</v>
      </c>
      <c r="AW459" s="14">
        <f t="shared" si="2630"/>
        <v>0</v>
      </c>
      <c r="AX459" s="14">
        <f t="shared" si="2630"/>
        <v>0.33333333333333331</v>
      </c>
      <c r="AY459" s="14">
        <f t="shared" si="2630"/>
        <v>0.34210526315789475</v>
      </c>
      <c r="AZ459" s="14">
        <f t="shared" si="2630"/>
        <v>1.6393442622950821E-2</v>
      </c>
      <c r="BA459" s="14">
        <f t="shared" si="2630"/>
        <v>0.04</v>
      </c>
      <c r="BB459" s="14">
        <f t="shared" si="2630"/>
        <v>0.21153846153846154</v>
      </c>
      <c r="BC459" s="14">
        <f t="shared" si="2630"/>
        <v>8.1081081081081086E-2</v>
      </c>
      <c r="BD459" s="14">
        <f t="shared" si="2630"/>
        <v>0.14000000000000001</v>
      </c>
      <c r="BE459" s="14">
        <f t="shared" si="2630"/>
        <v>2.0408163265306121E-2</v>
      </c>
      <c r="BF459" s="14">
        <f t="shared" si="2630"/>
        <v>0</v>
      </c>
      <c r="BG459" s="14">
        <f t="shared" si="2630"/>
        <v>2.2222222222222223E-2</v>
      </c>
      <c r="BH459" s="14">
        <f t="shared" si="2630"/>
        <v>4.6511627906976744E-2</v>
      </c>
      <c r="BI459" s="14">
        <f t="shared" si="2630"/>
        <v>4.0816326530612242E-2</v>
      </c>
      <c r="BJ459" s="14">
        <f t="shared" si="2630"/>
        <v>7.6923076923076927E-3</v>
      </c>
      <c r="BK459" s="14">
        <f t="shared" si="2630"/>
        <v>1.2987012987012988E-2</v>
      </c>
      <c r="BL459" s="14" t="e">
        <f t="shared" si="2630"/>
        <v>#VALUE!</v>
      </c>
      <c r="BM459" s="412"/>
      <c r="BN459" s="14">
        <f t="shared" ref="BN459:CN459" si="2631">IF(BN430&lt;&gt;0,BN434/BN430,"")</f>
        <v>0</v>
      </c>
      <c r="BO459" s="14">
        <f t="shared" si="2631"/>
        <v>0</v>
      </c>
      <c r="BP459" s="14">
        <f t="shared" si="2631"/>
        <v>0</v>
      </c>
      <c r="BQ459" s="14">
        <f t="shared" si="2631"/>
        <v>2.1052631578947368E-2</v>
      </c>
      <c r="BR459" s="14">
        <f t="shared" si="2631"/>
        <v>2.1052631578947368E-2</v>
      </c>
      <c r="BS459" s="14">
        <f t="shared" si="2631"/>
        <v>2.1052631578947368E-2</v>
      </c>
      <c r="BT459" s="14">
        <f t="shared" si="2631"/>
        <v>6.25E-2</v>
      </c>
      <c r="BU459" s="14">
        <f t="shared" si="2631"/>
        <v>6.25E-2</v>
      </c>
      <c r="BV459" s="14">
        <f t="shared" si="2631"/>
        <v>6.25E-2</v>
      </c>
      <c r="BW459" s="14">
        <f t="shared" si="2631"/>
        <v>8.8495575221238937E-3</v>
      </c>
      <c r="BX459" s="14">
        <f t="shared" si="2631"/>
        <v>8.8495575221238937E-3</v>
      </c>
      <c r="BY459" s="14">
        <f t="shared" si="2631"/>
        <v>8.8495575221238937E-3</v>
      </c>
      <c r="BZ459" s="14">
        <f t="shared" si="2631"/>
        <v>0.16371681415929204</v>
      </c>
      <c r="CA459" s="14">
        <f t="shared" si="2631"/>
        <v>0.16371681415929204</v>
      </c>
      <c r="CB459" s="14">
        <f t="shared" si="2631"/>
        <v>0.16371681415929204</v>
      </c>
      <c r="CC459" s="14">
        <f t="shared" si="2631"/>
        <v>0.11510791366906475</v>
      </c>
      <c r="CD459" s="14">
        <f t="shared" si="2631"/>
        <v>0.11510791366906475</v>
      </c>
      <c r="CE459" s="14">
        <f t="shared" si="2631"/>
        <v>0.11510791366906475</v>
      </c>
      <c r="CF459" s="14">
        <f t="shared" si="2631"/>
        <v>5.5944055944055944E-2</v>
      </c>
      <c r="CG459" s="14">
        <f t="shared" si="2631"/>
        <v>5.5944055944055944E-2</v>
      </c>
      <c r="CH459" s="14">
        <f t="shared" si="2631"/>
        <v>5.5944055944055944E-2</v>
      </c>
      <c r="CI459" s="14">
        <f t="shared" si="2631"/>
        <v>3.6496350364963501E-2</v>
      </c>
      <c r="CJ459" s="14">
        <f t="shared" si="2631"/>
        <v>3.6496350364963501E-2</v>
      </c>
      <c r="CK459" s="14">
        <f t="shared" si="2631"/>
        <v>3.6496350364963501E-2</v>
      </c>
      <c r="CL459" s="14">
        <f t="shared" si="2631"/>
        <v>9.6618357487922701E-3</v>
      </c>
      <c r="CM459" s="14">
        <f t="shared" si="2631"/>
        <v>9.6618357487922701E-3</v>
      </c>
      <c r="CN459" s="14">
        <f t="shared" si="2631"/>
        <v>9.6618357487922701E-3</v>
      </c>
      <c r="CO459" s="412"/>
      <c r="CP459" s="14">
        <f t="shared" ref="CP459:CY459" si="2632">IF(CP430&lt;&gt;0,CP434/CP430,"")</f>
        <v>0</v>
      </c>
      <c r="CQ459" s="14">
        <f t="shared" si="2632"/>
        <v>0</v>
      </c>
      <c r="CR459" s="14">
        <f t="shared" si="2632"/>
        <v>0</v>
      </c>
      <c r="CS459" s="14">
        <f t="shared" si="2632"/>
        <v>0</v>
      </c>
      <c r="CT459" s="14">
        <f t="shared" si="2632"/>
        <v>7.0921985815602835E-3</v>
      </c>
      <c r="CU459" s="14">
        <f t="shared" si="2632"/>
        <v>6.5573770491803279E-3</v>
      </c>
      <c r="CV459" s="14">
        <f t="shared" si="2632"/>
        <v>1.8575851393188854E-2</v>
      </c>
      <c r="CW459" s="14">
        <f t="shared" si="2632"/>
        <v>2.0771513353115726E-2</v>
      </c>
      <c r="CX459" s="14">
        <f t="shared" si="2632"/>
        <v>1.8181818181818181E-2</v>
      </c>
      <c r="CY459" s="14">
        <f t="shared" si="2632"/>
        <v>1.6317016317016316E-2</v>
      </c>
      <c r="CZ459" s="14">
        <f t="shared" ref="CZ459:DP459" si="2633">IF(CZ430&lt;&gt;0,CZ434/CZ430,"")</f>
        <v>1.7021276595744681E-2</v>
      </c>
      <c r="DA459" s="14">
        <f t="shared" si="2633"/>
        <v>1.6064257028112448E-2</v>
      </c>
      <c r="DB459" s="14">
        <f t="shared" si="2633"/>
        <v>0.11235955056179775</v>
      </c>
      <c r="DC459" s="14">
        <f t="shared" si="2633"/>
        <v>0.21818181818181817</v>
      </c>
      <c r="DD459" s="14">
        <f t="shared" si="2633"/>
        <v>0.16371681415929204</v>
      </c>
      <c r="DE459" s="14">
        <f t="shared" si="2633"/>
        <v>0.14130434782608695</v>
      </c>
      <c r="DF459" s="14">
        <f t="shared" si="2633"/>
        <v>0.1524390243902439</v>
      </c>
      <c r="DG459" s="14">
        <f t="shared" si="2633"/>
        <v>0.14520547945205478</v>
      </c>
      <c r="DH459" s="14">
        <f t="shared" si="2633"/>
        <v>0.14457831325301204</v>
      </c>
      <c r="DI459" s="14">
        <f t="shared" si="2633"/>
        <v>0.13146551724137931</v>
      </c>
      <c r="DJ459" s="14">
        <f t="shared" si="2633"/>
        <v>0.12007874015748031</v>
      </c>
      <c r="DK459" s="14">
        <f t="shared" si="2633"/>
        <v>0.11211573236889692</v>
      </c>
      <c r="DL459" s="14">
        <f t="shared" si="2633"/>
        <v>0.10738255033557047</v>
      </c>
      <c r="DM459" s="14">
        <f t="shared" si="2633"/>
        <v>0.10232558139534884</v>
      </c>
      <c r="DN459" s="14">
        <f t="shared" si="2633"/>
        <v>7.6923076923076927E-3</v>
      </c>
      <c r="DO459" s="14">
        <f t="shared" si="2633"/>
        <v>9.6618357487922701E-3</v>
      </c>
      <c r="DP459" s="14">
        <f t="shared" si="2633"/>
        <v>9.6618357487922701E-3</v>
      </c>
      <c r="DQ459" s="14"/>
      <c r="DR459" s="14"/>
      <c r="DS459" s="14"/>
      <c r="DT459" s="14"/>
      <c r="DU459" s="14"/>
      <c r="DV459" s="14"/>
      <c r="DW459" s="14"/>
      <c r="DX459" s="14"/>
      <c r="DY459" s="14"/>
      <c r="ED459" s="429"/>
      <c r="EE459" s="23"/>
      <c r="EF459" s="23"/>
      <c r="EG459" s="23"/>
      <c r="EH459" s="14">
        <f>IF(EH430&lt;&gt;0,EH434/EH430,"0%")</f>
        <v>1.2987012987012988E-2</v>
      </c>
      <c r="EI459" s="14">
        <f>IF(EI430&lt;&gt;0,EI434/EI430,"0%")</f>
        <v>9.6618357487922701E-3</v>
      </c>
      <c r="EJ459" s="14">
        <f>IF(EJ430&lt;&gt;0,EJ434/EJ430,"0%")</f>
        <v>9.6618357487922701E-3</v>
      </c>
      <c r="EK459" s="24"/>
      <c r="EL459" s="47">
        <f t="shared" si="2617"/>
        <v>1.2987012987012988E-2</v>
      </c>
      <c r="EM459" s="47">
        <f t="shared" si="2617"/>
        <v>9.6618357487922701E-3</v>
      </c>
      <c r="EN459" s="47">
        <f t="shared" si="2617"/>
        <v>-6.8124090177133667E-2</v>
      </c>
      <c r="EO459" s="46" t="str">
        <f t="shared" si="2618"/>
        <v>Ç</v>
      </c>
      <c r="EP459" s="46" t="str">
        <f t="shared" si="2618"/>
        <v>Ç</v>
      </c>
      <c r="EQ459" s="2" t="e">
        <f t="shared" si="2619"/>
        <v>#DIV/0!</v>
      </c>
      <c r="ER459" s="2" t="e">
        <f t="shared" si="2619"/>
        <v>#DIV/0!</v>
      </c>
      <c r="ES459" s="2">
        <f t="shared" si="2619"/>
        <v>3</v>
      </c>
    </row>
    <row r="460" spans="1:149">
      <c r="A460" s="6" t="s">
        <v>23</v>
      </c>
      <c r="B460" s="2" t="s">
        <v>27</v>
      </c>
      <c r="C460" s="3" t="s">
        <v>81</v>
      </c>
      <c r="E460" s="3" t="str">
        <f>C436</f>
        <v>AOnlHrs</v>
      </c>
      <c r="F460" s="4" t="s">
        <v>31</v>
      </c>
      <c r="G460" s="28" t="str">
        <f>C435</f>
        <v>ATotHrs</v>
      </c>
      <c r="H460" s="28"/>
      <c r="I460" s="28"/>
      <c r="J460" s="62">
        <f t="shared" ref="J460:AJ460" si="2634">IF(J435&lt;&gt;0,J436/J435,"")</f>
        <v>5.3710875499968266E-2</v>
      </c>
      <c r="K460" s="62">
        <f t="shared" si="2634"/>
        <v>9.7857615388529856E-2</v>
      </c>
      <c r="L460" s="62">
        <f t="shared" si="2634"/>
        <v>7.7687032759153826E-2</v>
      </c>
      <c r="M460" s="62">
        <f t="shared" si="2634"/>
        <v>6.8820402036837008E-2</v>
      </c>
      <c r="N460" s="62">
        <f t="shared" si="2634"/>
        <v>6.4660738214155189E-2</v>
      </c>
      <c r="O460" s="62">
        <f t="shared" si="2634"/>
        <v>6.1534424508807035E-2</v>
      </c>
      <c r="P460" s="62">
        <f t="shared" si="2634"/>
        <v>5.878096408711081E-2</v>
      </c>
      <c r="Q460" s="62">
        <f t="shared" si="2634"/>
        <v>5.3711924353977196E-2</v>
      </c>
      <c r="R460" s="62">
        <f t="shared" si="2634"/>
        <v>6.0812209993480852E-2</v>
      </c>
      <c r="S460" s="62">
        <f t="shared" si="2634"/>
        <v>5.6976359181511164E-2</v>
      </c>
      <c r="T460" s="62">
        <f t="shared" si="2634"/>
        <v>5.3062901758196598E-2</v>
      </c>
      <c r="U460" s="62">
        <f t="shared" si="2634"/>
        <v>5.8082374838925213E-2</v>
      </c>
      <c r="V460" s="62">
        <f t="shared" si="2634"/>
        <v>0.18229854689564071</v>
      </c>
      <c r="W460" s="62">
        <f t="shared" si="2634"/>
        <v>0.12514234787344655</v>
      </c>
      <c r="X460" s="62">
        <f t="shared" si="2634"/>
        <v>0.13353468646813038</v>
      </c>
      <c r="Y460" s="62">
        <f t="shared" si="2634"/>
        <v>0.12330139512080744</v>
      </c>
      <c r="Z460" s="62">
        <f t="shared" si="2634"/>
        <v>0.14625483319845339</v>
      </c>
      <c r="AA460" s="62">
        <f t="shared" si="2634"/>
        <v>0.16262751234186043</v>
      </c>
      <c r="AB460" s="62">
        <f t="shared" si="2634"/>
        <v>0.16423246614939907</v>
      </c>
      <c r="AC460" s="62">
        <f t="shared" si="2634"/>
        <v>0.16073520955028731</v>
      </c>
      <c r="AD460" s="62">
        <f t="shared" si="2634"/>
        <v>0.16939398115899379</v>
      </c>
      <c r="AE460" s="62">
        <f t="shared" si="2634"/>
        <v>0.17313777473702216</v>
      </c>
      <c r="AF460" s="62">
        <f t="shared" si="2634"/>
        <v>0.17383644061501896</v>
      </c>
      <c r="AG460" s="62">
        <f t="shared" si="2634"/>
        <v>0.17635266811475911</v>
      </c>
      <c r="AH460" s="62">
        <f t="shared" si="2634"/>
        <v>0.16669208479487568</v>
      </c>
      <c r="AI460" s="62">
        <f t="shared" si="2634"/>
        <v>0.16641891413605153</v>
      </c>
      <c r="AJ460" s="62" t="str">
        <f t="shared" si="2634"/>
        <v/>
      </c>
      <c r="AK460" s="412"/>
      <c r="AL460" s="14">
        <f t="shared" ref="AL460:BL460" si="2635">IF(AL435&lt;&gt;0,AL436/AL435,"")</f>
        <v>5.3710875499968266E-2</v>
      </c>
      <c r="AM460" s="14">
        <f t="shared" si="2635"/>
        <v>0.12738312598191159</v>
      </c>
      <c r="AN460" s="14">
        <f t="shared" si="2635"/>
        <v>2.7113237639553429E-2</v>
      </c>
      <c r="AO460" s="14">
        <f t="shared" si="2635"/>
        <v>3.8933169834457389E-2</v>
      </c>
      <c r="AP460" s="14">
        <f t="shared" si="2635"/>
        <v>3.7211885587336825E-2</v>
      </c>
      <c r="AQ460" s="14">
        <f t="shared" si="2635"/>
        <v>3.4147903105324957E-2</v>
      </c>
      <c r="AR460" s="14">
        <f t="shared" si="2635"/>
        <v>3.2052642751008227E-2</v>
      </c>
      <c r="AS460" s="14">
        <f t="shared" si="2635"/>
        <v>2.3117901296613149E-3</v>
      </c>
      <c r="AT460" s="14">
        <f t="shared" si="2635"/>
        <v>0.1010586610750269</v>
      </c>
      <c r="AU460" s="14">
        <f t="shared" si="2635"/>
        <v>3.272727272727273E-2</v>
      </c>
      <c r="AV460" s="14">
        <f t="shared" si="2635"/>
        <v>2.249806051202478E-2</v>
      </c>
      <c r="AW460" s="14">
        <f t="shared" si="2635"/>
        <v>0.1049802544975867</v>
      </c>
      <c r="AX460" s="14">
        <f t="shared" si="2635"/>
        <v>0.18229854689564071</v>
      </c>
      <c r="AY460" s="14">
        <f t="shared" si="2635"/>
        <v>7.0828505214368453E-2</v>
      </c>
      <c r="AZ460" s="14">
        <f t="shared" si="2635"/>
        <v>0.14795592802144042</v>
      </c>
      <c r="BA460" s="14">
        <f t="shared" si="2635"/>
        <v>0.10145024393503976</v>
      </c>
      <c r="BB460" s="14">
        <f t="shared" si="2635"/>
        <v>0.2006056782334385</v>
      </c>
      <c r="BC460" s="14">
        <f t="shared" si="2635"/>
        <v>0.23213717630591077</v>
      </c>
      <c r="BD460" s="14">
        <f t="shared" si="2635"/>
        <v>0.17242446755819715</v>
      </c>
      <c r="BE460" s="14">
        <f t="shared" si="2635"/>
        <v>0.14050629198322137</v>
      </c>
      <c r="BF460" s="14">
        <f t="shared" si="2635"/>
        <v>0.22326231977619956</v>
      </c>
      <c r="BG460" s="14">
        <f t="shared" si="2635"/>
        <v>0.20140041056213287</v>
      </c>
      <c r="BH460" s="14">
        <f t="shared" si="2635"/>
        <v>0.18036059833522744</v>
      </c>
      <c r="BI460" s="14">
        <f t="shared" si="2635"/>
        <v>0.19776496763754026</v>
      </c>
      <c r="BJ460" s="14">
        <f t="shared" si="2635"/>
        <v>0.16669208479487568</v>
      </c>
      <c r="BK460" s="14">
        <f t="shared" si="2635"/>
        <v>0.16618229854689565</v>
      </c>
      <c r="BL460" s="14" t="str">
        <f t="shared" si="2635"/>
        <v/>
      </c>
      <c r="BM460" s="412"/>
      <c r="BN460" s="14">
        <f t="shared" ref="BN460:CN460" si="2636">IF(BN435&lt;&gt;0,BN436/BN435,"")</f>
        <v>7.7687032759153826E-2</v>
      </c>
      <c r="BO460" s="14">
        <f t="shared" si="2636"/>
        <v>7.7687032759153826E-2</v>
      </c>
      <c r="BP460" s="14">
        <f t="shared" si="2636"/>
        <v>7.7687032759153826E-2</v>
      </c>
      <c r="BQ460" s="14">
        <f t="shared" si="2636"/>
        <v>3.7194386580418813E-2</v>
      </c>
      <c r="BR460" s="14">
        <f t="shared" si="2636"/>
        <v>3.7194386580418813E-2</v>
      </c>
      <c r="BS460" s="14">
        <f t="shared" si="2636"/>
        <v>3.7194386580418813E-2</v>
      </c>
      <c r="BT460" s="14">
        <f t="shared" si="2636"/>
        <v>5.911519884903918E-2</v>
      </c>
      <c r="BU460" s="14">
        <f t="shared" si="2636"/>
        <v>5.911519884903918E-2</v>
      </c>
      <c r="BV460" s="14">
        <f t="shared" si="2636"/>
        <v>5.911519884903918E-2</v>
      </c>
      <c r="BW460" s="14">
        <f t="shared" si="2636"/>
        <v>5.1965905966455853E-2</v>
      </c>
      <c r="BX460" s="14">
        <f t="shared" si="2636"/>
        <v>5.1965905966455853E-2</v>
      </c>
      <c r="BY460" s="14">
        <f t="shared" si="2636"/>
        <v>5.1965905966455853E-2</v>
      </c>
      <c r="BZ460" s="14">
        <f t="shared" si="2636"/>
        <v>0.13353468646813038</v>
      </c>
      <c r="CA460" s="14">
        <f t="shared" si="2636"/>
        <v>0.13353468646813038</v>
      </c>
      <c r="CB460" s="14">
        <f t="shared" si="2636"/>
        <v>0.13353468646813038</v>
      </c>
      <c r="CC460" s="14">
        <f t="shared" si="2636"/>
        <v>0.18103678764172898</v>
      </c>
      <c r="CD460" s="14">
        <f t="shared" si="2636"/>
        <v>0.18103678764172898</v>
      </c>
      <c r="CE460" s="14">
        <f t="shared" si="2636"/>
        <v>0.18103678764172898</v>
      </c>
      <c r="CF460" s="14">
        <f t="shared" si="2636"/>
        <v>0.1801662627569493</v>
      </c>
      <c r="CG460" s="14">
        <f t="shared" si="2636"/>
        <v>0.1801662627569493</v>
      </c>
      <c r="CH460" s="14">
        <f t="shared" si="2636"/>
        <v>0.1801662627569493</v>
      </c>
      <c r="CI460" s="14">
        <f t="shared" si="2636"/>
        <v>0.1937029813318473</v>
      </c>
      <c r="CJ460" s="14">
        <f t="shared" si="2636"/>
        <v>0.1937029813318473</v>
      </c>
      <c r="CK460" s="14">
        <f t="shared" si="2636"/>
        <v>0.1937029813318473</v>
      </c>
      <c r="CL460" s="14">
        <f t="shared" si="2636"/>
        <v>0.16641891413605153</v>
      </c>
      <c r="CM460" s="14">
        <f t="shared" si="2636"/>
        <v>0.16641891413605153</v>
      </c>
      <c r="CN460" s="14">
        <f t="shared" si="2636"/>
        <v>0.16641891413605153</v>
      </c>
      <c r="CO460" s="412"/>
      <c r="CP460" s="14">
        <f t="shared" ref="CP460:DP460" si="2637">IF(CP435&lt;&gt;0,CP436/CP435,"")</f>
        <v>5.3710875499968266E-2</v>
      </c>
      <c r="CQ460" s="14">
        <f t="shared" si="2637"/>
        <v>9.7857615388529856E-2</v>
      </c>
      <c r="CR460" s="14">
        <f t="shared" si="2637"/>
        <v>7.7687032759153826E-2</v>
      </c>
      <c r="CS460" s="14">
        <f t="shared" si="2637"/>
        <v>6.8820402036837008E-2</v>
      </c>
      <c r="CT460" s="14">
        <f t="shared" si="2637"/>
        <v>6.4660738214155189E-2</v>
      </c>
      <c r="CU460" s="14">
        <f t="shared" si="2637"/>
        <v>6.1534424508807035E-2</v>
      </c>
      <c r="CV460" s="14">
        <f t="shared" si="2637"/>
        <v>5.878096408711081E-2</v>
      </c>
      <c r="CW460" s="14">
        <f t="shared" si="2637"/>
        <v>5.3711924353977196E-2</v>
      </c>
      <c r="CX460" s="14">
        <f t="shared" si="2637"/>
        <v>6.0812209993480852E-2</v>
      </c>
      <c r="CY460" s="14">
        <f t="shared" si="2637"/>
        <v>5.6976359181511164E-2</v>
      </c>
      <c r="CZ460" s="14">
        <f t="shared" si="2637"/>
        <v>5.3062901758196598E-2</v>
      </c>
      <c r="DA460" s="14">
        <f t="shared" si="2637"/>
        <v>5.8082374838925213E-2</v>
      </c>
      <c r="DB460" s="14">
        <f t="shared" si="2637"/>
        <v>0.18229854689564071</v>
      </c>
      <c r="DC460" s="14">
        <f t="shared" si="2637"/>
        <v>0.12514234787344655</v>
      </c>
      <c r="DD460" s="14">
        <f t="shared" si="2637"/>
        <v>0.13353468646813038</v>
      </c>
      <c r="DE460" s="14">
        <f t="shared" si="2637"/>
        <v>0.12330139512080744</v>
      </c>
      <c r="DF460" s="14">
        <f t="shared" si="2637"/>
        <v>0.14625483319845339</v>
      </c>
      <c r="DG460" s="14">
        <f t="shared" si="2637"/>
        <v>0.16262751234186043</v>
      </c>
      <c r="DH460" s="14">
        <f t="shared" si="2637"/>
        <v>0.16423246614939907</v>
      </c>
      <c r="DI460" s="14">
        <f t="shared" si="2637"/>
        <v>0.16073520955028731</v>
      </c>
      <c r="DJ460" s="14">
        <f t="shared" si="2637"/>
        <v>0.16939398115899379</v>
      </c>
      <c r="DK460" s="14">
        <f t="shared" si="2637"/>
        <v>0.17313777473702216</v>
      </c>
      <c r="DL460" s="14">
        <f t="shared" si="2637"/>
        <v>0.17383644061501896</v>
      </c>
      <c r="DM460" s="14">
        <f t="shared" si="2637"/>
        <v>0.17635266811475911</v>
      </c>
      <c r="DN460" s="14">
        <f t="shared" si="2637"/>
        <v>0.16669208479487568</v>
      </c>
      <c r="DO460" s="14">
        <f t="shared" si="2637"/>
        <v>0.16641891413605153</v>
      </c>
      <c r="DP460" s="14">
        <f t="shared" si="2637"/>
        <v>0.16641891413605153</v>
      </c>
      <c r="DQ460" s="14"/>
      <c r="DR460" s="14"/>
      <c r="DS460" s="14"/>
      <c r="DT460" s="14"/>
      <c r="DU460" s="14"/>
      <c r="DV460" s="14"/>
      <c r="DW460" s="14"/>
      <c r="DX460" s="14"/>
      <c r="DY460" s="14"/>
      <c r="ED460" s="429"/>
      <c r="EE460" s="23"/>
      <c r="EF460" s="23"/>
      <c r="EG460" s="23"/>
      <c r="EH460" s="14">
        <f>IF(EH435&lt;&gt;0,EH436/EH435,"0%")</f>
        <v>0.16618229854689565</v>
      </c>
      <c r="EI460" s="14">
        <f>IF(EI435&lt;&gt;0,EI436/EI435,"0%")</f>
        <v>0.16641891413605153</v>
      </c>
      <c r="EJ460" s="14">
        <f>IF(EJ435&lt;&gt;0,EJ436/EJ435,"0%")</f>
        <v>0.16641891413605153</v>
      </c>
      <c r="EK460" s="24"/>
      <c r="EL460" s="47">
        <f t="shared" si="2617"/>
        <v>0.16618229854689565</v>
      </c>
      <c r="EM460" s="47">
        <f t="shared" si="2617"/>
        <v>0.16641891413605153</v>
      </c>
      <c r="EN460" s="47">
        <f t="shared" si="2617"/>
        <v>9.8868249999429142E-2</v>
      </c>
      <c r="EO460" s="46" t="str">
        <f t="shared" si="2618"/>
        <v>Ç</v>
      </c>
      <c r="EP460" s="46" t="str">
        <f t="shared" si="2618"/>
        <v>Ç</v>
      </c>
      <c r="EQ460" s="2" t="e">
        <f t="shared" si="2619"/>
        <v>#DIV/0!</v>
      </c>
      <c r="ER460" s="2" t="e">
        <f t="shared" si="2619"/>
        <v>#DIV/0!</v>
      </c>
      <c r="ES460" s="2">
        <f t="shared" si="2619"/>
        <v>1</v>
      </c>
    </row>
    <row r="461" spans="1:149">
      <c r="A461" s="6" t="s">
        <v>23</v>
      </c>
      <c r="B461" s="2" t="s">
        <v>28</v>
      </c>
      <c r="C461" s="3" t="s">
        <v>82</v>
      </c>
      <c r="E461" s="3" t="str">
        <f>C441</f>
        <v>AColCash</v>
      </c>
      <c r="F461" s="4" t="s">
        <v>31</v>
      </c>
      <c r="G461" s="28" t="str">
        <f>C442</f>
        <v>AFSFunds</v>
      </c>
      <c r="H461" s="28"/>
      <c r="I461" s="28"/>
      <c r="J461" s="62" t="str">
        <f t="shared" ref="J461:AJ461" si="2638">IF(J442&lt;&gt;0,J441/J442,"")</f>
        <v/>
      </c>
      <c r="K461" s="62" t="str">
        <f t="shared" si="2638"/>
        <v/>
      </c>
      <c r="L461" s="62">
        <f t="shared" si="2638"/>
        <v>0.5930029258545636</v>
      </c>
      <c r="M461" s="62">
        <f t="shared" si="2638"/>
        <v>0.5930029258545636</v>
      </c>
      <c r="N461" s="62">
        <f t="shared" si="2638"/>
        <v>0.5930029258545636</v>
      </c>
      <c r="O461" s="62">
        <f t="shared" si="2638"/>
        <v>0.59300097587779943</v>
      </c>
      <c r="P461" s="62">
        <f t="shared" si="2638"/>
        <v>0.49719486083917114</v>
      </c>
      <c r="Q461" s="62">
        <f t="shared" si="2638"/>
        <v>0.49719486083917114</v>
      </c>
      <c r="R461" s="62">
        <f t="shared" si="2638"/>
        <v>0.49719486083917114</v>
      </c>
      <c r="S461" s="62">
        <f t="shared" si="2638"/>
        <v>0.49719486083917108</v>
      </c>
      <c r="T461" s="62">
        <f t="shared" si="2638"/>
        <v>0.49719486083917108</v>
      </c>
      <c r="U461" s="62">
        <f t="shared" si="2638"/>
        <v>0.49719486083917108</v>
      </c>
      <c r="V461" s="62" t="str">
        <f t="shared" si="2638"/>
        <v/>
      </c>
      <c r="W461" s="62" t="str">
        <f t="shared" si="2638"/>
        <v/>
      </c>
      <c r="X461" s="62" t="str">
        <f t="shared" si="2638"/>
        <v/>
      </c>
      <c r="Y461" s="62" t="str">
        <f t="shared" si="2638"/>
        <v/>
      </c>
      <c r="Z461" s="62" t="str">
        <f t="shared" si="2638"/>
        <v/>
      </c>
      <c r="AA461" s="62" t="str">
        <f t="shared" si="2638"/>
        <v/>
      </c>
      <c r="AB461" s="62">
        <f t="shared" si="2638"/>
        <v>0.50064766406100003</v>
      </c>
      <c r="AC461" s="62" t="str">
        <f t="shared" si="2638"/>
        <v/>
      </c>
      <c r="AD461" s="62" t="str">
        <f t="shared" si="2638"/>
        <v/>
      </c>
      <c r="AE461" s="62" t="str">
        <f t="shared" si="2638"/>
        <v/>
      </c>
      <c r="AF461" s="62" t="str">
        <f t="shared" si="2638"/>
        <v/>
      </c>
      <c r="AG461" s="62" t="str">
        <f t="shared" si="2638"/>
        <v/>
      </c>
      <c r="AH461" s="62">
        <f t="shared" si="2638"/>
        <v>4.4887819279635011</v>
      </c>
      <c r="AI461" s="62" t="str">
        <f t="shared" si="2638"/>
        <v/>
      </c>
      <c r="AJ461" s="62" t="str">
        <f t="shared" si="2638"/>
        <v/>
      </c>
      <c r="AK461" s="412"/>
      <c r="AL461" s="14"/>
      <c r="AM461" s="14"/>
      <c r="AN461" s="14"/>
      <c r="AO461" s="14"/>
      <c r="AP461" s="14"/>
      <c r="AQ461" s="14"/>
      <c r="AR461" s="14"/>
      <c r="AS461" s="14"/>
      <c r="AT461" s="14"/>
      <c r="AU461" s="14"/>
      <c r="AV461" s="14"/>
      <c r="AW461" s="14"/>
      <c r="AX461" s="14"/>
      <c r="AY461" s="14"/>
      <c r="AZ461" s="14"/>
      <c r="BA461" s="14"/>
      <c r="BB461" s="14"/>
      <c r="BC461" s="14"/>
      <c r="BD461" s="14"/>
      <c r="BE461" s="14"/>
      <c r="BF461" s="14"/>
      <c r="BG461" s="14"/>
      <c r="BH461" s="14"/>
      <c r="BI461" s="14"/>
      <c r="BJ461" s="14"/>
      <c r="BK461" s="14"/>
      <c r="BL461" s="14"/>
      <c r="BM461" s="412"/>
      <c r="BN461" s="14"/>
      <c r="BO461" s="14"/>
      <c r="BP461" s="14"/>
      <c r="BQ461" s="14"/>
      <c r="BR461" s="14"/>
      <c r="BS461" s="14"/>
      <c r="BT461" s="14"/>
      <c r="BU461" s="14"/>
      <c r="BV461" s="14"/>
      <c r="BW461" s="14"/>
      <c r="BX461" s="14"/>
      <c r="BY461" s="14"/>
      <c r="BZ461" s="14"/>
      <c r="CA461" s="14"/>
      <c r="CB461" s="14"/>
      <c r="CC461" s="14"/>
      <c r="CD461" s="14"/>
      <c r="CE461" s="14"/>
      <c r="CF461" s="14"/>
      <c r="CG461" s="14"/>
      <c r="CH461" s="14"/>
      <c r="CI461" s="14"/>
      <c r="CJ461" s="14"/>
      <c r="CK461" s="14"/>
      <c r="CL461" s="14"/>
      <c r="CM461" s="14"/>
      <c r="CN461" s="14"/>
      <c r="CO461" s="412"/>
      <c r="CP461" s="14" t="str">
        <f t="shared" ref="CP461:DP461" si="2639">IF(CP442&lt;&gt;0,CP441/CP442,"")</f>
        <v/>
      </c>
      <c r="CQ461" s="14" t="str">
        <f t="shared" si="2639"/>
        <v/>
      </c>
      <c r="CR461" s="14">
        <f t="shared" si="2639"/>
        <v>0.5930029258545636</v>
      </c>
      <c r="CS461" s="14">
        <f t="shared" si="2639"/>
        <v>0.5930029258545636</v>
      </c>
      <c r="CT461" s="14">
        <f t="shared" si="2639"/>
        <v>0.5930029258545636</v>
      </c>
      <c r="CU461" s="14">
        <f t="shared" si="2639"/>
        <v>0.59300097587779943</v>
      </c>
      <c r="CV461" s="14">
        <f t="shared" si="2639"/>
        <v>0.49719486083917114</v>
      </c>
      <c r="CW461" s="14">
        <f t="shared" si="2639"/>
        <v>0.49719486083917114</v>
      </c>
      <c r="CX461" s="14">
        <f t="shared" si="2639"/>
        <v>0.49719486083917114</v>
      </c>
      <c r="CY461" s="14">
        <f t="shared" si="2639"/>
        <v>0.49719486083917108</v>
      </c>
      <c r="CZ461" s="14">
        <f t="shared" si="2639"/>
        <v>0.49719486083917108</v>
      </c>
      <c r="DA461" s="14">
        <f t="shared" si="2639"/>
        <v>0.49719486083917108</v>
      </c>
      <c r="DB461" s="14" t="str">
        <f t="shared" si="2639"/>
        <v/>
      </c>
      <c r="DC461" s="14" t="str">
        <f t="shared" si="2639"/>
        <v/>
      </c>
      <c r="DD461" s="14" t="str">
        <f t="shared" si="2639"/>
        <v/>
      </c>
      <c r="DE461" s="14" t="str">
        <f t="shared" si="2639"/>
        <v/>
      </c>
      <c r="DF461" s="14" t="str">
        <f t="shared" si="2639"/>
        <v/>
      </c>
      <c r="DG461" s="14" t="str">
        <f t="shared" si="2639"/>
        <v/>
      </c>
      <c r="DH461" s="14">
        <f t="shared" si="2639"/>
        <v>0.50064766406100003</v>
      </c>
      <c r="DI461" s="14" t="str">
        <f t="shared" si="2639"/>
        <v/>
      </c>
      <c r="DJ461" s="14" t="str">
        <f t="shared" si="2639"/>
        <v/>
      </c>
      <c r="DK461" s="14" t="str">
        <f t="shared" si="2639"/>
        <v/>
      </c>
      <c r="DL461" s="14" t="str">
        <f t="shared" si="2639"/>
        <v/>
      </c>
      <c r="DM461" s="14" t="str">
        <f t="shared" si="2639"/>
        <v/>
      </c>
      <c r="DN461" s="14">
        <f t="shared" si="2639"/>
        <v>4.4887819279635011</v>
      </c>
      <c r="DO461" s="14" t="str">
        <f t="shared" si="2639"/>
        <v/>
      </c>
      <c r="DP461" s="14" t="str">
        <f t="shared" si="2639"/>
        <v/>
      </c>
      <c r="DQ461" s="14"/>
      <c r="DR461" s="14"/>
      <c r="DS461" s="14"/>
      <c r="DT461" s="14"/>
      <c r="DU461" s="14"/>
      <c r="DV461" s="14"/>
      <c r="DW461" s="14"/>
      <c r="DX461" s="14"/>
      <c r="DY461" s="14"/>
      <c r="ED461" s="429"/>
      <c r="EE461" s="23"/>
      <c r="EF461" s="23"/>
      <c r="EG461" s="23"/>
      <c r="EH461" s="24" t="s">
        <v>97</v>
      </c>
      <c r="EI461" s="24" t="s">
        <v>97</v>
      </c>
      <c r="EJ461" s="14" t="str">
        <f>IF(EJ442&lt;&gt;0,EJ441/EJ442,"0%")</f>
        <v>0%</v>
      </c>
      <c r="EK461" s="24"/>
      <c r="EL461" s="24" t="s">
        <v>97</v>
      </c>
      <c r="EM461" s="24" t="s">
        <v>97</v>
      </c>
      <c r="EN461" s="47">
        <f>IF(EJ461="","",+EJ461-EG454)</f>
        <v>-0.5</v>
      </c>
      <c r="EO461" s="100" t="s">
        <v>97</v>
      </c>
      <c r="EP461" s="100" t="s">
        <v>97</v>
      </c>
      <c r="EQ461" s="24" t="s">
        <v>97</v>
      </c>
      <c r="ER461" s="24" t="s">
        <v>97</v>
      </c>
      <c r="ES461" s="2">
        <f>IF(EJ461/EG454&gt;=0.9,1,IF(EJ461/EG454&lt;0.75,3,2))</f>
        <v>3</v>
      </c>
    </row>
    <row r="462" spans="1:149">
      <c r="ED462" s="429"/>
      <c r="EE462" s="23"/>
      <c r="EF462" s="23"/>
      <c r="EG462" s="23"/>
      <c r="EH462" s="23"/>
      <c r="EI462" s="23"/>
      <c r="EJ462" s="65"/>
      <c r="EK462" s="23"/>
    </row>
    <row r="463" spans="1:149" ht="13.5" thickBot="1">
      <c r="A463" s="6" t="s">
        <v>177</v>
      </c>
      <c r="C463" s="3" t="s">
        <v>178</v>
      </c>
      <c r="E463" s="107">
        <f>I463</f>
        <v>40391</v>
      </c>
      <c r="G463" s="132" t="s">
        <v>161</v>
      </c>
      <c r="I463" s="107">
        <f>$I$1</f>
        <v>40391</v>
      </c>
      <c r="J463" s="669" t="s">
        <v>95</v>
      </c>
      <c r="K463" s="669"/>
      <c r="L463" s="669"/>
      <c r="M463" s="669"/>
      <c r="N463" s="669"/>
      <c r="O463" s="669"/>
      <c r="P463" s="669"/>
      <c r="Q463" s="669"/>
      <c r="R463" s="669"/>
      <c r="S463" s="669"/>
      <c r="T463" s="669"/>
      <c r="U463" s="669"/>
      <c r="V463" s="669"/>
      <c r="W463" s="669"/>
      <c r="X463" s="669"/>
      <c r="Y463" s="669"/>
      <c r="Z463" s="669"/>
      <c r="AA463" s="669"/>
      <c r="AB463" s="669"/>
      <c r="AC463" s="669"/>
      <c r="AD463" s="669"/>
      <c r="AE463" s="669"/>
      <c r="AF463" s="669"/>
      <c r="AG463" s="669"/>
      <c r="AH463" s="669"/>
      <c r="AI463" s="669"/>
      <c r="AJ463" s="669"/>
      <c r="AL463" s="669" t="s">
        <v>115</v>
      </c>
      <c r="AM463" s="669"/>
      <c r="AN463" s="669"/>
      <c r="AO463" s="669"/>
      <c r="AP463" s="669"/>
      <c r="AQ463" s="669"/>
      <c r="AR463" s="669"/>
      <c r="AS463" s="669"/>
      <c r="AT463" s="669"/>
      <c r="AU463" s="669"/>
      <c r="AV463" s="669"/>
      <c r="AW463" s="669"/>
      <c r="AX463" s="669"/>
      <c r="AY463" s="669"/>
      <c r="AZ463" s="669"/>
      <c r="BA463" s="669"/>
      <c r="BB463" s="669"/>
      <c r="BC463" s="669"/>
      <c r="BD463" s="669"/>
      <c r="BE463" s="669"/>
      <c r="BF463" s="669"/>
      <c r="BG463" s="669"/>
      <c r="BH463" s="669"/>
      <c r="BI463" s="669"/>
      <c r="BJ463" s="669"/>
      <c r="BK463" s="669"/>
      <c r="BL463" s="669"/>
      <c r="BN463" s="669" t="s">
        <v>116</v>
      </c>
      <c r="BO463" s="669"/>
      <c r="BP463" s="669"/>
      <c r="BQ463" s="669"/>
      <c r="BR463" s="669"/>
      <c r="BS463" s="669"/>
      <c r="BT463" s="669"/>
      <c r="BU463" s="669"/>
      <c r="BV463" s="669"/>
      <c r="BW463" s="669"/>
      <c r="BX463" s="669"/>
      <c r="BY463" s="669"/>
      <c r="BZ463" s="669"/>
      <c r="CA463" s="669"/>
      <c r="CB463" s="669"/>
      <c r="CC463" s="669"/>
      <c r="CD463" s="669"/>
      <c r="CE463" s="669"/>
      <c r="CF463" s="669"/>
      <c r="CG463" s="669"/>
      <c r="CH463" s="669"/>
      <c r="CI463" s="669"/>
      <c r="CJ463" s="669"/>
      <c r="CK463" s="669"/>
      <c r="CL463" s="669"/>
      <c r="CM463" s="669"/>
      <c r="CN463" s="669"/>
      <c r="CP463" s="669" t="s">
        <v>117</v>
      </c>
      <c r="CQ463" s="669"/>
      <c r="CR463" s="669"/>
      <c r="CS463" s="669"/>
      <c r="CT463" s="669"/>
      <c r="CU463" s="669"/>
      <c r="CV463" s="669"/>
      <c r="CW463" s="669"/>
      <c r="CX463" s="669"/>
      <c r="CY463" s="669"/>
      <c r="CZ463" s="669"/>
      <c r="DA463" s="669"/>
      <c r="DB463" s="669"/>
      <c r="DC463" s="669"/>
      <c r="DD463" s="669"/>
      <c r="DE463" s="669"/>
      <c r="DF463" s="669"/>
      <c r="DG463" s="669"/>
      <c r="DH463" s="669"/>
      <c r="DI463" s="669"/>
      <c r="DJ463" s="669"/>
      <c r="DK463" s="669"/>
      <c r="DL463" s="669"/>
      <c r="DM463" s="669"/>
      <c r="DN463" s="669"/>
      <c r="DO463" s="669"/>
      <c r="DP463" s="669"/>
      <c r="DQ463" s="578"/>
      <c r="DR463" s="578"/>
      <c r="DS463" s="578"/>
      <c r="DT463" s="578"/>
      <c r="DU463" s="578"/>
      <c r="DV463" s="578"/>
      <c r="DW463" s="578"/>
      <c r="DX463" s="578"/>
      <c r="DY463" s="578"/>
      <c r="DZ463" s="670" t="s">
        <v>118</v>
      </c>
      <c r="EA463" s="671"/>
      <c r="EB463" s="672"/>
      <c r="EC463" s="579"/>
      <c r="ED463" s="427"/>
      <c r="EE463" s="669" t="s">
        <v>112</v>
      </c>
      <c r="EF463" s="669"/>
      <c r="EG463" s="669"/>
      <c r="EH463" s="669" t="s">
        <v>111</v>
      </c>
      <c r="EI463" s="669"/>
      <c r="EJ463" s="669"/>
      <c r="EK463" s="45">
        <f>IF(MONTH(I463)&gt;9,MONTH(I463)-9,MONTH(I463)+3)</f>
        <v>11</v>
      </c>
      <c r="EL463" s="673" t="s">
        <v>119</v>
      </c>
      <c r="EM463" s="674"/>
      <c r="EN463" s="674"/>
      <c r="EO463" s="674"/>
      <c r="EP463" s="674"/>
      <c r="EQ463" s="674"/>
      <c r="ER463" s="674"/>
      <c r="ES463" s="674"/>
    </row>
    <row r="464" spans="1:149" ht="26.25" thickBot="1">
      <c r="A464" s="665" t="s">
        <v>19</v>
      </c>
      <c r="B464" s="665"/>
      <c r="C464" s="8" t="s">
        <v>34</v>
      </c>
      <c r="D464" s="9"/>
      <c r="E464" s="10" t="s">
        <v>93</v>
      </c>
      <c r="F464" s="1"/>
      <c r="G464" s="17" t="s">
        <v>90</v>
      </c>
      <c r="H464" s="1"/>
      <c r="I464" s="1" t="s">
        <v>96</v>
      </c>
      <c r="J464" s="13">
        <v>39630</v>
      </c>
      <c r="K464" s="13">
        <v>39661</v>
      </c>
      <c r="L464" s="13">
        <v>39692</v>
      </c>
      <c r="M464" s="13">
        <v>39722</v>
      </c>
      <c r="N464" s="13">
        <v>39753</v>
      </c>
      <c r="O464" s="13">
        <v>39783</v>
      </c>
      <c r="P464" s="13">
        <v>39814</v>
      </c>
      <c r="Q464" s="13">
        <v>39845</v>
      </c>
      <c r="R464" s="13">
        <v>39873</v>
      </c>
      <c r="S464" s="13">
        <v>39904</v>
      </c>
      <c r="T464" s="13">
        <v>39934</v>
      </c>
      <c r="U464" s="13">
        <v>39965</v>
      </c>
      <c r="V464" s="13">
        <v>39995</v>
      </c>
      <c r="W464" s="13">
        <v>40026</v>
      </c>
      <c r="X464" s="13">
        <v>40057</v>
      </c>
      <c r="Y464" s="13">
        <v>40087</v>
      </c>
      <c r="Z464" s="13">
        <v>40118</v>
      </c>
      <c r="AA464" s="13">
        <v>40148</v>
      </c>
      <c r="AB464" s="13">
        <v>40179</v>
      </c>
      <c r="AC464" s="13">
        <v>40210</v>
      </c>
      <c r="AD464" s="13">
        <v>40238</v>
      </c>
      <c r="AE464" s="13">
        <v>40269</v>
      </c>
      <c r="AF464" s="13">
        <v>40299</v>
      </c>
      <c r="AG464" s="13">
        <v>40330</v>
      </c>
      <c r="AH464" s="13">
        <v>40360</v>
      </c>
      <c r="AI464" s="13">
        <v>40391</v>
      </c>
      <c r="AJ464" s="13">
        <v>40422</v>
      </c>
      <c r="AK464" s="406"/>
      <c r="AL464" s="13">
        <v>39630</v>
      </c>
      <c r="AM464" s="13">
        <v>39661</v>
      </c>
      <c r="AN464" s="13">
        <v>39692</v>
      </c>
      <c r="AO464" s="13">
        <v>39722</v>
      </c>
      <c r="AP464" s="13">
        <v>39753</v>
      </c>
      <c r="AQ464" s="13">
        <v>39783</v>
      </c>
      <c r="AR464" s="13">
        <v>39814</v>
      </c>
      <c r="AS464" s="13">
        <v>39845</v>
      </c>
      <c r="AT464" s="13">
        <v>39873</v>
      </c>
      <c r="AU464" s="13">
        <v>39904</v>
      </c>
      <c r="AV464" s="13">
        <v>39934</v>
      </c>
      <c r="AW464" s="13">
        <v>39965</v>
      </c>
      <c r="AX464" s="13">
        <v>39995</v>
      </c>
      <c r="AY464" s="13">
        <v>40026</v>
      </c>
      <c r="AZ464" s="13">
        <v>40057</v>
      </c>
      <c r="BA464" s="13">
        <v>40087</v>
      </c>
      <c r="BB464" s="13">
        <v>40118</v>
      </c>
      <c r="BC464" s="13">
        <v>40148</v>
      </c>
      <c r="BD464" s="13">
        <v>40179</v>
      </c>
      <c r="BE464" s="13">
        <v>40210</v>
      </c>
      <c r="BF464" s="13">
        <v>40238</v>
      </c>
      <c r="BG464" s="13">
        <v>40269</v>
      </c>
      <c r="BH464" s="13">
        <v>40299</v>
      </c>
      <c r="BI464" s="13">
        <v>40330</v>
      </c>
      <c r="BJ464" s="13">
        <v>40360</v>
      </c>
      <c r="BK464" s="13">
        <v>40391</v>
      </c>
      <c r="BL464" s="13">
        <v>40422</v>
      </c>
      <c r="BM464" s="406"/>
      <c r="BN464" s="13">
        <v>39630</v>
      </c>
      <c r="BO464" s="13">
        <v>39661</v>
      </c>
      <c r="BP464" s="13">
        <v>39692</v>
      </c>
      <c r="BQ464" s="13">
        <v>39722</v>
      </c>
      <c r="BR464" s="13">
        <v>39753</v>
      </c>
      <c r="BS464" s="13">
        <v>39783</v>
      </c>
      <c r="BT464" s="13">
        <v>39814</v>
      </c>
      <c r="BU464" s="13">
        <v>39845</v>
      </c>
      <c r="BV464" s="13">
        <v>39873</v>
      </c>
      <c r="BW464" s="13">
        <v>39904</v>
      </c>
      <c r="BX464" s="13">
        <v>39934</v>
      </c>
      <c r="BY464" s="13">
        <v>39965</v>
      </c>
      <c r="BZ464" s="13">
        <v>39995</v>
      </c>
      <c r="CA464" s="13">
        <v>40026</v>
      </c>
      <c r="CB464" s="13">
        <v>40057</v>
      </c>
      <c r="CC464" s="13">
        <v>40087</v>
      </c>
      <c r="CD464" s="13">
        <v>40118</v>
      </c>
      <c r="CE464" s="13">
        <v>40148</v>
      </c>
      <c r="CF464" s="13">
        <v>40179</v>
      </c>
      <c r="CG464" s="13">
        <v>40210</v>
      </c>
      <c r="CH464" s="13">
        <v>40238</v>
      </c>
      <c r="CI464" s="13">
        <v>40269</v>
      </c>
      <c r="CJ464" s="13">
        <v>40299</v>
      </c>
      <c r="CK464" s="13">
        <v>40330</v>
      </c>
      <c r="CL464" s="13">
        <v>40360</v>
      </c>
      <c r="CM464" s="13">
        <v>40391</v>
      </c>
      <c r="CN464" s="13">
        <v>40422</v>
      </c>
      <c r="CO464" s="420"/>
      <c r="CP464" s="13">
        <v>39630</v>
      </c>
      <c r="CQ464" s="13">
        <v>39661</v>
      </c>
      <c r="CR464" s="13">
        <v>39692</v>
      </c>
      <c r="CS464" s="13">
        <v>39722</v>
      </c>
      <c r="CT464" s="13">
        <v>39753</v>
      </c>
      <c r="CU464" s="13">
        <v>39783</v>
      </c>
      <c r="CV464" s="13">
        <v>39814</v>
      </c>
      <c r="CW464" s="13">
        <v>39845</v>
      </c>
      <c r="CX464" s="13">
        <v>39873</v>
      </c>
      <c r="CY464" s="13">
        <v>39904</v>
      </c>
      <c r="CZ464" s="13">
        <v>39934</v>
      </c>
      <c r="DA464" s="13">
        <v>39965</v>
      </c>
      <c r="DB464" s="13">
        <v>39995</v>
      </c>
      <c r="DC464" s="13">
        <v>40026</v>
      </c>
      <c r="DD464" s="13">
        <v>40057</v>
      </c>
      <c r="DE464" s="13">
        <v>40087</v>
      </c>
      <c r="DF464" s="13">
        <v>40118</v>
      </c>
      <c r="DG464" s="13">
        <v>40148</v>
      </c>
      <c r="DH464" s="13">
        <v>40179</v>
      </c>
      <c r="DI464" s="13">
        <v>40210</v>
      </c>
      <c r="DJ464" s="13">
        <v>40238</v>
      </c>
      <c r="DK464" s="13">
        <v>40269</v>
      </c>
      <c r="DL464" s="13">
        <v>40299</v>
      </c>
      <c r="DM464" s="13">
        <v>40330</v>
      </c>
      <c r="DN464" s="13">
        <v>40360</v>
      </c>
      <c r="DO464" s="13">
        <v>40391</v>
      </c>
      <c r="DP464" s="13">
        <v>40422</v>
      </c>
      <c r="DQ464" s="580"/>
      <c r="DR464" s="580"/>
      <c r="DS464" s="580"/>
      <c r="DT464" s="580"/>
      <c r="DU464" s="580"/>
      <c r="DV464" s="580"/>
      <c r="DW464" s="580"/>
      <c r="DX464" s="580"/>
      <c r="DY464" s="580"/>
      <c r="DZ464" s="1">
        <v>2008</v>
      </c>
      <c r="EA464" s="135">
        <v>2009</v>
      </c>
      <c r="EB464" s="135">
        <v>2010</v>
      </c>
      <c r="EC464" s="577"/>
      <c r="ED464" s="428"/>
      <c r="EE464" s="115" t="s">
        <v>89</v>
      </c>
      <c r="EF464" s="115" t="s">
        <v>110</v>
      </c>
      <c r="EG464" s="115" t="s">
        <v>128</v>
      </c>
      <c r="EH464" s="115" t="s">
        <v>89</v>
      </c>
      <c r="EI464" s="115" t="s">
        <v>110</v>
      </c>
      <c r="EJ464" s="115" t="s">
        <v>91</v>
      </c>
      <c r="EK464" s="45">
        <f>IF(MONTH(I463)&gt;6,MONTH(I463)-6,MONTH(I463)+6)</f>
        <v>2</v>
      </c>
      <c r="EL464" s="115" t="s">
        <v>124</v>
      </c>
      <c r="EM464" s="115" t="s">
        <v>125</v>
      </c>
      <c r="EN464" s="115" t="s">
        <v>126</v>
      </c>
      <c r="EO464" s="115" t="s">
        <v>122</v>
      </c>
      <c r="EP464" s="115" t="s">
        <v>123</v>
      </c>
      <c r="EQ464" s="115" t="s">
        <v>120</v>
      </c>
      <c r="ER464" s="115" t="s">
        <v>127</v>
      </c>
      <c r="ES464" s="115" t="s">
        <v>121</v>
      </c>
    </row>
    <row r="465" spans="1:149">
      <c r="A465" s="36" t="s">
        <v>20</v>
      </c>
      <c r="B465" s="36"/>
      <c r="C465" s="37"/>
      <c r="D465" s="37"/>
      <c r="E465" s="37"/>
      <c r="F465" s="37"/>
      <c r="G465" s="37"/>
      <c r="H465" s="37"/>
      <c r="I465" s="37"/>
      <c r="J465" s="38"/>
      <c r="K465" s="38"/>
      <c r="L465" s="10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407"/>
      <c r="AL465" s="38"/>
      <c r="AM465" s="38"/>
      <c r="AN465" s="38"/>
      <c r="AO465" s="38"/>
      <c r="AP465" s="38"/>
      <c r="AQ465" s="38"/>
      <c r="AR465" s="38"/>
      <c r="AS465" s="38"/>
      <c r="AT465" s="38"/>
      <c r="AU465" s="38"/>
      <c r="AV465" s="38"/>
      <c r="AW465" s="38"/>
      <c r="AX465" s="38"/>
      <c r="AY465" s="38"/>
      <c r="AZ465" s="38"/>
      <c r="BA465" s="38"/>
      <c r="BB465" s="38"/>
      <c r="BC465" s="38"/>
      <c r="BD465" s="38"/>
      <c r="BE465" s="38"/>
      <c r="BF465" s="38"/>
      <c r="BG465" s="38"/>
      <c r="BH465" s="38"/>
      <c r="BI465" s="38"/>
      <c r="BJ465" s="38"/>
      <c r="BK465" s="38"/>
      <c r="BL465" s="38"/>
      <c r="BM465" s="407"/>
      <c r="BN465" s="39"/>
      <c r="BO465" s="39"/>
      <c r="BP465" s="39"/>
      <c r="BQ465" s="39"/>
      <c r="BR465" s="39"/>
      <c r="BS465" s="39"/>
      <c r="BT465" s="39"/>
      <c r="BU465" s="39"/>
      <c r="BV465" s="39"/>
      <c r="BW465" s="39"/>
      <c r="BX465" s="39"/>
      <c r="BY465" s="39"/>
      <c r="BZ465" s="39"/>
      <c r="CA465" s="39"/>
      <c r="CB465" s="39"/>
      <c r="CC465" s="39"/>
      <c r="CD465" s="39"/>
      <c r="CE465" s="39"/>
      <c r="CF465" s="39"/>
      <c r="CG465" s="39"/>
      <c r="CH465" s="39"/>
      <c r="CI465" s="39"/>
      <c r="CJ465" s="39"/>
      <c r="CK465" s="39"/>
      <c r="CL465" s="39"/>
      <c r="CM465" s="39"/>
      <c r="CN465" s="39"/>
      <c r="CO465" s="407"/>
      <c r="CP465" s="38"/>
      <c r="CQ465" s="38"/>
      <c r="CR465" s="38"/>
      <c r="CS465" s="38"/>
      <c r="CT465" s="38"/>
      <c r="CU465" s="38"/>
      <c r="CV465" s="38"/>
      <c r="CW465" s="38"/>
      <c r="CX465" s="38"/>
      <c r="CY465" s="38"/>
      <c r="CZ465" s="38"/>
      <c r="DA465" s="38"/>
      <c r="DB465" s="38"/>
      <c r="DC465" s="38"/>
      <c r="DD465" s="38"/>
      <c r="DE465" s="38"/>
      <c r="DF465" s="38"/>
      <c r="DG465" s="38"/>
      <c r="DH465" s="38"/>
      <c r="DI465" s="38"/>
      <c r="DJ465" s="38"/>
      <c r="DK465" s="38"/>
      <c r="DL465" s="38"/>
      <c r="DM465" s="38"/>
      <c r="DN465" s="38"/>
      <c r="DO465" s="38"/>
      <c r="DP465" s="38"/>
      <c r="DQ465" s="38"/>
      <c r="DR465" s="38"/>
      <c r="DS465" s="38"/>
      <c r="DT465" s="38"/>
      <c r="DU465" s="38"/>
      <c r="DV465" s="38"/>
      <c r="DW465" s="38"/>
      <c r="DX465" s="38"/>
      <c r="DY465" s="38"/>
      <c r="DZ465" s="37"/>
      <c r="EA465" s="37"/>
      <c r="EB465" s="37"/>
      <c r="EC465" s="37"/>
      <c r="ED465" s="408"/>
      <c r="EE465" s="40"/>
      <c r="EF465" s="37"/>
      <c r="EG465" s="37"/>
      <c r="EH465" s="37"/>
      <c r="EI465" s="110" t="s">
        <v>155</v>
      </c>
      <c r="EJ465" s="110">
        <f>IF(I463&lt;M464,2008,IF(AND(I463&gt;=M464,I463&lt;=X464),2009,2010))</f>
        <v>2010</v>
      </c>
      <c r="EK465" s="40"/>
      <c r="EL465" s="37"/>
      <c r="EM465" s="37"/>
      <c r="EN465" s="37"/>
      <c r="EO465" s="37"/>
      <c r="EP465" s="37"/>
      <c r="EQ465" s="37"/>
      <c r="ER465" s="37"/>
      <c r="ES465" s="37"/>
    </row>
    <row r="466" spans="1:149">
      <c r="A466" s="134" t="s">
        <v>22</v>
      </c>
      <c r="B466" s="2" t="s">
        <v>0</v>
      </c>
      <c r="C466" s="3" t="s">
        <v>35</v>
      </c>
      <c r="E466" s="3" t="s">
        <v>16</v>
      </c>
      <c r="F466" s="1"/>
      <c r="G466" s="1" t="s">
        <v>91</v>
      </c>
      <c r="H466" s="1"/>
      <c r="I466" s="179">
        <v>82.53</v>
      </c>
      <c r="J466" s="187">
        <v>91.7</v>
      </c>
      <c r="K466" s="187">
        <v>100.87</v>
      </c>
      <c r="L466" s="187">
        <v>110.04</v>
      </c>
      <c r="M466" s="181">
        <v>9.3333333333333339</v>
      </c>
      <c r="N466" s="180">
        <v>18.663333333333334</v>
      </c>
      <c r="O466" s="180">
        <v>27.993333333333332</v>
      </c>
      <c r="P466" s="180">
        <v>37.323333333333331</v>
      </c>
      <c r="Q466" s="180">
        <v>46.653333333333329</v>
      </c>
      <c r="R466" s="180">
        <v>55.983333333333327</v>
      </c>
      <c r="S466" s="180">
        <v>65.313333333333333</v>
      </c>
      <c r="T466" s="180">
        <v>74.643333333333331</v>
      </c>
      <c r="U466" s="180">
        <v>83.973333333333329</v>
      </c>
      <c r="V466" s="180">
        <v>93.303333333333327</v>
      </c>
      <c r="W466" s="180">
        <v>102.63333333333333</v>
      </c>
      <c r="X466" s="26">
        <v>111.96333333333332</v>
      </c>
      <c r="Y466" s="404">
        <v>10.083</v>
      </c>
      <c r="Z466" s="436">
        <f>Y466+10.083</f>
        <v>20.166</v>
      </c>
      <c r="AA466" s="436">
        <f t="shared" ref="AA466:AJ466" si="2640">Z466+10.083</f>
        <v>30.249000000000002</v>
      </c>
      <c r="AB466" s="436">
        <f t="shared" si="2640"/>
        <v>40.332000000000001</v>
      </c>
      <c r="AC466" s="436">
        <f t="shared" si="2640"/>
        <v>50.414999999999999</v>
      </c>
      <c r="AD466" s="436">
        <f t="shared" si="2640"/>
        <v>60.497999999999998</v>
      </c>
      <c r="AE466" s="436">
        <f t="shared" si="2640"/>
        <v>70.581000000000003</v>
      </c>
      <c r="AF466" s="436">
        <f t="shared" si="2640"/>
        <v>80.664000000000001</v>
      </c>
      <c r="AG466" s="436">
        <f t="shared" si="2640"/>
        <v>90.747</v>
      </c>
      <c r="AH466" s="436">
        <f t="shared" si="2640"/>
        <v>100.83</v>
      </c>
      <c r="AI466" s="436">
        <f t="shared" si="2640"/>
        <v>110.913</v>
      </c>
      <c r="AJ466" s="189">
        <f t="shared" si="2640"/>
        <v>120.996</v>
      </c>
      <c r="AK466" s="408"/>
      <c r="AL466" s="48">
        <f>J466-I466</f>
        <v>9.1700000000000017</v>
      </c>
      <c r="AM466" s="48">
        <f t="shared" ref="AM466:AM472" si="2641">K466-J466</f>
        <v>9.1700000000000017</v>
      </c>
      <c r="AN466" s="48">
        <f t="shared" ref="AN466:AN472" si="2642">L466-K466</f>
        <v>9.1700000000000017</v>
      </c>
      <c r="AO466" s="48">
        <f>M466</f>
        <v>9.3333333333333339</v>
      </c>
      <c r="AP466" s="48">
        <f t="shared" ref="AP466:AP472" si="2643">N466-M466</f>
        <v>9.33</v>
      </c>
      <c r="AQ466" s="48">
        <f t="shared" ref="AQ466:AQ472" si="2644">O466-N466</f>
        <v>9.3299999999999983</v>
      </c>
      <c r="AR466" s="48">
        <f t="shared" ref="AR466:AR472" si="2645">P466-O466</f>
        <v>9.3299999999999983</v>
      </c>
      <c r="AS466" s="48">
        <f t="shared" ref="AS466:AS472" si="2646">Q466-P466</f>
        <v>9.3299999999999983</v>
      </c>
      <c r="AT466" s="48">
        <f t="shared" ref="AT466:AT472" si="2647">R466-Q466</f>
        <v>9.3299999999999983</v>
      </c>
      <c r="AU466" s="48">
        <f t="shared" ref="AU466:AU472" si="2648">S466-R466</f>
        <v>9.3300000000000054</v>
      </c>
      <c r="AV466" s="48">
        <f t="shared" ref="AV466:AV472" si="2649">T466-S466</f>
        <v>9.3299999999999983</v>
      </c>
      <c r="AW466" s="48">
        <f t="shared" ref="AW466:AW472" si="2650">U466-T466</f>
        <v>9.3299999999999983</v>
      </c>
      <c r="AX466" s="48">
        <f>V466-U466</f>
        <v>9.3299999999999983</v>
      </c>
      <c r="AY466" s="48">
        <f t="shared" ref="AY466:AY472" si="2651">W466-V466</f>
        <v>9.3299999999999983</v>
      </c>
      <c r="AZ466" s="48">
        <f t="shared" ref="AZ466:AZ472" si="2652">X466-W466</f>
        <v>9.3299999999999983</v>
      </c>
      <c r="BA466" s="48">
        <f>Y466</f>
        <v>10.083</v>
      </c>
      <c r="BB466" s="48">
        <f t="shared" ref="BB466:BB472" si="2653">Z466-Y466</f>
        <v>10.083</v>
      </c>
      <c r="BC466" s="48">
        <f t="shared" ref="BC466:BC472" si="2654">AA466-Z466</f>
        <v>10.083000000000002</v>
      </c>
      <c r="BD466" s="48">
        <f t="shared" ref="BD466:BD472" si="2655">AB466-AA466</f>
        <v>10.082999999999998</v>
      </c>
      <c r="BE466" s="48">
        <f t="shared" ref="BE466:BE472" si="2656">AC466-AB466</f>
        <v>10.082999999999998</v>
      </c>
      <c r="BF466" s="48">
        <f t="shared" ref="BF466:BF472" si="2657">AD466-AC466</f>
        <v>10.082999999999998</v>
      </c>
      <c r="BG466" s="48">
        <f t="shared" ref="BG466:BG472" si="2658">AE466-AD466</f>
        <v>10.083000000000006</v>
      </c>
      <c r="BH466" s="48">
        <f t="shared" ref="BH466:BH472" si="2659">AF466-AE466</f>
        <v>10.082999999999998</v>
      </c>
      <c r="BI466" s="48">
        <f t="shared" ref="BI466:BI472" si="2660">AG466-AF466</f>
        <v>10.082999999999998</v>
      </c>
      <c r="BJ466" s="48">
        <f t="shared" ref="BJ466:BL470" si="2661">AH466-AG466</f>
        <v>10.082999999999998</v>
      </c>
      <c r="BK466" s="48">
        <f t="shared" si="2661"/>
        <v>10.082999999999998</v>
      </c>
      <c r="BL466" s="48">
        <f t="shared" si="2661"/>
        <v>10.082999999999998</v>
      </c>
      <c r="BM466" s="408"/>
      <c r="BN466" s="48">
        <f>BP466</f>
        <v>27.510000000000005</v>
      </c>
      <c r="BO466" s="48">
        <f>BP466</f>
        <v>27.510000000000005</v>
      </c>
      <c r="BP466" s="48">
        <f>SUM(AL466:AN466)</f>
        <v>27.510000000000005</v>
      </c>
      <c r="BQ466" s="48">
        <f>BS466</f>
        <v>27.993333333333332</v>
      </c>
      <c r="BR466" s="48">
        <f>BS466</f>
        <v>27.993333333333332</v>
      </c>
      <c r="BS466" s="48">
        <f>SUM(AO466:AQ466)</f>
        <v>27.993333333333332</v>
      </c>
      <c r="BT466" s="48">
        <f>BV466</f>
        <v>27.989999999999995</v>
      </c>
      <c r="BU466" s="48">
        <f>BV466</f>
        <v>27.989999999999995</v>
      </c>
      <c r="BV466" s="48">
        <f>SUM(AR466:AT466)</f>
        <v>27.989999999999995</v>
      </c>
      <c r="BW466" s="48">
        <f>BY466</f>
        <v>27.990000000000002</v>
      </c>
      <c r="BX466" s="48">
        <f>BY466</f>
        <v>27.990000000000002</v>
      </c>
      <c r="BY466" s="48">
        <f>SUM(AU466:AW466)</f>
        <v>27.990000000000002</v>
      </c>
      <c r="BZ466" s="48">
        <f>CB466</f>
        <v>27.989999999999995</v>
      </c>
      <c r="CA466" s="48">
        <f>CB466</f>
        <v>27.989999999999995</v>
      </c>
      <c r="CB466" s="48">
        <f>SUM(AX466:AZ466)</f>
        <v>27.989999999999995</v>
      </c>
      <c r="CC466" s="48">
        <f>CE466</f>
        <v>30.249000000000002</v>
      </c>
      <c r="CD466" s="48">
        <f>CE466</f>
        <v>30.249000000000002</v>
      </c>
      <c r="CE466" s="48">
        <f>SUM(BA466:BC466)</f>
        <v>30.249000000000002</v>
      </c>
      <c r="CF466" s="48">
        <f>CH466</f>
        <v>30.248999999999995</v>
      </c>
      <c r="CG466" s="48">
        <f>CH466</f>
        <v>30.248999999999995</v>
      </c>
      <c r="CH466" s="48">
        <f>SUM(BD466:BF466)</f>
        <v>30.248999999999995</v>
      </c>
      <c r="CI466" s="48">
        <f>CK466</f>
        <v>30.249000000000002</v>
      </c>
      <c r="CJ466" s="48">
        <f>CK466</f>
        <v>30.249000000000002</v>
      </c>
      <c r="CK466" s="48">
        <f>SUM(BG466:BI466)</f>
        <v>30.249000000000002</v>
      </c>
      <c r="CL466" s="48">
        <f>CN466</f>
        <v>30.248999999999995</v>
      </c>
      <c r="CM466" s="48">
        <f>CN466</f>
        <v>30.248999999999995</v>
      </c>
      <c r="CN466" s="48">
        <f t="shared" ref="CN466:CN473" si="2662">SUM(BJ466:BL466)</f>
        <v>30.248999999999995</v>
      </c>
      <c r="CO466" s="406"/>
      <c r="CP466" s="48">
        <f t="shared" ref="CP466:CR470" si="2663">I466+AL466</f>
        <v>91.7</v>
      </c>
      <c r="CQ466" s="48">
        <f t="shared" si="2663"/>
        <v>100.87</v>
      </c>
      <c r="CR466" s="48">
        <f t="shared" si="2663"/>
        <v>110.04</v>
      </c>
      <c r="CS466" s="48">
        <f>AO466</f>
        <v>9.3333333333333339</v>
      </c>
      <c r="CT466" s="48">
        <f t="shared" ref="CT466:DD470" si="2664">M466+AP466</f>
        <v>18.663333333333334</v>
      </c>
      <c r="CU466" s="48">
        <f t="shared" si="2664"/>
        <v>27.993333333333332</v>
      </c>
      <c r="CV466" s="48">
        <f t="shared" si="2664"/>
        <v>37.323333333333331</v>
      </c>
      <c r="CW466" s="48">
        <f t="shared" si="2664"/>
        <v>46.653333333333329</v>
      </c>
      <c r="CX466" s="48">
        <f t="shared" si="2664"/>
        <v>55.983333333333327</v>
      </c>
      <c r="CY466" s="48">
        <f t="shared" si="2664"/>
        <v>65.313333333333333</v>
      </c>
      <c r="CZ466" s="48">
        <f t="shared" si="2664"/>
        <v>74.643333333333331</v>
      </c>
      <c r="DA466" s="48">
        <f t="shared" si="2664"/>
        <v>83.973333333333329</v>
      </c>
      <c r="DB466" s="48">
        <f t="shared" si="2664"/>
        <v>93.303333333333327</v>
      </c>
      <c r="DC466" s="48">
        <f t="shared" si="2664"/>
        <v>102.63333333333333</v>
      </c>
      <c r="DD466" s="48">
        <f t="shared" si="2664"/>
        <v>111.96333333333332</v>
      </c>
      <c r="DE466" s="48">
        <f>+BA466</f>
        <v>10.083</v>
      </c>
      <c r="DF466" s="48">
        <f t="shared" ref="DF466:DP470" si="2665">Y466+BB466</f>
        <v>20.166</v>
      </c>
      <c r="DG466" s="48">
        <f t="shared" si="2665"/>
        <v>30.249000000000002</v>
      </c>
      <c r="DH466" s="48">
        <f t="shared" si="2665"/>
        <v>40.332000000000001</v>
      </c>
      <c r="DI466" s="48">
        <f t="shared" si="2665"/>
        <v>50.414999999999999</v>
      </c>
      <c r="DJ466" s="48">
        <f t="shared" si="2665"/>
        <v>60.497999999999998</v>
      </c>
      <c r="DK466" s="48">
        <f t="shared" si="2665"/>
        <v>70.581000000000003</v>
      </c>
      <c r="DL466" s="48">
        <f t="shared" si="2665"/>
        <v>80.664000000000001</v>
      </c>
      <c r="DM466" s="48">
        <f t="shared" si="2665"/>
        <v>90.747</v>
      </c>
      <c r="DN466" s="48">
        <f t="shared" si="2665"/>
        <v>100.83</v>
      </c>
      <c r="DO466" s="48">
        <f t="shared" si="2665"/>
        <v>110.913</v>
      </c>
      <c r="DP466" s="48">
        <f t="shared" si="2665"/>
        <v>120.996</v>
      </c>
      <c r="DQ466" s="48"/>
      <c r="DR466" s="48"/>
      <c r="DS466" s="48"/>
      <c r="DT466" s="48"/>
      <c r="DU466" s="48"/>
      <c r="DV466" s="48"/>
      <c r="DW466" s="48"/>
      <c r="DX466" s="48"/>
      <c r="DY466" s="48"/>
      <c r="DZ466" s="1">
        <f>'Input &amp; Calc'!L466</f>
        <v>110.04</v>
      </c>
      <c r="EA466" s="49">
        <f>DD466</f>
        <v>111.96333333333332</v>
      </c>
      <c r="EB466" s="50">
        <f>DP466</f>
        <v>120.996</v>
      </c>
      <c r="EC466" s="50"/>
      <c r="ED466" s="408"/>
      <c r="EE466" s="51">
        <f t="shared" ref="EE466:EF481" si="2666">HLOOKUP($I$1,Month,ROW()-1)</f>
        <v>10.082999999999998</v>
      </c>
      <c r="EF466" s="51">
        <f t="shared" ref="EF466:EF481" si="2667">HLOOKUP($I$1,Qtr,ROW()-1)</f>
        <v>30.248999999999995</v>
      </c>
      <c r="EG466" s="51">
        <f>HLOOKUP($EJ$3,Budget,ROW()-1)</f>
        <v>120.996</v>
      </c>
      <c r="EH466" s="40"/>
      <c r="EI466" s="110" t="s">
        <v>154</v>
      </c>
      <c r="EJ466" s="110">
        <f>IF(AND(I463&gt;=J464,I463&lt;=U464),2009,2010)</f>
        <v>2010</v>
      </c>
      <c r="EK466" s="675" t="s">
        <v>129</v>
      </c>
      <c r="EL466" s="37"/>
      <c r="EM466" s="37"/>
      <c r="EN466" s="37"/>
      <c r="EO466" s="49"/>
      <c r="EP466" s="49"/>
      <c r="EQ466" s="49"/>
      <c r="ER466" s="1"/>
      <c r="ES466" s="1"/>
    </row>
    <row r="467" spans="1:149">
      <c r="A467" s="134" t="s">
        <v>22</v>
      </c>
      <c r="B467" s="2" t="s">
        <v>1</v>
      </c>
      <c r="C467" s="3" t="s">
        <v>36</v>
      </c>
      <c r="E467" s="3" t="s">
        <v>16</v>
      </c>
      <c r="F467" s="1"/>
      <c r="G467" s="1" t="s">
        <v>91</v>
      </c>
      <c r="H467" s="1"/>
      <c r="I467" s="179">
        <v>15.03</v>
      </c>
      <c r="J467" s="182">
        <v>16.7</v>
      </c>
      <c r="K467" s="182">
        <v>18.369999999999997</v>
      </c>
      <c r="L467" s="182">
        <v>20.04</v>
      </c>
      <c r="M467" s="188">
        <v>2.5</v>
      </c>
      <c r="N467" s="189">
        <v>5</v>
      </c>
      <c r="O467" s="189">
        <v>7.5</v>
      </c>
      <c r="P467" s="189">
        <v>10</v>
      </c>
      <c r="Q467" s="189">
        <v>12.5</v>
      </c>
      <c r="R467" s="189">
        <v>15</v>
      </c>
      <c r="S467" s="189">
        <v>17.5</v>
      </c>
      <c r="T467" s="189">
        <v>20</v>
      </c>
      <c r="U467" s="189">
        <v>22.5</v>
      </c>
      <c r="V467" s="189">
        <v>25</v>
      </c>
      <c r="W467" s="189">
        <v>27.5</v>
      </c>
      <c r="X467" s="310">
        <v>30</v>
      </c>
      <c r="Y467" s="219">
        <v>2.5</v>
      </c>
      <c r="Z467" s="246">
        <f>Y467+2.5</f>
        <v>5</v>
      </c>
      <c r="AA467" s="246">
        <f>Z467+2.5</f>
        <v>7.5</v>
      </c>
      <c r="AB467" s="376">
        <f t="shared" ref="AB467:AJ467" si="2668">AA467+2.5</f>
        <v>10</v>
      </c>
      <c r="AC467" s="376">
        <f t="shared" si="2668"/>
        <v>12.5</v>
      </c>
      <c r="AD467" s="376">
        <f t="shared" si="2668"/>
        <v>15</v>
      </c>
      <c r="AE467" s="376">
        <f t="shared" si="2668"/>
        <v>17.5</v>
      </c>
      <c r="AF467" s="376">
        <f t="shared" si="2668"/>
        <v>20</v>
      </c>
      <c r="AG467" s="376">
        <f t="shared" si="2668"/>
        <v>22.5</v>
      </c>
      <c r="AH467" s="376">
        <f t="shared" si="2668"/>
        <v>25</v>
      </c>
      <c r="AI467" s="376">
        <f t="shared" si="2668"/>
        <v>27.5</v>
      </c>
      <c r="AJ467" s="376">
        <f t="shared" si="2668"/>
        <v>30</v>
      </c>
      <c r="AK467" s="408"/>
      <c r="AL467" s="48">
        <f>J467-I467</f>
        <v>1.67</v>
      </c>
      <c r="AM467" s="48">
        <f t="shared" si="2641"/>
        <v>1.6699999999999982</v>
      </c>
      <c r="AN467" s="48">
        <f t="shared" si="2642"/>
        <v>1.6700000000000017</v>
      </c>
      <c r="AO467" s="48">
        <f>M467</f>
        <v>2.5</v>
      </c>
      <c r="AP467" s="48">
        <f t="shared" si="2643"/>
        <v>2.5</v>
      </c>
      <c r="AQ467" s="48">
        <f t="shared" si="2644"/>
        <v>2.5</v>
      </c>
      <c r="AR467" s="48">
        <f t="shared" si="2645"/>
        <v>2.5</v>
      </c>
      <c r="AS467" s="48">
        <f t="shared" si="2646"/>
        <v>2.5</v>
      </c>
      <c r="AT467" s="48">
        <f t="shared" si="2647"/>
        <v>2.5</v>
      </c>
      <c r="AU467" s="48">
        <f t="shared" si="2648"/>
        <v>2.5</v>
      </c>
      <c r="AV467" s="48">
        <f t="shared" si="2649"/>
        <v>2.5</v>
      </c>
      <c r="AW467" s="48">
        <f t="shared" si="2650"/>
        <v>2.5</v>
      </c>
      <c r="AX467" s="48">
        <f>V467-U467</f>
        <v>2.5</v>
      </c>
      <c r="AY467" s="48">
        <f t="shared" si="2651"/>
        <v>2.5</v>
      </c>
      <c r="AZ467" s="48">
        <f t="shared" si="2652"/>
        <v>2.5</v>
      </c>
      <c r="BA467" s="48">
        <f>Y467</f>
        <v>2.5</v>
      </c>
      <c r="BB467" s="48">
        <f t="shared" si="2653"/>
        <v>2.5</v>
      </c>
      <c r="BC467" s="48">
        <f t="shared" si="2654"/>
        <v>2.5</v>
      </c>
      <c r="BD467" s="48">
        <f t="shared" si="2655"/>
        <v>2.5</v>
      </c>
      <c r="BE467" s="48">
        <f t="shared" si="2656"/>
        <v>2.5</v>
      </c>
      <c r="BF467" s="48">
        <f t="shared" si="2657"/>
        <v>2.5</v>
      </c>
      <c r="BG467" s="48">
        <f t="shared" si="2658"/>
        <v>2.5</v>
      </c>
      <c r="BH467" s="48">
        <f t="shared" si="2659"/>
        <v>2.5</v>
      </c>
      <c r="BI467" s="48">
        <f t="shared" si="2660"/>
        <v>2.5</v>
      </c>
      <c r="BJ467" s="48">
        <f t="shared" si="2661"/>
        <v>2.5</v>
      </c>
      <c r="BK467" s="48">
        <f t="shared" si="2661"/>
        <v>2.5</v>
      </c>
      <c r="BL467" s="48">
        <f t="shared" si="2661"/>
        <v>2.5</v>
      </c>
      <c r="BM467" s="408"/>
      <c r="BN467" s="48">
        <f t="shared" ref="BN467:BN481" si="2669">BP467</f>
        <v>5.01</v>
      </c>
      <c r="BO467" s="48">
        <f t="shared" ref="BO467:BO481" si="2670">BP467</f>
        <v>5.01</v>
      </c>
      <c r="BP467" s="48">
        <f t="shared" ref="BP467:BP473" si="2671">SUM(AL467:AN467)</f>
        <v>5.01</v>
      </c>
      <c r="BQ467" s="48">
        <f t="shared" ref="BQ467:BQ481" si="2672">BS467</f>
        <v>7.5</v>
      </c>
      <c r="BR467" s="48">
        <f t="shared" ref="BR467:BR481" si="2673">BS467</f>
        <v>7.5</v>
      </c>
      <c r="BS467" s="48">
        <f t="shared" ref="BS467:BS473" si="2674">SUM(AO467:AQ467)</f>
        <v>7.5</v>
      </c>
      <c r="BT467" s="48">
        <f t="shared" ref="BT467:BT481" si="2675">BV467</f>
        <v>7.5</v>
      </c>
      <c r="BU467" s="48">
        <f t="shared" ref="BU467:BU481" si="2676">BV467</f>
        <v>7.5</v>
      </c>
      <c r="BV467" s="48">
        <f t="shared" ref="BV467:BV473" si="2677">SUM(AR467:AT467)</f>
        <v>7.5</v>
      </c>
      <c r="BW467" s="48">
        <f t="shared" ref="BW467:BW481" si="2678">BY467</f>
        <v>7.5</v>
      </c>
      <c r="BX467" s="48">
        <f t="shared" ref="BX467:BX481" si="2679">BY467</f>
        <v>7.5</v>
      </c>
      <c r="BY467" s="48">
        <f t="shared" ref="BY467:BY473" si="2680">SUM(AU467:AW467)</f>
        <v>7.5</v>
      </c>
      <c r="BZ467" s="48">
        <f t="shared" ref="BZ467:BZ481" si="2681">CB467</f>
        <v>7.5</v>
      </c>
      <c r="CA467" s="48">
        <f t="shared" ref="CA467:CA481" si="2682">CB467</f>
        <v>7.5</v>
      </c>
      <c r="CB467" s="48">
        <f>SUM(AX467:AZ467)</f>
        <v>7.5</v>
      </c>
      <c r="CC467" s="48">
        <f t="shared" ref="CC467:CC481" si="2683">CE467</f>
        <v>7.5</v>
      </c>
      <c r="CD467" s="48">
        <f t="shared" ref="CD467:CD481" si="2684">CE467</f>
        <v>7.5</v>
      </c>
      <c r="CE467" s="48">
        <f t="shared" ref="CE467:CE472" si="2685">SUM(BA467:BC467)</f>
        <v>7.5</v>
      </c>
      <c r="CF467" s="48">
        <f t="shared" ref="CF467:CF477" si="2686">CH467</f>
        <v>7.5</v>
      </c>
      <c r="CG467" s="48">
        <f t="shared" ref="CG467:CG477" si="2687">CH467</f>
        <v>7.5</v>
      </c>
      <c r="CH467" s="48">
        <f t="shared" ref="CH467:CH472" si="2688">SUM(BD467:BF467)</f>
        <v>7.5</v>
      </c>
      <c r="CI467" s="48">
        <f t="shared" ref="CI467:CI477" si="2689">CK467</f>
        <v>7.5</v>
      </c>
      <c r="CJ467" s="48">
        <f t="shared" ref="CJ467:CJ477" si="2690">CK467</f>
        <v>7.5</v>
      </c>
      <c r="CK467" s="48">
        <f t="shared" ref="CK467:CK472" si="2691">SUM(BG467:BI467)</f>
        <v>7.5</v>
      </c>
      <c r="CL467" s="48">
        <f t="shared" ref="CL467:CL477" si="2692">CN467</f>
        <v>7.5</v>
      </c>
      <c r="CM467" s="48">
        <f t="shared" ref="CM467:CM477" si="2693">CN467</f>
        <v>7.5</v>
      </c>
      <c r="CN467" s="48">
        <f t="shared" si="2662"/>
        <v>7.5</v>
      </c>
      <c r="CO467" s="406"/>
      <c r="CP467" s="48">
        <f t="shared" si="2663"/>
        <v>16.7</v>
      </c>
      <c r="CQ467" s="48">
        <f t="shared" si="2663"/>
        <v>18.369999999999997</v>
      </c>
      <c r="CR467" s="48">
        <f t="shared" si="2663"/>
        <v>20.04</v>
      </c>
      <c r="CS467" s="48">
        <f>AO467</f>
        <v>2.5</v>
      </c>
      <c r="CT467" s="48">
        <f t="shared" si="2664"/>
        <v>5</v>
      </c>
      <c r="CU467" s="48">
        <f t="shared" si="2664"/>
        <v>7.5</v>
      </c>
      <c r="CV467" s="48">
        <f t="shared" si="2664"/>
        <v>10</v>
      </c>
      <c r="CW467" s="48">
        <f t="shared" si="2664"/>
        <v>12.5</v>
      </c>
      <c r="CX467" s="48">
        <f t="shared" si="2664"/>
        <v>15</v>
      </c>
      <c r="CY467" s="48">
        <f t="shared" si="2664"/>
        <v>17.5</v>
      </c>
      <c r="CZ467" s="48">
        <f t="shared" si="2664"/>
        <v>20</v>
      </c>
      <c r="DA467" s="48">
        <f t="shared" si="2664"/>
        <v>22.5</v>
      </c>
      <c r="DB467" s="48">
        <f t="shared" si="2664"/>
        <v>25</v>
      </c>
      <c r="DC467" s="48">
        <f t="shared" si="2664"/>
        <v>27.5</v>
      </c>
      <c r="DD467" s="48">
        <f t="shared" si="2664"/>
        <v>30</v>
      </c>
      <c r="DE467" s="48">
        <f>+BA467</f>
        <v>2.5</v>
      </c>
      <c r="DF467" s="48">
        <f t="shared" si="2665"/>
        <v>5</v>
      </c>
      <c r="DG467" s="48">
        <f t="shared" si="2665"/>
        <v>7.5</v>
      </c>
      <c r="DH467" s="48">
        <f t="shared" si="2665"/>
        <v>10</v>
      </c>
      <c r="DI467" s="48">
        <f t="shared" si="2665"/>
        <v>12.5</v>
      </c>
      <c r="DJ467" s="48">
        <f t="shared" si="2665"/>
        <v>15</v>
      </c>
      <c r="DK467" s="48">
        <f t="shared" si="2665"/>
        <v>17.5</v>
      </c>
      <c r="DL467" s="48">
        <f t="shared" si="2665"/>
        <v>20</v>
      </c>
      <c r="DM467" s="48">
        <f t="shared" si="2665"/>
        <v>22.5</v>
      </c>
      <c r="DN467" s="48">
        <f t="shared" si="2665"/>
        <v>25</v>
      </c>
      <c r="DO467" s="48">
        <f t="shared" si="2665"/>
        <v>27.5</v>
      </c>
      <c r="DP467" s="48">
        <f t="shared" si="2665"/>
        <v>30</v>
      </c>
      <c r="DQ467" s="48"/>
      <c r="DR467" s="48"/>
      <c r="DS467" s="48"/>
      <c r="DT467" s="48"/>
      <c r="DU467" s="48"/>
      <c r="DV467" s="48"/>
      <c r="DW467" s="48"/>
      <c r="DX467" s="48"/>
      <c r="DY467" s="48"/>
      <c r="DZ467" s="1">
        <f>'Input &amp; Calc'!L467</f>
        <v>20.04</v>
      </c>
      <c r="EA467" s="49">
        <f>DD467</f>
        <v>30</v>
      </c>
      <c r="EB467" s="50">
        <f>DP467</f>
        <v>30</v>
      </c>
      <c r="EC467" s="50"/>
      <c r="ED467" s="408"/>
      <c r="EE467" s="51">
        <f t="shared" si="2666"/>
        <v>2.5</v>
      </c>
      <c r="EF467" s="51">
        <f t="shared" si="2667"/>
        <v>7.5</v>
      </c>
      <c r="EG467" s="51">
        <f>HLOOKUP($EJ$3,Budget,ROW()-1)</f>
        <v>30</v>
      </c>
      <c r="EH467" s="40"/>
      <c r="EI467" s="111" t="s">
        <v>157</v>
      </c>
      <c r="EJ467" s="113">
        <f>HLOOKUP($I$1,YTD,47)</f>
        <v>70</v>
      </c>
      <c r="EK467" s="675"/>
      <c r="EL467" s="37"/>
      <c r="EM467" s="37"/>
      <c r="EN467" s="37"/>
      <c r="EO467" s="49"/>
      <c r="EP467" s="49"/>
      <c r="EQ467" s="49"/>
      <c r="ER467" s="1"/>
      <c r="ES467" s="1"/>
    </row>
    <row r="468" spans="1:149">
      <c r="A468" s="134" t="s">
        <v>22</v>
      </c>
      <c r="B468" s="2" t="s">
        <v>2</v>
      </c>
      <c r="C468" s="3" t="s">
        <v>37</v>
      </c>
      <c r="E468" s="3" t="s">
        <v>16</v>
      </c>
      <c r="F468" s="1"/>
      <c r="G468" s="1" t="s">
        <v>91</v>
      </c>
      <c r="H468" s="1"/>
      <c r="I468" s="179">
        <v>29.97</v>
      </c>
      <c r="J468" s="182">
        <v>33.299999999999997</v>
      </c>
      <c r="K468" s="182">
        <v>36.629999999999995</v>
      </c>
      <c r="L468" s="182">
        <v>39.959999999999994</v>
      </c>
      <c r="M468" s="181">
        <v>2.0833333333333335</v>
      </c>
      <c r="N468" s="180">
        <v>4.1666666633333334</v>
      </c>
      <c r="O468" s="180">
        <v>6.2499999933333328</v>
      </c>
      <c r="P468" s="180">
        <v>8.3333333233333331</v>
      </c>
      <c r="Q468" s="180">
        <v>10.416666653333333</v>
      </c>
      <c r="R468" s="180">
        <v>12.499999983333334</v>
      </c>
      <c r="S468" s="180">
        <v>14.583333313333334</v>
      </c>
      <c r="T468" s="180">
        <v>16.666666643333333</v>
      </c>
      <c r="U468" s="180">
        <v>18.749999973333331</v>
      </c>
      <c r="V468" s="180">
        <v>20.83333330333333</v>
      </c>
      <c r="W468" s="180">
        <v>22.916666633333328</v>
      </c>
      <c r="X468" s="26">
        <v>24.999999963333327</v>
      </c>
      <c r="Y468" s="219">
        <v>1.5</v>
      </c>
      <c r="Z468" s="246">
        <f>Y468+1.5</f>
        <v>3</v>
      </c>
      <c r="AA468" s="376">
        <f t="shared" ref="AA468:AJ468" si="2694">Z468+1.5</f>
        <v>4.5</v>
      </c>
      <c r="AB468" s="376">
        <f t="shared" si="2694"/>
        <v>6</v>
      </c>
      <c r="AC468" s="376">
        <f t="shared" si="2694"/>
        <v>7.5</v>
      </c>
      <c r="AD468" s="376">
        <f t="shared" si="2694"/>
        <v>9</v>
      </c>
      <c r="AE468" s="376">
        <f t="shared" si="2694"/>
        <v>10.5</v>
      </c>
      <c r="AF468" s="376">
        <f t="shared" si="2694"/>
        <v>12</v>
      </c>
      <c r="AG468" s="376">
        <f t="shared" si="2694"/>
        <v>13.5</v>
      </c>
      <c r="AH468" s="376">
        <f t="shared" si="2694"/>
        <v>15</v>
      </c>
      <c r="AI468" s="376">
        <f t="shared" si="2694"/>
        <v>16.5</v>
      </c>
      <c r="AJ468" s="376">
        <f t="shared" si="2694"/>
        <v>18</v>
      </c>
      <c r="AK468" s="408"/>
      <c r="AL468" s="48">
        <f>J468-I468</f>
        <v>3.3299999999999983</v>
      </c>
      <c r="AM468" s="48">
        <f t="shared" si="2641"/>
        <v>3.3299999999999983</v>
      </c>
      <c r="AN468" s="48">
        <f t="shared" si="2642"/>
        <v>3.3299999999999983</v>
      </c>
      <c r="AO468" s="48">
        <f>M468</f>
        <v>2.0833333333333335</v>
      </c>
      <c r="AP468" s="48">
        <f t="shared" si="2643"/>
        <v>2.0833333299999999</v>
      </c>
      <c r="AQ468" s="48">
        <f t="shared" si="2644"/>
        <v>2.0833333299999994</v>
      </c>
      <c r="AR468" s="48">
        <f t="shared" si="2645"/>
        <v>2.0833333300000003</v>
      </c>
      <c r="AS468" s="48">
        <f t="shared" si="2646"/>
        <v>2.0833333300000003</v>
      </c>
      <c r="AT468" s="48">
        <f t="shared" si="2647"/>
        <v>2.0833333300000003</v>
      </c>
      <c r="AU468" s="48">
        <f t="shared" si="2648"/>
        <v>2.0833333300000003</v>
      </c>
      <c r="AV468" s="48">
        <f t="shared" si="2649"/>
        <v>2.0833333299999985</v>
      </c>
      <c r="AW468" s="48">
        <f t="shared" si="2650"/>
        <v>2.0833333299999985</v>
      </c>
      <c r="AX468" s="48">
        <f>V468-U468</f>
        <v>2.0833333299999985</v>
      </c>
      <c r="AY468" s="48">
        <f t="shared" si="2651"/>
        <v>2.0833333299999985</v>
      </c>
      <c r="AZ468" s="48">
        <f t="shared" si="2652"/>
        <v>2.0833333299999985</v>
      </c>
      <c r="BA468" s="48">
        <f>Y468</f>
        <v>1.5</v>
      </c>
      <c r="BB468" s="48">
        <f t="shared" si="2653"/>
        <v>1.5</v>
      </c>
      <c r="BC468" s="48">
        <f t="shared" si="2654"/>
        <v>1.5</v>
      </c>
      <c r="BD468" s="48">
        <f t="shared" si="2655"/>
        <v>1.5</v>
      </c>
      <c r="BE468" s="48">
        <f t="shared" si="2656"/>
        <v>1.5</v>
      </c>
      <c r="BF468" s="48">
        <f t="shared" si="2657"/>
        <v>1.5</v>
      </c>
      <c r="BG468" s="48">
        <f t="shared" si="2658"/>
        <v>1.5</v>
      </c>
      <c r="BH468" s="48">
        <f t="shared" si="2659"/>
        <v>1.5</v>
      </c>
      <c r="BI468" s="48">
        <f t="shared" si="2660"/>
        <v>1.5</v>
      </c>
      <c r="BJ468" s="48">
        <f t="shared" si="2661"/>
        <v>1.5</v>
      </c>
      <c r="BK468" s="48">
        <f t="shared" si="2661"/>
        <v>1.5</v>
      </c>
      <c r="BL468" s="48">
        <f t="shared" si="2661"/>
        <v>1.5</v>
      </c>
      <c r="BM468" s="408"/>
      <c r="BN468" s="48">
        <f t="shared" si="2669"/>
        <v>9.9899999999999949</v>
      </c>
      <c r="BO468" s="48">
        <f t="shared" si="2670"/>
        <v>9.9899999999999949</v>
      </c>
      <c r="BP468" s="48">
        <f t="shared" si="2671"/>
        <v>9.9899999999999949</v>
      </c>
      <c r="BQ468" s="48">
        <f t="shared" si="2672"/>
        <v>6.2499999933333328</v>
      </c>
      <c r="BR468" s="48">
        <f t="shared" si="2673"/>
        <v>6.2499999933333328</v>
      </c>
      <c r="BS468" s="48">
        <f t="shared" si="2674"/>
        <v>6.2499999933333328</v>
      </c>
      <c r="BT468" s="48">
        <f t="shared" si="2675"/>
        <v>6.2499999900000009</v>
      </c>
      <c r="BU468" s="48">
        <f t="shared" si="2676"/>
        <v>6.2499999900000009</v>
      </c>
      <c r="BV468" s="48">
        <f t="shared" si="2677"/>
        <v>6.2499999900000009</v>
      </c>
      <c r="BW468" s="48">
        <f t="shared" si="2678"/>
        <v>6.2499999899999974</v>
      </c>
      <c r="BX468" s="48">
        <f t="shared" si="2679"/>
        <v>6.2499999899999974</v>
      </c>
      <c r="BY468" s="48">
        <f t="shared" si="2680"/>
        <v>6.2499999899999974</v>
      </c>
      <c r="BZ468" s="48">
        <f t="shared" si="2681"/>
        <v>6.2499999899999956</v>
      </c>
      <c r="CA468" s="48">
        <f t="shared" si="2682"/>
        <v>6.2499999899999956</v>
      </c>
      <c r="CB468" s="48">
        <f>SUM(AX468:AZ468)</f>
        <v>6.2499999899999956</v>
      </c>
      <c r="CC468" s="48">
        <f t="shared" si="2683"/>
        <v>4.5</v>
      </c>
      <c r="CD468" s="48">
        <f t="shared" si="2684"/>
        <v>4.5</v>
      </c>
      <c r="CE468" s="48">
        <f t="shared" si="2685"/>
        <v>4.5</v>
      </c>
      <c r="CF468" s="48">
        <f t="shared" si="2686"/>
        <v>4.5</v>
      </c>
      <c r="CG468" s="48">
        <f t="shared" si="2687"/>
        <v>4.5</v>
      </c>
      <c r="CH468" s="48">
        <f t="shared" si="2688"/>
        <v>4.5</v>
      </c>
      <c r="CI468" s="48">
        <f t="shared" si="2689"/>
        <v>4.5</v>
      </c>
      <c r="CJ468" s="48">
        <f t="shared" si="2690"/>
        <v>4.5</v>
      </c>
      <c r="CK468" s="48">
        <f t="shared" si="2691"/>
        <v>4.5</v>
      </c>
      <c r="CL468" s="48">
        <f t="shared" si="2692"/>
        <v>4.5</v>
      </c>
      <c r="CM468" s="48">
        <f t="shared" si="2693"/>
        <v>4.5</v>
      </c>
      <c r="CN468" s="48">
        <f t="shared" si="2662"/>
        <v>4.5</v>
      </c>
      <c r="CO468" s="406"/>
      <c r="CP468" s="48">
        <f t="shared" si="2663"/>
        <v>33.299999999999997</v>
      </c>
      <c r="CQ468" s="48">
        <f t="shared" si="2663"/>
        <v>36.629999999999995</v>
      </c>
      <c r="CR468" s="48">
        <f t="shared" si="2663"/>
        <v>39.959999999999994</v>
      </c>
      <c r="CS468" s="48">
        <f>AO468</f>
        <v>2.0833333333333335</v>
      </c>
      <c r="CT468" s="48">
        <f t="shared" si="2664"/>
        <v>4.1666666633333334</v>
      </c>
      <c r="CU468" s="48">
        <f t="shared" si="2664"/>
        <v>6.2499999933333328</v>
      </c>
      <c r="CV468" s="48">
        <f t="shared" si="2664"/>
        <v>8.3333333233333331</v>
      </c>
      <c r="CW468" s="48">
        <f t="shared" si="2664"/>
        <v>10.416666653333333</v>
      </c>
      <c r="CX468" s="48">
        <f t="shared" si="2664"/>
        <v>12.499999983333334</v>
      </c>
      <c r="CY468" s="48">
        <f t="shared" si="2664"/>
        <v>14.583333313333334</v>
      </c>
      <c r="CZ468" s="48">
        <f t="shared" si="2664"/>
        <v>16.666666643333333</v>
      </c>
      <c r="DA468" s="48">
        <f t="shared" si="2664"/>
        <v>18.749999973333331</v>
      </c>
      <c r="DB468" s="48">
        <f t="shared" si="2664"/>
        <v>20.83333330333333</v>
      </c>
      <c r="DC468" s="48">
        <f t="shared" si="2664"/>
        <v>22.916666633333328</v>
      </c>
      <c r="DD468" s="48">
        <f t="shared" si="2664"/>
        <v>24.999999963333327</v>
      </c>
      <c r="DE468" s="48">
        <f>+BA468</f>
        <v>1.5</v>
      </c>
      <c r="DF468" s="48">
        <f t="shared" si="2665"/>
        <v>3</v>
      </c>
      <c r="DG468" s="48">
        <f t="shared" si="2665"/>
        <v>4.5</v>
      </c>
      <c r="DH468" s="48">
        <f t="shared" si="2665"/>
        <v>6</v>
      </c>
      <c r="DI468" s="48">
        <f t="shared" si="2665"/>
        <v>7.5</v>
      </c>
      <c r="DJ468" s="48">
        <f t="shared" si="2665"/>
        <v>9</v>
      </c>
      <c r="DK468" s="48">
        <f t="shared" si="2665"/>
        <v>10.5</v>
      </c>
      <c r="DL468" s="48">
        <f t="shared" si="2665"/>
        <v>12</v>
      </c>
      <c r="DM468" s="48">
        <f t="shared" si="2665"/>
        <v>13.5</v>
      </c>
      <c r="DN468" s="48">
        <f t="shared" si="2665"/>
        <v>15</v>
      </c>
      <c r="DO468" s="48">
        <f t="shared" si="2665"/>
        <v>16.5</v>
      </c>
      <c r="DP468" s="48">
        <f t="shared" si="2665"/>
        <v>18</v>
      </c>
      <c r="DQ468" s="48"/>
      <c r="DR468" s="48"/>
      <c r="DS468" s="48"/>
      <c r="DT468" s="48"/>
      <c r="DU468" s="48"/>
      <c r="DV468" s="48"/>
      <c r="DW468" s="48"/>
      <c r="DX468" s="48"/>
      <c r="DY468" s="48"/>
      <c r="DZ468" s="1">
        <f>'Input &amp; Calc'!L468</f>
        <v>39.959999999999994</v>
      </c>
      <c r="EA468" s="49">
        <f>DD468</f>
        <v>24.999999963333327</v>
      </c>
      <c r="EB468" s="50">
        <f>DP468</f>
        <v>18</v>
      </c>
      <c r="EC468" s="50"/>
      <c r="ED468" s="408"/>
      <c r="EE468" s="51">
        <f t="shared" si="2666"/>
        <v>1.5</v>
      </c>
      <c r="EF468" s="51">
        <f t="shared" si="2667"/>
        <v>4.5</v>
      </c>
      <c r="EG468" s="51">
        <f>HLOOKUP($EJ$3,Budget,ROW()-1)</f>
        <v>18</v>
      </c>
      <c r="EH468" s="40"/>
      <c r="EI468" s="112" t="s">
        <v>156</v>
      </c>
      <c r="EJ468" s="113">
        <f>HLOOKUP($I$1,YTD,48)</f>
        <v>0</v>
      </c>
      <c r="EK468" s="675"/>
      <c r="EL468" s="37"/>
      <c r="EM468" s="37"/>
      <c r="EN468" s="37"/>
      <c r="EO468" s="49"/>
      <c r="EP468" s="49"/>
      <c r="EQ468" s="49"/>
      <c r="ER468" s="1"/>
      <c r="ES468" s="1"/>
    </row>
    <row r="469" spans="1:149">
      <c r="A469" s="134" t="s">
        <v>22</v>
      </c>
      <c r="B469" s="2" t="s">
        <v>3</v>
      </c>
      <c r="C469" s="3" t="s">
        <v>38</v>
      </c>
      <c r="E469" s="3" t="s">
        <v>16</v>
      </c>
      <c r="F469" s="1"/>
      <c r="G469" s="1" t="s">
        <v>91</v>
      </c>
      <c r="H469" s="1"/>
      <c r="I469" s="179">
        <v>26.28</v>
      </c>
      <c r="J469" s="187">
        <v>29.200000000000003</v>
      </c>
      <c r="K469" s="187">
        <v>32.120000000000005</v>
      </c>
      <c r="L469" s="187">
        <v>35.040000000000006</v>
      </c>
      <c r="M469" s="181">
        <v>1.25</v>
      </c>
      <c r="N469" s="180">
        <v>2.5</v>
      </c>
      <c r="O469" s="180">
        <v>3.75</v>
      </c>
      <c r="P469" s="180">
        <v>5</v>
      </c>
      <c r="Q469" s="180">
        <v>6.25</v>
      </c>
      <c r="R469" s="180">
        <v>7.5</v>
      </c>
      <c r="S469" s="180">
        <v>8.75</v>
      </c>
      <c r="T469" s="180">
        <v>10</v>
      </c>
      <c r="U469" s="180">
        <v>11.25</v>
      </c>
      <c r="V469" s="180">
        <v>12.5</v>
      </c>
      <c r="W469" s="180">
        <v>13.75</v>
      </c>
      <c r="X469" s="26">
        <v>15</v>
      </c>
      <c r="Y469" s="219">
        <f t="shared" ref="Y469:AH469" si="2695">Z469-(AA469-Z469)</f>
        <v>1</v>
      </c>
      <c r="Z469" s="246">
        <f t="shared" si="2695"/>
        <v>2</v>
      </c>
      <c r="AA469" s="246">
        <f t="shared" si="2695"/>
        <v>3</v>
      </c>
      <c r="AB469" s="246">
        <f t="shared" si="2695"/>
        <v>4</v>
      </c>
      <c r="AC469" s="246">
        <f t="shared" si="2695"/>
        <v>5</v>
      </c>
      <c r="AD469" s="246">
        <f t="shared" si="2695"/>
        <v>6</v>
      </c>
      <c r="AE469" s="246">
        <f t="shared" si="2695"/>
        <v>7</v>
      </c>
      <c r="AF469" s="246">
        <f t="shared" si="2695"/>
        <v>8</v>
      </c>
      <c r="AG469" s="246">
        <f t="shared" si="2695"/>
        <v>9</v>
      </c>
      <c r="AH469" s="246">
        <f t="shared" si="2695"/>
        <v>10</v>
      </c>
      <c r="AI469" s="246">
        <f>-ROUND(AJ469/12,1)+AJ469</f>
        <v>11</v>
      </c>
      <c r="AJ469" s="246">
        <v>12</v>
      </c>
      <c r="AK469" s="408"/>
      <c r="AL469" s="48">
        <f>J469-I469</f>
        <v>2.9200000000000017</v>
      </c>
      <c r="AM469" s="48">
        <f t="shared" si="2641"/>
        <v>2.9200000000000017</v>
      </c>
      <c r="AN469" s="48">
        <f t="shared" si="2642"/>
        <v>2.9200000000000017</v>
      </c>
      <c r="AO469" s="48">
        <f>M469</f>
        <v>1.25</v>
      </c>
      <c r="AP469" s="48">
        <f t="shared" si="2643"/>
        <v>1.25</v>
      </c>
      <c r="AQ469" s="48">
        <f t="shared" si="2644"/>
        <v>1.25</v>
      </c>
      <c r="AR469" s="48">
        <f t="shared" si="2645"/>
        <v>1.25</v>
      </c>
      <c r="AS469" s="48">
        <f t="shared" si="2646"/>
        <v>1.25</v>
      </c>
      <c r="AT469" s="48">
        <f t="shared" si="2647"/>
        <v>1.25</v>
      </c>
      <c r="AU469" s="48">
        <f t="shared" si="2648"/>
        <v>1.25</v>
      </c>
      <c r="AV469" s="48">
        <f t="shared" si="2649"/>
        <v>1.25</v>
      </c>
      <c r="AW469" s="48">
        <f t="shared" si="2650"/>
        <v>1.25</v>
      </c>
      <c r="AX469" s="48">
        <f>V469-U469</f>
        <v>1.25</v>
      </c>
      <c r="AY469" s="48">
        <f t="shared" si="2651"/>
        <v>1.25</v>
      </c>
      <c r="AZ469" s="48">
        <f t="shared" si="2652"/>
        <v>1.25</v>
      </c>
      <c r="BA469" s="48">
        <f>Y469</f>
        <v>1</v>
      </c>
      <c r="BB469" s="48">
        <f t="shared" si="2653"/>
        <v>1</v>
      </c>
      <c r="BC469" s="48">
        <f t="shared" si="2654"/>
        <v>1</v>
      </c>
      <c r="BD469" s="48">
        <f t="shared" si="2655"/>
        <v>1</v>
      </c>
      <c r="BE469" s="48">
        <f t="shared" si="2656"/>
        <v>1</v>
      </c>
      <c r="BF469" s="48">
        <f t="shared" si="2657"/>
        <v>1</v>
      </c>
      <c r="BG469" s="48">
        <f t="shared" si="2658"/>
        <v>1</v>
      </c>
      <c r="BH469" s="48">
        <f t="shared" si="2659"/>
        <v>1</v>
      </c>
      <c r="BI469" s="48">
        <f t="shared" si="2660"/>
        <v>1</v>
      </c>
      <c r="BJ469" s="48">
        <f t="shared" si="2661"/>
        <v>1</v>
      </c>
      <c r="BK469" s="48">
        <f t="shared" si="2661"/>
        <v>1</v>
      </c>
      <c r="BL469" s="48">
        <f t="shared" si="2661"/>
        <v>1</v>
      </c>
      <c r="BM469" s="408"/>
      <c r="BN469" s="48">
        <f t="shared" si="2669"/>
        <v>8.7600000000000051</v>
      </c>
      <c r="BO469" s="48">
        <f t="shared" si="2670"/>
        <v>8.7600000000000051</v>
      </c>
      <c r="BP469" s="48">
        <f t="shared" si="2671"/>
        <v>8.7600000000000051</v>
      </c>
      <c r="BQ469" s="48">
        <f t="shared" si="2672"/>
        <v>3.75</v>
      </c>
      <c r="BR469" s="48">
        <f t="shared" si="2673"/>
        <v>3.75</v>
      </c>
      <c r="BS469" s="48">
        <f t="shared" si="2674"/>
        <v>3.75</v>
      </c>
      <c r="BT469" s="48">
        <f t="shared" si="2675"/>
        <v>3.75</v>
      </c>
      <c r="BU469" s="48">
        <f t="shared" si="2676"/>
        <v>3.75</v>
      </c>
      <c r="BV469" s="48">
        <f t="shared" si="2677"/>
        <v>3.75</v>
      </c>
      <c r="BW469" s="48">
        <f t="shared" si="2678"/>
        <v>3.75</v>
      </c>
      <c r="BX469" s="48">
        <f t="shared" si="2679"/>
        <v>3.75</v>
      </c>
      <c r="BY469" s="48">
        <f t="shared" si="2680"/>
        <v>3.75</v>
      </c>
      <c r="BZ469" s="48">
        <f t="shared" si="2681"/>
        <v>3.75</v>
      </c>
      <c r="CA469" s="48">
        <f t="shared" si="2682"/>
        <v>3.75</v>
      </c>
      <c r="CB469" s="48">
        <f>SUM(AX469:AZ469)</f>
        <v>3.75</v>
      </c>
      <c r="CC469" s="48">
        <f t="shared" si="2683"/>
        <v>3</v>
      </c>
      <c r="CD469" s="48">
        <f t="shared" si="2684"/>
        <v>3</v>
      </c>
      <c r="CE469" s="48">
        <f t="shared" si="2685"/>
        <v>3</v>
      </c>
      <c r="CF469" s="48">
        <f t="shared" si="2686"/>
        <v>3</v>
      </c>
      <c r="CG469" s="48">
        <f t="shared" si="2687"/>
        <v>3</v>
      </c>
      <c r="CH469" s="48">
        <f t="shared" si="2688"/>
        <v>3</v>
      </c>
      <c r="CI469" s="48">
        <f t="shared" si="2689"/>
        <v>3</v>
      </c>
      <c r="CJ469" s="48">
        <f t="shared" si="2690"/>
        <v>3</v>
      </c>
      <c r="CK469" s="48">
        <f t="shared" si="2691"/>
        <v>3</v>
      </c>
      <c r="CL469" s="48">
        <f t="shared" si="2692"/>
        <v>3</v>
      </c>
      <c r="CM469" s="48">
        <f t="shared" si="2693"/>
        <v>3</v>
      </c>
      <c r="CN469" s="48">
        <f t="shared" si="2662"/>
        <v>3</v>
      </c>
      <c r="CO469" s="406"/>
      <c r="CP469" s="48">
        <f t="shared" si="2663"/>
        <v>29.200000000000003</v>
      </c>
      <c r="CQ469" s="48">
        <f t="shared" si="2663"/>
        <v>32.120000000000005</v>
      </c>
      <c r="CR469" s="48">
        <f t="shared" si="2663"/>
        <v>35.040000000000006</v>
      </c>
      <c r="CS469" s="48">
        <f>AO469</f>
        <v>1.25</v>
      </c>
      <c r="CT469" s="48">
        <f t="shared" si="2664"/>
        <v>2.5</v>
      </c>
      <c r="CU469" s="48">
        <f t="shared" si="2664"/>
        <v>3.75</v>
      </c>
      <c r="CV469" s="48">
        <f t="shared" si="2664"/>
        <v>5</v>
      </c>
      <c r="CW469" s="48">
        <f t="shared" si="2664"/>
        <v>6.25</v>
      </c>
      <c r="CX469" s="48">
        <f t="shared" si="2664"/>
        <v>7.5</v>
      </c>
      <c r="CY469" s="48">
        <f t="shared" si="2664"/>
        <v>8.75</v>
      </c>
      <c r="CZ469" s="48">
        <f t="shared" si="2664"/>
        <v>10</v>
      </c>
      <c r="DA469" s="48">
        <f t="shared" si="2664"/>
        <v>11.25</v>
      </c>
      <c r="DB469" s="48">
        <f t="shared" si="2664"/>
        <v>12.5</v>
      </c>
      <c r="DC469" s="48">
        <f t="shared" si="2664"/>
        <v>13.75</v>
      </c>
      <c r="DD469" s="48">
        <f t="shared" si="2664"/>
        <v>15</v>
      </c>
      <c r="DE469" s="48">
        <f>+BA469</f>
        <v>1</v>
      </c>
      <c r="DF469" s="48">
        <f t="shared" si="2665"/>
        <v>2</v>
      </c>
      <c r="DG469" s="48">
        <f t="shared" si="2665"/>
        <v>3</v>
      </c>
      <c r="DH469" s="48">
        <f t="shared" si="2665"/>
        <v>4</v>
      </c>
      <c r="DI469" s="48">
        <f t="shared" si="2665"/>
        <v>5</v>
      </c>
      <c r="DJ469" s="48">
        <f t="shared" si="2665"/>
        <v>6</v>
      </c>
      <c r="DK469" s="48">
        <f t="shared" si="2665"/>
        <v>7</v>
      </c>
      <c r="DL469" s="48">
        <f t="shared" si="2665"/>
        <v>8</v>
      </c>
      <c r="DM469" s="48">
        <f t="shared" si="2665"/>
        <v>9</v>
      </c>
      <c r="DN469" s="48">
        <f t="shared" si="2665"/>
        <v>10</v>
      </c>
      <c r="DO469" s="48">
        <f t="shared" si="2665"/>
        <v>11</v>
      </c>
      <c r="DP469" s="48">
        <f t="shared" si="2665"/>
        <v>12</v>
      </c>
      <c r="DQ469" s="48"/>
      <c r="DR469" s="48"/>
      <c r="DS469" s="48"/>
      <c r="DT469" s="48"/>
      <c r="DU469" s="48"/>
      <c r="DV469" s="48"/>
      <c r="DW469" s="48"/>
      <c r="DX469" s="48"/>
      <c r="DY469" s="48"/>
      <c r="DZ469" s="1">
        <f>'Input &amp; Calc'!L469</f>
        <v>35.040000000000006</v>
      </c>
      <c r="EA469" s="49">
        <f>DD469</f>
        <v>15</v>
      </c>
      <c r="EB469" s="50">
        <f>DP469</f>
        <v>12</v>
      </c>
      <c r="EC469" s="50"/>
      <c r="ED469" s="408"/>
      <c r="EE469" s="51">
        <f t="shared" si="2666"/>
        <v>1</v>
      </c>
      <c r="EF469" s="51">
        <f t="shared" si="2667"/>
        <v>3</v>
      </c>
      <c r="EG469" s="51">
        <f>HLOOKUP($EJ$3,Budget,ROW()-1)</f>
        <v>12</v>
      </c>
      <c r="EH469" s="40"/>
      <c r="EI469" s="114" t="s">
        <v>158</v>
      </c>
      <c r="EJ469" s="133">
        <f>I463</f>
        <v>40391</v>
      </c>
      <c r="EK469" s="675"/>
      <c r="EL469" s="37"/>
      <c r="EM469" s="37"/>
      <c r="EN469" s="37"/>
      <c r="EO469" s="49"/>
      <c r="EP469" s="49"/>
      <c r="EQ469" s="49"/>
      <c r="ER469" s="1"/>
      <c r="ES469" s="1"/>
    </row>
    <row r="470" spans="1:149" ht="13.5" thickBot="1">
      <c r="A470" s="134" t="s">
        <v>22</v>
      </c>
      <c r="B470" s="2" t="s">
        <v>94</v>
      </c>
      <c r="C470" s="3" t="s">
        <v>39</v>
      </c>
      <c r="E470" s="3" t="s">
        <v>16</v>
      </c>
      <c r="F470" s="1"/>
      <c r="G470" s="1" t="s">
        <v>91</v>
      </c>
      <c r="H470" s="1"/>
      <c r="I470" s="186">
        <v>1.21875003</v>
      </c>
      <c r="J470" s="186">
        <v>1.3541666999999999</v>
      </c>
      <c r="K470" s="186">
        <v>1.4895833699999999</v>
      </c>
      <c r="L470" s="186">
        <v>1.6250000399999998</v>
      </c>
      <c r="M470" s="190">
        <v>6.25E-2</v>
      </c>
      <c r="N470" s="186">
        <v>0.125</v>
      </c>
      <c r="O470" s="186">
        <v>0.1875</v>
      </c>
      <c r="P470" s="186">
        <v>0.25</v>
      </c>
      <c r="Q470" s="186">
        <v>0.3125</v>
      </c>
      <c r="R470" s="186">
        <v>0.375</v>
      </c>
      <c r="S470" s="186">
        <v>0.4375</v>
      </c>
      <c r="T470" s="186">
        <v>0.5</v>
      </c>
      <c r="U470" s="186">
        <v>0.5625</v>
      </c>
      <c r="V470" s="186">
        <v>0.625</v>
      </c>
      <c r="W470" s="186">
        <v>0.6875</v>
      </c>
      <c r="X470" s="123">
        <v>0.75</v>
      </c>
      <c r="Y470" s="387">
        <v>8.3333299999999999E-2</v>
      </c>
      <c r="Z470" s="254">
        <f>Y470+0.083</f>
        <v>0.16633330000000002</v>
      </c>
      <c r="AA470" s="254">
        <f t="shared" ref="AA470:AJ470" si="2696">Z470+0.083</f>
        <v>0.24933330000000004</v>
      </c>
      <c r="AB470" s="254">
        <f t="shared" si="2696"/>
        <v>0.33233330000000005</v>
      </c>
      <c r="AC470" s="254">
        <f t="shared" si="2696"/>
        <v>0.41533330000000007</v>
      </c>
      <c r="AD470" s="254">
        <f t="shared" si="2696"/>
        <v>0.49833330000000009</v>
      </c>
      <c r="AE470" s="254">
        <f t="shared" si="2696"/>
        <v>0.58133330000000005</v>
      </c>
      <c r="AF470" s="254">
        <f t="shared" si="2696"/>
        <v>0.66433330000000002</v>
      </c>
      <c r="AG470" s="254">
        <f t="shared" si="2696"/>
        <v>0.74733329999999998</v>
      </c>
      <c r="AH470" s="254">
        <f t="shared" si="2696"/>
        <v>0.83033329999999994</v>
      </c>
      <c r="AI470" s="254">
        <f t="shared" si="2696"/>
        <v>0.9133332999999999</v>
      </c>
      <c r="AJ470" s="254">
        <f t="shared" si="2696"/>
        <v>0.99633329999999987</v>
      </c>
      <c r="AK470" s="416"/>
      <c r="AL470" s="118">
        <f>J470-I470</f>
        <v>0.13541666999999991</v>
      </c>
      <c r="AM470" s="118">
        <f t="shared" si="2641"/>
        <v>0.13541666999999991</v>
      </c>
      <c r="AN470" s="118">
        <f t="shared" si="2642"/>
        <v>0.13541666999999991</v>
      </c>
      <c r="AO470" s="119">
        <f>M470</f>
        <v>6.25E-2</v>
      </c>
      <c r="AP470" s="118">
        <f t="shared" si="2643"/>
        <v>6.25E-2</v>
      </c>
      <c r="AQ470" s="118">
        <f t="shared" si="2644"/>
        <v>6.25E-2</v>
      </c>
      <c r="AR470" s="118">
        <f t="shared" si="2645"/>
        <v>6.25E-2</v>
      </c>
      <c r="AS470" s="118">
        <f t="shared" si="2646"/>
        <v>6.25E-2</v>
      </c>
      <c r="AT470" s="118">
        <f t="shared" si="2647"/>
        <v>6.25E-2</v>
      </c>
      <c r="AU470" s="118">
        <f t="shared" si="2648"/>
        <v>6.25E-2</v>
      </c>
      <c r="AV470" s="118">
        <f t="shared" si="2649"/>
        <v>6.25E-2</v>
      </c>
      <c r="AW470" s="118">
        <f t="shared" si="2650"/>
        <v>6.25E-2</v>
      </c>
      <c r="AX470" s="118">
        <f>V470-U470</f>
        <v>6.25E-2</v>
      </c>
      <c r="AY470" s="118">
        <f t="shared" si="2651"/>
        <v>6.25E-2</v>
      </c>
      <c r="AZ470" s="118">
        <f t="shared" si="2652"/>
        <v>6.25E-2</v>
      </c>
      <c r="BA470" s="118">
        <f>Y470</f>
        <v>8.3333299999999999E-2</v>
      </c>
      <c r="BB470" s="118">
        <f t="shared" si="2653"/>
        <v>8.3000000000000018E-2</v>
      </c>
      <c r="BC470" s="118">
        <f t="shared" si="2654"/>
        <v>8.3000000000000018E-2</v>
      </c>
      <c r="BD470" s="118">
        <f t="shared" si="2655"/>
        <v>8.3000000000000018E-2</v>
      </c>
      <c r="BE470" s="118">
        <f t="shared" si="2656"/>
        <v>8.3000000000000018E-2</v>
      </c>
      <c r="BF470" s="118">
        <f t="shared" si="2657"/>
        <v>8.3000000000000018E-2</v>
      </c>
      <c r="BG470" s="118">
        <f t="shared" si="2658"/>
        <v>8.2999999999999963E-2</v>
      </c>
      <c r="BH470" s="118">
        <f t="shared" si="2659"/>
        <v>8.2999999999999963E-2</v>
      </c>
      <c r="BI470" s="118">
        <f t="shared" si="2660"/>
        <v>8.2999999999999963E-2</v>
      </c>
      <c r="BJ470" s="118">
        <f t="shared" si="2661"/>
        <v>8.2999999999999963E-2</v>
      </c>
      <c r="BK470" s="118">
        <f t="shared" si="2661"/>
        <v>8.2999999999999963E-2</v>
      </c>
      <c r="BL470" s="118">
        <f t="shared" si="2661"/>
        <v>8.2999999999999963E-2</v>
      </c>
      <c r="BM470" s="409"/>
      <c r="BN470" s="119">
        <f t="shared" si="2669"/>
        <v>0.40625000999999972</v>
      </c>
      <c r="BO470" s="119">
        <f t="shared" si="2670"/>
        <v>0.40625000999999972</v>
      </c>
      <c r="BP470" s="119">
        <f t="shared" si="2671"/>
        <v>0.40625000999999972</v>
      </c>
      <c r="BQ470" s="119">
        <f t="shared" si="2672"/>
        <v>0.1875</v>
      </c>
      <c r="BR470" s="119">
        <f t="shared" si="2673"/>
        <v>0.1875</v>
      </c>
      <c r="BS470" s="119">
        <f t="shared" si="2674"/>
        <v>0.1875</v>
      </c>
      <c r="BT470" s="119">
        <f t="shared" si="2675"/>
        <v>0.1875</v>
      </c>
      <c r="BU470" s="119">
        <f t="shared" si="2676"/>
        <v>0.1875</v>
      </c>
      <c r="BV470" s="119">
        <f t="shared" si="2677"/>
        <v>0.1875</v>
      </c>
      <c r="BW470" s="119">
        <f t="shared" si="2678"/>
        <v>0.1875</v>
      </c>
      <c r="BX470" s="119">
        <f t="shared" si="2679"/>
        <v>0.1875</v>
      </c>
      <c r="BY470" s="119">
        <f t="shared" si="2680"/>
        <v>0.1875</v>
      </c>
      <c r="BZ470" s="119">
        <f t="shared" si="2681"/>
        <v>0.1875</v>
      </c>
      <c r="CA470" s="119">
        <f t="shared" si="2682"/>
        <v>0.1875</v>
      </c>
      <c r="CB470" s="119">
        <f>SUM(AX470:AZ470)</f>
        <v>0.1875</v>
      </c>
      <c r="CC470" s="119">
        <f t="shared" si="2683"/>
        <v>0.24933330000000004</v>
      </c>
      <c r="CD470" s="119">
        <f t="shared" si="2684"/>
        <v>0.24933330000000004</v>
      </c>
      <c r="CE470" s="119">
        <f t="shared" si="2685"/>
        <v>0.24933330000000004</v>
      </c>
      <c r="CF470" s="119">
        <f t="shared" si="2686"/>
        <v>0.24900000000000005</v>
      </c>
      <c r="CG470" s="119">
        <f t="shared" si="2687"/>
        <v>0.24900000000000005</v>
      </c>
      <c r="CH470" s="119">
        <f t="shared" si="2688"/>
        <v>0.24900000000000005</v>
      </c>
      <c r="CI470" s="119">
        <f t="shared" si="2689"/>
        <v>0.24899999999999989</v>
      </c>
      <c r="CJ470" s="119">
        <f t="shared" si="2690"/>
        <v>0.24899999999999989</v>
      </c>
      <c r="CK470" s="119">
        <f t="shared" si="2691"/>
        <v>0.24899999999999989</v>
      </c>
      <c r="CL470" s="119">
        <f t="shared" si="2692"/>
        <v>0.24899999999999989</v>
      </c>
      <c r="CM470" s="119">
        <f t="shared" si="2693"/>
        <v>0.24899999999999989</v>
      </c>
      <c r="CN470" s="48">
        <f t="shared" si="2662"/>
        <v>0.24899999999999989</v>
      </c>
      <c r="CO470" s="421"/>
      <c r="CP470" s="118">
        <f t="shared" si="2663"/>
        <v>1.3541666999999999</v>
      </c>
      <c r="CQ470" s="118">
        <f t="shared" si="2663"/>
        <v>1.4895833699999999</v>
      </c>
      <c r="CR470" s="118">
        <f t="shared" si="2663"/>
        <v>1.6250000399999998</v>
      </c>
      <c r="CS470" s="118">
        <f>AO470</f>
        <v>6.25E-2</v>
      </c>
      <c r="CT470" s="118">
        <f t="shared" si="2664"/>
        <v>0.125</v>
      </c>
      <c r="CU470" s="118">
        <f t="shared" si="2664"/>
        <v>0.1875</v>
      </c>
      <c r="CV470" s="118">
        <f t="shared" si="2664"/>
        <v>0.25</v>
      </c>
      <c r="CW470" s="118">
        <f t="shared" si="2664"/>
        <v>0.3125</v>
      </c>
      <c r="CX470" s="118">
        <f t="shared" si="2664"/>
        <v>0.375</v>
      </c>
      <c r="CY470" s="118">
        <f t="shared" si="2664"/>
        <v>0.4375</v>
      </c>
      <c r="CZ470" s="118">
        <f t="shared" si="2664"/>
        <v>0.5</v>
      </c>
      <c r="DA470" s="118">
        <f t="shared" si="2664"/>
        <v>0.5625</v>
      </c>
      <c r="DB470" s="118">
        <f t="shared" si="2664"/>
        <v>0.625</v>
      </c>
      <c r="DC470" s="118">
        <f t="shared" si="2664"/>
        <v>0.6875</v>
      </c>
      <c r="DD470" s="118">
        <f t="shared" si="2664"/>
        <v>0.75</v>
      </c>
      <c r="DE470" s="118">
        <f>+BA470</f>
        <v>8.3333299999999999E-2</v>
      </c>
      <c r="DF470" s="118">
        <f t="shared" si="2665"/>
        <v>0.16633330000000002</v>
      </c>
      <c r="DG470" s="118">
        <f t="shared" si="2665"/>
        <v>0.24933330000000004</v>
      </c>
      <c r="DH470" s="118">
        <f t="shared" si="2665"/>
        <v>0.33233330000000005</v>
      </c>
      <c r="DI470" s="118">
        <f t="shared" si="2665"/>
        <v>0.41533330000000007</v>
      </c>
      <c r="DJ470" s="118">
        <f t="shared" si="2665"/>
        <v>0.49833330000000009</v>
      </c>
      <c r="DK470" s="118">
        <f t="shared" si="2665"/>
        <v>0.58133330000000005</v>
      </c>
      <c r="DL470" s="118">
        <f t="shared" si="2665"/>
        <v>0.66433330000000002</v>
      </c>
      <c r="DM470" s="118">
        <f t="shared" si="2665"/>
        <v>0.74733329999999998</v>
      </c>
      <c r="DN470" s="118">
        <f t="shared" si="2665"/>
        <v>0.83033329999999994</v>
      </c>
      <c r="DO470" s="118">
        <f t="shared" si="2665"/>
        <v>0.9133332999999999</v>
      </c>
      <c r="DP470" s="118">
        <f t="shared" si="2665"/>
        <v>0.99633329999999987</v>
      </c>
      <c r="DQ470" s="118"/>
      <c r="DR470" s="118"/>
      <c r="DS470" s="118"/>
      <c r="DT470" s="118"/>
      <c r="DU470" s="118"/>
      <c r="DV470" s="118"/>
      <c r="DW470" s="118"/>
      <c r="DX470" s="118"/>
      <c r="DY470" s="118"/>
      <c r="DZ470" s="121">
        <f>'Input &amp; Calc'!L470</f>
        <v>1.6250000399999998</v>
      </c>
      <c r="EA470" s="122">
        <f>DD470</f>
        <v>0.75</v>
      </c>
      <c r="EB470" s="120">
        <f>DP470</f>
        <v>0.99633329999999987</v>
      </c>
      <c r="EC470" s="120"/>
      <c r="ED470" s="409"/>
      <c r="EE470" s="118">
        <f t="shared" si="2666"/>
        <v>8.2999999999999963E-2</v>
      </c>
      <c r="EF470" s="118">
        <f t="shared" si="2667"/>
        <v>0.24899999999999989</v>
      </c>
      <c r="EG470" s="118">
        <f>HLOOKUP($EJ$3,Budget,ROW()-1)</f>
        <v>0.99633329999999987</v>
      </c>
      <c r="EH470" s="40"/>
      <c r="EI470" s="1"/>
      <c r="EJ470" s="1"/>
      <c r="EK470" s="675"/>
      <c r="EL470" s="37"/>
      <c r="EM470" s="37"/>
      <c r="EN470" s="37"/>
      <c r="EO470" s="49"/>
      <c r="EP470" s="49"/>
      <c r="EQ470" s="49"/>
      <c r="ER470" s="1"/>
      <c r="ES470" s="1"/>
    </row>
    <row r="471" spans="1:149">
      <c r="A471" s="6" t="s">
        <v>23</v>
      </c>
      <c r="B471" s="2" t="s">
        <v>5</v>
      </c>
      <c r="C471" s="3" t="s">
        <v>42</v>
      </c>
      <c r="E471" s="3" t="s">
        <v>16</v>
      </c>
      <c r="G471" s="3" t="s">
        <v>91</v>
      </c>
      <c r="I471" s="183"/>
      <c r="J471" s="180">
        <v>7.25</v>
      </c>
      <c r="K471" s="180">
        <v>14.5</v>
      </c>
      <c r="L471" s="180">
        <v>21.75</v>
      </c>
      <c r="M471" s="180">
        <v>29</v>
      </c>
      <c r="N471" s="180">
        <v>36.25</v>
      </c>
      <c r="O471" s="180">
        <v>43.5</v>
      </c>
      <c r="P471" s="180">
        <v>50.75</v>
      </c>
      <c r="Q471" s="180">
        <v>58</v>
      </c>
      <c r="R471" s="180">
        <v>65.25</v>
      </c>
      <c r="S471" s="180">
        <v>72.5</v>
      </c>
      <c r="T471" s="180">
        <v>79.75</v>
      </c>
      <c r="U471" s="180">
        <v>87</v>
      </c>
      <c r="V471" s="219">
        <v>7.25</v>
      </c>
      <c r="W471" s="246">
        <f>V471+7.25</f>
        <v>14.5</v>
      </c>
      <c r="X471" s="376">
        <f t="shared" ref="X471:AG471" si="2697">W471+7.25</f>
        <v>21.75</v>
      </c>
      <c r="Y471" s="376">
        <f t="shared" si="2697"/>
        <v>29</v>
      </c>
      <c r="Z471" s="376">
        <f t="shared" si="2697"/>
        <v>36.25</v>
      </c>
      <c r="AA471" s="376">
        <f t="shared" si="2697"/>
        <v>43.5</v>
      </c>
      <c r="AB471" s="376">
        <f t="shared" si="2697"/>
        <v>50.75</v>
      </c>
      <c r="AC471" s="376">
        <f t="shared" si="2697"/>
        <v>58</v>
      </c>
      <c r="AD471" s="376">
        <f t="shared" si="2697"/>
        <v>65.25</v>
      </c>
      <c r="AE471" s="376">
        <f t="shared" si="2697"/>
        <v>72.5</v>
      </c>
      <c r="AF471" s="376">
        <f t="shared" si="2697"/>
        <v>79.75</v>
      </c>
      <c r="AG471" s="376">
        <f t="shared" si="2697"/>
        <v>87</v>
      </c>
      <c r="AH471" s="31">
        <f>50/12</f>
        <v>4.166666666666667</v>
      </c>
      <c r="AI471" s="19">
        <f>AH471+AH471</f>
        <v>8.3333333333333339</v>
      </c>
      <c r="AJ471" s="19"/>
      <c r="AK471" s="408"/>
      <c r="AL471" s="40">
        <f>J471</f>
        <v>7.25</v>
      </c>
      <c r="AM471" s="40">
        <f t="shared" si="2641"/>
        <v>7.25</v>
      </c>
      <c r="AN471" s="40">
        <f t="shared" si="2642"/>
        <v>7.25</v>
      </c>
      <c r="AO471" s="40">
        <f>M471-L471</f>
        <v>7.25</v>
      </c>
      <c r="AP471" s="40">
        <f t="shared" si="2643"/>
        <v>7.25</v>
      </c>
      <c r="AQ471" s="40">
        <f t="shared" si="2644"/>
        <v>7.25</v>
      </c>
      <c r="AR471" s="40">
        <f t="shared" si="2645"/>
        <v>7.25</v>
      </c>
      <c r="AS471" s="40">
        <f t="shared" si="2646"/>
        <v>7.25</v>
      </c>
      <c r="AT471" s="40">
        <f t="shared" si="2647"/>
        <v>7.25</v>
      </c>
      <c r="AU471" s="40">
        <f t="shared" si="2648"/>
        <v>7.25</v>
      </c>
      <c r="AV471" s="40">
        <f t="shared" si="2649"/>
        <v>7.25</v>
      </c>
      <c r="AW471" s="40">
        <f t="shared" si="2650"/>
        <v>7.25</v>
      </c>
      <c r="AX471" s="40">
        <f>V471</f>
        <v>7.25</v>
      </c>
      <c r="AY471" s="40">
        <f t="shared" si="2651"/>
        <v>7.25</v>
      </c>
      <c r="AZ471" s="40">
        <f t="shared" si="2652"/>
        <v>7.25</v>
      </c>
      <c r="BA471" s="40">
        <f>Y471-X471</f>
        <v>7.25</v>
      </c>
      <c r="BB471" s="40">
        <f t="shared" si="2653"/>
        <v>7.25</v>
      </c>
      <c r="BC471" s="40">
        <f t="shared" si="2654"/>
        <v>7.25</v>
      </c>
      <c r="BD471" s="40">
        <f t="shared" si="2655"/>
        <v>7.25</v>
      </c>
      <c r="BE471" s="40">
        <f t="shared" si="2656"/>
        <v>7.25</v>
      </c>
      <c r="BF471" s="40">
        <f t="shared" si="2657"/>
        <v>7.25</v>
      </c>
      <c r="BG471" s="40">
        <f t="shared" si="2658"/>
        <v>7.25</v>
      </c>
      <c r="BH471" s="40">
        <f t="shared" si="2659"/>
        <v>7.25</v>
      </c>
      <c r="BI471" s="40">
        <f t="shared" si="2660"/>
        <v>7.25</v>
      </c>
      <c r="BJ471" s="40">
        <f>AH471</f>
        <v>4.166666666666667</v>
      </c>
      <c r="BK471" s="40">
        <f t="shared" ref="BK471:BL472" si="2698">AI471</f>
        <v>8.3333333333333339</v>
      </c>
      <c r="BL471" s="40">
        <f t="shared" si="2698"/>
        <v>0</v>
      </c>
      <c r="BM471" s="408"/>
      <c r="BN471" s="48">
        <f t="shared" si="2669"/>
        <v>21.75</v>
      </c>
      <c r="BO471" s="48">
        <f t="shared" si="2670"/>
        <v>21.75</v>
      </c>
      <c r="BP471" s="48">
        <f t="shared" si="2671"/>
        <v>21.75</v>
      </c>
      <c r="BQ471" s="48">
        <f t="shared" si="2672"/>
        <v>21.75</v>
      </c>
      <c r="BR471" s="48">
        <f t="shared" si="2673"/>
        <v>21.75</v>
      </c>
      <c r="BS471" s="48">
        <f t="shared" si="2674"/>
        <v>21.75</v>
      </c>
      <c r="BT471" s="48">
        <f t="shared" si="2675"/>
        <v>21.75</v>
      </c>
      <c r="BU471" s="48">
        <f t="shared" si="2676"/>
        <v>21.75</v>
      </c>
      <c r="BV471" s="48">
        <f t="shared" si="2677"/>
        <v>21.75</v>
      </c>
      <c r="BW471" s="48">
        <f t="shared" si="2678"/>
        <v>21.75</v>
      </c>
      <c r="BX471" s="48">
        <f t="shared" si="2679"/>
        <v>21.75</v>
      </c>
      <c r="BY471" s="48">
        <f t="shared" si="2680"/>
        <v>21.75</v>
      </c>
      <c r="BZ471" s="48">
        <f t="shared" si="2681"/>
        <v>21.75</v>
      </c>
      <c r="CA471" s="48">
        <f t="shared" si="2682"/>
        <v>21.75</v>
      </c>
      <c r="CB471" s="48">
        <f>X471</f>
        <v>21.75</v>
      </c>
      <c r="CC471" s="48">
        <f t="shared" si="2683"/>
        <v>21.75</v>
      </c>
      <c r="CD471" s="48">
        <f t="shared" si="2684"/>
        <v>21.75</v>
      </c>
      <c r="CE471" s="48">
        <f t="shared" si="2685"/>
        <v>21.75</v>
      </c>
      <c r="CF471" s="48">
        <f t="shared" si="2686"/>
        <v>21.75</v>
      </c>
      <c r="CG471" s="48">
        <f t="shared" si="2687"/>
        <v>21.75</v>
      </c>
      <c r="CH471" s="48">
        <f t="shared" si="2688"/>
        <v>21.75</v>
      </c>
      <c r="CI471" s="48">
        <f t="shared" si="2689"/>
        <v>21.75</v>
      </c>
      <c r="CJ471" s="48">
        <f t="shared" si="2690"/>
        <v>21.75</v>
      </c>
      <c r="CK471" s="48">
        <f t="shared" si="2691"/>
        <v>21.75</v>
      </c>
      <c r="CL471" s="48">
        <f t="shared" si="2692"/>
        <v>12.5</v>
      </c>
      <c r="CM471" s="48">
        <f t="shared" si="2693"/>
        <v>12.5</v>
      </c>
      <c r="CN471" s="48">
        <f t="shared" si="2662"/>
        <v>12.5</v>
      </c>
      <c r="CO471" s="406"/>
      <c r="CP471" s="48">
        <f>+AL471</f>
        <v>7.25</v>
      </c>
      <c r="CQ471" s="48">
        <f t="shared" ref="CQ471:DA471" si="2699">+CP471+AM471</f>
        <v>14.5</v>
      </c>
      <c r="CR471" s="48">
        <f t="shared" si="2699"/>
        <v>21.75</v>
      </c>
      <c r="CS471" s="48">
        <f t="shared" si="2699"/>
        <v>29</v>
      </c>
      <c r="CT471" s="48">
        <f t="shared" si="2699"/>
        <v>36.25</v>
      </c>
      <c r="CU471" s="48">
        <f t="shared" si="2699"/>
        <v>43.5</v>
      </c>
      <c r="CV471" s="48">
        <f t="shared" si="2699"/>
        <v>50.75</v>
      </c>
      <c r="CW471" s="48">
        <f t="shared" si="2699"/>
        <v>58</v>
      </c>
      <c r="CX471" s="48">
        <f t="shared" si="2699"/>
        <v>65.25</v>
      </c>
      <c r="CY471" s="48">
        <f t="shared" si="2699"/>
        <v>72.5</v>
      </c>
      <c r="CZ471" s="48">
        <f t="shared" si="2699"/>
        <v>79.75</v>
      </c>
      <c r="DA471" s="48">
        <f t="shared" si="2699"/>
        <v>87</v>
      </c>
      <c r="DB471" s="48">
        <f>AX471</f>
        <v>7.25</v>
      </c>
      <c r="DC471" s="48">
        <f t="shared" ref="DC471:DM471" si="2700">+DB471+AY471</f>
        <v>14.5</v>
      </c>
      <c r="DD471" s="48">
        <f t="shared" si="2700"/>
        <v>21.75</v>
      </c>
      <c r="DE471" s="48">
        <f t="shared" si="2700"/>
        <v>29</v>
      </c>
      <c r="DF471" s="48">
        <f t="shared" si="2700"/>
        <v>36.25</v>
      </c>
      <c r="DG471" s="48">
        <f t="shared" si="2700"/>
        <v>43.5</v>
      </c>
      <c r="DH471" s="48">
        <f t="shared" si="2700"/>
        <v>50.75</v>
      </c>
      <c r="DI471" s="48">
        <f t="shared" si="2700"/>
        <v>58</v>
      </c>
      <c r="DJ471" s="48">
        <f t="shared" si="2700"/>
        <v>65.25</v>
      </c>
      <c r="DK471" s="48">
        <f t="shared" si="2700"/>
        <v>72.5</v>
      </c>
      <c r="DL471" s="48">
        <f t="shared" si="2700"/>
        <v>79.75</v>
      </c>
      <c r="DM471" s="48">
        <f t="shared" si="2700"/>
        <v>87</v>
      </c>
      <c r="DN471" s="48">
        <f>+BJ471</f>
        <v>4.166666666666667</v>
      </c>
      <c r="DO471" s="48">
        <f>+DN471+BK471</f>
        <v>12.5</v>
      </c>
      <c r="DP471" s="48">
        <f>+DO471+BL471</f>
        <v>12.5</v>
      </c>
      <c r="DQ471" s="48"/>
      <c r="DR471" s="48"/>
      <c r="DS471" s="48"/>
      <c r="DT471" s="48"/>
      <c r="DU471" s="48"/>
      <c r="DV471" s="48"/>
      <c r="DW471" s="48"/>
      <c r="DX471" s="48"/>
      <c r="DY471" s="48"/>
      <c r="EA471" s="52">
        <f t="shared" ref="EA471:EA485" si="2701">DA471</f>
        <v>87</v>
      </c>
      <c r="EB471" s="52">
        <f t="shared" ref="EB471:EB484" si="2702">DM471</f>
        <v>87</v>
      </c>
      <c r="EC471" s="52"/>
      <c r="ED471" s="429"/>
      <c r="EE471" s="51">
        <f t="shared" si="2666"/>
        <v>8.3333333333333339</v>
      </c>
      <c r="EF471" s="51">
        <f t="shared" si="2667"/>
        <v>12.5</v>
      </c>
      <c r="EG471" s="51">
        <v>50</v>
      </c>
      <c r="EH471" s="54"/>
      <c r="EI471" s="54"/>
      <c r="EJ471" s="54"/>
      <c r="EK471" s="675"/>
      <c r="EL471" s="53"/>
      <c r="EM471" s="53"/>
      <c r="EN471" s="53"/>
      <c r="EO471" s="49"/>
      <c r="EP471" s="49"/>
      <c r="EQ471" s="49"/>
    </row>
    <row r="472" spans="1:149">
      <c r="A472" s="6" t="s">
        <v>23</v>
      </c>
      <c r="B472" s="2" t="s">
        <v>4</v>
      </c>
      <c r="C472" s="3" t="s">
        <v>43</v>
      </c>
      <c r="E472" s="3" t="s">
        <v>16</v>
      </c>
      <c r="F472" s="44"/>
      <c r="G472" s="3" t="s">
        <v>91</v>
      </c>
      <c r="I472" s="183"/>
      <c r="J472" s="180">
        <v>2.3925000000000001</v>
      </c>
      <c r="K472" s="180">
        <v>4.7850000000000001</v>
      </c>
      <c r="L472" s="180">
        <v>7.1775000000000002</v>
      </c>
      <c r="M472" s="180">
        <v>9.57</v>
      </c>
      <c r="N472" s="180">
        <v>11.9625</v>
      </c>
      <c r="O472" s="180">
        <v>14.355</v>
      </c>
      <c r="P472" s="180">
        <v>16.747500000000002</v>
      </c>
      <c r="Q472" s="180">
        <v>19.14</v>
      </c>
      <c r="R472" s="180">
        <v>21.532499999999999</v>
      </c>
      <c r="S472" s="180">
        <v>23.924999999999997</v>
      </c>
      <c r="T472" s="180">
        <v>26.317499999999995</v>
      </c>
      <c r="U472" s="180">
        <v>28.709999999999994</v>
      </c>
      <c r="V472" s="219">
        <f>44/12</f>
        <v>3.6666666666666665</v>
      </c>
      <c r="W472" s="246">
        <f>V472+3.6666667</f>
        <v>7.3333333666666665</v>
      </c>
      <c r="X472" s="376">
        <f t="shared" ref="X472:AG472" si="2703">W472+3.6666667</f>
        <v>11.000000066666667</v>
      </c>
      <c r="Y472" s="376">
        <f t="shared" si="2703"/>
        <v>14.666666766666667</v>
      </c>
      <c r="Z472" s="376">
        <f t="shared" si="2703"/>
        <v>18.333333466666666</v>
      </c>
      <c r="AA472" s="376">
        <f t="shared" si="2703"/>
        <v>22.000000166666666</v>
      </c>
      <c r="AB472" s="376">
        <f t="shared" si="2703"/>
        <v>25.666666866666667</v>
      </c>
      <c r="AC472" s="376">
        <f t="shared" si="2703"/>
        <v>29.333333566666667</v>
      </c>
      <c r="AD472" s="376">
        <f t="shared" si="2703"/>
        <v>33.000000266666667</v>
      </c>
      <c r="AE472" s="376">
        <f t="shared" si="2703"/>
        <v>36.666666966666668</v>
      </c>
      <c r="AF472" s="376">
        <f t="shared" si="2703"/>
        <v>40.333333666666668</v>
      </c>
      <c r="AG472" s="263">
        <f t="shared" si="2703"/>
        <v>44.000000366666669</v>
      </c>
      <c r="AH472" s="31">
        <f>25/12</f>
        <v>2.0833333333333335</v>
      </c>
      <c r="AI472" s="376">
        <f>AH472+AH472</f>
        <v>4.166666666666667</v>
      </c>
      <c r="AJ472" s="19"/>
      <c r="AK472" s="408"/>
      <c r="AL472" s="40">
        <f>J472</f>
        <v>2.3925000000000001</v>
      </c>
      <c r="AM472" s="40">
        <f t="shared" si="2641"/>
        <v>2.3925000000000001</v>
      </c>
      <c r="AN472" s="40">
        <f t="shared" si="2642"/>
        <v>2.3925000000000001</v>
      </c>
      <c r="AO472" s="40">
        <f>M472-L472</f>
        <v>2.3925000000000001</v>
      </c>
      <c r="AP472" s="40">
        <f t="shared" si="2643"/>
        <v>2.3925000000000001</v>
      </c>
      <c r="AQ472" s="40">
        <f t="shared" si="2644"/>
        <v>2.3925000000000001</v>
      </c>
      <c r="AR472" s="40">
        <f t="shared" si="2645"/>
        <v>2.3925000000000018</v>
      </c>
      <c r="AS472" s="40">
        <f t="shared" si="2646"/>
        <v>2.3924999999999983</v>
      </c>
      <c r="AT472" s="40">
        <f t="shared" si="2647"/>
        <v>2.3924999999999983</v>
      </c>
      <c r="AU472" s="40">
        <f t="shared" si="2648"/>
        <v>2.3924999999999983</v>
      </c>
      <c r="AV472" s="40">
        <f t="shared" si="2649"/>
        <v>2.3924999999999983</v>
      </c>
      <c r="AW472" s="40">
        <f t="shared" si="2650"/>
        <v>2.3924999999999983</v>
      </c>
      <c r="AX472" s="40">
        <f>V472</f>
        <v>3.6666666666666665</v>
      </c>
      <c r="AY472" s="40">
        <f t="shared" si="2651"/>
        <v>3.6666666999999999</v>
      </c>
      <c r="AZ472" s="40">
        <f t="shared" si="2652"/>
        <v>3.6666667000000004</v>
      </c>
      <c r="BA472" s="40">
        <f>Y472-X472</f>
        <v>3.6666667000000004</v>
      </c>
      <c r="BB472" s="40">
        <f t="shared" si="2653"/>
        <v>3.6666666999999986</v>
      </c>
      <c r="BC472" s="40">
        <f t="shared" si="2654"/>
        <v>3.6666667000000004</v>
      </c>
      <c r="BD472" s="40">
        <f t="shared" si="2655"/>
        <v>3.6666667000000004</v>
      </c>
      <c r="BE472" s="40">
        <f t="shared" si="2656"/>
        <v>3.6666667000000004</v>
      </c>
      <c r="BF472" s="40">
        <f t="shared" si="2657"/>
        <v>3.6666667000000004</v>
      </c>
      <c r="BG472" s="40">
        <f t="shared" si="2658"/>
        <v>3.6666667000000004</v>
      </c>
      <c r="BH472" s="40">
        <f t="shared" si="2659"/>
        <v>3.6666667000000004</v>
      </c>
      <c r="BI472" s="40">
        <f t="shared" si="2660"/>
        <v>3.6666667000000004</v>
      </c>
      <c r="BJ472" s="40">
        <f>AH472</f>
        <v>2.0833333333333335</v>
      </c>
      <c r="BK472" s="40">
        <f t="shared" si="2698"/>
        <v>4.166666666666667</v>
      </c>
      <c r="BL472" s="40">
        <f t="shared" si="2698"/>
        <v>0</v>
      </c>
      <c r="BM472" s="408"/>
      <c r="BN472" s="48">
        <f t="shared" si="2669"/>
        <v>7.1775000000000002</v>
      </c>
      <c r="BO472" s="48">
        <f t="shared" si="2670"/>
        <v>7.1775000000000002</v>
      </c>
      <c r="BP472" s="48">
        <f t="shared" si="2671"/>
        <v>7.1775000000000002</v>
      </c>
      <c r="BQ472" s="48">
        <f t="shared" si="2672"/>
        <v>7.1775000000000002</v>
      </c>
      <c r="BR472" s="48">
        <f t="shared" si="2673"/>
        <v>7.1775000000000002</v>
      </c>
      <c r="BS472" s="48">
        <f t="shared" si="2674"/>
        <v>7.1775000000000002</v>
      </c>
      <c r="BT472" s="48">
        <f t="shared" si="2675"/>
        <v>7.1774999999999984</v>
      </c>
      <c r="BU472" s="48">
        <f t="shared" si="2676"/>
        <v>7.1774999999999984</v>
      </c>
      <c r="BV472" s="48">
        <f t="shared" si="2677"/>
        <v>7.1774999999999984</v>
      </c>
      <c r="BW472" s="48">
        <f t="shared" si="2678"/>
        <v>7.1774999999999949</v>
      </c>
      <c r="BX472" s="48">
        <f t="shared" si="2679"/>
        <v>7.1774999999999949</v>
      </c>
      <c r="BY472" s="48">
        <f t="shared" si="2680"/>
        <v>7.1774999999999949</v>
      </c>
      <c r="BZ472" s="48">
        <f t="shared" si="2681"/>
        <v>11.000000066666667</v>
      </c>
      <c r="CA472" s="48">
        <f t="shared" si="2682"/>
        <v>11.000000066666667</v>
      </c>
      <c r="CB472" s="48">
        <f t="shared" ref="CB472:CB479" si="2704">X472</f>
        <v>11.000000066666667</v>
      </c>
      <c r="CC472" s="48">
        <f t="shared" si="2683"/>
        <v>11.000000099999999</v>
      </c>
      <c r="CD472" s="48">
        <f t="shared" si="2684"/>
        <v>11.000000099999999</v>
      </c>
      <c r="CE472" s="48">
        <f t="shared" si="2685"/>
        <v>11.000000099999999</v>
      </c>
      <c r="CF472" s="48">
        <f t="shared" si="2686"/>
        <v>11.000000100000001</v>
      </c>
      <c r="CG472" s="48">
        <f t="shared" si="2687"/>
        <v>11.000000100000001</v>
      </c>
      <c r="CH472" s="48">
        <f t="shared" si="2688"/>
        <v>11.000000100000001</v>
      </c>
      <c r="CI472" s="48">
        <f t="shared" si="2689"/>
        <v>11.000000100000001</v>
      </c>
      <c r="CJ472" s="48">
        <f t="shared" si="2690"/>
        <v>11.000000100000001</v>
      </c>
      <c r="CK472" s="48">
        <f t="shared" si="2691"/>
        <v>11.000000100000001</v>
      </c>
      <c r="CL472" s="48">
        <f t="shared" si="2692"/>
        <v>6.25</v>
      </c>
      <c r="CM472" s="48">
        <f t="shared" si="2693"/>
        <v>6.25</v>
      </c>
      <c r="CN472" s="48">
        <f t="shared" si="2662"/>
        <v>6.25</v>
      </c>
      <c r="CO472" s="406"/>
      <c r="CP472" s="48">
        <f t="shared" ref="CP472:DA472" si="2705">I472+AL472</f>
        <v>2.3925000000000001</v>
      </c>
      <c r="CQ472" s="48">
        <f t="shared" si="2705"/>
        <v>4.7850000000000001</v>
      </c>
      <c r="CR472" s="48">
        <f t="shared" si="2705"/>
        <v>7.1775000000000002</v>
      </c>
      <c r="CS472" s="48">
        <f t="shared" si="2705"/>
        <v>9.57</v>
      </c>
      <c r="CT472" s="48">
        <f t="shared" si="2705"/>
        <v>11.9625</v>
      </c>
      <c r="CU472" s="48">
        <f t="shared" si="2705"/>
        <v>14.355</v>
      </c>
      <c r="CV472" s="48">
        <f t="shared" si="2705"/>
        <v>16.747500000000002</v>
      </c>
      <c r="CW472" s="48">
        <f t="shared" si="2705"/>
        <v>19.14</v>
      </c>
      <c r="CX472" s="48">
        <f t="shared" si="2705"/>
        <v>21.532499999999999</v>
      </c>
      <c r="CY472" s="48">
        <f t="shared" si="2705"/>
        <v>23.924999999999997</v>
      </c>
      <c r="CZ472" s="48">
        <f t="shared" si="2705"/>
        <v>26.317499999999995</v>
      </c>
      <c r="DA472" s="48">
        <f t="shared" si="2705"/>
        <v>28.709999999999994</v>
      </c>
      <c r="DB472" s="48">
        <f>AX472</f>
        <v>3.6666666666666665</v>
      </c>
      <c r="DC472" s="48">
        <f t="shared" ref="DC472:DM472" si="2706">V472+AY472</f>
        <v>7.3333333666666665</v>
      </c>
      <c r="DD472" s="48">
        <f t="shared" si="2706"/>
        <v>11.000000066666667</v>
      </c>
      <c r="DE472" s="48">
        <f t="shared" si="2706"/>
        <v>14.666666766666667</v>
      </c>
      <c r="DF472" s="48">
        <f t="shared" si="2706"/>
        <v>18.333333466666666</v>
      </c>
      <c r="DG472" s="48">
        <f t="shared" si="2706"/>
        <v>22.000000166666666</v>
      </c>
      <c r="DH472" s="48">
        <f t="shared" si="2706"/>
        <v>25.666666866666667</v>
      </c>
      <c r="DI472" s="48">
        <f t="shared" si="2706"/>
        <v>29.333333566666667</v>
      </c>
      <c r="DJ472" s="48">
        <f t="shared" si="2706"/>
        <v>33.000000266666667</v>
      </c>
      <c r="DK472" s="48">
        <f t="shared" si="2706"/>
        <v>36.666666966666668</v>
      </c>
      <c r="DL472" s="48">
        <f t="shared" si="2706"/>
        <v>40.333333666666668</v>
      </c>
      <c r="DM472" s="48">
        <f t="shared" si="2706"/>
        <v>44.000000366666669</v>
      </c>
      <c r="DN472" s="48">
        <f>BJ472</f>
        <v>2.0833333333333335</v>
      </c>
      <c r="DO472" s="48">
        <f>AH472+BK472</f>
        <v>6.25</v>
      </c>
      <c r="DP472" s="48">
        <f>AI472+BL472</f>
        <v>4.166666666666667</v>
      </c>
      <c r="DQ472" s="48"/>
      <c r="DR472" s="48"/>
      <c r="DS472" s="48"/>
      <c r="DT472" s="48"/>
      <c r="DU472" s="48"/>
      <c r="DV472" s="48"/>
      <c r="DW472" s="48"/>
      <c r="DX472" s="48"/>
      <c r="DY472" s="48"/>
      <c r="EA472" s="52">
        <f t="shared" si="2701"/>
        <v>28.709999999999994</v>
      </c>
      <c r="EB472" s="52">
        <f t="shared" si="2702"/>
        <v>44.000000366666669</v>
      </c>
      <c r="EC472" s="52"/>
      <c r="ED472" s="429"/>
      <c r="EE472" s="51">
        <f t="shared" si="2666"/>
        <v>4.166666666666667</v>
      </c>
      <c r="EF472" s="51">
        <f t="shared" si="2667"/>
        <v>6.25</v>
      </c>
      <c r="EG472" s="51">
        <v>25</v>
      </c>
      <c r="EH472" s="54"/>
      <c r="EI472" s="54"/>
      <c r="EJ472" s="126"/>
      <c r="EK472" s="675"/>
      <c r="EL472" s="53"/>
      <c r="EM472" s="53"/>
      <c r="EN472" s="53"/>
      <c r="EO472" s="49"/>
      <c r="EP472" s="49"/>
      <c r="EQ472" s="49"/>
    </row>
    <row r="473" spans="1:149">
      <c r="A473" s="6" t="s">
        <v>23</v>
      </c>
      <c r="B473" s="2" t="s">
        <v>6</v>
      </c>
      <c r="C473" s="3" t="s">
        <v>44</v>
      </c>
      <c r="E473" s="3" t="s">
        <v>16</v>
      </c>
      <c r="G473" s="3" t="s">
        <v>89</v>
      </c>
      <c r="I473" s="183"/>
      <c r="J473" s="180">
        <v>1.8125</v>
      </c>
      <c r="K473" s="180">
        <f>J473</f>
        <v>1.8125</v>
      </c>
      <c r="L473" s="246">
        <f t="shared" ref="L473:U473" si="2707">K473</f>
        <v>1.8125</v>
      </c>
      <c r="M473" s="246">
        <f t="shared" si="2707"/>
        <v>1.8125</v>
      </c>
      <c r="N473" s="246">
        <f t="shared" si="2707"/>
        <v>1.8125</v>
      </c>
      <c r="O473" s="246">
        <f t="shared" si="2707"/>
        <v>1.8125</v>
      </c>
      <c r="P473" s="246">
        <f t="shared" si="2707"/>
        <v>1.8125</v>
      </c>
      <c r="Q473" s="246">
        <f t="shared" si="2707"/>
        <v>1.8125</v>
      </c>
      <c r="R473" s="246">
        <f t="shared" si="2707"/>
        <v>1.8125</v>
      </c>
      <c r="S473" s="246">
        <f t="shared" si="2707"/>
        <v>1.8125</v>
      </c>
      <c r="T473" s="246">
        <f t="shared" si="2707"/>
        <v>1.8125</v>
      </c>
      <c r="U473" s="246">
        <f t="shared" si="2707"/>
        <v>1.8125</v>
      </c>
      <c r="V473" s="436">
        <v>1.0915999999999999</v>
      </c>
      <c r="W473" s="438">
        <f>V473+1.0916</f>
        <v>2.1831999999999998</v>
      </c>
      <c r="X473" s="438">
        <f t="shared" ref="X473:AG473" si="2708">W473+1.0916</f>
        <v>3.2747999999999999</v>
      </c>
      <c r="Y473" s="438">
        <f t="shared" si="2708"/>
        <v>4.3663999999999996</v>
      </c>
      <c r="Z473" s="438">
        <f t="shared" si="2708"/>
        <v>5.4579999999999993</v>
      </c>
      <c r="AA473" s="438">
        <f t="shared" si="2708"/>
        <v>6.549599999999999</v>
      </c>
      <c r="AB473" s="438">
        <f t="shared" si="2708"/>
        <v>7.6411999999999987</v>
      </c>
      <c r="AC473" s="438">
        <f t="shared" si="2708"/>
        <v>8.7327999999999992</v>
      </c>
      <c r="AD473" s="438">
        <f t="shared" si="2708"/>
        <v>9.8243999999999989</v>
      </c>
      <c r="AE473" s="438">
        <f t="shared" si="2708"/>
        <v>10.915999999999999</v>
      </c>
      <c r="AF473" s="438">
        <f t="shared" si="2708"/>
        <v>12.007599999999998</v>
      </c>
      <c r="AG473" s="263">
        <f t="shared" si="2708"/>
        <v>13.099199999999998</v>
      </c>
      <c r="AH473" s="31"/>
      <c r="AI473" s="19"/>
      <c r="AJ473" s="19"/>
      <c r="AK473" s="408"/>
      <c r="AL473" s="40">
        <f>J473</f>
        <v>1.8125</v>
      </c>
      <c r="AM473" s="40">
        <f t="shared" ref="AM473:AW473" si="2709">K473</f>
        <v>1.8125</v>
      </c>
      <c r="AN473" s="40">
        <f t="shared" si="2709"/>
        <v>1.8125</v>
      </c>
      <c r="AO473" s="40">
        <f t="shared" si="2709"/>
        <v>1.8125</v>
      </c>
      <c r="AP473" s="40">
        <f t="shared" si="2709"/>
        <v>1.8125</v>
      </c>
      <c r="AQ473" s="40">
        <f t="shared" si="2709"/>
        <v>1.8125</v>
      </c>
      <c r="AR473" s="40">
        <f t="shared" si="2709"/>
        <v>1.8125</v>
      </c>
      <c r="AS473" s="40">
        <f t="shared" si="2709"/>
        <v>1.8125</v>
      </c>
      <c r="AT473" s="40">
        <f t="shared" si="2709"/>
        <v>1.8125</v>
      </c>
      <c r="AU473" s="40">
        <f t="shared" si="2709"/>
        <v>1.8125</v>
      </c>
      <c r="AV473" s="40">
        <f t="shared" si="2709"/>
        <v>1.8125</v>
      </c>
      <c r="AW473" s="40">
        <f t="shared" si="2709"/>
        <v>1.8125</v>
      </c>
      <c r="AX473" s="40">
        <f>V473</f>
        <v>1.0915999999999999</v>
      </c>
      <c r="AY473" s="40">
        <f>W473-SUM($AX473:AX473)</f>
        <v>1.0915999999999999</v>
      </c>
      <c r="AZ473" s="40">
        <f>X473-SUM($AX473:AY473)</f>
        <v>1.0916000000000001</v>
      </c>
      <c r="BA473" s="40">
        <f>Y473-SUM($AX473:AZ473)</f>
        <v>1.0915999999999997</v>
      </c>
      <c r="BB473" s="40">
        <f>Z473-SUM($AX473:BA473)</f>
        <v>1.0915999999999997</v>
      </c>
      <c r="BC473" s="40">
        <f>AA473-SUM($AX473:BB473)</f>
        <v>1.0915999999999997</v>
      </c>
      <c r="BD473" s="40">
        <f>AB473-SUM($AX473:BC473)</f>
        <v>1.0915999999999997</v>
      </c>
      <c r="BE473" s="40">
        <f>AC473-SUM($AX473:BD473)</f>
        <v>1.0916000000000006</v>
      </c>
      <c r="BF473" s="40">
        <f>AD473-SUM($AX473:BE473)</f>
        <v>1.0915999999999997</v>
      </c>
      <c r="BG473" s="40">
        <f>AE473-SUM($AX473:BF473)</f>
        <v>1.0915999999999997</v>
      </c>
      <c r="BH473" s="40">
        <f>AF473-SUM($AX473:BG473)</f>
        <v>1.0915999999999997</v>
      </c>
      <c r="BI473" s="40">
        <f>AG473-SUM($AX473:BH473)</f>
        <v>1.0915999999999997</v>
      </c>
      <c r="BJ473" s="40">
        <v>0</v>
      </c>
      <c r="BK473" s="40">
        <v>0</v>
      </c>
      <c r="BL473" s="40">
        <v>0</v>
      </c>
      <c r="BM473" s="408"/>
      <c r="BN473" s="48">
        <f t="shared" si="2669"/>
        <v>5.4375</v>
      </c>
      <c r="BO473" s="48">
        <f t="shared" si="2670"/>
        <v>5.4375</v>
      </c>
      <c r="BP473" s="48">
        <f t="shared" si="2671"/>
        <v>5.4375</v>
      </c>
      <c r="BQ473" s="48">
        <f t="shared" si="2672"/>
        <v>5.4375</v>
      </c>
      <c r="BR473" s="48">
        <f t="shared" si="2673"/>
        <v>5.4375</v>
      </c>
      <c r="BS473" s="48">
        <f t="shared" si="2674"/>
        <v>5.4375</v>
      </c>
      <c r="BT473" s="48">
        <f t="shared" si="2675"/>
        <v>5.4375</v>
      </c>
      <c r="BU473" s="48">
        <f t="shared" si="2676"/>
        <v>5.4375</v>
      </c>
      <c r="BV473" s="48">
        <f t="shared" si="2677"/>
        <v>5.4375</v>
      </c>
      <c r="BW473" s="48">
        <f t="shared" si="2678"/>
        <v>5.4375</v>
      </c>
      <c r="BX473" s="48">
        <f t="shared" si="2679"/>
        <v>5.4375</v>
      </c>
      <c r="BY473" s="48">
        <f t="shared" si="2680"/>
        <v>5.4375</v>
      </c>
      <c r="BZ473" s="48">
        <f t="shared" si="2681"/>
        <v>3.2747999999999999</v>
      </c>
      <c r="CA473" s="48">
        <f t="shared" si="2682"/>
        <v>3.2747999999999999</v>
      </c>
      <c r="CB473" s="48">
        <f t="shared" si="2704"/>
        <v>3.2747999999999999</v>
      </c>
      <c r="CC473" s="48">
        <f t="shared" si="2683"/>
        <v>3.274799999999999</v>
      </c>
      <c r="CD473" s="48">
        <f t="shared" si="2684"/>
        <v>3.274799999999999</v>
      </c>
      <c r="CE473" s="48">
        <f>SUM(BA473:BC473)</f>
        <v>3.274799999999999</v>
      </c>
      <c r="CF473" s="48">
        <f t="shared" si="2686"/>
        <v>3.2747999999999999</v>
      </c>
      <c r="CG473" s="48">
        <f t="shared" si="2687"/>
        <v>3.2747999999999999</v>
      </c>
      <c r="CH473" s="48">
        <f>SUM(BD473:BF473)</f>
        <v>3.2747999999999999</v>
      </c>
      <c r="CI473" s="48">
        <f t="shared" si="2689"/>
        <v>3.274799999999999</v>
      </c>
      <c r="CJ473" s="48">
        <f t="shared" si="2690"/>
        <v>3.274799999999999</v>
      </c>
      <c r="CK473" s="48">
        <f>SUM(BG473:BI473)</f>
        <v>3.274799999999999</v>
      </c>
      <c r="CL473" s="48">
        <f t="shared" si="2692"/>
        <v>0</v>
      </c>
      <c r="CM473" s="48">
        <f t="shared" si="2693"/>
        <v>0</v>
      </c>
      <c r="CN473" s="48">
        <f t="shared" si="2662"/>
        <v>0</v>
      </c>
      <c r="CO473" s="406"/>
      <c r="CP473" s="48">
        <f>AL473</f>
        <v>1.8125</v>
      </c>
      <c r="CQ473" s="48">
        <f t="shared" ref="CQ473:DA473" si="2710">CP473+AM473</f>
        <v>3.625</v>
      </c>
      <c r="CR473" s="48">
        <f t="shared" si="2710"/>
        <v>5.4375</v>
      </c>
      <c r="CS473" s="48">
        <f t="shared" si="2710"/>
        <v>7.25</v>
      </c>
      <c r="CT473" s="48">
        <f t="shared" si="2710"/>
        <v>9.0625</v>
      </c>
      <c r="CU473" s="48">
        <f t="shared" si="2710"/>
        <v>10.875</v>
      </c>
      <c r="CV473" s="48">
        <f t="shared" si="2710"/>
        <v>12.6875</v>
      </c>
      <c r="CW473" s="48">
        <f t="shared" si="2710"/>
        <v>14.5</v>
      </c>
      <c r="CX473" s="48">
        <f t="shared" si="2710"/>
        <v>16.3125</v>
      </c>
      <c r="CY473" s="48">
        <f t="shared" si="2710"/>
        <v>18.125</v>
      </c>
      <c r="CZ473" s="48">
        <f t="shared" si="2710"/>
        <v>19.9375</v>
      </c>
      <c r="DA473" s="48">
        <f t="shared" si="2710"/>
        <v>21.75</v>
      </c>
      <c r="DB473" s="48">
        <f>AX473</f>
        <v>1.0915999999999999</v>
      </c>
      <c r="DC473" s="48">
        <f t="shared" ref="DC473:DM473" si="2711">DB473+AY473</f>
        <v>2.1831999999999998</v>
      </c>
      <c r="DD473" s="48">
        <f t="shared" si="2711"/>
        <v>3.2747999999999999</v>
      </c>
      <c r="DE473" s="48">
        <f t="shared" si="2711"/>
        <v>4.3663999999999996</v>
      </c>
      <c r="DF473" s="48">
        <f t="shared" si="2711"/>
        <v>5.4579999999999993</v>
      </c>
      <c r="DG473" s="48">
        <f t="shared" si="2711"/>
        <v>6.549599999999999</v>
      </c>
      <c r="DH473" s="48">
        <f t="shared" si="2711"/>
        <v>7.6411999999999987</v>
      </c>
      <c r="DI473" s="48">
        <f t="shared" si="2711"/>
        <v>8.7327999999999992</v>
      </c>
      <c r="DJ473" s="48">
        <f t="shared" si="2711"/>
        <v>9.8243999999999989</v>
      </c>
      <c r="DK473" s="48">
        <f t="shared" si="2711"/>
        <v>10.915999999999999</v>
      </c>
      <c r="DL473" s="48">
        <f t="shared" si="2711"/>
        <v>12.007599999999998</v>
      </c>
      <c r="DM473" s="48">
        <f t="shared" si="2711"/>
        <v>13.099199999999998</v>
      </c>
      <c r="DN473" s="48">
        <f>BJ473</f>
        <v>0</v>
      </c>
      <c r="DO473" s="48">
        <f>DN473+BK473</f>
        <v>0</v>
      </c>
      <c r="DP473" s="48">
        <f>DO473+BL473</f>
        <v>0</v>
      </c>
      <c r="DQ473" s="48"/>
      <c r="DR473" s="48"/>
      <c r="DS473" s="48"/>
      <c r="DT473" s="48"/>
      <c r="DU473" s="48"/>
      <c r="DV473" s="48"/>
      <c r="DW473" s="48"/>
      <c r="DX473" s="48"/>
      <c r="DY473" s="48"/>
      <c r="EA473" s="52">
        <f t="shared" si="2701"/>
        <v>21.75</v>
      </c>
      <c r="EB473" s="52">
        <f t="shared" si="2702"/>
        <v>13.099199999999998</v>
      </c>
      <c r="EC473" s="52"/>
      <c r="ED473" s="429"/>
      <c r="EE473" s="51">
        <f t="shared" si="2666"/>
        <v>0</v>
      </c>
      <c r="EF473" s="51">
        <f t="shared" si="2667"/>
        <v>0</v>
      </c>
      <c r="EG473" s="51">
        <f t="shared" ref="EG473:EG481" si="2712">HLOOKUP($EJ$4,Budget,ROW()-1)</f>
        <v>13.099199999999998</v>
      </c>
      <c r="EH473" s="54"/>
      <c r="EI473" s="54"/>
      <c r="EJ473" s="54"/>
      <c r="EK473" s="675"/>
      <c r="EL473" s="53"/>
      <c r="EM473" s="53"/>
      <c r="EN473" s="53"/>
      <c r="EO473" s="49"/>
      <c r="EP473" s="49"/>
      <c r="EQ473" s="49"/>
    </row>
    <row r="474" spans="1:149">
      <c r="A474" s="15" t="s">
        <v>23</v>
      </c>
      <c r="B474" s="14" t="s">
        <v>7</v>
      </c>
      <c r="C474" s="16" t="s">
        <v>45</v>
      </c>
      <c r="D474" s="16"/>
      <c r="E474" s="16" t="s">
        <v>16</v>
      </c>
      <c r="F474" s="16"/>
      <c r="G474" s="16" t="s">
        <v>89</v>
      </c>
      <c r="H474" s="16"/>
      <c r="I474" s="184"/>
      <c r="J474" s="185">
        <v>0.95</v>
      </c>
      <c r="K474" s="185">
        <v>0.95</v>
      </c>
      <c r="L474" s="185">
        <v>0.95</v>
      </c>
      <c r="M474" s="185">
        <v>0.95</v>
      </c>
      <c r="N474" s="185">
        <v>0.95</v>
      </c>
      <c r="O474" s="185">
        <v>0.95</v>
      </c>
      <c r="P474" s="185">
        <v>0.95</v>
      </c>
      <c r="Q474" s="185">
        <v>0.95</v>
      </c>
      <c r="R474" s="185">
        <v>0.95</v>
      </c>
      <c r="S474" s="185">
        <v>0.95</v>
      </c>
      <c r="T474" s="185">
        <v>0.95</v>
      </c>
      <c r="U474" s="185">
        <v>0.95</v>
      </c>
      <c r="V474" s="220">
        <f>$AG474</f>
        <v>0.95</v>
      </c>
      <c r="W474" s="250">
        <f t="shared" ref="W474:AF474" si="2713">$AG474</f>
        <v>0.95</v>
      </c>
      <c r="X474" s="250">
        <f t="shared" si="2713"/>
        <v>0.95</v>
      </c>
      <c r="Y474" s="250">
        <f t="shared" si="2713"/>
        <v>0.95</v>
      </c>
      <c r="Z474" s="250">
        <f t="shared" si="2713"/>
        <v>0.95</v>
      </c>
      <c r="AA474" s="250">
        <f t="shared" si="2713"/>
        <v>0.95</v>
      </c>
      <c r="AB474" s="250">
        <f t="shared" si="2713"/>
        <v>0.95</v>
      </c>
      <c r="AC474" s="250">
        <f t="shared" si="2713"/>
        <v>0.95</v>
      </c>
      <c r="AD474" s="250">
        <f t="shared" si="2713"/>
        <v>0.95</v>
      </c>
      <c r="AE474" s="250">
        <f t="shared" si="2713"/>
        <v>0.95</v>
      </c>
      <c r="AF474" s="250">
        <f t="shared" si="2713"/>
        <v>0.95</v>
      </c>
      <c r="AG474" s="250">
        <v>0.95</v>
      </c>
      <c r="AH474" s="33">
        <v>0.95</v>
      </c>
      <c r="AI474" s="220">
        <v>0.95</v>
      </c>
      <c r="AJ474" s="220">
        <v>0.95</v>
      </c>
      <c r="AK474" s="412"/>
      <c r="AL474" s="55">
        <f>J474</f>
        <v>0.95</v>
      </c>
      <c r="AM474" s="55">
        <f t="shared" ref="AM474:AW474" si="2714">K474</f>
        <v>0.95</v>
      </c>
      <c r="AN474" s="55">
        <f t="shared" si="2714"/>
        <v>0.95</v>
      </c>
      <c r="AO474" s="55">
        <f t="shared" si="2714"/>
        <v>0.95</v>
      </c>
      <c r="AP474" s="55">
        <f t="shared" si="2714"/>
        <v>0.95</v>
      </c>
      <c r="AQ474" s="55">
        <f t="shared" si="2714"/>
        <v>0.95</v>
      </c>
      <c r="AR474" s="55">
        <f t="shared" si="2714"/>
        <v>0.95</v>
      </c>
      <c r="AS474" s="55">
        <f t="shared" si="2714"/>
        <v>0.95</v>
      </c>
      <c r="AT474" s="55">
        <f t="shared" si="2714"/>
        <v>0.95</v>
      </c>
      <c r="AU474" s="55">
        <f t="shared" si="2714"/>
        <v>0.95</v>
      </c>
      <c r="AV474" s="55">
        <f t="shared" si="2714"/>
        <v>0.95</v>
      </c>
      <c r="AW474" s="55">
        <f t="shared" si="2714"/>
        <v>0.95</v>
      </c>
      <c r="AX474" s="55">
        <f>V474</f>
        <v>0.95</v>
      </c>
      <c r="AY474" s="55">
        <f t="shared" ref="AY474:BI474" si="2715">W474</f>
        <v>0.95</v>
      </c>
      <c r="AZ474" s="55">
        <f t="shared" si="2715"/>
        <v>0.95</v>
      </c>
      <c r="BA474" s="55">
        <f t="shared" si="2715"/>
        <v>0.95</v>
      </c>
      <c r="BB474" s="55">
        <f t="shared" si="2715"/>
        <v>0.95</v>
      </c>
      <c r="BC474" s="55">
        <f t="shared" si="2715"/>
        <v>0.95</v>
      </c>
      <c r="BD474" s="55">
        <f t="shared" si="2715"/>
        <v>0.95</v>
      </c>
      <c r="BE474" s="55">
        <f t="shared" si="2715"/>
        <v>0.95</v>
      </c>
      <c r="BF474" s="55">
        <f t="shared" si="2715"/>
        <v>0.95</v>
      </c>
      <c r="BG474" s="55">
        <f t="shared" si="2715"/>
        <v>0.95</v>
      </c>
      <c r="BH474" s="55">
        <f t="shared" si="2715"/>
        <v>0.95</v>
      </c>
      <c r="BI474" s="55">
        <f t="shared" si="2715"/>
        <v>0.95</v>
      </c>
      <c r="BJ474" s="55">
        <f>AH474</f>
        <v>0.95</v>
      </c>
      <c r="BK474" s="55">
        <f t="shared" ref="BK474:BL474" si="2716">AI474</f>
        <v>0.95</v>
      </c>
      <c r="BL474" s="55">
        <f t="shared" si="2716"/>
        <v>0.95</v>
      </c>
      <c r="BM474" s="410"/>
      <c r="BN474" s="56">
        <f t="shared" si="2669"/>
        <v>0.95</v>
      </c>
      <c r="BO474" s="56">
        <f t="shared" si="2670"/>
        <v>0.95</v>
      </c>
      <c r="BP474" s="56">
        <f>(AL474*AL473+AM474*AM473+AN474*AN473)/BP473</f>
        <v>0.95</v>
      </c>
      <c r="BQ474" s="56">
        <f t="shared" si="2672"/>
        <v>0.95</v>
      </c>
      <c r="BR474" s="56">
        <f t="shared" si="2673"/>
        <v>0.95</v>
      </c>
      <c r="BS474" s="56">
        <f>(AO474*AO473+AP474*AP473+AQ474*AQ473)/BS473</f>
        <v>0.95</v>
      </c>
      <c r="BT474" s="56">
        <f t="shared" si="2675"/>
        <v>0.95</v>
      </c>
      <c r="BU474" s="56">
        <f t="shared" si="2676"/>
        <v>0.95</v>
      </c>
      <c r="BV474" s="56">
        <f>(AR474*AR473+AS474*AS473+AT474*AT473)/BV473</f>
        <v>0.95</v>
      </c>
      <c r="BW474" s="56">
        <f t="shared" si="2678"/>
        <v>0.95</v>
      </c>
      <c r="BX474" s="56">
        <f t="shared" si="2679"/>
        <v>0.95</v>
      </c>
      <c r="BY474" s="56">
        <f>(AU474*AU473+AV474*AV473+AW474*AW473)/BY473</f>
        <v>0.95</v>
      </c>
      <c r="BZ474" s="56">
        <f t="shared" si="2681"/>
        <v>0.95</v>
      </c>
      <c r="CA474" s="56">
        <f t="shared" si="2682"/>
        <v>0.95</v>
      </c>
      <c r="CB474" s="99">
        <f t="shared" si="2704"/>
        <v>0.95</v>
      </c>
      <c r="CC474" s="56">
        <f t="shared" si="2683"/>
        <v>2.8499999999999996</v>
      </c>
      <c r="CD474" s="56">
        <f t="shared" si="2684"/>
        <v>2.8499999999999996</v>
      </c>
      <c r="CE474" s="48">
        <f>SUM(BA474:BC474)</f>
        <v>2.8499999999999996</v>
      </c>
      <c r="CF474" s="56">
        <f t="shared" si="2686"/>
        <v>2.8499999999999996</v>
      </c>
      <c r="CG474" s="56">
        <f t="shared" si="2687"/>
        <v>2.8499999999999996</v>
      </c>
      <c r="CH474" s="48">
        <f>SUM(BD474:BF474)</f>
        <v>2.8499999999999996</v>
      </c>
      <c r="CI474" s="56">
        <f t="shared" si="2689"/>
        <v>2.8499999999999996</v>
      </c>
      <c r="CJ474" s="56">
        <f t="shared" si="2690"/>
        <v>2.8499999999999996</v>
      </c>
      <c r="CK474" s="48">
        <f>SUM(BG474:BI474)</f>
        <v>2.8499999999999996</v>
      </c>
      <c r="CL474" s="56" t="e">
        <f t="shared" si="2692"/>
        <v>#DIV/0!</v>
      </c>
      <c r="CM474" s="56" t="e">
        <f t="shared" si="2693"/>
        <v>#DIV/0!</v>
      </c>
      <c r="CN474" s="56" t="e">
        <f>(BJ474*BJ473+BK474*BK473+BL474*BL473)/CN473</f>
        <v>#DIV/0!</v>
      </c>
      <c r="CO474" s="422"/>
      <c r="CP474" s="56">
        <f t="shared" ref="CP474:DA474" si="2717">CP487/CP473</f>
        <v>0.95</v>
      </c>
      <c r="CQ474" s="56">
        <f t="shared" si="2717"/>
        <v>0.95</v>
      </c>
      <c r="CR474" s="56">
        <f t="shared" si="2717"/>
        <v>0.95</v>
      </c>
      <c r="CS474" s="56">
        <f t="shared" si="2717"/>
        <v>0.95</v>
      </c>
      <c r="CT474" s="56">
        <f t="shared" si="2717"/>
        <v>0.95</v>
      </c>
      <c r="CU474" s="56">
        <f t="shared" si="2717"/>
        <v>0.95000000000000007</v>
      </c>
      <c r="CV474" s="56">
        <f t="shared" si="2717"/>
        <v>0.95000000000000007</v>
      </c>
      <c r="CW474" s="56">
        <f t="shared" si="2717"/>
        <v>0.95000000000000018</v>
      </c>
      <c r="CX474" s="56">
        <f t="shared" si="2717"/>
        <v>0.95000000000000018</v>
      </c>
      <c r="CY474" s="56">
        <f t="shared" si="2717"/>
        <v>0.95000000000000018</v>
      </c>
      <c r="CZ474" s="56">
        <f t="shared" si="2717"/>
        <v>0.95000000000000018</v>
      </c>
      <c r="DA474" s="56">
        <f t="shared" si="2717"/>
        <v>0.95000000000000018</v>
      </c>
      <c r="DB474" s="56">
        <f t="shared" ref="DB474:DP474" si="2718">DA474</f>
        <v>0.95000000000000018</v>
      </c>
      <c r="DC474" s="56">
        <f t="shared" si="2718"/>
        <v>0.95000000000000018</v>
      </c>
      <c r="DD474" s="56">
        <f t="shared" si="2718"/>
        <v>0.95000000000000018</v>
      </c>
      <c r="DE474" s="56">
        <f t="shared" si="2718"/>
        <v>0.95000000000000018</v>
      </c>
      <c r="DF474" s="56">
        <f t="shared" si="2718"/>
        <v>0.95000000000000018</v>
      </c>
      <c r="DG474" s="56">
        <f t="shared" si="2718"/>
        <v>0.95000000000000018</v>
      </c>
      <c r="DH474" s="56">
        <f t="shared" si="2718"/>
        <v>0.95000000000000018</v>
      </c>
      <c r="DI474" s="56">
        <f t="shared" si="2718"/>
        <v>0.95000000000000018</v>
      </c>
      <c r="DJ474" s="56">
        <f t="shared" si="2718"/>
        <v>0.95000000000000018</v>
      </c>
      <c r="DK474" s="56">
        <f t="shared" si="2718"/>
        <v>0.95000000000000018</v>
      </c>
      <c r="DL474" s="56">
        <f t="shared" si="2718"/>
        <v>0.95000000000000018</v>
      </c>
      <c r="DM474" s="56">
        <f t="shared" si="2718"/>
        <v>0.95000000000000018</v>
      </c>
      <c r="DN474" s="56">
        <f t="shared" si="2718"/>
        <v>0.95000000000000018</v>
      </c>
      <c r="DO474" s="56">
        <f t="shared" si="2718"/>
        <v>0.95000000000000018</v>
      </c>
      <c r="DP474" s="56">
        <f t="shared" si="2718"/>
        <v>0.95000000000000018</v>
      </c>
      <c r="DQ474" s="56"/>
      <c r="DR474" s="56"/>
      <c r="DS474" s="56"/>
      <c r="DT474" s="56"/>
      <c r="DU474" s="56"/>
      <c r="DV474" s="56"/>
      <c r="DW474" s="56"/>
      <c r="DX474" s="56"/>
      <c r="DY474" s="56"/>
      <c r="DZ474" s="14"/>
      <c r="EA474" s="55">
        <f t="shared" si="2701"/>
        <v>0.95000000000000018</v>
      </c>
      <c r="EB474" s="55">
        <f t="shared" si="2702"/>
        <v>0.95000000000000018</v>
      </c>
      <c r="EC474" s="55"/>
      <c r="ED474" s="430"/>
      <c r="EE474" s="56">
        <f t="shared" si="2666"/>
        <v>0.95</v>
      </c>
      <c r="EF474" s="56">
        <f t="shared" si="2666"/>
        <v>0.95</v>
      </c>
      <c r="EG474" s="56">
        <f t="shared" si="2712"/>
        <v>0.95000000000000018</v>
      </c>
      <c r="EH474" s="57"/>
      <c r="EI474" s="57"/>
      <c r="EJ474" s="57"/>
      <c r="EK474" s="675"/>
      <c r="EL474" s="55"/>
      <c r="EM474" s="55"/>
      <c r="EN474" s="55"/>
      <c r="EO474" s="49"/>
      <c r="EP474" s="49"/>
      <c r="EQ474" s="49"/>
      <c r="ER474" s="14"/>
      <c r="ES474" s="14"/>
    </row>
    <row r="475" spans="1:149">
      <c r="A475" s="6" t="s">
        <v>23</v>
      </c>
      <c r="B475" s="2" t="s">
        <v>8</v>
      </c>
      <c r="C475" s="3" t="s">
        <v>86</v>
      </c>
      <c r="E475" s="3" t="s">
        <v>16</v>
      </c>
      <c r="G475" s="3" t="s">
        <v>91</v>
      </c>
      <c r="I475" s="183"/>
      <c r="J475" s="180">
        <v>1</v>
      </c>
      <c r="K475" s="180">
        <v>2</v>
      </c>
      <c r="L475" s="180">
        <v>3</v>
      </c>
      <c r="M475" s="180">
        <v>4</v>
      </c>
      <c r="N475" s="180">
        <v>5</v>
      </c>
      <c r="O475" s="180">
        <v>6</v>
      </c>
      <c r="P475" s="180">
        <v>7</v>
      </c>
      <c r="Q475" s="180">
        <v>8</v>
      </c>
      <c r="R475" s="180">
        <v>9</v>
      </c>
      <c r="S475" s="180">
        <v>10</v>
      </c>
      <c r="T475" s="180">
        <v>11</v>
      </c>
      <c r="U475" s="180">
        <v>12</v>
      </c>
      <c r="V475" s="378">
        <f>56/12</f>
        <v>4.666666666666667</v>
      </c>
      <c r="W475" s="246">
        <f>V475+4.666667</f>
        <v>9.3333336666666682</v>
      </c>
      <c r="X475" s="376">
        <f t="shared" ref="X475:AG475" si="2719">W475+4.666667</f>
        <v>14.000000666666669</v>
      </c>
      <c r="Y475" s="376">
        <f t="shared" si="2719"/>
        <v>18.666667666666669</v>
      </c>
      <c r="Z475" s="376">
        <f t="shared" si="2719"/>
        <v>23.333334666666669</v>
      </c>
      <c r="AA475" s="376">
        <f t="shared" si="2719"/>
        <v>28.00000166666667</v>
      </c>
      <c r="AB475" s="376">
        <f t="shared" si="2719"/>
        <v>32.666668666666666</v>
      </c>
      <c r="AC475" s="376">
        <f t="shared" si="2719"/>
        <v>37.33333566666667</v>
      </c>
      <c r="AD475" s="376">
        <f t="shared" si="2719"/>
        <v>42.000002666666674</v>
      </c>
      <c r="AE475" s="376">
        <f t="shared" si="2719"/>
        <v>46.666669666666678</v>
      </c>
      <c r="AF475" s="376">
        <f t="shared" si="2719"/>
        <v>51.333336666666682</v>
      </c>
      <c r="AG475" s="263">
        <f t="shared" si="2719"/>
        <v>56.000003666666686</v>
      </c>
      <c r="AH475" s="31"/>
      <c r="AI475" s="19"/>
      <c r="AJ475" s="19"/>
      <c r="AK475" s="408"/>
      <c r="AL475" s="40">
        <f>J475</f>
        <v>1</v>
      </c>
      <c r="AM475" s="40">
        <f>K475-J475</f>
        <v>1</v>
      </c>
      <c r="AN475" s="40">
        <f t="shared" ref="AN475:AN481" si="2720">L475-K475</f>
        <v>1</v>
      </c>
      <c r="AO475" s="40">
        <f t="shared" ref="AO475:AO481" si="2721">M475-L475</f>
        <v>1</v>
      </c>
      <c r="AP475" s="40">
        <f t="shared" ref="AP475:AP481" si="2722">N475-M475</f>
        <v>1</v>
      </c>
      <c r="AQ475" s="40">
        <f t="shared" ref="AQ475:AQ481" si="2723">O475-N475</f>
        <v>1</v>
      </c>
      <c r="AR475" s="40">
        <f t="shared" ref="AR475:AR481" si="2724">P475-O475</f>
        <v>1</v>
      </c>
      <c r="AS475" s="40">
        <f t="shared" ref="AS475:AS481" si="2725">Q475-P475</f>
        <v>1</v>
      </c>
      <c r="AT475" s="40">
        <f t="shared" ref="AT475:AT481" si="2726">R475-Q475</f>
        <v>1</v>
      </c>
      <c r="AU475" s="40">
        <f t="shared" ref="AU475:AU481" si="2727">S475-R475</f>
        <v>1</v>
      </c>
      <c r="AV475" s="40">
        <f t="shared" ref="AV475:AV481" si="2728">T475-S475</f>
        <v>1</v>
      </c>
      <c r="AW475" s="40">
        <f t="shared" ref="AW475:AW481" si="2729">U475-T475</f>
        <v>1</v>
      </c>
      <c r="AX475" s="40">
        <f>V475</f>
        <v>4.666666666666667</v>
      </c>
      <c r="AY475" s="40">
        <f t="shared" ref="AY475:AY481" si="2730">W475-V475</f>
        <v>4.6666670000000012</v>
      </c>
      <c r="AZ475" s="40">
        <f t="shared" ref="AZ475:AZ481" si="2731">X475-W475</f>
        <v>4.6666670000000003</v>
      </c>
      <c r="BA475" s="40">
        <f t="shared" ref="BA475:BA481" si="2732">Y475-X475</f>
        <v>4.6666670000000003</v>
      </c>
      <c r="BB475" s="40">
        <f t="shared" ref="BB475:BB481" si="2733">Z475-Y475</f>
        <v>4.6666670000000003</v>
      </c>
      <c r="BC475" s="40">
        <f t="shared" ref="BC475:BC481" si="2734">AA475-Z475</f>
        <v>4.6666670000000003</v>
      </c>
      <c r="BD475" s="40">
        <f t="shared" ref="BD475:BD481" si="2735">AB475-AA475</f>
        <v>4.6666669999999968</v>
      </c>
      <c r="BE475" s="40">
        <f t="shared" ref="BE475:BE481" si="2736">AC475-AB475</f>
        <v>4.6666670000000039</v>
      </c>
      <c r="BF475" s="40">
        <f t="shared" ref="BF475:BF481" si="2737">AD475-AC475</f>
        <v>4.6666670000000039</v>
      </c>
      <c r="BG475" s="40">
        <f t="shared" ref="BG475:BG481" si="2738">AE475-AD475</f>
        <v>4.6666670000000039</v>
      </c>
      <c r="BH475" s="40">
        <f t="shared" ref="BH475:BH481" si="2739">AF475-AE475</f>
        <v>4.6666670000000039</v>
      </c>
      <c r="BI475" s="40">
        <f t="shared" ref="BI475:BI481" si="2740">AG475-AF475</f>
        <v>4.6666670000000039</v>
      </c>
      <c r="BJ475" s="40">
        <f t="shared" ref="BJ475:BJ480" si="2741">AH475</f>
        <v>0</v>
      </c>
      <c r="BK475" s="40">
        <f t="shared" ref="BK475:BK481" si="2742">AI475-AH475</f>
        <v>0</v>
      </c>
      <c r="BL475" s="40">
        <f t="shared" ref="BL475:BL481" si="2743">AJ475-AI475</f>
        <v>0</v>
      </c>
      <c r="BM475" s="408"/>
      <c r="BN475" s="48">
        <f t="shared" si="2669"/>
        <v>3</v>
      </c>
      <c r="BO475" s="48">
        <f t="shared" si="2670"/>
        <v>3</v>
      </c>
      <c r="BP475" s="48">
        <f t="shared" ref="BP475:BP480" si="2744">SUM(AL475:AN475)</f>
        <v>3</v>
      </c>
      <c r="BQ475" s="48">
        <f t="shared" si="2672"/>
        <v>3</v>
      </c>
      <c r="BR475" s="48">
        <f t="shared" si="2673"/>
        <v>3</v>
      </c>
      <c r="BS475" s="48">
        <f t="shared" ref="BS475:BS481" si="2745">SUM(AO475:AQ475)</f>
        <v>3</v>
      </c>
      <c r="BT475" s="48">
        <f t="shared" si="2675"/>
        <v>3</v>
      </c>
      <c r="BU475" s="48">
        <f t="shared" si="2676"/>
        <v>3</v>
      </c>
      <c r="BV475" s="48">
        <f t="shared" ref="BV475:BV481" si="2746">SUM(AR475:AT475)</f>
        <v>3</v>
      </c>
      <c r="BW475" s="48">
        <f t="shared" si="2678"/>
        <v>3</v>
      </c>
      <c r="BX475" s="48">
        <f t="shared" si="2679"/>
        <v>3</v>
      </c>
      <c r="BY475" s="48">
        <f t="shared" ref="BY475:BY481" si="2747">SUM(AU475:AW475)</f>
        <v>3</v>
      </c>
      <c r="BZ475" s="48">
        <f>SUM(AX475:AX475)</f>
        <v>4.666666666666667</v>
      </c>
      <c r="CA475" s="48">
        <f>SUM(AX475:AY475)</f>
        <v>9.3333336666666682</v>
      </c>
      <c r="CB475" s="48">
        <f t="shared" si="2704"/>
        <v>14.000000666666669</v>
      </c>
      <c r="CC475" s="48">
        <f>SUM($BA475:BA475)</f>
        <v>4.6666670000000003</v>
      </c>
      <c r="CD475" s="48">
        <f>SUM($BA475:BB475)</f>
        <v>9.3333340000000007</v>
      </c>
      <c r="CE475" s="48">
        <f>SUM(BA475:BC475)</f>
        <v>14.000001000000001</v>
      </c>
      <c r="CF475" s="48">
        <f t="shared" si="2686"/>
        <v>14.000001000000005</v>
      </c>
      <c r="CG475" s="48">
        <f t="shared" si="2687"/>
        <v>14.000001000000005</v>
      </c>
      <c r="CH475" s="48">
        <f>SUM(BD475:BF475)</f>
        <v>14.000001000000005</v>
      </c>
      <c r="CI475" s="48">
        <f t="shared" si="2689"/>
        <v>14.000001000000012</v>
      </c>
      <c r="CJ475" s="48">
        <f t="shared" si="2690"/>
        <v>14.000001000000012</v>
      </c>
      <c r="CK475" s="48">
        <f>SUM(BG475:BI475)</f>
        <v>14.000001000000012</v>
      </c>
      <c r="CL475" s="48">
        <f t="shared" si="2692"/>
        <v>0</v>
      </c>
      <c r="CM475" s="48">
        <f t="shared" si="2693"/>
        <v>0</v>
      </c>
      <c r="CN475" s="48">
        <f>SUM(BJ475:BL475)</f>
        <v>0</v>
      </c>
      <c r="CO475" s="406"/>
      <c r="CP475" s="48">
        <f>AL475</f>
        <v>1</v>
      </c>
      <c r="CQ475" s="48">
        <f t="shared" ref="CQ475:CQ481" si="2748">CP475+AM475</f>
        <v>2</v>
      </c>
      <c r="CR475" s="48">
        <f t="shared" ref="CR475:CR481" si="2749">CQ475+AN475</f>
        <v>3</v>
      </c>
      <c r="CS475" s="48">
        <f t="shared" ref="CS475:CS481" si="2750">CR475+AO475</f>
        <v>4</v>
      </c>
      <c r="CT475" s="48">
        <f t="shared" ref="CT475:CT481" si="2751">CS475+AP475</f>
        <v>5</v>
      </c>
      <c r="CU475" s="48">
        <f t="shared" ref="CU475:CU481" si="2752">CT475+AQ475</f>
        <v>6</v>
      </c>
      <c r="CV475" s="48">
        <f t="shared" ref="CV475:CV481" si="2753">CU475+AR475</f>
        <v>7</v>
      </c>
      <c r="CW475" s="48">
        <f t="shared" ref="CW475:CW481" si="2754">CV475+AS475</f>
        <v>8</v>
      </c>
      <c r="CX475" s="48">
        <f t="shared" ref="CX475:CX481" si="2755">CW475+AT475</f>
        <v>9</v>
      </c>
      <c r="CY475" s="48">
        <f t="shared" ref="CY475:CY481" si="2756">CX475+AU475</f>
        <v>10</v>
      </c>
      <c r="CZ475" s="48">
        <f t="shared" ref="CZ475:CZ481" si="2757">CY475+AV475</f>
        <v>11</v>
      </c>
      <c r="DA475" s="48">
        <f t="shared" ref="DA475:DA481" si="2758">CZ475+AW475</f>
        <v>12</v>
      </c>
      <c r="DB475" s="48">
        <f>AX475</f>
        <v>4.666666666666667</v>
      </c>
      <c r="DC475" s="48">
        <f t="shared" ref="DC475:DC481" si="2759">DB475+AY475</f>
        <v>9.3333336666666682</v>
      </c>
      <c r="DD475" s="48">
        <f t="shared" ref="DD475:DD481" si="2760">DC475+AZ475</f>
        <v>14.000000666666669</v>
      </c>
      <c r="DE475" s="48">
        <f t="shared" ref="DE475:DE481" si="2761">DD475+BA475</f>
        <v>18.666667666666669</v>
      </c>
      <c r="DF475" s="48">
        <f t="shared" ref="DF475:DF481" si="2762">DE475+BB475</f>
        <v>23.333334666666669</v>
      </c>
      <c r="DG475" s="48">
        <f t="shared" ref="DG475:DG481" si="2763">DF475+BC475</f>
        <v>28.00000166666667</v>
      </c>
      <c r="DH475" s="48">
        <f t="shared" ref="DH475:DH481" si="2764">DG475+BD475</f>
        <v>32.666668666666666</v>
      </c>
      <c r="DI475" s="48">
        <f t="shared" ref="DI475:DI481" si="2765">DH475+BE475</f>
        <v>37.33333566666667</v>
      </c>
      <c r="DJ475" s="48">
        <f t="shared" ref="DJ475:DJ481" si="2766">DI475+BF475</f>
        <v>42.000002666666674</v>
      </c>
      <c r="DK475" s="48">
        <f t="shared" ref="DK475:DK481" si="2767">DJ475+BG475</f>
        <v>46.666669666666678</v>
      </c>
      <c r="DL475" s="48">
        <f t="shared" ref="DL475:DL481" si="2768">DK475+BH475</f>
        <v>51.333336666666682</v>
      </c>
      <c r="DM475" s="48">
        <f t="shared" ref="DM475:DM481" si="2769">DL475+BI475</f>
        <v>56.000003666666686</v>
      </c>
      <c r="DN475" s="48">
        <f t="shared" ref="DN475:DN480" si="2770">BJ475</f>
        <v>0</v>
      </c>
      <c r="DO475" s="48">
        <f>DN475+BK475</f>
        <v>0</v>
      </c>
      <c r="DP475" s="48">
        <f>DO475+BL475</f>
        <v>0</v>
      </c>
      <c r="DQ475" s="48"/>
      <c r="DR475" s="48"/>
      <c r="DS475" s="48"/>
      <c r="DT475" s="48"/>
      <c r="DU475" s="48"/>
      <c r="DV475" s="48"/>
      <c r="DW475" s="48"/>
      <c r="DX475" s="48"/>
      <c r="DY475" s="48"/>
      <c r="EA475" s="52">
        <f t="shared" si="2701"/>
        <v>12</v>
      </c>
      <c r="EB475" s="52">
        <f t="shared" si="2702"/>
        <v>56.000003666666686</v>
      </c>
      <c r="EC475" s="52"/>
      <c r="ED475" s="429"/>
      <c r="EE475" s="40">
        <f t="shared" si="2666"/>
        <v>0</v>
      </c>
      <c r="EF475" s="40">
        <f t="shared" si="2667"/>
        <v>0</v>
      </c>
      <c r="EG475" s="51">
        <f t="shared" si="2712"/>
        <v>56.000003666666686</v>
      </c>
      <c r="EH475" s="54"/>
      <c r="EI475" s="54"/>
      <c r="EJ475" s="54"/>
      <c r="EK475" s="675"/>
      <c r="EL475" s="53"/>
      <c r="EM475" s="53"/>
      <c r="EN475" s="53"/>
      <c r="EO475" s="49"/>
      <c r="EP475" s="49"/>
      <c r="EQ475" s="49"/>
    </row>
    <row r="476" spans="1:149">
      <c r="A476" s="6" t="s">
        <v>23</v>
      </c>
      <c r="B476" s="2" t="s">
        <v>9</v>
      </c>
      <c r="C476" s="3" t="s">
        <v>46</v>
      </c>
      <c r="E476" s="3" t="s">
        <v>16</v>
      </c>
      <c r="G476" s="3" t="s">
        <v>91</v>
      </c>
      <c r="I476" s="183"/>
      <c r="J476" s="180">
        <v>46.666666666666664</v>
      </c>
      <c r="K476" s="180">
        <v>93.333333366666665</v>
      </c>
      <c r="L476" s="180">
        <v>140.00000006666667</v>
      </c>
      <c r="M476" s="180">
        <v>186.66666676666668</v>
      </c>
      <c r="N476" s="180">
        <v>233.33333346666669</v>
      </c>
      <c r="O476" s="180">
        <v>280.00000016666667</v>
      </c>
      <c r="P476" s="180">
        <v>326.66666686666667</v>
      </c>
      <c r="Q476" s="180">
        <v>373.33333356666668</v>
      </c>
      <c r="R476" s="180">
        <v>420.00000026666669</v>
      </c>
      <c r="S476" s="180">
        <v>466.6666669666667</v>
      </c>
      <c r="T476" s="180">
        <v>513.3333336666667</v>
      </c>
      <c r="U476" s="180">
        <v>560.00000036666665</v>
      </c>
      <c r="V476" s="219">
        <f>362/12</f>
        <v>30.166666666666668</v>
      </c>
      <c r="W476" s="246">
        <f>V476+30.1667</f>
        <v>60.333366666666663</v>
      </c>
      <c r="X476" s="376">
        <f t="shared" ref="X476:AG476" si="2771">W476+30.1667</f>
        <v>90.500066666666669</v>
      </c>
      <c r="Y476" s="376">
        <f t="shared" si="2771"/>
        <v>120.66676666666666</v>
      </c>
      <c r="Z476" s="376">
        <f t="shared" si="2771"/>
        <v>150.83346666666665</v>
      </c>
      <c r="AA476" s="376">
        <f t="shared" si="2771"/>
        <v>181.00016666666664</v>
      </c>
      <c r="AB476" s="376">
        <f t="shared" si="2771"/>
        <v>211.16686666666664</v>
      </c>
      <c r="AC476" s="376">
        <f t="shared" si="2771"/>
        <v>241.33356666666663</v>
      </c>
      <c r="AD476" s="376">
        <f t="shared" si="2771"/>
        <v>271.50026666666662</v>
      </c>
      <c r="AE476" s="376">
        <f t="shared" si="2771"/>
        <v>301.66696666666661</v>
      </c>
      <c r="AF476" s="376">
        <f t="shared" si="2771"/>
        <v>331.8336666666666</v>
      </c>
      <c r="AG476" s="263">
        <f t="shared" si="2771"/>
        <v>362.00036666666659</v>
      </c>
      <c r="AH476" s="31">
        <f>368/12</f>
        <v>30.666666666666668</v>
      </c>
      <c r="AI476" s="19">
        <f>AH476+AH476</f>
        <v>61.333333333333336</v>
      </c>
      <c r="AJ476" s="19">
        <f>+AI476+AH476</f>
        <v>92</v>
      </c>
      <c r="AK476" s="408"/>
      <c r="AL476" s="40">
        <f t="shared" ref="AL476:AL481" si="2772">J476</f>
        <v>46.666666666666664</v>
      </c>
      <c r="AM476" s="40">
        <f t="shared" ref="AM476:AM481" si="2773">K476-J476</f>
        <v>46.6666667</v>
      </c>
      <c r="AN476" s="40">
        <f t="shared" si="2720"/>
        <v>46.666666700000007</v>
      </c>
      <c r="AO476" s="40">
        <f t="shared" si="2721"/>
        <v>46.666666700000007</v>
      </c>
      <c r="AP476" s="40">
        <f t="shared" si="2722"/>
        <v>46.666666700000007</v>
      </c>
      <c r="AQ476" s="40">
        <f t="shared" si="2723"/>
        <v>46.666666699999979</v>
      </c>
      <c r="AR476" s="40">
        <f t="shared" si="2724"/>
        <v>46.666666700000007</v>
      </c>
      <c r="AS476" s="40">
        <f t="shared" si="2725"/>
        <v>46.666666700000007</v>
      </c>
      <c r="AT476" s="40">
        <f t="shared" si="2726"/>
        <v>46.666666700000007</v>
      </c>
      <c r="AU476" s="40">
        <f t="shared" si="2727"/>
        <v>46.666666700000007</v>
      </c>
      <c r="AV476" s="40">
        <f t="shared" si="2728"/>
        <v>46.666666700000007</v>
      </c>
      <c r="AW476" s="40">
        <f t="shared" si="2729"/>
        <v>46.666666699999951</v>
      </c>
      <c r="AX476" s="40">
        <f t="shared" ref="AX476:AX481" si="2774">V476</f>
        <v>30.166666666666668</v>
      </c>
      <c r="AY476" s="40">
        <f t="shared" si="2730"/>
        <v>30.166699999999995</v>
      </c>
      <c r="AZ476" s="40">
        <f t="shared" si="2731"/>
        <v>30.166700000000006</v>
      </c>
      <c r="BA476" s="40">
        <f t="shared" si="2732"/>
        <v>30.166699999999992</v>
      </c>
      <c r="BB476" s="40">
        <f t="shared" si="2733"/>
        <v>30.166699999999992</v>
      </c>
      <c r="BC476" s="40">
        <f t="shared" si="2734"/>
        <v>30.166699999999992</v>
      </c>
      <c r="BD476" s="40">
        <f t="shared" si="2735"/>
        <v>30.166699999999992</v>
      </c>
      <c r="BE476" s="40">
        <f t="shared" si="2736"/>
        <v>30.166699999999992</v>
      </c>
      <c r="BF476" s="40">
        <f t="shared" si="2737"/>
        <v>30.166699999999992</v>
      </c>
      <c r="BG476" s="40">
        <f t="shared" si="2738"/>
        <v>30.166699999999992</v>
      </c>
      <c r="BH476" s="40">
        <f t="shared" si="2739"/>
        <v>30.166699999999992</v>
      </c>
      <c r="BI476" s="40">
        <f t="shared" si="2740"/>
        <v>30.166699999999992</v>
      </c>
      <c r="BJ476" s="40">
        <f t="shared" si="2741"/>
        <v>30.666666666666668</v>
      </c>
      <c r="BK476" s="40">
        <f t="shared" ref="BK476" si="2775">AI476</f>
        <v>61.333333333333336</v>
      </c>
      <c r="BL476" s="40">
        <f t="shared" ref="BL476" si="2776">AJ476</f>
        <v>92</v>
      </c>
      <c r="BM476" s="408"/>
      <c r="BN476" s="48">
        <f t="shared" si="2669"/>
        <v>140.00000006666667</v>
      </c>
      <c r="BO476" s="48">
        <f t="shared" si="2670"/>
        <v>140.00000006666667</v>
      </c>
      <c r="BP476" s="48">
        <f t="shared" si="2744"/>
        <v>140.00000006666667</v>
      </c>
      <c r="BQ476" s="48">
        <f t="shared" si="2672"/>
        <v>140.00000009999999</v>
      </c>
      <c r="BR476" s="48">
        <f t="shared" si="2673"/>
        <v>140.00000009999999</v>
      </c>
      <c r="BS476" s="48">
        <f t="shared" si="2745"/>
        <v>140.00000009999999</v>
      </c>
      <c r="BT476" s="48">
        <f t="shared" si="2675"/>
        <v>140.00000010000002</v>
      </c>
      <c r="BU476" s="48">
        <f t="shared" si="2676"/>
        <v>140.00000010000002</v>
      </c>
      <c r="BV476" s="48">
        <f t="shared" si="2746"/>
        <v>140.00000010000002</v>
      </c>
      <c r="BW476" s="48">
        <f t="shared" si="2678"/>
        <v>140.00000009999997</v>
      </c>
      <c r="BX476" s="48">
        <f t="shared" si="2679"/>
        <v>140.00000009999997</v>
      </c>
      <c r="BY476" s="48">
        <f t="shared" si="2747"/>
        <v>140.00000009999997</v>
      </c>
      <c r="BZ476" s="48">
        <f t="shared" si="2681"/>
        <v>90.500066666666669</v>
      </c>
      <c r="CA476" s="48">
        <f t="shared" si="2682"/>
        <v>90.500066666666669</v>
      </c>
      <c r="CB476" s="48">
        <f t="shared" si="2704"/>
        <v>90.500066666666669</v>
      </c>
      <c r="CC476" s="48">
        <f t="shared" si="2683"/>
        <v>30.166699999999995</v>
      </c>
      <c r="CD476" s="48">
        <f t="shared" si="2684"/>
        <v>30.166699999999995</v>
      </c>
      <c r="CE476" s="56">
        <f>IF(CE475=0,0,(BA476*BA475+BB476*BB475+BC476*BC475)/CE475)</f>
        <v>30.166699999999995</v>
      </c>
      <c r="CF476" s="48">
        <f t="shared" si="2686"/>
        <v>30.166699999999995</v>
      </c>
      <c r="CG476" s="48">
        <f t="shared" si="2687"/>
        <v>30.166699999999995</v>
      </c>
      <c r="CH476" s="56">
        <f>IF(CH475=0,0,(BD476*BD475+BE476*BE475+BF476*BF475)/CH475)</f>
        <v>30.166699999999995</v>
      </c>
      <c r="CI476" s="48">
        <f t="shared" si="2689"/>
        <v>30.166699999999988</v>
      </c>
      <c r="CJ476" s="48">
        <f t="shared" si="2690"/>
        <v>30.166699999999988</v>
      </c>
      <c r="CK476" s="56">
        <f>IF(CK475=0,0,(BG476*BG475+BH476*BH475+BI476*BI475)/CK475)</f>
        <v>30.166699999999988</v>
      </c>
      <c r="CL476" s="48">
        <f t="shared" si="2692"/>
        <v>184</v>
      </c>
      <c r="CM476" s="48">
        <f t="shared" si="2693"/>
        <v>184</v>
      </c>
      <c r="CN476" s="48">
        <f>SUM(BJ476:BL476)</f>
        <v>184</v>
      </c>
      <c r="CO476" s="406"/>
      <c r="CP476" s="48">
        <f t="shared" ref="CP476:CP481" si="2777">AL476</f>
        <v>46.666666666666664</v>
      </c>
      <c r="CQ476" s="48">
        <f t="shared" si="2748"/>
        <v>93.333333366666665</v>
      </c>
      <c r="CR476" s="48">
        <f t="shared" si="2749"/>
        <v>140.00000006666667</v>
      </c>
      <c r="CS476" s="48">
        <f t="shared" si="2750"/>
        <v>186.66666676666668</v>
      </c>
      <c r="CT476" s="48">
        <f t="shared" si="2751"/>
        <v>233.33333346666669</v>
      </c>
      <c r="CU476" s="48">
        <f t="shared" si="2752"/>
        <v>280.00000016666667</v>
      </c>
      <c r="CV476" s="48">
        <f t="shared" si="2753"/>
        <v>326.66666686666667</v>
      </c>
      <c r="CW476" s="48">
        <f t="shared" si="2754"/>
        <v>373.33333356666668</v>
      </c>
      <c r="CX476" s="48">
        <f t="shared" si="2755"/>
        <v>420.00000026666669</v>
      </c>
      <c r="CY476" s="48">
        <f t="shared" si="2756"/>
        <v>466.6666669666667</v>
      </c>
      <c r="CZ476" s="48">
        <f t="shared" si="2757"/>
        <v>513.3333336666667</v>
      </c>
      <c r="DA476" s="48">
        <f t="shared" si="2758"/>
        <v>560.00000036666665</v>
      </c>
      <c r="DB476" s="48">
        <f t="shared" ref="DB476:DB481" si="2778">AX476</f>
        <v>30.166666666666668</v>
      </c>
      <c r="DC476" s="48">
        <f t="shared" si="2759"/>
        <v>60.333366666666663</v>
      </c>
      <c r="DD476" s="48">
        <f t="shared" si="2760"/>
        <v>90.500066666666669</v>
      </c>
      <c r="DE476" s="48">
        <f t="shared" si="2761"/>
        <v>120.66676666666666</v>
      </c>
      <c r="DF476" s="48">
        <f t="shared" si="2762"/>
        <v>150.83346666666665</v>
      </c>
      <c r="DG476" s="48">
        <f t="shared" si="2763"/>
        <v>181.00016666666664</v>
      </c>
      <c r="DH476" s="48">
        <f t="shared" si="2764"/>
        <v>211.16686666666664</v>
      </c>
      <c r="DI476" s="48">
        <f t="shared" si="2765"/>
        <v>241.33356666666663</v>
      </c>
      <c r="DJ476" s="48">
        <f t="shared" si="2766"/>
        <v>271.50026666666662</v>
      </c>
      <c r="DK476" s="48">
        <f t="shared" si="2767"/>
        <v>301.66696666666661</v>
      </c>
      <c r="DL476" s="48">
        <f t="shared" si="2768"/>
        <v>331.8336666666666</v>
      </c>
      <c r="DM476" s="48">
        <f t="shared" si="2769"/>
        <v>362.00036666666659</v>
      </c>
      <c r="DN476" s="48">
        <f t="shared" si="2770"/>
        <v>30.666666666666668</v>
      </c>
      <c r="DO476" s="48">
        <f t="shared" ref="DO476:DO481" si="2779">DN476+BK476</f>
        <v>92</v>
      </c>
      <c r="DP476" s="48">
        <f t="shared" ref="DP476:DP481" si="2780">DO476+BL476</f>
        <v>184</v>
      </c>
      <c r="DQ476" s="48"/>
      <c r="DR476" s="48"/>
      <c r="DS476" s="48"/>
      <c r="DT476" s="48"/>
      <c r="DU476" s="48"/>
      <c r="DV476" s="48"/>
      <c r="DW476" s="48"/>
      <c r="DX476" s="48"/>
      <c r="DY476" s="48"/>
      <c r="EA476" s="52">
        <f t="shared" si="2701"/>
        <v>560.00000036666665</v>
      </c>
      <c r="EB476" s="52">
        <f t="shared" si="2702"/>
        <v>362.00036666666659</v>
      </c>
      <c r="EC476" s="52"/>
      <c r="ED476" s="429"/>
      <c r="EE476" s="40">
        <f t="shared" si="2666"/>
        <v>61.333333333333336</v>
      </c>
      <c r="EF476" s="40">
        <f t="shared" si="2667"/>
        <v>184</v>
      </c>
      <c r="EG476" s="51">
        <v>1098</v>
      </c>
      <c r="EH476" s="54"/>
      <c r="EI476" s="54"/>
      <c r="EJ476" s="54"/>
      <c r="EK476" s="675"/>
      <c r="EL476" s="53"/>
      <c r="EM476" s="53"/>
      <c r="EN476" s="53"/>
      <c r="EO476" s="49"/>
      <c r="EP476" s="49"/>
      <c r="EQ476" s="49"/>
    </row>
    <row r="477" spans="1:149">
      <c r="A477" s="6" t="s">
        <v>23</v>
      </c>
      <c r="B477" s="2" t="s">
        <v>10</v>
      </c>
      <c r="C477" s="3" t="s">
        <v>47</v>
      </c>
      <c r="E477" s="3" t="s">
        <v>16</v>
      </c>
      <c r="G477" s="3" t="s">
        <v>91</v>
      </c>
      <c r="I477" s="183"/>
      <c r="J477" s="246">
        <f>J476*0.1</f>
        <v>4.666666666666667</v>
      </c>
      <c r="K477" s="180">
        <f t="shared" ref="K477:U477" si="2781">K476*0.1</f>
        <v>9.3333333366666675</v>
      </c>
      <c r="L477" s="180">
        <f t="shared" si="2781"/>
        <v>14.000000006666667</v>
      </c>
      <c r="M477" s="180">
        <f t="shared" si="2781"/>
        <v>18.666666676666669</v>
      </c>
      <c r="N477" s="180">
        <f t="shared" si="2781"/>
        <v>23.33333334666667</v>
      </c>
      <c r="O477" s="180">
        <f t="shared" si="2781"/>
        <v>28.000000016666668</v>
      </c>
      <c r="P477" s="180">
        <f t="shared" si="2781"/>
        <v>32.666666686666666</v>
      </c>
      <c r="Q477" s="180">
        <f t="shared" si="2781"/>
        <v>37.333333356666671</v>
      </c>
      <c r="R477" s="180">
        <f t="shared" si="2781"/>
        <v>42.000000026666669</v>
      </c>
      <c r="S477" s="180">
        <f t="shared" si="2781"/>
        <v>46.666666696666674</v>
      </c>
      <c r="T477" s="180">
        <f t="shared" si="2781"/>
        <v>51.333333366666672</v>
      </c>
      <c r="U477" s="180">
        <f t="shared" si="2781"/>
        <v>56.00000003666667</v>
      </c>
      <c r="V477" s="219">
        <f>54/12</f>
        <v>4.5</v>
      </c>
      <c r="W477" s="246">
        <f>V477+4.5</f>
        <v>9</v>
      </c>
      <c r="X477" s="376">
        <f t="shared" ref="X477:AG477" si="2782">W477+4.5</f>
        <v>13.5</v>
      </c>
      <c r="Y477" s="376">
        <f t="shared" si="2782"/>
        <v>18</v>
      </c>
      <c r="Z477" s="376">
        <f t="shared" si="2782"/>
        <v>22.5</v>
      </c>
      <c r="AA477" s="376">
        <f t="shared" si="2782"/>
        <v>27</v>
      </c>
      <c r="AB477" s="376">
        <f t="shared" si="2782"/>
        <v>31.5</v>
      </c>
      <c r="AC477" s="376">
        <f t="shared" si="2782"/>
        <v>36</v>
      </c>
      <c r="AD477" s="376">
        <f t="shared" si="2782"/>
        <v>40.5</v>
      </c>
      <c r="AE477" s="376">
        <f t="shared" si="2782"/>
        <v>45</v>
      </c>
      <c r="AF477" s="376">
        <f t="shared" si="2782"/>
        <v>49.5</v>
      </c>
      <c r="AG477" s="376">
        <f t="shared" si="2782"/>
        <v>54</v>
      </c>
      <c r="AH477" s="31"/>
      <c r="AI477" s="19"/>
      <c r="AJ477" s="19"/>
      <c r="AK477" s="408"/>
      <c r="AL477" s="40">
        <f t="shared" si="2772"/>
        <v>4.666666666666667</v>
      </c>
      <c r="AM477" s="40">
        <f t="shared" si="2773"/>
        <v>4.6666666700000006</v>
      </c>
      <c r="AN477" s="40">
        <f t="shared" si="2720"/>
        <v>4.6666666699999997</v>
      </c>
      <c r="AO477" s="40">
        <f t="shared" si="2721"/>
        <v>4.6666666700000015</v>
      </c>
      <c r="AP477" s="40">
        <f t="shared" si="2722"/>
        <v>4.6666666700000015</v>
      </c>
      <c r="AQ477" s="40">
        <f t="shared" si="2723"/>
        <v>4.6666666699999979</v>
      </c>
      <c r="AR477" s="40">
        <f t="shared" si="2724"/>
        <v>4.6666666699999979</v>
      </c>
      <c r="AS477" s="40">
        <f t="shared" si="2725"/>
        <v>4.666666670000005</v>
      </c>
      <c r="AT477" s="40">
        <f t="shared" si="2726"/>
        <v>4.6666666699999979</v>
      </c>
      <c r="AU477" s="40">
        <f t="shared" si="2727"/>
        <v>4.666666670000005</v>
      </c>
      <c r="AV477" s="40">
        <f t="shared" si="2728"/>
        <v>4.6666666699999979</v>
      </c>
      <c r="AW477" s="40">
        <f t="shared" si="2729"/>
        <v>4.6666666699999979</v>
      </c>
      <c r="AX477" s="40">
        <f t="shared" si="2774"/>
        <v>4.5</v>
      </c>
      <c r="AY477" s="40">
        <f t="shared" si="2730"/>
        <v>4.5</v>
      </c>
      <c r="AZ477" s="40">
        <f t="shared" si="2731"/>
        <v>4.5</v>
      </c>
      <c r="BA477" s="40">
        <f t="shared" si="2732"/>
        <v>4.5</v>
      </c>
      <c r="BB477" s="40">
        <f t="shared" si="2733"/>
        <v>4.5</v>
      </c>
      <c r="BC477" s="40">
        <f t="shared" si="2734"/>
        <v>4.5</v>
      </c>
      <c r="BD477" s="40">
        <f t="shared" si="2735"/>
        <v>4.5</v>
      </c>
      <c r="BE477" s="40">
        <f t="shared" si="2736"/>
        <v>4.5</v>
      </c>
      <c r="BF477" s="40">
        <f t="shared" si="2737"/>
        <v>4.5</v>
      </c>
      <c r="BG477" s="40">
        <f t="shared" si="2738"/>
        <v>4.5</v>
      </c>
      <c r="BH477" s="40">
        <f t="shared" si="2739"/>
        <v>4.5</v>
      </c>
      <c r="BI477" s="40">
        <f t="shared" si="2740"/>
        <v>4.5</v>
      </c>
      <c r="BJ477" s="40">
        <f t="shared" si="2741"/>
        <v>0</v>
      </c>
      <c r="BK477" s="40">
        <f t="shared" si="2742"/>
        <v>0</v>
      </c>
      <c r="BL477" s="40">
        <f t="shared" si="2743"/>
        <v>0</v>
      </c>
      <c r="BM477" s="408"/>
      <c r="BN477" s="48">
        <f t="shared" si="2669"/>
        <v>14.000000006666667</v>
      </c>
      <c r="BO477" s="48">
        <f t="shared" si="2670"/>
        <v>14.000000006666667</v>
      </c>
      <c r="BP477" s="48">
        <f t="shared" si="2744"/>
        <v>14.000000006666667</v>
      </c>
      <c r="BQ477" s="48">
        <f t="shared" si="2672"/>
        <v>14.000000010000001</v>
      </c>
      <c r="BR477" s="48">
        <f t="shared" si="2673"/>
        <v>14.000000010000001</v>
      </c>
      <c r="BS477" s="48">
        <f t="shared" si="2745"/>
        <v>14.000000010000001</v>
      </c>
      <c r="BT477" s="48">
        <f t="shared" si="2675"/>
        <v>14.000000010000001</v>
      </c>
      <c r="BU477" s="48">
        <f t="shared" si="2676"/>
        <v>14.000000010000001</v>
      </c>
      <c r="BV477" s="48">
        <f t="shared" si="2746"/>
        <v>14.000000010000001</v>
      </c>
      <c r="BW477" s="48">
        <f t="shared" si="2678"/>
        <v>14.000000010000001</v>
      </c>
      <c r="BX477" s="48">
        <f t="shared" si="2679"/>
        <v>14.000000010000001</v>
      </c>
      <c r="BY477" s="48">
        <f t="shared" si="2747"/>
        <v>14.000000010000001</v>
      </c>
      <c r="BZ477" s="48">
        <f t="shared" si="2681"/>
        <v>13.5</v>
      </c>
      <c r="CA477" s="48">
        <f t="shared" si="2682"/>
        <v>13.5</v>
      </c>
      <c r="CB477" s="48">
        <f t="shared" si="2704"/>
        <v>13.5</v>
      </c>
      <c r="CC477" s="48">
        <f t="shared" si="2683"/>
        <v>13.5</v>
      </c>
      <c r="CD477" s="48">
        <f t="shared" si="2684"/>
        <v>13.5</v>
      </c>
      <c r="CE477" s="48">
        <f>SUM(BA477:BC477)</f>
        <v>13.5</v>
      </c>
      <c r="CF477" s="48">
        <f t="shared" si="2686"/>
        <v>13.5</v>
      </c>
      <c r="CG477" s="48">
        <f t="shared" si="2687"/>
        <v>13.5</v>
      </c>
      <c r="CH477" s="48">
        <f>SUM(BD477:BF477)</f>
        <v>13.5</v>
      </c>
      <c r="CI477" s="48">
        <f t="shared" si="2689"/>
        <v>13.5</v>
      </c>
      <c r="CJ477" s="48">
        <f t="shared" si="2690"/>
        <v>13.5</v>
      </c>
      <c r="CK477" s="48">
        <f>SUM(BG477:BI477)</f>
        <v>13.5</v>
      </c>
      <c r="CL477" s="48">
        <f t="shared" si="2692"/>
        <v>0</v>
      </c>
      <c r="CM477" s="48">
        <f t="shared" si="2693"/>
        <v>0</v>
      </c>
      <c r="CN477" s="48">
        <f>SUM(BJ477:BL477)</f>
        <v>0</v>
      </c>
      <c r="CO477" s="406"/>
      <c r="CP477" s="48">
        <f t="shared" si="2777"/>
        <v>4.666666666666667</v>
      </c>
      <c r="CQ477" s="48">
        <f t="shared" si="2748"/>
        <v>9.3333333366666675</v>
      </c>
      <c r="CR477" s="48">
        <f t="shared" si="2749"/>
        <v>14.000000006666667</v>
      </c>
      <c r="CS477" s="48">
        <f t="shared" si="2750"/>
        <v>18.666666676666669</v>
      </c>
      <c r="CT477" s="48">
        <f t="shared" si="2751"/>
        <v>23.33333334666667</v>
      </c>
      <c r="CU477" s="48">
        <f t="shared" si="2752"/>
        <v>28.000000016666668</v>
      </c>
      <c r="CV477" s="48">
        <f t="shared" si="2753"/>
        <v>32.666666686666666</v>
      </c>
      <c r="CW477" s="48">
        <f t="shared" si="2754"/>
        <v>37.333333356666671</v>
      </c>
      <c r="CX477" s="48">
        <f t="shared" si="2755"/>
        <v>42.000000026666669</v>
      </c>
      <c r="CY477" s="48">
        <f t="shared" si="2756"/>
        <v>46.666666696666674</v>
      </c>
      <c r="CZ477" s="48">
        <f t="shared" si="2757"/>
        <v>51.333333366666672</v>
      </c>
      <c r="DA477" s="48">
        <f t="shared" si="2758"/>
        <v>56.00000003666667</v>
      </c>
      <c r="DB477" s="48">
        <f t="shared" si="2778"/>
        <v>4.5</v>
      </c>
      <c r="DC477" s="48">
        <f t="shared" si="2759"/>
        <v>9</v>
      </c>
      <c r="DD477" s="48">
        <f t="shared" si="2760"/>
        <v>13.5</v>
      </c>
      <c r="DE477" s="48">
        <f t="shared" si="2761"/>
        <v>18</v>
      </c>
      <c r="DF477" s="48">
        <f t="shared" si="2762"/>
        <v>22.5</v>
      </c>
      <c r="DG477" s="48">
        <f t="shared" si="2763"/>
        <v>27</v>
      </c>
      <c r="DH477" s="48">
        <f t="shared" si="2764"/>
        <v>31.5</v>
      </c>
      <c r="DI477" s="48">
        <f t="shared" si="2765"/>
        <v>36</v>
      </c>
      <c r="DJ477" s="48">
        <f t="shared" si="2766"/>
        <v>40.5</v>
      </c>
      <c r="DK477" s="48">
        <f t="shared" si="2767"/>
        <v>45</v>
      </c>
      <c r="DL477" s="48">
        <f t="shared" si="2768"/>
        <v>49.5</v>
      </c>
      <c r="DM477" s="48">
        <f t="shared" si="2769"/>
        <v>54</v>
      </c>
      <c r="DN477" s="48">
        <f t="shared" si="2770"/>
        <v>0</v>
      </c>
      <c r="DO477" s="48">
        <f t="shared" si="2779"/>
        <v>0</v>
      </c>
      <c r="DP477" s="48">
        <f t="shared" si="2780"/>
        <v>0</v>
      </c>
      <c r="DQ477" s="48"/>
      <c r="DR477" s="48"/>
      <c r="DS477" s="48"/>
      <c r="DT477" s="48"/>
      <c r="DU477" s="48"/>
      <c r="DV477" s="48"/>
      <c r="DW477" s="48"/>
      <c r="DX477" s="48"/>
      <c r="DY477" s="48"/>
      <c r="EA477" s="52">
        <f t="shared" si="2701"/>
        <v>56.00000003666667</v>
      </c>
      <c r="EB477" s="52">
        <f t="shared" si="2702"/>
        <v>54</v>
      </c>
      <c r="EC477" s="52"/>
      <c r="ED477" s="429"/>
      <c r="EE477" s="40">
        <f t="shared" si="2666"/>
        <v>0</v>
      </c>
      <c r="EF477" s="40">
        <f t="shared" si="2667"/>
        <v>0</v>
      </c>
      <c r="EG477" s="51">
        <f t="shared" si="2712"/>
        <v>54</v>
      </c>
      <c r="EH477" s="54"/>
      <c r="EI477" s="54"/>
      <c r="EJ477" s="54"/>
      <c r="EK477" s="675"/>
      <c r="EL477" s="53"/>
      <c r="EM477" s="53"/>
      <c r="EN477" s="53"/>
      <c r="EO477" s="49"/>
      <c r="EP477" s="49"/>
      <c r="EQ477" s="49"/>
    </row>
    <row r="478" spans="1:149">
      <c r="A478" s="6" t="s">
        <v>23</v>
      </c>
      <c r="B478" s="2" t="s">
        <v>11</v>
      </c>
      <c r="C478" s="3" t="s">
        <v>48</v>
      </c>
      <c r="E478" s="3" t="s">
        <v>16</v>
      </c>
      <c r="G478" s="3" t="s">
        <v>91</v>
      </c>
      <c r="I478" s="183"/>
      <c r="J478" s="180">
        <v>5</v>
      </c>
      <c r="K478" s="180">
        <v>10</v>
      </c>
      <c r="L478" s="180">
        <v>15</v>
      </c>
      <c r="M478" s="180">
        <v>20</v>
      </c>
      <c r="N478" s="180">
        <v>25</v>
      </c>
      <c r="O478" s="180">
        <v>30</v>
      </c>
      <c r="P478" s="180">
        <v>35</v>
      </c>
      <c r="Q478" s="180">
        <v>40</v>
      </c>
      <c r="R478" s="180">
        <v>45</v>
      </c>
      <c r="S478" s="180">
        <v>50</v>
      </c>
      <c r="T478" s="180">
        <v>55</v>
      </c>
      <c r="U478" s="180">
        <v>60</v>
      </c>
      <c r="V478" s="219">
        <f>78/12</f>
        <v>6.5</v>
      </c>
      <c r="W478" s="246">
        <f>V478+6.5</f>
        <v>13</v>
      </c>
      <c r="X478" s="376">
        <f t="shared" ref="X478:AG478" si="2783">W478+6.5</f>
        <v>19.5</v>
      </c>
      <c r="Y478" s="376">
        <f t="shared" si="2783"/>
        <v>26</v>
      </c>
      <c r="Z478" s="376">
        <f t="shared" si="2783"/>
        <v>32.5</v>
      </c>
      <c r="AA478" s="376">
        <f t="shared" si="2783"/>
        <v>39</v>
      </c>
      <c r="AB478" s="376">
        <f t="shared" si="2783"/>
        <v>45.5</v>
      </c>
      <c r="AC478" s="376">
        <f t="shared" si="2783"/>
        <v>52</v>
      </c>
      <c r="AD478" s="376">
        <f t="shared" si="2783"/>
        <v>58.5</v>
      </c>
      <c r="AE478" s="376">
        <f t="shared" si="2783"/>
        <v>65</v>
      </c>
      <c r="AF478" s="376">
        <f t="shared" si="2783"/>
        <v>71.5</v>
      </c>
      <c r="AG478" s="376">
        <f t="shared" si="2783"/>
        <v>78</v>
      </c>
      <c r="AH478" s="31"/>
      <c r="AI478" s="19"/>
      <c r="AJ478" s="19"/>
      <c r="AK478" s="408"/>
      <c r="AL478" s="40">
        <f t="shared" si="2772"/>
        <v>5</v>
      </c>
      <c r="AM478" s="40">
        <f t="shared" si="2773"/>
        <v>5</v>
      </c>
      <c r="AN478" s="40">
        <f t="shared" si="2720"/>
        <v>5</v>
      </c>
      <c r="AO478" s="40">
        <f t="shared" si="2721"/>
        <v>5</v>
      </c>
      <c r="AP478" s="40">
        <f t="shared" si="2722"/>
        <v>5</v>
      </c>
      <c r="AQ478" s="40">
        <f t="shared" si="2723"/>
        <v>5</v>
      </c>
      <c r="AR478" s="40">
        <f t="shared" si="2724"/>
        <v>5</v>
      </c>
      <c r="AS478" s="40">
        <f t="shared" si="2725"/>
        <v>5</v>
      </c>
      <c r="AT478" s="40">
        <f t="shared" si="2726"/>
        <v>5</v>
      </c>
      <c r="AU478" s="40">
        <f t="shared" si="2727"/>
        <v>5</v>
      </c>
      <c r="AV478" s="40">
        <f t="shared" si="2728"/>
        <v>5</v>
      </c>
      <c r="AW478" s="40">
        <f t="shared" si="2729"/>
        <v>5</v>
      </c>
      <c r="AX478" s="40">
        <f t="shared" si="2774"/>
        <v>6.5</v>
      </c>
      <c r="AY478" s="40">
        <f t="shared" si="2730"/>
        <v>6.5</v>
      </c>
      <c r="AZ478" s="40">
        <f t="shared" si="2731"/>
        <v>6.5</v>
      </c>
      <c r="BA478" s="40">
        <f t="shared" si="2732"/>
        <v>6.5</v>
      </c>
      <c r="BB478" s="40">
        <f t="shared" si="2733"/>
        <v>6.5</v>
      </c>
      <c r="BC478" s="40">
        <f t="shared" si="2734"/>
        <v>6.5</v>
      </c>
      <c r="BD478" s="40">
        <f t="shared" si="2735"/>
        <v>6.5</v>
      </c>
      <c r="BE478" s="40">
        <f t="shared" si="2736"/>
        <v>6.5</v>
      </c>
      <c r="BF478" s="40">
        <f t="shared" si="2737"/>
        <v>6.5</v>
      </c>
      <c r="BG478" s="40">
        <f t="shared" si="2738"/>
        <v>6.5</v>
      </c>
      <c r="BH478" s="40">
        <f t="shared" si="2739"/>
        <v>6.5</v>
      </c>
      <c r="BI478" s="40">
        <f t="shared" si="2740"/>
        <v>6.5</v>
      </c>
      <c r="BJ478" s="40">
        <f t="shared" si="2741"/>
        <v>0</v>
      </c>
      <c r="BK478" s="40">
        <f t="shared" si="2742"/>
        <v>0</v>
      </c>
      <c r="BL478" s="40">
        <f t="shared" si="2743"/>
        <v>0</v>
      </c>
      <c r="BM478" s="408"/>
      <c r="BN478" s="48">
        <f t="shared" si="2669"/>
        <v>15</v>
      </c>
      <c r="BO478" s="48">
        <f t="shared" si="2670"/>
        <v>15</v>
      </c>
      <c r="BP478" s="48">
        <f t="shared" si="2744"/>
        <v>15</v>
      </c>
      <c r="BQ478" s="48">
        <f t="shared" si="2672"/>
        <v>15</v>
      </c>
      <c r="BR478" s="48">
        <f t="shared" si="2673"/>
        <v>15</v>
      </c>
      <c r="BS478" s="48">
        <f t="shared" si="2745"/>
        <v>15</v>
      </c>
      <c r="BT478" s="48">
        <f t="shared" si="2675"/>
        <v>15</v>
      </c>
      <c r="BU478" s="48">
        <f t="shared" si="2676"/>
        <v>15</v>
      </c>
      <c r="BV478" s="48">
        <f t="shared" si="2746"/>
        <v>15</v>
      </c>
      <c r="BW478" s="48">
        <f t="shared" si="2678"/>
        <v>15</v>
      </c>
      <c r="BX478" s="48">
        <f t="shared" si="2679"/>
        <v>15</v>
      </c>
      <c r="BY478" s="48">
        <f t="shared" si="2747"/>
        <v>15</v>
      </c>
      <c r="BZ478" s="48">
        <f t="shared" si="2681"/>
        <v>19.5</v>
      </c>
      <c r="CA478" s="48">
        <f t="shared" si="2682"/>
        <v>19.5</v>
      </c>
      <c r="CB478" s="48">
        <f t="shared" si="2704"/>
        <v>19.5</v>
      </c>
      <c r="CC478" s="48">
        <f t="shared" si="2683"/>
        <v>39</v>
      </c>
      <c r="CD478" s="48">
        <f t="shared" si="2684"/>
        <v>39</v>
      </c>
      <c r="CE478" s="48">
        <f>AA478</f>
        <v>39</v>
      </c>
      <c r="CF478" s="48">
        <f>CH478</f>
        <v>58.5</v>
      </c>
      <c r="CG478" s="48">
        <f>CH478</f>
        <v>58.5</v>
      </c>
      <c r="CH478" s="48">
        <f>AD478</f>
        <v>58.5</v>
      </c>
      <c r="CI478" s="48">
        <f>CK478</f>
        <v>78</v>
      </c>
      <c r="CJ478" s="48">
        <f>CK478</f>
        <v>78</v>
      </c>
      <c r="CK478" s="48">
        <f>AG478</f>
        <v>78</v>
      </c>
      <c r="CL478" s="48">
        <f>CN478</f>
        <v>0</v>
      </c>
      <c r="CM478" s="48">
        <f>CN478</f>
        <v>0</v>
      </c>
      <c r="CN478" s="48">
        <f>AJ478</f>
        <v>0</v>
      </c>
      <c r="CO478" s="406"/>
      <c r="CP478" s="48">
        <f t="shared" si="2777"/>
        <v>5</v>
      </c>
      <c r="CQ478" s="48">
        <f t="shared" si="2748"/>
        <v>10</v>
      </c>
      <c r="CR478" s="48">
        <f t="shared" si="2749"/>
        <v>15</v>
      </c>
      <c r="CS478" s="48">
        <f t="shared" si="2750"/>
        <v>20</v>
      </c>
      <c r="CT478" s="48">
        <f t="shared" si="2751"/>
        <v>25</v>
      </c>
      <c r="CU478" s="48">
        <f t="shared" si="2752"/>
        <v>30</v>
      </c>
      <c r="CV478" s="48">
        <f t="shared" si="2753"/>
        <v>35</v>
      </c>
      <c r="CW478" s="48">
        <f t="shared" si="2754"/>
        <v>40</v>
      </c>
      <c r="CX478" s="48">
        <f t="shared" si="2755"/>
        <v>45</v>
      </c>
      <c r="CY478" s="48">
        <f t="shared" si="2756"/>
        <v>50</v>
      </c>
      <c r="CZ478" s="48">
        <f t="shared" si="2757"/>
        <v>55</v>
      </c>
      <c r="DA478" s="48">
        <f t="shared" si="2758"/>
        <v>60</v>
      </c>
      <c r="DB478" s="48">
        <f t="shared" si="2778"/>
        <v>6.5</v>
      </c>
      <c r="DC478" s="48">
        <f t="shared" si="2759"/>
        <v>13</v>
      </c>
      <c r="DD478" s="48">
        <f t="shared" si="2760"/>
        <v>19.5</v>
      </c>
      <c r="DE478" s="48">
        <f t="shared" si="2761"/>
        <v>26</v>
      </c>
      <c r="DF478" s="48">
        <f t="shared" si="2762"/>
        <v>32.5</v>
      </c>
      <c r="DG478" s="48">
        <f t="shared" si="2763"/>
        <v>39</v>
      </c>
      <c r="DH478" s="48">
        <f t="shared" si="2764"/>
        <v>45.5</v>
      </c>
      <c r="DI478" s="48">
        <f t="shared" si="2765"/>
        <v>52</v>
      </c>
      <c r="DJ478" s="48">
        <f t="shared" si="2766"/>
        <v>58.5</v>
      </c>
      <c r="DK478" s="48">
        <f t="shared" si="2767"/>
        <v>65</v>
      </c>
      <c r="DL478" s="48">
        <f t="shared" si="2768"/>
        <v>71.5</v>
      </c>
      <c r="DM478" s="48">
        <f t="shared" si="2769"/>
        <v>78</v>
      </c>
      <c r="DN478" s="48">
        <f t="shared" si="2770"/>
        <v>0</v>
      </c>
      <c r="DO478" s="48">
        <f t="shared" si="2779"/>
        <v>0</v>
      </c>
      <c r="DP478" s="48">
        <f t="shared" si="2780"/>
        <v>0</v>
      </c>
      <c r="DQ478" s="48"/>
      <c r="DR478" s="48"/>
      <c r="DS478" s="48"/>
      <c r="DT478" s="48"/>
      <c r="DU478" s="48"/>
      <c r="DV478" s="48"/>
      <c r="DW478" s="48"/>
      <c r="DX478" s="48"/>
      <c r="DY478" s="48"/>
      <c r="EA478" s="52">
        <f t="shared" si="2701"/>
        <v>60</v>
      </c>
      <c r="EB478" s="52">
        <f t="shared" si="2702"/>
        <v>78</v>
      </c>
      <c r="EC478" s="52"/>
      <c r="ED478" s="429"/>
      <c r="EE478" s="40">
        <f t="shared" si="2666"/>
        <v>0</v>
      </c>
      <c r="EF478" s="40">
        <f t="shared" si="2667"/>
        <v>0</v>
      </c>
      <c r="EG478" s="51">
        <f t="shared" si="2712"/>
        <v>78</v>
      </c>
      <c r="EH478" s="54"/>
      <c r="EI478" s="54"/>
      <c r="EJ478" s="54"/>
      <c r="EK478" s="675"/>
      <c r="EL478" s="53"/>
      <c r="EM478" s="53"/>
      <c r="EN478" s="53"/>
      <c r="EO478" s="49"/>
      <c r="EP478" s="49"/>
      <c r="EQ478" s="49"/>
    </row>
    <row r="479" spans="1:149">
      <c r="A479" s="6" t="s">
        <v>23</v>
      </c>
      <c r="B479" s="2" t="s">
        <v>12</v>
      </c>
      <c r="C479" s="3" t="s">
        <v>49</v>
      </c>
      <c r="E479" s="3" t="s">
        <v>16</v>
      </c>
      <c r="G479" s="3" t="s">
        <v>91</v>
      </c>
      <c r="I479" s="183"/>
      <c r="J479" s="180">
        <v>4.166666666666667</v>
      </c>
      <c r="K479" s="180">
        <v>8.3333333366666658</v>
      </c>
      <c r="L479" s="180">
        <v>12.500000006666665</v>
      </c>
      <c r="M479" s="180">
        <v>16.666666676666665</v>
      </c>
      <c r="N479" s="180">
        <v>20.833333346666663</v>
      </c>
      <c r="O479" s="180">
        <v>25.000000016666661</v>
      </c>
      <c r="P479" s="180">
        <v>29.166666686666659</v>
      </c>
      <c r="Q479" s="180">
        <v>33.333333356666657</v>
      </c>
      <c r="R479" s="180">
        <v>37.500000026666655</v>
      </c>
      <c r="S479" s="180">
        <v>41.666666696666653</v>
      </c>
      <c r="T479" s="180">
        <v>45.83333336666665</v>
      </c>
      <c r="U479" s="180">
        <v>50.000000036666648</v>
      </c>
      <c r="V479" s="219">
        <f>73/12</f>
        <v>6.083333333333333</v>
      </c>
      <c r="W479" s="246">
        <f>V479+6.08333</f>
        <v>12.166663333333332</v>
      </c>
      <c r="X479" s="376">
        <f t="shared" ref="X479:AG479" si="2784">W479+6.08333</f>
        <v>18.249993333333332</v>
      </c>
      <c r="Y479" s="376">
        <f t="shared" si="2784"/>
        <v>24.333323333333333</v>
      </c>
      <c r="Z479" s="376">
        <f t="shared" si="2784"/>
        <v>30.416653333333333</v>
      </c>
      <c r="AA479" s="376">
        <f t="shared" si="2784"/>
        <v>36.499983333333333</v>
      </c>
      <c r="AB479" s="376">
        <f t="shared" si="2784"/>
        <v>42.583313333333336</v>
      </c>
      <c r="AC479" s="376">
        <f t="shared" si="2784"/>
        <v>48.66664333333334</v>
      </c>
      <c r="AD479" s="376">
        <f t="shared" si="2784"/>
        <v>54.749973333333344</v>
      </c>
      <c r="AE479" s="376">
        <f t="shared" si="2784"/>
        <v>60.833303333333347</v>
      </c>
      <c r="AF479" s="376">
        <f t="shared" si="2784"/>
        <v>66.916633333333351</v>
      </c>
      <c r="AG479" s="263">
        <f t="shared" si="2784"/>
        <v>72.999963333333355</v>
      </c>
      <c r="AH479" s="31"/>
      <c r="AI479" s="19"/>
      <c r="AJ479" s="19"/>
      <c r="AK479" s="408"/>
      <c r="AL479" s="40">
        <f t="shared" si="2772"/>
        <v>4.166666666666667</v>
      </c>
      <c r="AM479" s="40">
        <f t="shared" si="2773"/>
        <v>4.1666666699999988</v>
      </c>
      <c r="AN479" s="40">
        <f t="shared" si="2720"/>
        <v>4.1666666699999997</v>
      </c>
      <c r="AO479" s="40">
        <f t="shared" si="2721"/>
        <v>4.1666666699999997</v>
      </c>
      <c r="AP479" s="40">
        <f t="shared" si="2722"/>
        <v>4.1666666699999979</v>
      </c>
      <c r="AQ479" s="40">
        <f t="shared" si="2723"/>
        <v>4.1666666699999979</v>
      </c>
      <c r="AR479" s="40">
        <f t="shared" si="2724"/>
        <v>4.1666666699999979</v>
      </c>
      <c r="AS479" s="40">
        <f t="shared" si="2725"/>
        <v>4.1666666699999979</v>
      </c>
      <c r="AT479" s="40">
        <f t="shared" si="2726"/>
        <v>4.1666666699999979</v>
      </c>
      <c r="AU479" s="40">
        <f t="shared" si="2727"/>
        <v>4.1666666699999979</v>
      </c>
      <c r="AV479" s="40">
        <f t="shared" si="2728"/>
        <v>4.1666666699999979</v>
      </c>
      <c r="AW479" s="40">
        <f t="shared" si="2729"/>
        <v>4.1666666699999979</v>
      </c>
      <c r="AX479" s="40">
        <f t="shared" si="2774"/>
        <v>6.083333333333333</v>
      </c>
      <c r="AY479" s="40">
        <f t="shared" si="2730"/>
        <v>6.0833299999999992</v>
      </c>
      <c r="AZ479" s="40">
        <f t="shared" si="2731"/>
        <v>6.0833300000000001</v>
      </c>
      <c r="BA479" s="40">
        <f t="shared" si="2732"/>
        <v>6.0833300000000001</v>
      </c>
      <c r="BB479" s="40">
        <f t="shared" si="2733"/>
        <v>6.0833300000000001</v>
      </c>
      <c r="BC479" s="40">
        <f t="shared" si="2734"/>
        <v>6.0833300000000001</v>
      </c>
      <c r="BD479" s="40">
        <f t="shared" si="2735"/>
        <v>6.0833300000000037</v>
      </c>
      <c r="BE479" s="40">
        <f t="shared" si="2736"/>
        <v>6.0833300000000037</v>
      </c>
      <c r="BF479" s="40">
        <f t="shared" si="2737"/>
        <v>6.0833300000000037</v>
      </c>
      <c r="BG479" s="40">
        <f t="shared" si="2738"/>
        <v>6.0833300000000037</v>
      </c>
      <c r="BH479" s="40">
        <f t="shared" si="2739"/>
        <v>6.0833300000000037</v>
      </c>
      <c r="BI479" s="40">
        <f t="shared" si="2740"/>
        <v>6.0833300000000037</v>
      </c>
      <c r="BJ479" s="40">
        <f t="shared" si="2741"/>
        <v>0</v>
      </c>
      <c r="BK479" s="40">
        <f t="shared" si="2742"/>
        <v>0</v>
      </c>
      <c r="BL479" s="40">
        <f t="shared" si="2743"/>
        <v>0</v>
      </c>
      <c r="BM479" s="408"/>
      <c r="BN479" s="48">
        <f t="shared" si="2669"/>
        <v>12.500000006666665</v>
      </c>
      <c r="BO479" s="48">
        <f t="shared" si="2670"/>
        <v>12.500000006666665</v>
      </c>
      <c r="BP479" s="48">
        <f t="shared" si="2744"/>
        <v>12.500000006666665</v>
      </c>
      <c r="BQ479" s="48">
        <f t="shared" si="2672"/>
        <v>12.500000009999995</v>
      </c>
      <c r="BR479" s="48">
        <f t="shared" si="2673"/>
        <v>12.500000009999995</v>
      </c>
      <c r="BS479" s="48">
        <f t="shared" si="2745"/>
        <v>12.500000009999995</v>
      </c>
      <c r="BT479" s="48">
        <f t="shared" si="2675"/>
        <v>12.500000009999994</v>
      </c>
      <c r="BU479" s="48">
        <f t="shared" si="2676"/>
        <v>12.500000009999994</v>
      </c>
      <c r="BV479" s="48">
        <f t="shared" si="2746"/>
        <v>12.500000009999994</v>
      </c>
      <c r="BW479" s="48">
        <f t="shared" si="2678"/>
        <v>12.500000009999994</v>
      </c>
      <c r="BX479" s="48">
        <f t="shared" si="2679"/>
        <v>12.500000009999994</v>
      </c>
      <c r="BY479" s="48">
        <f t="shared" si="2747"/>
        <v>12.500000009999994</v>
      </c>
      <c r="BZ479" s="48">
        <f t="shared" si="2681"/>
        <v>18.249993333333332</v>
      </c>
      <c r="CA479" s="48">
        <f t="shared" si="2682"/>
        <v>18.249993333333332</v>
      </c>
      <c r="CB479" s="48">
        <f t="shared" si="2704"/>
        <v>18.249993333333332</v>
      </c>
      <c r="CC479" s="48">
        <f t="shared" si="2683"/>
        <v>36.499983333333333</v>
      </c>
      <c r="CD479" s="48">
        <f t="shared" si="2684"/>
        <v>36.499983333333333</v>
      </c>
      <c r="CE479" s="48">
        <f>AA479</f>
        <v>36.499983333333333</v>
      </c>
      <c r="CF479" s="48">
        <f>CH479</f>
        <v>54.749973333333344</v>
      </c>
      <c r="CG479" s="48">
        <f>CH479</f>
        <v>54.749973333333344</v>
      </c>
      <c r="CH479" s="48">
        <f>AD479</f>
        <v>54.749973333333344</v>
      </c>
      <c r="CI479" s="48">
        <f>CK479</f>
        <v>72.999963333333355</v>
      </c>
      <c r="CJ479" s="48">
        <f>CK479</f>
        <v>72.999963333333355</v>
      </c>
      <c r="CK479" s="48">
        <f>AG479</f>
        <v>72.999963333333355</v>
      </c>
      <c r="CL479" s="48">
        <f>CN479</f>
        <v>0</v>
      </c>
      <c r="CM479" s="48">
        <f>CN479</f>
        <v>0</v>
      </c>
      <c r="CN479" s="48">
        <f>AJ479</f>
        <v>0</v>
      </c>
      <c r="CO479" s="406"/>
      <c r="CP479" s="48">
        <f t="shared" si="2777"/>
        <v>4.166666666666667</v>
      </c>
      <c r="CQ479" s="48">
        <f t="shared" si="2748"/>
        <v>8.3333333366666658</v>
      </c>
      <c r="CR479" s="48">
        <f t="shared" si="2749"/>
        <v>12.500000006666665</v>
      </c>
      <c r="CS479" s="48">
        <f t="shared" si="2750"/>
        <v>16.666666676666665</v>
      </c>
      <c r="CT479" s="48">
        <f t="shared" si="2751"/>
        <v>20.833333346666663</v>
      </c>
      <c r="CU479" s="48">
        <f t="shared" si="2752"/>
        <v>25.000000016666661</v>
      </c>
      <c r="CV479" s="48">
        <f t="shared" si="2753"/>
        <v>29.166666686666659</v>
      </c>
      <c r="CW479" s="48">
        <f t="shared" si="2754"/>
        <v>33.333333356666657</v>
      </c>
      <c r="CX479" s="48">
        <f t="shared" si="2755"/>
        <v>37.500000026666655</v>
      </c>
      <c r="CY479" s="48">
        <f t="shared" si="2756"/>
        <v>41.666666696666653</v>
      </c>
      <c r="CZ479" s="48">
        <f t="shared" si="2757"/>
        <v>45.83333336666665</v>
      </c>
      <c r="DA479" s="48">
        <f t="shared" si="2758"/>
        <v>50.000000036666648</v>
      </c>
      <c r="DB479" s="48">
        <f t="shared" si="2778"/>
        <v>6.083333333333333</v>
      </c>
      <c r="DC479" s="48">
        <f t="shared" si="2759"/>
        <v>12.166663333333332</v>
      </c>
      <c r="DD479" s="48">
        <f t="shared" si="2760"/>
        <v>18.249993333333332</v>
      </c>
      <c r="DE479" s="48">
        <f t="shared" si="2761"/>
        <v>24.333323333333333</v>
      </c>
      <c r="DF479" s="48">
        <f t="shared" si="2762"/>
        <v>30.416653333333333</v>
      </c>
      <c r="DG479" s="48">
        <f t="shared" si="2763"/>
        <v>36.499983333333333</v>
      </c>
      <c r="DH479" s="48">
        <f t="shared" si="2764"/>
        <v>42.583313333333336</v>
      </c>
      <c r="DI479" s="48">
        <f t="shared" si="2765"/>
        <v>48.66664333333334</v>
      </c>
      <c r="DJ479" s="48">
        <f t="shared" si="2766"/>
        <v>54.749973333333344</v>
      </c>
      <c r="DK479" s="48">
        <f t="shared" si="2767"/>
        <v>60.833303333333347</v>
      </c>
      <c r="DL479" s="48">
        <f t="shared" si="2768"/>
        <v>66.916633333333351</v>
      </c>
      <c r="DM479" s="48">
        <f t="shared" si="2769"/>
        <v>72.999963333333355</v>
      </c>
      <c r="DN479" s="48">
        <f t="shared" si="2770"/>
        <v>0</v>
      </c>
      <c r="DO479" s="48">
        <f t="shared" si="2779"/>
        <v>0</v>
      </c>
      <c r="DP479" s="48">
        <f t="shared" si="2780"/>
        <v>0</v>
      </c>
      <c r="DQ479" s="48"/>
      <c r="DR479" s="48"/>
      <c r="DS479" s="48"/>
      <c r="DT479" s="48"/>
      <c r="DU479" s="48"/>
      <c r="DV479" s="48"/>
      <c r="DW479" s="48"/>
      <c r="DX479" s="48"/>
      <c r="DY479" s="48"/>
      <c r="EA479" s="52">
        <f t="shared" si="2701"/>
        <v>50.000000036666648</v>
      </c>
      <c r="EB479" s="52">
        <f t="shared" si="2702"/>
        <v>72.999963333333355</v>
      </c>
      <c r="EC479" s="52"/>
      <c r="ED479" s="429"/>
      <c r="EE479" s="40">
        <f t="shared" si="2666"/>
        <v>0</v>
      </c>
      <c r="EF479" s="40">
        <f t="shared" si="2667"/>
        <v>0</v>
      </c>
      <c r="EG479" s="51">
        <f t="shared" si="2712"/>
        <v>72.999963333333355</v>
      </c>
      <c r="EH479" s="54"/>
      <c r="EI479" s="54"/>
      <c r="EJ479" s="54"/>
      <c r="EK479" s="675"/>
      <c r="EL479" s="53"/>
      <c r="EM479" s="53"/>
      <c r="EN479" s="53"/>
      <c r="EO479" s="49"/>
      <c r="EP479" s="49"/>
      <c r="EQ479" s="49"/>
    </row>
    <row r="480" spans="1:149">
      <c r="A480" s="6" t="s">
        <v>23</v>
      </c>
      <c r="B480" s="2" t="s">
        <v>143</v>
      </c>
      <c r="C480" s="3" t="s">
        <v>50</v>
      </c>
      <c r="E480" s="3" t="s">
        <v>16</v>
      </c>
      <c r="G480" s="3" t="s">
        <v>91</v>
      </c>
      <c r="I480" s="183"/>
      <c r="J480" s="180">
        <v>0</v>
      </c>
      <c r="K480" s="180">
        <v>0</v>
      </c>
      <c r="L480" s="180">
        <v>2</v>
      </c>
      <c r="M480" s="180">
        <v>2</v>
      </c>
      <c r="N480" s="180">
        <v>2</v>
      </c>
      <c r="O480" s="180">
        <v>2</v>
      </c>
      <c r="P480" s="180">
        <v>4</v>
      </c>
      <c r="Q480" s="180">
        <v>4</v>
      </c>
      <c r="R480" s="180">
        <v>4</v>
      </c>
      <c r="S480" s="180">
        <v>4</v>
      </c>
      <c r="T480" s="180">
        <v>6</v>
      </c>
      <c r="U480" s="180">
        <v>6</v>
      </c>
      <c r="V480" s="219">
        <v>0</v>
      </c>
      <c r="W480" s="246">
        <v>2</v>
      </c>
      <c r="X480" s="246">
        <v>2</v>
      </c>
      <c r="Y480" s="246">
        <v>2</v>
      </c>
      <c r="Z480" s="246">
        <v>2</v>
      </c>
      <c r="AA480" s="246">
        <v>2</v>
      </c>
      <c r="AB480" s="246">
        <v>4</v>
      </c>
      <c r="AC480" s="246">
        <v>4</v>
      </c>
      <c r="AD480" s="246">
        <v>4</v>
      </c>
      <c r="AE480" s="246">
        <v>4</v>
      </c>
      <c r="AF480" s="246">
        <v>6</v>
      </c>
      <c r="AG480" s="246">
        <v>6</v>
      </c>
      <c r="AH480" s="31"/>
      <c r="AI480" s="19"/>
      <c r="AJ480" s="19"/>
      <c r="AK480" s="408"/>
      <c r="AL480" s="40">
        <f t="shared" si="2772"/>
        <v>0</v>
      </c>
      <c r="AM480" s="40">
        <f t="shared" si="2773"/>
        <v>0</v>
      </c>
      <c r="AN480" s="40">
        <f t="shared" si="2720"/>
        <v>2</v>
      </c>
      <c r="AO480" s="40">
        <f t="shared" si="2721"/>
        <v>0</v>
      </c>
      <c r="AP480" s="40">
        <f t="shared" si="2722"/>
        <v>0</v>
      </c>
      <c r="AQ480" s="40">
        <f t="shared" si="2723"/>
        <v>0</v>
      </c>
      <c r="AR480" s="40">
        <f t="shared" si="2724"/>
        <v>2</v>
      </c>
      <c r="AS480" s="40">
        <f t="shared" si="2725"/>
        <v>0</v>
      </c>
      <c r="AT480" s="40">
        <f t="shared" si="2726"/>
        <v>0</v>
      </c>
      <c r="AU480" s="40">
        <f t="shared" si="2727"/>
        <v>0</v>
      </c>
      <c r="AV480" s="40">
        <f t="shared" si="2728"/>
        <v>2</v>
      </c>
      <c r="AW480" s="40">
        <f t="shared" si="2729"/>
        <v>0</v>
      </c>
      <c r="AX480" s="40">
        <f t="shared" si="2774"/>
        <v>0</v>
      </c>
      <c r="AY480" s="40">
        <f t="shared" si="2730"/>
        <v>2</v>
      </c>
      <c r="AZ480" s="40">
        <f t="shared" si="2731"/>
        <v>0</v>
      </c>
      <c r="BA480" s="40">
        <f t="shared" si="2732"/>
        <v>0</v>
      </c>
      <c r="BB480" s="40">
        <f t="shared" si="2733"/>
        <v>0</v>
      </c>
      <c r="BC480" s="40">
        <f t="shared" si="2734"/>
        <v>0</v>
      </c>
      <c r="BD480" s="40">
        <f t="shared" si="2735"/>
        <v>2</v>
      </c>
      <c r="BE480" s="40">
        <f t="shared" si="2736"/>
        <v>0</v>
      </c>
      <c r="BF480" s="40">
        <f t="shared" si="2737"/>
        <v>0</v>
      </c>
      <c r="BG480" s="40">
        <f t="shared" si="2738"/>
        <v>0</v>
      </c>
      <c r="BH480" s="40">
        <f t="shared" si="2739"/>
        <v>2</v>
      </c>
      <c r="BI480" s="40">
        <f t="shared" si="2740"/>
        <v>0</v>
      </c>
      <c r="BJ480" s="40">
        <f t="shared" si="2741"/>
        <v>0</v>
      </c>
      <c r="BK480" s="40">
        <f t="shared" si="2742"/>
        <v>0</v>
      </c>
      <c r="BL480" s="40">
        <f t="shared" si="2743"/>
        <v>0</v>
      </c>
      <c r="BM480" s="408"/>
      <c r="BN480" s="48">
        <f t="shared" si="2669"/>
        <v>2</v>
      </c>
      <c r="BO480" s="48">
        <f t="shared" si="2670"/>
        <v>2</v>
      </c>
      <c r="BP480" s="48">
        <f t="shared" si="2744"/>
        <v>2</v>
      </c>
      <c r="BQ480" s="48">
        <f t="shared" si="2672"/>
        <v>0</v>
      </c>
      <c r="BR480" s="48">
        <f t="shared" si="2673"/>
        <v>0</v>
      </c>
      <c r="BS480" s="48">
        <f t="shared" si="2745"/>
        <v>0</v>
      </c>
      <c r="BT480" s="48">
        <f t="shared" si="2675"/>
        <v>2</v>
      </c>
      <c r="BU480" s="48">
        <f t="shared" si="2676"/>
        <v>2</v>
      </c>
      <c r="BV480" s="48">
        <f t="shared" si="2746"/>
        <v>2</v>
      </c>
      <c r="BW480" s="48">
        <f t="shared" si="2678"/>
        <v>2</v>
      </c>
      <c r="BX480" s="48">
        <f t="shared" si="2679"/>
        <v>2</v>
      </c>
      <c r="BY480" s="48">
        <f t="shared" si="2747"/>
        <v>2</v>
      </c>
      <c r="BZ480" s="48">
        <f t="shared" si="2681"/>
        <v>2</v>
      </c>
      <c r="CA480" s="48">
        <f t="shared" si="2682"/>
        <v>2</v>
      </c>
      <c r="CB480" s="48">
        <f>SUM(AX480:AZ480)</f>
        <v>2</v>
      </c>
      <c r="CC480" s="48">
        <f t="shared" si="2683"/>
        <v>0</v>
      </c>
      <c r="CD480" s="48">
        <f t="shared" si="2684"/>
        <v>0</v>
      </c>
      <c r="CE480" s="48">
        <f>SUM(BA480:BC480)</f>
        <v>0</v>
      </c>
      <c r="CF480" s="48">
        <f>CH480</f>
        <v>2</v>
      </c>
      <c r="CG480" s="48">
        <f>CH480</f>
        <v>2</v>
      </c>
      <c r="CH480" s="48">
        <f>SUM(BD480:BF480)</f>
        <v>2</v>
      </c>
      <c r="CI480" s="48">
        <f>CK480</f>
        <v>2</v>
      </c>
      <c r="CJ480" s="48">
        <f>CK480</f>
        <v>2</v>
      </c>
      <c r="CK480" s="48">
        <f>SUM(BG480:BI480)</f>
        <v>2</v>
      </c>
      <c r="CL480" s="48">
        <f>CN480</f>
        <v>0</v>
      </c>
      <c r="CM480" s="48">
        <f>CN480</f>
        <v>0</v>
      </c>
      <c r="CN480" s="48">
        <f>SUM(BJ480:BL480)</f>
        <v>0</v>
      </c>
      <c r="CO480" s="406"/>
      <c r="CP480" s="48">
        <f t="shared" si="2777"/>
        <v>0</v>
      </c>
      <c r="CQ480" s="48">
        <f t="shared" si="2748"/>
        <v>0</v>
      </c>
      <c r="CR480" s="48">
        <f t="shared" si="2749"/>
        <v>2</v>
      </c>
      <c r="CS480" s="48">
        <f t="shared" si="2750"/>
        <v>2</v>
      </c>
      <c r="CT480" s="48">
        <f t="shared" si="2751"/>
        <v>2</v>
      </c>
      <c r="CU480" s="48">
        <f t="shared" si="2752"/>
        <v>2</v>
      </c>
      <c r="CV480" s="48">
        <f t="shared" si="2753"/>
        <v>4</v>
      </c>
      <c r="CW480" s="48">
        <f t="shared" si="2754"/>
        <v>4</v>
      </c>
      <c r="CX480" s="48">
        <f t="shared" si="2755"/>
        <v>4</v>
      </c>
      <c r="CY480" s="48">
        <f t="shared" si="2756"/>
        <v>4</v>
      </c>
      <c r="CZ480" s="48">
        <f t="shared" si="2757"/>
        <v>6</v>
      </c>
      <c r="DA480" s="48">
        <f t="shared" si="2758"/>
        <v>6</v>
      </c>
      <c r="DB480" s="48">
        <f t="shared" si="2778"/>
        <v>0</v>
      </c>
      <c r="DC480" s="48">
        <f t="shared" si="2759"/>
        <v>2</v>
      </c>
      <c r="DD480" s="48">
        <f t="shared" si="2760"/>
        <v>2</v>
      </c>
      <c r="DE480" s="48">
        <f t="shared" si="2761"/>
        <v>2</v>
      </c>
      <c r="DF480" s="48">
        <f t="shared" si="2762"/>
        <v>2</v>
      </c>
      <c r="DG480" s="48">
        <f t="shared" si="2763"/>
        <v>2</v>
      </c>
      <c r="DH480" s="48">
        <f t="shared" si="2764"/>
        <v>4</v>
      </c>
      <c r="DI480" s="48">
        <f t="shared" si="2765"/>
        <v>4</v>
      </c>
      <c r="DJ480" s="48">
        <f t="shared" si="2766"/>
        <v>4</v>
      </c>
      <c r="DK480" s="48">
        <f t="shared" si="2767"/>
        <v>4</v>
      </c>
      <c r="DL480" s="48">
        <f t="shared" si="2768"/>
        <v>6</v>
      </c>
      <c r="DM480" s="48">
        <f t="shared" si="2769"/>
        <v>6</v>
      </c>
      <c r="DN480" s="48">
        <f t="shared" si="2770"/>
        <v>0</v>
      </c>
      <c r="DO480" s="48">
        <f t="shared" si="2779"/>
        <v>0</v>
      </c>
      <c r="DP480" s="48">
        <f t="shared" si="2780"/>
        <v>0</v>
      </c>
      <c r="DQ480" s="48"/>
      <c r="DR480" s="48"/>
      <c r="DS480" s="48"/>
      <c r="DT480" s="48"/>
      <c r="DU480" s="48"/>
      <c r="DV480" s="48"/>
      <c r="DW480" s="48"/>
      <c r="DX480" s="48"/>
      <c r="DY480" s="48"/>
      <c r="EA480" s="52">
        <f t="shared" si="2701"/>
        <v>6</v>
      </c>
      <c r="EB480" s="52">
        <f t="shared" si="2702"/>
        <v>6</v>
      </c>
      <c r="EC480" s="52"/>
      <c r="ED480" s="429"/>
      <c r="EE480" s="40">
        <f t="shared" si="2666"/>
        <v>0</v>
      </c>
      <c r="EF480" s="40">
        <f t="shared" si="2667"/>
        <v>0</v>
      </c>
      <c r="EG480" s="51">
        <f t="shared" si="2712"/>
        <v>6</v>
      </c>
      <c r="EH480" s="54"/>
      <c r="EI480" s="54"/>
      <c r="EJ480" s="54"/>
      <c r="EK480" s="675"/>
      <c r="EL480" s="53"/>
      <c r="EM480" s="53"/>
      <c r="EN480" s="53"/>
      <c r="EO480" s="49"/>
      <c r="EP480" s="49"/>
      <c r="EQ480" s="49"/>
    </row>
    <row r="481" spans="1:149">
      <c r="A481" s="6" t="s">
        <v>23</v>
      </c>
      <c r="B481" s="324" t="s">
        <v>202</v>
      </c>
      <c r="C481" s="3" t="s">
        <v>51</v>
      </c>
      <c r="E481" s="3" t="s">
        <v>15</v>
      </c>
      <c r="G481" s="3" t="s">
        <v>91</v>
      </c>
      <c r="I481" s="183"/>
      <c r="J481" s="180">
        <v>0</v>
      </c>
      <c r="K481" s="180">
        <v>0</v>
      </c>
      <c r="L481" s="180">
        <v>0</v>
      </c>
      <c r="M481" s="180">
        <v>0</v>
      </c>
      <c r="N481" s="180">
        <v>0</v>
      </c>
      <c r="O481" s="180">
        <v>2</v>
      </c>
      <c r="P481" s="180">
        <v>2</v>
      </c>
      <c r="Q481" s="180">
        <v>2</v>
      </c>
      <c r="R481" s="180">
        <v>2</v>
      </c>
      <c r="S481" s="180">
        <v>2</v>
      </c>
      <c r="T481" s="180">
        <v>2</v>
      </c>
      <c r="U481" s="180">
        <v>4</v>
      </c>
      <c r="V481" s="219">
        <v>0</v>
      </c>
      <c r="W481" s="246">
        <v>0</v>
      </c>
      <c r="X481" s="246">
        <v>0</v>
      </c>
      <c r="Y481" s="246">
        <f>X481</f>
        <v>0</v>
      </c>
      <c r="Z481" s="246">
        <v>0</v>
      </c>
      <c r="AA481" s="246">
        <v>0</v>
      </c>
      <c r="AB481" s="246">
        <v>2</v>
      </c>
      <c r="AC481" s="246">
        <f>AB481</f>
        <v>2</v>
      </c>
      <c r="AD481" s="246">
        <f>AC481</f>
        <v>2</v>
      </c>
      <c r="AE481" s="246">
        <f>AD481</f>
        <v>2</v>
      </c>
      <c r="AF481" s="246">
        <f>AE481</f>
        <v>2</v>
      </c>
      <c r="AG481" s="246">
        <v>4</v>
      </c>
      <c r="AH481" s="31"/>
      <c r="AI481" s="19"/>
      <c r="AJ481" s="19"/>
      <c r="AK481" s="408"/>
      <c r="AL481" s="40">
        <f t="shared" si="2772"/>
        <v>0</v>
      </c>
      <c r="AM481" s="40">
        <f t="shared" si="2773"/>
        <v>0</v>
      </c>
      <c r="AN481" s="40">
        <f t="shared" si="2720"/>
        <v>0</v>
      </c>
      <c r="AO481" s="40">
        <f t="shared" si="2721"/>
        <v>0</v>
      </c>
      <c r="AP481" s="40">
        <f t="shared" si="2722"/>
        <v>0</v>
      </c>
      <c r="AQ481" s="40">
        <f t="shared" si="2723"/>
        <v>2</v>
      </c>
      <c r="AR481" s="40">
        <f t="shared" si="2724"/>
        <v>0</v>
      </c>
      <c r="AS481" s="40">
        <f t="shared" si="2725"/>
        <v>0</v>
      </c>
      <c r="AT481" s="40">
        <f t="shared" si="2726"/>
        <v>0</v>
      </c>
      <c r="AU481" s="40">
        <f t="shared" si="2727"/>
        <v>0</v>
      </c>
      <c r="AV481" s="40">
        <f t="shared" si="2728"/>
        <v>0</v>
      </c>
      <c r="AW481" s="40">
        <f t="shared" si="2729"/>
        <v>2</v>
      </c>
      <c r="AX481" s="40">
        <f t="shared" si="2774"/>
        <v>0</v>
      </c>
      <c r="AY481" s="40">
        <f t="shared" si="2730"/>
        <v>0</v>
      </c>
      <c r="AZ481" s="40">
        <f t="shared" si="2731"/>
        <v>0</v>
      </c>
      <c r="BA481" s="40">
        <f t="shared" si="2732"/>
        <v>0</v>
      </c>
      <c r="BB481" s="40">
        <f t="shared" si="2733"/>
        <v>0</v>
      </c>
      <c r="BC481" s="40">
        <f t="shared" si="2734"/>
        <v>0</v>
      </c>
      <c r="BD481" s="40">
        <f t="shared" si="2735"/>
        <v>2</v>
      </c>
      <c r="BE481" s="40">
        <f t="shared" si="2736"/>
        <v>0</v>
      </c>
      <c r="BF481" s="40">
        <f t="shared" si="2737"/>
        <v>0</v>
      </c>
      <c r="BG481" s="40">
        <f t="shared" si="2738"/>
        <v>0</v>
      </c>
      <c r="BH481" s="40">
        <f t="shared" si="2739"/>
        <v>0</v>
      </c>
      <c r="BI481" s="40">
        <f t="shared" si="2740"/>
        <v>2</v>
      </c>
      <c r="BJ481" s="40">
        <f>AH481-AG481</f>
        <v>-4</v>
      </c>
      <c r="BK481" s="40">
        <f t="shared" si="2742"/>
        <v>0</v>
      </c>
      <c r="BL481" s="40">
        <f t="shared" si="2743"/>
        <v>0</v>
      </c>
      <c r="BM481" s="408"/>
      <c r="BN481" s="48">
        <f t="shared" si="2669"/>
        <v>0</v>
      </c>
      <c r="BO481" s="48">
        <f t="shared" si="2670"/>
        <v>0</v>
      </c>
      <c r="BP481" s="48">
        <f>SUM(AL481:AN481)</f>
        <v>0</v>
      </c>
      <c r="BQ481" s="48">
        <f t="shared" si="2672"/>
        <v>2</v>
      </c>
      <c r="BR481" s="48">
        <f t="shared" si="2673"/>
        <v>2</v>
      </c>
      <c r="BS481" s="48">
        <f t="shared" si="2745"/>
        <v>2</v>
      </c>
      <c r="BT481" s="48">
        <f t="shared" si="2675"/>
        <v>0</v>
      </c>
      <c r="BU481" s="48">
        <f t="shared" si="2676"/>
        <v>0</v>
      </c>
      <c r="BV481" s="48">
        <f t="shared" si="2746"/>
        <v>0</v>
      </c>
      <c r="BW481" s="48">
        <f t="shared" si="2678"/>
        <v>2</v>
      </c>
      <c r="BX481" s="48">
        <f t="shared" si="2679"/>
        <v>2</v>
      </c>
      <c r="BY481" s="48">
        <f t="shared" si="2747"/>
        <v>2</v>
      </c>
      <c r="BZ481" s="48">
        <f t="shared" si="2681"/>
        <v>0</v>
      </c>
      <c r="CA481" s="48">
        <f t="shared" si="2682"/>
        <v>0</v>
      </c>
      <c r="CB481" s="48">
        <f>SUM(AX481:AZ481)</f>
        <v>0</v>
      </c>
      <c r="CC481" s="48">
        <f t="shared" si="2683"/>
        <v>0</v>
      </c>
      <c r="CD481" s="48">
        <f t="shared" si="2684"/>
        <v>0</v>
      </c>
      <c r="CE481" s="48">
        <f>SUM(BA481:BC481)</f>
        <v>0</v>
      </c>
      <c r="CF481" s="48">
        <f>CH481</f>
        <v>2</v>
      </c>
      <c r="CG481" s="48">
        <f>CH481</f>
        <v>2</v>
      </c>
      <c r="CH481" s="48">
        <f>SUM(BD481:BF481)</f>
        <v>2</v>
      </c>
      <c r="CI481" s="48">
        <f>CK481</f>
        <v>2</v>
      </c>
      <c r="CJ481" s="48">
        <f>CK481</f>
        <v>2</v>
      </c>
      <c r="CK481" s="48">
        <f>SUM(BG481:BI481)</f>
        <v>2</v>
      </c>
      <c r="CL481" s="48">
        <f>CN481</f>
        <v>-4</v>
      </c>
      <c r="CM481" s="48">
        <f>CN481</f>
        <v>-4</v>
      </c>
      <c r="CN481" s="48">
        <f>SUM(BJ481:BL481)</f>
        <v>-4</v>
      </c>
      <c r="CO481" s="406"/>
      <c r="CP481" s="48">
        <f t="shared" si="2777"/>
        <v>0</v>
      </c>
      <c r="CQ481" s="48">
        <f t="shared" si="2748"/>
        <v>0</v>
      </c>
      <c r="CR481" s="48">
        <f t="shared" si="2749"/>
        <v>0</v>
      </c>
      <c r="CS481" s="48">
        <f t="shared" si="2750"/>
        <v>0</v>
      </c>
      <c r="CT481" s="48">
        <f t="shared" si="2751"/>
        <v>0</v>
      </c>
      <c r="CU481" s="48">
        <f t="shared" si="2752"/>
        <v>2</v>
      </c>
      <c r="CV481" s="48">
        <f t="shared" si="2753"/>
        <v>2</v>
      </c>
      <c r="CW481" s="48">
        <f t="shared" si="2754"/>
        <v>2</v>
      </c>
      <c r="CX481" s="48">
        <f t="shared" si="2755"/>
        <v>2</v>
      </c>
      <c r="CY481" s="48">
        <f t="shared" si="2756"/>
        <v>2</v>
      </c>
      <c r="CZ481" s="48">
        <f t="shared" si="2757"/>
        <v>2</v>
      </c>
      <c r="DA481" s="48">
        <f t="shared" si="2758"/>
        <v>4</v>
      </c>
      <c r="DB481" s="48">
        <f t="shared" si="2778"/>
        <v>0</v>
      </c>
      <c r="DC481" s="48">
        <f t="shared" si="2759"/>
        <v>0</v>
      </c>
      <c r="DD481" s="48">
        <f t="shared" si="2760"/>
        <v>0</v>
      </c>
      <c r="DE481" s="48">
        <f t="shared" si="2761"/>
        <v>0</v>
      </c>
      <c r="DF481" s="48">
        <f t="shared" si="2762"/>
        <v>0</v>
      </c>
      <c r="DG481" s="48">
        <f t="shared" si="2763"/>
        <v>0</v>
      </c>
      <c r="DH481" s="48">
        <f t="shared" si="2764"/>
        <v>2</v>
      </c>
      <c r="DI481" s="48">
        <f t="shared" si="2765"/>
        <v>2</v>
      </c>
      <c r="DJ481" s="48">
        <f t="shared" si="2766"/>
        <v>2</v>
      </c>
      <c r="DK481" s="48">
        <f t="shared" si="2767"/>
        <v>2</v>
      </c>
      <c r="DL481" s="48">
        <f t="shared" si="2768"/>
        <v>2</v>
      </c>
      <c r="DM481" s="48">
        <f t="shared" si="2769"/>
        <v>4</v>
      </c>
      <c r="DN481" s="48">
        <f>DM481+BJ481</f>
        <v>0</v>
      </c>
      <c r="DO481" s="48">
        <f t="shared" si="2779"/>
        <v>0</v>
      </c>
      <c r="DP481" s="48">
        <f t="shared" si="2780"/>
        <v>0</v>
      </c>
      <c r="DQ481" s="48"/>
      <c r="DR481" s="48"/>
      <c r="DS481" s="48"/>
      <c r="DT481" s="48"/>
      <c r="DU481" s="48"/>
      <c r="DV481" s="48"/>
      <c r="DW481" s="48"/>
      <c r="DX481" s="48"/>
      <c r="DY481" s="48"/>
      <c r="EA481" s="52">
        <f t="shared" si="2701"/>
        <v>4</v>
      </c>
      <c r="EB481" s="52">
        <f t="shared" si="2702"/>
        <v>4</v>
      </c>
      <c r="EC481" s="52"/>
      <c r="ED481" s="429"/>
      <c r="EE481" s="40">
        <f t="shared" si="2666"/>
        <v>0</v>
      </c>
      <c r="EF481" s="40">
        <f t="shared" si="2667"/>
        <v>-4</v>
      </c>
      <c r="EG481" s="51">
        <f t="shared" si="2712"/>
        <v>4</v>
      </c>
      <c r="EH481" s="54"/>
      <c r="EI481" s="54"/>
      <c r="EJ481" s="54"/>
      <c r="EK481" s="675"/>
      <c r="EL481" s="53"/>
      <c r="EM481" s="53"/>
      <c r="EN481" s="53"/>
      <c r="EO481" s="49"/>
      <c r="EP481" s="49"/>
      <c r="EQ481" s="49"/>
    </row>
    <row r="482" spans="1:149">
      <c r="A482" s="6" t="s">
        <v>23</v>
      </c>
      <c r="B482" s="2" t="s">
        <v>13</v>
      </c>
      <c r="C482" s="3" t="s">
        <v>52</v>
      </c>
      <c r="E482" s="3" t="s">
        <v>15</v>
      </c>
      <c r="G482" s="3" t="s">
        <v>91</v>
      </c>
      <c r="I482" s="183"/>
      <c r="J482" s="180"/>
      <c r="K482" s="180"/>
      <c r="L482" s="180">
        <v>5750</v>
      </c>
      <c r="M482" s="180">
        <v>5750</v>
      </c>
      <c r="N482" s="180">
        <v>5750</v>
      </c>
      <c r="O482" s="180">
        <v>11500</v>
      </c>
      <c r="P482" s="180">
        <v>11500</v>
      </c>
      <c r="Q482" s="180">
        <v>11500</v>
      </c>
      <c r="R482" s="180">
        <v>17250</v>
      </c>
      <c r="S482" s="180">
        <v>17250</v>
      </c>
      <c r="T482" s="180">
        <v>17250</v>
      </c>
      <c r="U482" s="180">
        <v>23000</v>
      </c>
      <c r="V482" s="219">
        <v>0</v>
      </c>
      <c r="W482" s="246">
        <v>0</v>
      </c>
      <c r="X482" s="246">
        <v>0</v>
      </c>
      <c r="Y482" s="246">
        <f>X482</f>
        <v>0</v>
      </c>
      <c r="Z482" s="246">
        <v>0</v>
      </c>
      <c r="AA482" s="246">
        <f>ROUND(AG482/2,)</f>
        <v>16200</v>
      </c>
      <c r="AB482" s="246">
        <f t="shared" ref="AB482:AF483" si="2785">+AA482</f>
        <v>16200</v>
      </c>
      <c r="AC482" s="246">
        <f t="shared" si="2785"/>
        <v>16200</v>
      </c>
      <c r="AD482" s="246">
        <f t="shared" si="2785"/>
        <v>16200</v>
      </c>
      <c r="AE482" s="246">
        <f t="shared" si="2785"/>
        <v>16200</v>
      </c>
      <c r="AF482" s="246">
        <f t="shared" si="2785"/>
        <v>16200</v>
      </c>
      <c r="AG482" s="246">
        <v>32400</v>
      </c>
      <c r="AH482" s="31"/>
      <c r="AI482" s="19"/>
      <c r="AJ482" s="19"/>
      <c r="AK482" s="408"/>
      <c r="AL482" s="40" t="s">
        <v>97</v>
      </c>
      <c r="AM482" s="40" t="s">
        <v>97</v>
      </c>
      <c r="AN482" s="40" t="s">
        <v>97</v>
      </c>
      <c r="AO482" s="40" t="s">
        <v>97</v>
      </c>
      <c r="AP482" s="40" t="s">
        <v>97</v>
      </c>
      <c r="AQ482" s="40" t="s">
        <v>97</v>
      </c>
      <c r="AR482" s="40" t="s">
        <v>97</v>
      </c>
      <c r="AS482" s="40" t="s">
        <v>97</v>
      </c>
      <c r="AT482" s="40" t="s">
        <v>97</v>
      </c>
      <c r="AU482" s="40" t="s">
        <v>97</v>
      </c>
      <c r="AV482" s="40" t="s">
        <v>97</v>
      </c>
      <c r="AW482" s="40" t="s">
        <v>97</v>
      </c>
      <c r="AX482" s="40" t="s">
        <v>97</v>
      </c>
      <c r="AY482" s="40" t="s">
        <v>97</v>
      </c>
      <c r="AZ482" s="40" t="s">
        <v>97</v>
      </c>
      <c r="BA482" s="40" t="s">
        <v>97</v>
      </c>
      <c r="BB482" s="40" t="s">
        <v>97</v>
      </c>
      <c r="BC482" s="40" t="s">
        <v>97</v>
      </c>
      <c r="BD482" s="40" t="s">
        <v>97</v>
      </c>
      <c r="BE482" s="40" t="s">
        <v>97</v>
      </c>
      <c r="BF482" s="40" t="s">
        <v>97</v>
      </c>
      <c r="BG482" s="40" t="s">
        <v>97</v>
      </c>
      <c r="BH482" s="40" t="s">
        <v>97</v>
      </c>
      <c r="BI482" s="40" t="s">
        <v>97</v>
      </c>
      <c r="BJ482" s="40" t="s">
        <v>97</v>
      </c>
      <c r="BK482" s="40" t="s">
        <v>97</v>
      </c>
      <c r="BL482" s="40" t="s">
        <v>97</v>
      </c>
      <c r="BM482" s="408"/>
      <c r="BN482" s="40" t="s">
        <v>97</v>
      </c>
      <c r="BO482" s="40" t="s">
        <v>97</v>
      </c>
      <c r="BP482" s="40" t="s">
        <v>97</v>
      </c>
      <c r="BQ482" s="40" t="s">
        <v>97</v>
      </c>
      <c r="BR482" s="40" t="s">
        <v>97</v>
      </c>
      <c r="BS482" s="40" t="s">
        <v>97</v>
      </c>
      <c r="BT482" s="40" t="s">
        <v>97</v>
      </c>
      <c r="BU482" s="40" t="s">
        <v>97</v>
      </c>
      <c r="BV482" s="40" t="s">
        <v>97</v>
      </c>
      <c r="BW482" s="40" t="s">
        <v>97</v>
      </c>
      <c r="BX482" s="40" t="s">
        <v>97</v>
      </c>
      <c r="BY482" s="40" t="s">
        <v>97</v>
      </c>
      <c r="BZ482" s="40" t="s">
        <v>97</v>
      </c>
      <c r="CA482" s="40" t="s">
        <v>97</v>
      </c>
      <c r="CB482" s="40" t="s">
        <v>97</v>
      </c>
      <c r="CC482" s="40" t="s">
        <v>97</v>
      </c>
      <c r="CD482" s="40" t="s">
        <v>97</v>
      </c>
      <c r="CE482" s="40" t="s">
        <v>97</v>
      </c>
      <c r="CF482" s="40" t="s">
        <v>97</v>
      </c>
      <c r="CG482" s="40" t="s">
        <v>97</v>
      </c>
      <c r="CH482" s="40" t="s">
        <v>97</v>
      </c>
      <c r="CI482" s="40" t="s">
        <v>97</v>
      </c>
      <c r="CJ482" s="40" t="s">
        <v>97</v>
      </c>
      <c r="CK482" s="40" t="s">
        <v>97</v>
      </c>
      <c r="CL482" s="40" t="s">
        <v>97</v>
      </c>
      <c r="CM482" s="40" t="s">
        <v>97</v>
      </c>
      <c r="CN482" s="40" t="s">
        <v>97</v>
      </c>
      <c r="CO482" s="406"/>
      <c r="CP482" s="48">
        <f t="shared" ref="CP482:CY483" si="2786">J482</f>
        <v>0</v>
      </c>
      <c r="CQ482" s="48">
        <f t="shared" si="2786"/>
        <v>0</v>
      </c>
      <c r="CR482" s="48">
        <f t="shared" si="2786"/>
        <v>5750</v>
      </c>
      <c r="CS482" s="48">
        <f t="shared" si="2786"/>
        <v>5750</v>
      </c>
      <c r="CT482" s="48">
        <f t="shared" si="2786"/>
        <v>5750</v>
      </c>
      <c r="CU482" s="48">
        <f t="shared" si="2786"/>
        <v>11500</v>
      </c>
      <c r="CV482" s="48">
        <f t="shared" si="2786"/>
        <v>11500</v>
      </c>
      <c r="CW482" s="48">
        <f t="shared" si="2786"/>
        <v>11500</v>
      </c>
      <c r="CX482" s="48">
        <f t="shared" si="2786"/>
        <v>17250</v>
      </c>
      <c r="CY482" s="48">
        <f t="shared" si="2786"/>
        <v>17250</v>
      </c>
      <c r="CZ482" s="48">
        <f t="shared" ref="CZ482:DI483" si="2787">T482</f>
        <v>17250</v>
      </c>
      <c r="DA482" s="48">
        <f t="shared" si="2787"/>
        <v>23000</v>
      </c>
      <c r="DB482" s="48">
        <f t="shared" si="2787"/>
        <v>0</v>
      </c>
      <c r="DC482" s="48">
        <f t="shared" si="2787"/>
        <v>0</v>
      </c>
      <c r="DD482" s="48">
        <f t="shared" si="2787"/>
        <v>0</v>
      </c>
      <c r="DE482" s="48">
        <f t="shared" si="2787"/>
        <v>0</v>
      </c>
      <c r="DF482" s="48">
        <f t="shared" si="2787"/>
        <v>0</v>
      </c>
      <c r="DG482" s="48">
        <f t="shared" si="2787"/>
        <v>16200</v>
      </c>
      <c r="DH482" s="48">
        <f t="shared" si="2787"/>
        <v>16200</v>
      </c>
      <c r="DI482" s="48">
        <f t="shared" si="2787"/>
        <v>16200</v>
      </c>
      <c r="DJ482" s="48">
        <f t="shared" ref="DJ482:DP483" si="2788">AD482</f>
        <v>16200</v>
      </c>
      <c r="DK482" s="48">
        <f t="shared" si="2788"/>
        <v>16200</v>
      </c>
      <c r="DL482" s="48">
        <f t="shared" si="2788"/>
        <v>16200</v>
      </c>
      <c r="DM482" s="48">
        <f t="shared" si="2788"/>
        <v>32400</v>
      </c>
      <c r="DN482" s="48">
        <f t="shared" si="2788"/>
        <v>0</v>
      </c>
      <c r="DO482" s="48">
        <f t="shared" si="2788"/>
        <v>0</v>
      </c>
      <c r="DP482" s="48">
        <f t="shared" si="2788"/>
        <v>0</v>
      </c>
      <c r="DQ482" s="48"/>
      <c r="DR482" s="48"/>
      <c r="DS482" s="48"/>
      <c r="DT482" s="48"/>
      <c r="DU482" s="48"/>
      <c r="DV482" s="48"/>
      <c r="DW482" s="48"/>
      <c r="DX482" s="48"/>
      <c r="DY482" s="48"/>
      <c r="EA482" s="52">
        <f t="shared" si="2701"/>
        <v>23000</v>
      </c>
      <c r="EB482" s="52">
        <f t="shared" si="2702"/>
        <v>32400</v>
      </c>
      <c r="EC482" s="52"/>
      <c r="ED482" s="429"/>
      <c r="EE482" s="40" t="str">
        <f>HLOOKUP($I$1,Month,19)</f>
        <v>N/A</v>
      </c>
      <c r="EF482" s="40" t="str">
        <f>HLOOKUP($I$1,Qtr,19)</f>
        <v>N/A</v>
      </c>
      <c r="EG482" s="51">
        <f>HLOOKUP($EJ$4,Budget,19)</f>
        <v>41153</v>
      </c>
      <c r="EH482" s="54"/>
      <c r="EI482" s="54"/>
      <c r="EJ482" s="54"/>
      <c r="EK482" s="675"/>
      <c r="EL482" s="53"/>
      <c r="EM482" s="53"/>
      <c r="EN482" s="53"/>
      <c r="EO482" s="49"/>
      <c r="EP482" s="49"/>
      <c r="EQ482" s="49"/>
    </row>
    <row r="483" spans="1:149" ht="13.5" thickBot="1">
      <c r="A483" s="6" t="s">
        <v>23</v>
      </c>
      <c r="B483" s="2" t="s">
        <v>14</v>
      </c>
      <c r="C483" s="3" t="s">
        <v>53</v>
      </c>
      <c r="E483" s="3" t="s">
        <v>15</v>
      </c>
      <c r="G483" s="3" t="s">
        <v>91</v>
      </c>
      <c r="I483" s="183"/>
      <c r="J483" s="180"/>
      <c r="K483" s="180"/>
      <c r="L483" s="180">
        <v>11500</v>
      </c>
      <c r="M483" s="180">
        <v>11500</v>
      </c>
      <c r="N483" s="180">
        <v>11500</v>
      </c>
      <c r="O483" s="180">
        <v>23000</v>
      </c>
      <c r="P483" s="180">
        <v>23000</v>
      </c>
      <c r="Q483" s="180">
        <v>23000</v>
      </c>
      <c r="R483" s="180">
        <v>34500</v>
      </c>
      <c r="S483" s="180">
        <v>34500</v>
      </c>
      <c r="T483" s="180">
        <v>34500</v>
      </c>
      <c r="U483" s="180">
        <v>46000</v>
      </c>
      <c r="V483" s="221">
        <v>0</v>
      </c>
      <c r="W483" s="246">
        <v>0</v>
      </c>
      <c r="X483" s="246">
        <v>0</v>
      </c>
      <c r="Y483" s="246">
        <f>X483</f>
        <v>0</v>
      </c>
      <c r="Z483" s="246">
        <v>0</v>
      </c>
      <c r="AA483" s="246">
        <f>ROUND(AG483/2,0)</f>
        <v>32236</v>
      </c>
      <c r="AB483" s="246">
        <f t="shared" si="2785"/>
        <v>32236</v>
      </c>
      <c r="AC483" s="246">
        <f t="shared" si="2785"/>
        <v>32236</v>
      </c>
      <c r="AD483" s="246">
        <f t="shared" si="2785"/>
        <v>32236</v>
      </c>
      <c r="AE483" s="246">
        <f t="shared" si="2785"/>
        <v>32236</v>
      </c>
      <c r="AF483" s="246">
        <f t="shared" si="2785"/>
        <v>32236</v>
      </c>
      <c r="AG483" s="246">
        <v>64472</v>
      </c>
      <c r="AH483" s="34"/>
      <c r="AI483" s="19"/>
      <c r="AJ483" s="19"/>
      <c r="AK483" s="408"/>
      <c r="AL483" s="40" t="s">
        <v>97</v>
      </c>
      <c r="AM483" s="40" t="s">
        <v>97</v>
      </c>
      <c r="AN483" s="40" t="s">
        <v>97</v>
      </c>
      <c r="AO483" s="40" t="s">
        <v>97</v>
      </c>
      <c r="AP483" s="40" t="s">
        <v>97</v>
      </c>
      <c r="AQ483" s="40" t="s">
        <v>97</v>
      </c>
      <c r="AR483" s="40" t="s">
        <v>97</v>
      </c>
      <c r="AS483" s="40" t="s">
        <v>97</v>
      </c>
      <c r="AT483" s="40" t="s">
        <v>97</v>
      </c>
      <c r="AU483" s="40" t="s">
        <v>97</v>
      </c>
      <c r="AV483" s="40" t="s">
        <v>97</v>
      </c>
      <c r="AW483" s="40" t="s">
        <v>97</v>
      </c>
      <c r="AX483" s="40" t="s">
        <v>97</v>
      </c>
      <c r="AY483" s="40" t="s">
        <v>97</v>
      </c>
      <c r="AZ483" s="40" t="s">
        <v>97</v>
      </c>
      <c r="BA483" s="40" t="s">
        <v>97</v>
      </c>
      <c r="BB483" s="40" t="s">
        <v>97</v>
      </c>
      <c r="BC483" s="40" t="s">
        <v>97</v>
      </c>
      <c r="BD483" s="40" t="s">
        <v>97</v>
      </c>
      <c r="BE483" s="40" t="s">
        <v>97</v>
      </c>
      <c r="BF483" s="40" t="s">
        <v>97</v>
      </c>
      <c r="BG483" s="40" t="s">
        <v>97</v>
      </c>
      <c r="BH483" s="40" t="s">
        <v>97</v>
      </c>
      <c r="BI483" s="40" t="s">
        <v>97</v>
      </c>
      <c r="BJ483" s="40" t="s">
        <v>97</v>
      </c>
      <c r="BK483" s="40" t="s">
        <v>97</v>
      </c>
      <c r="BL483" s="40" t="s">
        <v>97</v>
      </c>
      <c r="BM483" s="408"/>
      <c r="BN483" s="40" t="s">
        <v>97</v>
      </c>
      <c r="BO483" s="40" t="s">
        <v>97</v>
      </c>
      <c r="BP483" s="40" t="s">
        <v>97</v>
      </c>
      <c r="BQ483" s="40" t="s">
        <v>97</v>
      </c>
      <c r="BR483" s="40" t="s">
        <v>97</v>
      </c>
      <c r="BS483" s="40" t="s">
        <v>97</v>
      </c>
      <c r="BT483" s="40" t="s">
        <v>97</v>
      </c>
      <c r="BU483" s="40" t="s">
        <v>97</v>
      </c>
      <c r="BV483" s="40" t="s">
        <v>97</v>
      </c>
      <c r="BW483" s="40" t="s">
        <v>97</v>
      </c>
      <c r="BX483" s="40" t="s">
        <v>97</v>
      </c>
      <c r="BY483" s="40" t="s">
        <v>97</v>
      </c>
      <c r="BZ483" s="40" t="s">
        <v>97</v>
      </c>
      <c r="CA483" s="40" t="s">
        <v>97</v>
      </c>
      <c r="CB483" s="40" t="s">
        <v>97</v>
      </c>
      <c r="CC483" s="40" t="s">
        <v>97</v>
      </c>
      <c r="CD483" s="40" t="s">
        <v>97</v>
      </c>
      <c r="CE483" s="40" t="s">
        <v>97</v>
      </c>
      <c r="CF483" s="40" t="s">
        <v>97</v>
      </c>
      <c r="CG483" s="40" t="s">
        <v>97</v>
      </c>
      <c r="CH483" s="40" t="s">
        <v>97</v>
      </c>
      <c r="CI483" s="40" t="s">
        <v>97</v>
      </c>
      <c r="CJ483" s="40" t="s">
        <v>97</v>
      </c>
      <c r="CK483" s="40" t="s">
        <v>97</v>
      </c>
      <c r="CL483" s="40" t="s">
        <v>97</v>
      </c>
      <c r="CM483" s="40" t="s">
        <v>97</v>
      </c>
      <c r="CN483" s="40" t="s">
        <v>97</v>
      </c>
      <c r="CO483" s="406"/>
      <c r="CP483" s="48">
        <f t="shared" si="2786"/>
        <v>0</v>
      </c>
      <c r="CQ483" s="48">
        <f t="shared" si="2786"/>
        <v>0</v>
      </c>
      <c r="CR483" s="48">
        <f t="shared" si="2786"/>
        <v>11500</v>
      </c>
      <c r="CS483" s="48">
        <f t="shared" si="2786"/>
        <v>11500</v>
      </c>
      <c r="CT483" s="48">
        <f t="shared" si="2786"/>
        <v>11500</v>
      </c>
      <c r="CU483" s="48">
        <f t="shared" si="2786"/>
        <v>23000</v>
      </c>
      <c r="CV483" s="48">
        <f t="shared" si="2786"/>
        <v>23000</v>
      </c>
      <c r="CW483" s="48">
        <f t="shared" si="2786"/>
        <v>23000</v>
      </c>
      <c r="CX483" s="48">
        <f t="shared" si="2786"/>
        <v>34500</v>
      </c>
      <c r="CY483" s="48">
        <f t="shared" si="2786"/>
        <v>34500</v>
      </c>
      <c r="CZ483" s="48">
        <f t="shared" si="2787"/>
        <v>34500</v>
      </c>
      <c r="DA483" s="48">
        <f t="shared" si="2787"/>
        <v>46000</v>
      </c>
      <c r="DB483" s="48">
        <f t="shared" si="2787"/>
        <v>0</v>
      </c>
      <c r="DC483" s="48">
        <f t="shared" si="2787"/>
        <v>0</v>
      </c>
      <c r="DD483" s="48">
        <f t="shared" si="2787"/>
        <v>0</v>
      </c>
      <c r="DE483" s="48">
        <f t="shared" si="2787"/>
        <v>0</v>
      </c>
      <c r="DF483" s="48">
        <f t="shared" si="2787"/>
        <v>0</v>
      </c>
      <c r="DG483" s="48">
        <f t="shared" si="2787"/>
        <v>32236</v>
      </c>
      <c r="DH483" s="48">
        <f t="shared" si="2787"/>
        <v>32236</v>
      </c>
      <c r="DI483" s="48">
        <f t="shared" si="2787"/>
        <v>32236</v>
      </c>
      <c r="DJ483" s="48">
        <f t="shared" si="2788"/>
        <v>32236</v>
      </c>
      <c r="DK483" s="48">
        <f t="shared" si="2788"/>
        <v>32236</v>
      </c>
      <c r="DL483" s="48">
        <f t="shared" si="2788"/>
        <v>32236</v>
      </c>
      <c r="DM483" s="48">
        <f t="shared" si="2788"/>
        <v>64472</v>
      </c>
      <c r="DN483" s="48">
        <f t="shared" si="2788"/>
        <v>0</v>
      </c>
      <c r="DO483" s="48">
        <f t="shared" si="2788"/>
        <v>0</v>
      </c>
      <c r="DP483" s="48">
        <f t="shared" si="2788"/>
        <v>0</v>
      </c>
      <c r="DQ483" s="48"/>
      <c r="DR483" s="48"/>
      <c r="DS483" s="48"/>
      <c r="DT483" s="48"/>
      <c r="DU483" s="48"/>
      <c r="DV483" s="48"/>
      <c r="DW483" s="48"/>
      <c r="DX483" s="48"/>
      <c r="DY483" s="48"/>
      <c r="EA483" s="52">
        <f t="shared" si="2701"/>
        <v>46000</v>
      </c>
      <c r="EB483" s="52">
        <f t="shared" si="2702"/>
        <v>64472</v>
      </c>
      <c r="EC483" s="52"/>
      <c r="ED483" s="429"/>
      <c r="EE483" s="40" t="str">
        <f>HLOOKUP($I$1,Month,20)</f>
        <v>N/A</v>
      </c>
      <c r="EF483" s="40" t="str">
        <f>HLOOKUP($I$1,Qtr,20)</f>
        <v>N/A</v>
      </c>
      <c r="EG483" s="51">
        <f>HLOOKUP($EJ$4,Budget,20)</f>
        <v>81520</v>
      </c>
      <c r="EH483" s="54"/>
      <c r="EI483" s="54"/>
      <c r="EJ483" s="54"/>
      <c r="EK483" s="675"/>
      <c r="EL483" s="53"/>
      <c r="EM483" s="53"/>
      <c r="EN483" s="53"/>
      <c r="EO483" s="49"/>
      <c r="EP483" s="49"/>
      <c r="EQ483" s="49"/>
    </row>
    <row r="484" spans="1:149">
      <c r="A484" s="6" t="s">
        <v>23</v>
      </c>
      <c r="B484" s="2" t="s">
        <v>0</v>
      </c>
      <c r="C484" s="3" t="s">
        <v>40</v>
      </c>
      <c r="G484" s="43" t="s">
        <v>113</v>
      </c>
      <c r="H484" s="28"/>
      <c r="I484" s="29"/>
      <c r="J484" s="30">
        <f t="shared" ref="J484:L485" si="2789">+J466-I466</f>
        <v>9.1700000000000017</v>
      </c>
      <c r="K484" s="30">
        <f t="shared" si="2789"/>
        <v>9.1700000000000017</v>
      </c>
      <c r="L484" s="30">
        <f t="shared" si="2789"/>
        <v>9.1700000000000017</v>
      </c>
      <c r="M484" s="30">
        <f>+M466</f>
        <v>9.3333333333333339</v>
      </c>
      <c r="N484" s="30">
        <f t="shared" ref="N484:U484" si="2790">+N466-M466</f>
        <v>9.33</v>
      </c>
      <c r="O484" s="30">
        <f t="shared" si="2790"/>
        <v>9.3299999999999983</v>
      </c>
      <c r="P484" s="30">
        <f t="shared" si="2790"/>
        <v>9.3299999999999983</v>
      </c>
      <c r="Q484" s="30">
        <f t="shared" si="2790"/>
        <v>9.3299999999999983</v>
      </c>
      <c r="R484" s="30">
        <f t="shared" si="2790"/>
        <v>9.3299999999999983</v>
      </c>
      <c r="S484" s="30">
        <f t="shared" si="2790"/>
        <v>9.3300000000000054</v>
      </c>
      <c r="T484" s="30">
        <f t="shared" si="2790"/>
        <v>9.3299999999999983</v>
      </c>
      <c r="U484" s="30">
        <f t="shared" si="2790"/>
        <v>9.3299999999999983</v>
      </c>
      <c r="V484" s="439">
        <f>121/12</f>
        <v>10.083333333333334</v>
      </c>
      <c r="W484" s="226">
        <f>V484+10.083</f>
        <v>20.166333333333334</v>
      </c>
      <c r="X484" s="226">
        <f t="shared" ref="X484:AG484" si="2791">W484+10.083</f>
        <v>30.249333333333333</v>
      </c>
      <c r="Y484" s="226">
        <f t="shared" si="2791"/>
        <v>40.332333333333331</v>
      </c>
      <c r="Z484" s="226">
        <f t="shared" si="2791"/>
        <v>50.415333333333329</v>
      </c>
      <c r="AA484" s="226">
        <f t="shared" si="2791"/>
        <v>60.498333333333328</v>
      </c>
      <c r="AB484" s="226">
        <f t="shared" si="2791"/>
        <v>70.581333333333333</v>
      </c>
      <c r="AC484" s="226">
        <f t="shared" si="2791"/>
        <v>80.664333333333332</v>
      </c>
      <c r="AD484" s="226">
        <f t="shared" si="2791"/>
        <v>90.74733333333333</v>
      </c>
      <c r="AE484" s="226">
        <f t="shared" si="2791"/>
        <v>100.83033333333333</v>
      </c>
      <c r="AF484" s="226">
        <f t="shared" si="2791"/>
        <v>110.91333333333333</v>
      </c>
      <c r="AG484" s="226">
        <f t="shared" si="2791"/>
        <v>120.99633333333333</v>
      </c>
      <c r="AH484" s="30">
        <f>250/12</f>
        <v>20.833333333333332</v>
      </c>
      <c r="AI484" s="226">
        <f>AH484+AH484</f>
        <v>41.666666666666664</v>
      </c>
      <c r="AJ484" s="226">
        <f t="shared" ref="AJ484" si="2792">250/12</f>
        <v>20.833333333333332</v>
      </c>
      <c r="AK484" s="408"/>
      <c r="AL484" s="48">
        <f t="shared" ref="AL484:AU486" si="2793">J484</f>
        <v>9.1700000000000017</v>
      </c>
      <c r="AM484" s="48">
        <f t="shared" si="2793"/>
        <v>9.1700000000000017</v>
      </c>
      <c r="AN484" s="48">
        <f t="shared" si="2793"/>
        <v>9.1700000000000017</v>
      </c>
      <c r="AO484" s="48">
        <f t="shared" si="2793"/>
        <v>9.3333333333333339</v>
      </c>
      <c r="AP484" s="48">
        <f t="shared" si="2793"/>
        <v>9.33</v>
      </c>
      <c r="AQ484" s="48">
        <f t="shared" si="2793"/>
        <v>9.3299999999999983</v>
      </c>
      <c r="AR484" s="48">
        <f t="shared" si="2793"/>
        <v>9.3299999999999983</v>
      </c>
      <c r="AS484" s="48">
        <f t="shared" si="2793"/>
        <v>9.3299999999999983</v>
      </c>
      <c r="AT484" s="48">
        <f t="shared" si="2793"/>
        <v>9.3299999999999983</v>
      </c>
      <c r="AU484" s="48">
        <f t="shared" si="2793"/>
        <v>9.3300000000000054</v>
      </c>
      <c r="AV484" s="48">
        <f t="shared" ref="AV484:BE486" si="2794">T484</f>
        <v>9.3299999999999983</v>
      </c>
      <c r="AW484" s="48">
        <f t="shared" si="2794"/>
        <v>9.3299999999999983</v>
      </c>
      <c r="AX484" s="48">
        <f>121/12</f>
        <v>10.083333333333334</v>
      </c>
      <c r="AY484" s="48">
        <f t="shared" ref="AY484:BI484" si="2795">121/12</f>
        <v>10.083333333333334</v>
      </c>
      <c r="AZ484" s="48">
        <f t="shared" si="2795"/>
        <v>10.083333333333334</v>
      </c>
      <c r="BA484" s="48">
        <f t="shared" si="2795"/>
        <v>10.083333333333334</v>
      </c>
      <c r="BB484" s="48">
        <f t="shared" si="2795"/>
        <v>10.083333333333334</v>
      </c>
      <c r="BC484" s="48">
        <f t="shared" si="2795"/>
        <v>10.083333333333334</v>
      </c>
      <c r="BD484" s="48">
        <f t="shared" si="2795"/>
        <v>10.083333333333334</v>
      </c>
      <c r="BE484" s="48">
        <f t="shared" si="2795"/>
        <v>10.083333333333334</v>
      </c>
      <c r="BF484" s="48">
        <f t="shared" si="2795"/>
        <v>10.083333333333334</v>
      </c>
      <c r="BG484" s="48">
        <f t="shared" si="2795"/>
        <v>10.083333333333334</v>
      </c>
      <c r="BH484" s="48">
        <f t="shared" si="2795"/>
        <v>10.083333333333334</v>
      </c>
      <c r="BI484" s="48">
        <f t="shared" si="2795"/>
        <v>10.083333333333334</v>
      </c>
      <c r="BJ484" s="48">
        <f t="shared" ref="BF484:BL486" si="2796">AH484</f>
        <v>20.833333333333332</v>
      </c>
      <c r="BK484" s="48">
        <f t="shared" si="2796"/>
        <v>41.666666666666664</v>
      </c>
      <c r="BL484" s="48"/>
      <c r="BM484" s="408"/>
      <c r="BN484" s="48">
        <f>+AL484</f>
        <v>9.1700000000000017</v>
      </c>
      <c r="BO484" s="48">
        <f>+BN484+AM484</f>
        <v>18.340000000000003</v>
      </c>
      <c r="BP484" s="48">
        <f>+BO484+AN484</f>
        <v>27.510000000000005</v>
      </c>
      <c r="BQ484" s="48">
        <f>AO484</f>
        <v>9.3333333333333339</v>
      </c>
      <c r="BR484" s="48">
        <f>+BQ484+AP484</f>
        <v>18.663333333333334</v>
      </c>
      <c r="BS484" s="48">
        <f>+BR484+AQ484</f>
        <v>27.993333333333332</v>
      </c>
      <c r="BT484" s="48">
        <f>AR484</f>
        <v>9.3299999999999983</v>
      </c>
      <c r="BU484" s="48">
        <f>+BT484+AS484</f>
        <v>18.659999999999997</v>
      </c>
      <c r="BV484" s="48">
        <f>+BU484+AT484</f>
        <v>27.989999999999995</v>
      </c>
      <c r="BW484" s="48">
        <f>AU484</f>
        <v>9.3300000000000054</v>
      </c>
      <c r="BX484" s="48">
        <f>+BW484+AV484</f>
        <v>18.660000000000004</v>
      </c>
      <c r="BY484" s="48">
        <f>+BX484+AW484</f>
        <v>27.990000000000002</v>
      </c>
      <c r="BZ484" s="48">
        <v>30.248999999999999</v>
      </c>
      <c r="CA484" s="48">
        <v>30.248999999999999</v>
      </c>
      <c r="CB484" s="48">
        <v>30.248999999999999</v>
      </c>
      <c r="CC484" s="48">
        <v>60.497999999999998</v>
      </c>
      <c r="CD484" s="48">
        <v>60.497999999999998</v>
      </c>
      <c r="CE484" s="48">
        <v>60.497999999999998</v>
      </c>
      <c r="CF484" s="48">
        <v>90.747</v>
      </c>
      <c r="CG484" s="48">
        <v>90.747</v>
      </c>
      <c r="CH484" s="48">
        <v>90.747</v>
      </c>
      <c r="CI484" s="48">
        <v>121</v>
      </c>
      <c r="CJ484" s="48">
        <v>121</v>
      </c>
      <c r="CK484" s="48">
        <v>121</v>
      </c>
      <c r="CL484" s="48">
        <f>CN484</f>
        <v>62.5</v>
      </c>
      <c r="CM484" s="48">
        <f>CN484</f>
        <v>62.5</v>
      </c>
      <c r="CN484" s="48">
        <f>250/4</f>
        <v>62.5</v>
      </c>
      <c r="CO484" s="406"/>
      <c r="CP484" s="40">
        <f>AL484</f>
        <v>9.1700000000000017</v>
      </c>
      <c r="CQ484" s="40">
        <f t="shared" ref="CQ484:DA485" si="2797">CP484+AM484</f>
        <v>18.340000000000003</v>
      </c>
      <c r="CR484" s="40">
        <f t="shared" si="2797"/>
        <v>27.510000000000005</v>
      </c>
      <c r="CS484" s="40">
        <f t="shared" si="2797"/>
        <v>36.843333333333341</v>
      </c>
      <c r="CT484" s="40">
        <f t="shared" si="2797"/>
        <v>46.173333333333339</v>
      </c>
      <c r="CU484" s="40">
        <f t="shared" si="2797"/>
        <v>55.503333333333337</v>
      </c>
      <c r="CV484" s="40">
        <f t="shared" si="2797"/>
        <v>64.833333333333343</v>
      </c>
      <c r="CW484" s="40">
        <f t="shared" si="2797"/>
        <v>74.163333333333341</v>
      </c>
      <c r="CX484" s="40">
        <f t="shared" si="2797"/>
        <v>83.493333333333339</v>
      </c>
      <c r="CY484" s="40">
        <f t="shared" si="2797"/>
        <v>92.823333333333352</v>
      </c>
      <c r="CZ484" s="40">
        <f t="shared" si="2797"/>
        <v>102.15333333333335</v>
      </c>
      <c r="DA484" s="40">
        <f t="shared" si="2797"/>
        <v>111.48333333333335</v>
      </c>
      <c r="DB484" s="40">
        <f>AX484</f>
        <v>10.083333333333334</v>
      </c>
      <c r="DC484" s="396">
        <f>DB484+10.083</f>
        <v>20.166333333333334</v>
      </c>
      <c r="DD484" s="396">
        <f t="shared" ref="DD484:DM484" si="2798">DC484+10.083</f>
        <v>30.249333333333333</v>
      </c>
      <c r="DE484" s="396">
        <f t="shared" si="2798"/>
        <v>40.332333333333331</v>
      </c>
      <c r="DF484" s="396">
        <f t="shared" si="2798"/>
        <v>50.415333333333329</v>
      </c>
      <c r="DG484" s="396">
        <f t="shared" si="2798"/>
        <v>60.498333333333328</v>
      </c>
      <c r="DH484" s="396">
        <f t="shared" si="2798"/>
        <v>70.581333333333333</v>
      </c>
      <c r="DI484" s="396">
        <f t="shared" si="2798"/>
        <v>80.664333333333332</v>
      </c>
      <c r="DJ484" s="396">
        <f t="shared" si="2798"/>
        <v>90.74733333333333</v>
      </c>
      <c r="DK484" s="396">
        <f t="shared" si="2798"/>
        <v>100.83033333333333</v>
      </c>
      <c r="DL484" s="396">
        <f t="shared" si="2798"/>
        <v>110.91333333333333</v>
      </c>
      <c r="DM484" s="396">
        <f t="shared" si="2798"/>
        <v>120.99633333333333</v>
      </c>
      <c r="DN484" s="40">
        <f>BJ484</f>
        <v>20.833333333333332</v>
      </c>
      <c r="DO484" s="40">
        <f>DN484+BK484</f>
        <v>62.5</v>
      </c>
      <c r="DP484" s="40">
        <f>DO484+BL484</f>
        <v>62.5</v>
      </c>
      <c r="DQ484" s="40"/>
      <c r="DR484" s="40"/>
      <c r="DS484" s="40"/>
      <c r="DT484" s="40"/>
      <c r="DU484" s="40"/>
      <c r="DV484" s="40"/>
      <c r="DW484" s="40"/>
      <c r="DX484" s="40"/>
      <c r="DY484" s="40"/>
      <c r="EA484" s="58">
        <f t="shared" si="2701"/>
        <v>111.48333333333335</v>
      </c>
      <c r="EB484" s="58">
        <f t="shared" si="2702"/>
        <v>120.99633333333333</v>
      </c>
      <c r="EC484" s="58"/>
      <c r="ED484" s="429"/>
      <c r="EE484" s="40">
        <f>HLOOKUP($I$1,Month,ROW()-1)</f>
        <v>41.666666666666664</v>
      </c>
      <c r="EF484" s="40">
        <f>HLOOKUP($I$1,Qtr,ROW()-1)</f>
        <v>62.5</v>
      </c>
      <c r="EG484" s="40">
        <v>250</v>
      </c>
      <c r="EH484" s="54"/>
      <c r="EI484" s="54"/>
      <c r="EJ484" s="54"/>
      <c r="EK484" s="675"/>
      <c r="EL484" s="53"/>
      <c r="EM484" s="53"/>
      <c r="EN484" s="53"/>
      <c r="EO484" s="49"/>
      <c r="EP484" s="49"/>
      <c r="EQ484" s="49"/>
    </row>
    <row r="485" spans="1:149">
      <c r="A485" s="6" t="s">
        <v>23</v>
      </c>
      <c r="B485" s="2" t="s">
        <v>1</v>
      </c>
      <c r="C485" s="3" t="s">
        <v>41</v>
      </c>
      <c r="G485" s="43" t="s">
        <v>113</v>
      </c>
      <c r="H485" s="28"/>
      <c r="I485" s="29"/>
      <c r="J485" s="30">
        <f t="shared" si="2789"/>
        <v>1.67</v>
      </c>
      <c r="K485" s="30">
        <f t="shared" si="2789"/>
        <v>1.6699999999999982</v>
      </c>
      <c r="L485" s="30">
        <f t="shared" si="2789"/>
        <v>1.6700000000000017</v>
      </c>
      <c r="M485" s="30">
        <f>+M467</f>
        <v>2.5</v>
      </c>
      <c r="N485" s="30">
        <f t="shared" ref="N485:V485" si="2799">+N467-M467</f>
        <v>2.5</v>
      </c>
      <c r="O485" s="30">
        <f t="shared" si="2799"/>
        <v>2.5</v>
      </c>
      <c r="P485" s="30">
        <f t="shared" si="2799"/>
        <v>2.5</v>
      </c>
      <c r="Q485" s="30">
        <f t="shared" si="2799"/>
        <v>2.5</v>
      </c>
      <c r="R485" s="30">
        <f t="shared" si="2799"/>
        <v>2.5</v>
      </c>
      <c r="S485" s="30">
        <f t="shared" si="2799"/>
        <v>2.5</v>
      </c>
      <c r="T485" s="30">
        <f t="shared" si="2799"/>
        <v>2.5</v>
      </c>
      <c r="U485" s="30">
        <f t="shared" si="2799"/>
        <v>2.5</v>
      </c>
      <c r="V485" s="30">
        <f t="shared" si="2799"/>
        <v>2.5</v>
      </c>
      <c r="W485" s="226">
        <f>+W467-V467</f>
        <v>2.5</v>
      </c>
      <c r="X485" s="226">
        <f>+X467-W467</f>
        <v>2.5</v>
      </c>
      <c r="Y485" s="226">
        <f>+Y467</f>
        <v>2.5</v>
      </c>
      <c r="Z485" s="226">
        <f t="shared" ref="Z485:AJ485" si="2800">+Z467-Y467</f>
        <v>2.5</v>
      </c>
      <c r="AA485" s="226">
        <f t="shared" si="2800"/>
        <v>2.5</v>
      </c>
      <c r="AB485" s="226">
        <f t="shared" si="2800"/>
        <v>2.5</v>
      </c>
      <c r="AC485" s="226">
        <f t="shared" si="2800"/>
        <v>2.5</v>
      </c>
      <c r="AD485" s="226">
        <f t="shared" si="2800"/>
        <v>2.5</v>
      </c>
      <c r="AE485" s="226">
        <f t="shared" si="2800"/>
        <v>2.5</v>
      </c>
      <c r="AF485" s="226">
        <f t="shared" si="2800"/>
        <v>2.5</v>
      </c>
      <c r="AG485" s="226">
        <f t="shared" si="2800"/>
        <v>2.5</v>
      </c>
      <c r="AH485" s="30">
        <f t="shared" si="2800"/>
        <v>2.5</v>
      </c>
      <c r="AI485" s="30">
        <f t="shared" si="2800"/>
        <v>2.5</v>
      </c>
      <c r="AJ485" s="30">
        <f t="shared" si="2800"/>
        <v>2.5</v>
      </c>
      <c r="AK485" s="408"/>
      <c r="AL485" s="48">
        <f t="shared" si="2793"/>
        <v>1.67</v>
      </c>
      <c r="AM485" s="48">
        <f t="shared" si="2793"/>
        <v>1.6699999999999982</v>
      </c>
      <c r="AN485" s="48">
        <f t="shared" si="2793"/>
        <v>1.6700000000000017</v>
      </c>
      <c r="AO485" s="48">
        <f t="shared" si="2793"/>
        <v>2.5</v>
      </c>
      <c r="AP485" s="48">
        <f t="shared" si="2793"/>
        <v>2.5</v>
      </c>
      <c r="AQ485" s="48">
        <f t="shared" si="2793"/>
        <v>2.5</v>
      </c>
      <c r="AR485" s="48">
        <f t="shared" si="2793"/>
        <v>2.5</v>
      </c>
      <c r="AS485" s="48">
        <f t="shared" si="2793"/>
        <v>2.5</v>
      </c>
      <c r="AT485" s="48">
        <f t="shared" si="2793"/>
        <v>2.5</v>
      </c>
      <c r="AU485" s="48">
        <f t="shared" si="2793"/>
        <v>2.5</v>
      </c>
      <c r="AV485" s="48">
        <f t="shared" si="2794"/>
        <v>2.5</v>
      </c>
      <c r="AW485" s="48">
        <f t="shared" si="2794"/>
        <v>2.5</v>
      </c>
      <c r="AX485" s="48">
        <f t="shared" si="2794"/>
        <v>2.5</v>
      </c>
      <c r="AY485" s="48">
        <f t="shared" si="2794"/>
        <v>2.5</v>
      </c>
      <c r="AZ485" s="48">
        <f t="shared" si="2794"/>
        <v>2.5</v>
      </c>
      <c r="BA485" s="48">
        <f t="shared" si="2794"/>
        <v>2.5</v>
      </c>
      <c r="BB485" s="48">
        <f t="shared" si="2794"/>
        <v>2.5</v>
      </c>
      <c r="BC485" s="48">
        <f t="shared" si="2794"/>
        <v>2.5</v>
      </c>
      <c r="BD485" s="48">
        <f t="shared" si="2794"/>
        <v>2.5</v>
      </c>
      <c r="BE485" s="48">
        <f t="shared" si="2794"/>
        <v>2.5</v>
      </c>
      <c r="BF485" s="48">
        <f t="shared" si="2796"/>
        <v>2.5</v>
      </c>
      <c r="BG485" s="48">
        <f t="shared" si="2796"/>
        <v>2.5</v>
      </c>
      <c r="BH485" s="48">
        <f t="shared" si="2796"/>
        <v>2.5</v>
      </c>
      <c r="BI485" s="48">
        <f t="shared" si="2796"/>
        <v>2.5</v>
      </c>
      <c r="BJ485" s="48">
        <f t="shared" si="2796"/>
        <v>2.5</v>
      </c>
      <c r="BK485" s="48">
        <f t="shared" si="2796"/>
        <v>2.5</v>
      </c>
      <c r="BL485" s="48">
        <f t="shared" si="2796"/>
        <v>2.5</v>
      </c>
      <c r="BM485" s="408"/>
      <c r="BN485" s="48">
        <f>+AL485</f>
        <v>1.67</v>
      </c>
      <c r="BO485" s="48">
        <f>+BN485+AM485</f>
        <v>3.3399999999999981</v>
      </c>
      <c r="BP485" s="48">
        <f>+BO485+AN485</f>
        <v>5.01</v>
      </c>
      <c r="BQ485" s="48">
        <f>AO485</f>
        <v>2.5</v>
      </c>
      <c r="BR485" s="48">
        <f>+BQ485+AP485</f>
        <v>5</v>
      </c>
      <c r="BS485" s="48">
        <f>+BR485+AQ485</f>
        <v>7.5</v>
      </c>
      <c r="BT485" s="48">
        <f>AR485</f>
        <v>2.5</v>
      </c>
      <c r="BU485" s="48">
        <f>+BT485+AS485</f>
        <v>5</v>
      </c>
      <c r="BV485" s="48">
        <f>+BU485+AT485</f>
        <v>7.5</v>
      </c>
      <c r="BW485" s="48">
        <f>AU485</f>
        <v>2.5</v>
      </c>
      <c r="BX485" s="48">
        <f>+BW485+AV485</f>
        <v>5</v>
      </c>
      <c r="BY485" s="48">
        <f>+BX485+AW485</f>
        <v>7.5</v>
      </c>
      <c r="BZ485" s="48">
        <f>AX485</f>
        <v>2.5</v>
      </c>
      <c r="CA485" s="48">
        <f>+BZ485+AY485</f>
        <v>5</v>
      </c>
      <c r="CB485" s="48">
        <f>+CA485+AZ485</f>
        <v>7.5</v>
      </c>
      <c r="CC485" s="48">
        <f>BA485</f>
        <v>2.5</v>
      </c>
      <c r="CD485" s="48">
        <f>+CC485+BB485</f>
        <v>5</v>
      </c>
      <c r="CE485" s="48">
        <f>+CD485+BC485</f>
        <v>7.5</v>
      </c>
      <c r="CF485" s="48">
        <f>BD485</f>
        <v>2.5</v>
      </c>
      <c r="CG485" s="48">
        <f>+CF485+BE485</f>
        <v>5</v>
      </c>
      <c r="CH485" s="48">
        <f>+CG485+BF485</f>
        <v>7.5</v>
      </c>
      <c r="CI485" s="48">
        <f>BG485</f>
        <v>2.5</v>
      </c>
      <c r="CJ485" s="48">
        <f>+CI485+BH485</f>
        <v>5</v>
      </c>
      <c r="CK485" s="48">
        <f>+CJ485+BI485</f>
        <v>7.5</v>
      </c>
      <c r="CL485" s="48">
        <f>BJ485</f>
        <v>2.5</v>
      </c>
      <c r="CM485" s="48">
        <f>+CL485+BK485</f>
        <v>5</v>
      </c>
      <c r="CN485" s="48">
        <f>+CM485+BL485</f>
        <v>7.5</v>
      </c>
      <c r="CO485" s="406"/>
      <c r="CP485" s="40">
        <f>AL485</f>
        <v>1.67</v>
      </c>
      <c r="CQ485" s="40">
        <f t="shared" si="2797"/>
        <v>3.3399999999999981</v>
      </c>
      <c r="CR485" s="40">
        <f t="shared" si="2797"/>
        <v>5.01</v>
      </c>
      <c r="CS485" s="40">
        <f t="shared" si="2797"/>
        <v>7.51</v>
      </c>
      <c r="CT485" s="40">
        <f t="shared" si="2797"/>
        <v>10.01</v>
      </c>
      <c r="CU485" s="40">
        <f t="shared" si="2797"/>
        <v>12.51</v>
      </c>
      <c r="CV485" s="40">
        <f t="shared" si="2797"/>
        <v>15.01</v>
      </c>
      <c r="CW485" s="40">
        <f t="shared" si="2797"/>
        <v>17.509999999999998</v>
      </c>
      <c r="CX485" s="40">
        <f t="shared" si="2797"/>
        <v>20.009999999999998</v>
      </c>
      <c r="CY485" s="40">
        <f t="shared" si="2797"/>
        <v>22.509999999999998</v>
      </c>
      <c r="CZ485" s="40">
        <f t="shared" si="2797"/>
        <v>25.009999999999998</v>
      </c>
      <c r="DA485" s="40">
        <f t="shared" si="2797"/>
        <v>27.509999999999998</v>
      </c>
      <c r="DB485" s="40">
        <f>AX485</f>
        <v>2.5</v>
      </c>
      <c r="DC485" s="40">
        <f t="shared" ref="DC485:DM485" si="2801">DB485+AY485</f>
        <v>5</v>
      </c>
      <c r="DD485" s="40">
        <f t="shared" si="2801"/>
        <v>7.5</v>
      </c>
      <c r="DE485" s="40">
        <f t="shared" si="2801"/>
        <v>10</v>
      </c>
      <c r="DF485" s="40">
        <f t="shared" si="2801"/>
        <v>12.5</v>
      </c>
      <c r="DG485" s="40">
        <f t="shared" si="2801"/>
        <v>15</v>
      </c>
      <c r="DH485" s="40">
        <f t="shared" si="2801"/>
        <v>17.5</v>
      </c>
      <c r="DI485" s="40">
        <f t="shared" si="2801"/>
        <v>20</v>
      </c>
      <c r="DJ485" s="40">
        <f t="shared" si="2801"/>
        <v>22.5</v>
      </c>
      <c r="DK485" s="40">
        <f t="shared" si="2801"/>
        <v>25</v>
      </c>
      <c r="DL485" s="40">
        <f t="shared" si="2801"/>
        <v>27.5</v>
      </c>
      <c r="DM485" s="40">
        <f t="shared" si="2801"/>
        <v>30</v>
      </c>
      <c r="DN485" s="40">
        <f>BJ485</f>
        <v>2.5</v>
      </c>
      <c r="DO485" s="40">
        <f>DN485+BK485</f>
        <v>5</v>
      </c>
      <c r="DP485" s="40">
        <f>DO485+BL485</f>
        <v>7.5</v>
      </c>
      <c r="DQ485" s="40"/>
      <c r="DR485" s="40"/>
      <c r="DS485" s="40"/>
      <c r="DT485" s="40"/>
      <c r="DU485" s="40"/>
      <c r="DV485" s="40"/>
      <c r="DW485" s="40"/>
      <c r="DX485" s="40"/>
      <c r="DY485" s="40"/>
      <c r="EA485" s="59">
        <f t="shared" si="2701"/>
        <v>27.509999999999998</v>
      </c>
      <c r="EB485" s="59">
        <f>IF(I463&gt;6/30/10,DM485,"")</f>
        <v>30</v>
      </c>
      <c r="EC485" s="59"/>
      <c r="ED485" s="429"/>
      <c r="EE485" s="40">
        <f>HLOOKUP($I$1,Month,ROW()-1)</f>
        <v>2.5</v>
      </c>
      <c r="EF485" s="40">
        <f>HLOOKUP($I$1,Qtr,ROW()-1)</f>
        <v>5</v>
      </c>
      <c r="EG485" s="40">
        <f>HLOOKUP($EJ$4,Budget,ROW()-1)</f>
        <v>30</v>
      </c>
      <c r="EH485" s="54"/>
      <c r="EI485" s="54"/>
      <c r="EJ485" s="54"/>
      <c r="EK485" s="675"/>
      <c r="EL485" s="53"/>
      <c r="EM485" s="53"/>
      <c r="EN485" s="53"/>
      <c r="EO485" s="49"/>
      <c r="EP485" s="49"/>
      <c r="EQ485" s="49"/>
    </row>
    <row r="486" spans="1:149">
      <c r="A486" s="6" t="s">
        <v>23</v>
      </c>
      <c r="B486" s="101" t="s">
        <v>144</v>
      </c>
      <c r="G486" s="43"/>
      <c r="H486" s="28"/>
      <c r="I486" s="29"/>
      <c r="J486" s="102">
        <f>J480/$DA$18</f>
        <v>0</v>
      </c>
      <c r="K486" s="102">
        <f t="shared" ref="K486:U486" si="2802">K480/$DA$18</f>
        <v>0</v>
      </c>
      <c r="L486" s="102">
        <f t="shared" si="2802"/>
        <v>0.16666666666666666</v>
      </c>
      <c r="M486" s="102">
        <f t="shared" si="2802"/>
        <v>0.16666666666666666</v>
      </c>
      <c r="N486" s="102">
        <f t="shared" si="2802"/>
        <v>0.16666666666666666</v>
      </c>
      <c r="O486" s="102">
        <f t="shared" si="2802"/>
        <v>0.16666666666666666</v>
      </c>
      <c r="P486" s="102">
        <f t="shared" si="2802"/>
        <v>0.33333333333333331</v>
      </c>
      <c r="Q486" s="102">
        <f t="shared" si="2802"/>
        <v>0.33333333333333331</v>
      </c>
      <c r="R486" s="102">
        <f t="shared" si="2802"/>
        <v>0.33333333333333331</v>
      </c>
      <c r="S486" s="102">
        <f t="shared" si="2802"/>
        <v>0.33333333333333331</v>
      </c>
      <c r="T486" s="102">
        <f t="shared" si="2802"/>
        <v>0.5</v>
      </c>
      <c r="U486" s="102">
        <f t="shared" si="2802"/>
        <v>0.5</v>
      </c>
      <c r="V486" s="102">
        <f>V480/$DK$18</f>
        <v>0</v>
      </c>
      <c r="W486" s="102">
        <f>W480/$DK$18</f>
        <v>0.25</v>
      </c>
      <c r="X486" s="102">
        <f>X480/$AG$18</f>
        <v>0.16666666666666666</v>
      </c>
      <c r="Y486" s="102">
        <f t="shared" ref="Y486:AH486" si="2803">Y480/$AG$18</f>
        <v>0.16666666666666666</v>
      </c>
      <c r="Z486" s="102">
        <f t="shared" si="2803"/>
        <v>0.16666666666666666</v>
      </c>
      <c r="AA486" s="102">
        <f t="shared" si="2803"/>
        <v>0.16666666666666666</v>
      </c>
      <c r="AB486" s="102">
        <f t="shared" si="2803"/>
        <v>0.33333333333333331</v>
      </c>
      <c r="AC486" s="102">
        <f t="shared" si="2803"/>
        <v>0.33333333333333331</v>
      </c>
      <c r="AD486" s="102">
        <f t="shared" si="2803"/>
        <v>0.33333333333333331</v>
      </c>
      <c r="AE486" s="102">
        <f t="shared" si="2803"/>
        <v>0.33333333333333331</v>
      </c>
      <c r="AF486" s="102">
        <f t="shared" si="2803"/>
        <v>0.5</v>
      </c>
      <c r="AG486" s="102">
        <f t="shared" si="2803"/>
        <v>0.5</v>
      </c>
      <c r="AH486" s="102">
        <f t="shared" si="2803"/>
        <v>0</v>
      </c>
      <c r="AI486" s="102">
        <f>AI480/$DK$18</f>
        <v>0</v>
      </c>
      <c r="AJ486" s="102">
        <f>AJ480/$DK$18</f>
        <v>0</v>
      </c>
      <c r="AK486" s="411"/>
      <c r="AL486" s="99">
        <f t="shared" si="2793"/>
        <v>0</v>
      </c>
      <c r="AM486" s="99">
        <f t="shared" si="2793"/>
        <v>0</v>
      </c>
      <c r="AN486" s="99">
        <f t="shared" si="2793"/>
        <v>0.16666666666666666</v>
      </c>
      <c r="AO486" s="99">
        <f t="shared" si="2793"/>
        <v>0.16666666666666666</v>
      </c>
      <c r="AP486" s="99">
        <f t="shared" si="2793"/>
        <v>0.16666666666666666</v>
      </c>
      <c r="AQ486" s="99">
        <f t="shared" si="2793"/>
        <v>0.16666666666666666</v>
      </c>
      <c r="AR486" s="99">
        <f t="shared" si="2793"/>
        <v>0.33333333333333331</v>
      </c>
      <c r="AS486" s="99">
        <f t="shared" si="2793"/>
        <v>0.33333333333333331</v>
      </c>
      <c r="AT486" s="99">
        <f t="shared" si="2793"/>
        <v>0.33333333333333331</v>
      </c>
      <c r="AU486" s="99">
        <f t="shared" si="2793"/>
        <v>0.33333333333333331</v>
      </c>
      <c r="AV486" s="99">
        <f t="shared" si="2794"/>
        <v>0.5</v>
      </c>
      <c r="AW486" s="99">
        <f t="shared" si="2794"/>
        <v>0.5</v>
      </c>
      <c r="AX486" s="99">
        <f t="shared" si="2794"/>
        <v>0</v>
      </c>
      <c r="AY486" s="99">
        <f t="shared" si="2794"/>
        <v>0.25</v>
      </c>
      <c r="AZ486" s="99">
        <f t="shared" si="2794"/>
        <v>0.16666666666666666</v>
      </c>
      <c r="BA486" s="99">
        <f t="shared" si="2794"/>
        <v>0.16666666666666666</v>
      </c>
      <c r="BB486" s="99">
        <f t="shared" si="2794"/>
        <v>0.16666666666666666</v>
      </c>
      <c r="BC486" s="99">
        <f t="shared" si="2794"/>
        <v>0.16666666666666666</v>
      </c>
      <c r="BD486" s="99">
        <f t="shared" si="2794"/>
        <v>0.33333333333333331</v>
      </c>
      <c r="BE486" s="99">
        <f t="shared" si="2794"/>
        <v>0.33333333333333331</v>
      </c>
      <c r="BF486" s="99">
        <f t="shared" si="2796"/>
        <v>0.33333333333333331</v>
      </c>
      <c r="BG486" s="99">
        <f t="shared" si="2796"/>
        <v>0.33333333333333331</v>
      </c>
      <c r="BH486" s="99">
        <f t="shared" si="2796"/>
        <v>0.5</v>
      </c>
      <c r="BI486" s="99">
        <f t="shared" si="2796"/>
        <v>0.5</v>
      </c>
      <c r="BJ486" s="99">
        <f t="shared" si="2796"/>
        <v>0</v>
      </c>
      <c r="BK486" s="99">
        <f t="shared" si="2796"/>
        <v>0</v>
      </c>
      <c r="BL486" s="99">
        <f t="shared" si="2796"/>
        <v>0</v>
      </c>
      <c r="BM486" s="411"/>
      <c r="BN486" s="99">
        <f>AL486</f>
        <v>0</v>
      </c>
      <c r="BO486" s="99">
        <f>AM486</f>
        <v>0</v>
      </c>
      <c r="BP486" s="99">
        <f>AN486</f>
        <v>0.16666666666666666</v>
      </c>
      <c r="BQ486" s="99">
        <f>AO486</f>
        <v>0.16666666666666666</v>
      </c>
      <c r="BR486" s="99">
        <f>AP486</f>
        <v>0.16666666666666666</v>
      </c>
      <c r="BS486" s="99">
        <f>AQ486</f>
        <v>0.16666666666666666</v>
      </c>
      <c r="BT486" s="99">
        <f>AR486</f>
        <v>0.33333333333333331</v>
      </c>
      <c r="BU486" s="99">
        <f>AS486</f>
        <v>0.33333333333333331</v>
      </c>
      <c r="BV486" s="99">
        <f>AT486</f>
        <v>0.33333333333333331</v>
      </c>
      <c r="BW486" s="99">
        <f>AU486</f>
        <v>0.33333333333333331</v>
      </c>
      <c r="BX486" s="99">
        <f>AV486</f>
        <v>0.5</v>
      </c>
      <c r="BY486" s="99">
        <f>AW486</f>
        <v>0.5</v>
      </c>
      <c r="BZ486" s="99">
        <f>AX486</f>
        <v>0</v>
      </c>
      <c r="CA486" s="99">
        <f>AY486</f>
        <v>0.25</v>
      </c>
      <c r="CB486" s="99">
        <f>AZ486</f>
        <v>0.16666666666666666</v>
      </c>
      <c r="CC486" s="99">
        <f>BA486</f>
        <v>0.16666666666666666</v>
      </c>
      <c r="CD486" s="99">
        <f>BB486</f>
        <v>0.16666666666666666</v>
      </c>
      <c r="CE486" s="99">
        <f>BC486</f>
        <v>0.16666666666666666</v>
      </c>
      <c r="CF486" s="99">
        <f>BD486</f>
        <v>0.33333333333333331</v>
      </c>
      <c r="CG486" s="99">
        <f>BE486</f>
        <v>0.33333333333333331</v>
      </c>
      <c r="CH486" s="99">
        <f>BF486</f>
        <v>0.33333333333333331</v>
      </c>
      <c r="CI486" s="99">
        <f>BG486</f>
        <v>0.33333333333333331</v>
      </c>
      <c r="CJ486" s="99">
        <f>BH486</f>
        <v>0.5</v>
      </c>
      <c r="CK486" s="99">
        <f>BI486</f>
        <v>0.5</v>
      </c>
      <c r="CL486" s="99">
        <f>BJ486</f>
        <v>0</v>
      </c>
      <c r="CM486" s="99">
        <f>BK486</f>
        <v>0</v>
      </c>
      <c r="CN486" s="99">
        <f>BL486</f>
        <v>0</v>
      </c>
      <c r="CO486" s="423"/>
      <c r="CP486" s="99">
        <f t="shared" ref="CP486:DP486" si="2804">BN486</f>
        <v>0</v>
      </c>
      <c r="CQ486" s="99">
        <f t="shared" si="2804"/>
        <v>0</v>
      </c>
      <c r="CR486" s="99">
        <f t="shared" si="2804"/>
        <v>0.16666666666666666</v>
      </c>
      <c r="CS486" s="99">
        <f t="shared" si="2804"/>
        <v>0.16666666666666666</v>
      </c>
      <c r="CT486" s="99">
        <f t="shared" si="2804"/>
        <v>0.16666666666666666</v>
      </c>
      <c r="CU486" s="99">
        <f t="shared" si="2804"/>
        <v>0.16666666666666666</v>
      </c>
      <c r="CV486" s="99">
        <f t="shared" si="2804"/>
        <v>0.33333333333333331</v>
      </c>
      <c r="CW486" s="99">
        <f t="shared" si="2804"/>
        <v>0.33333333333333331</v>
      </c>
      <c r="CX486" s="99">
        <f t="shared" si="2804"/>
        <v>0.33333333333333331</v>
      </c>
      <c r="CY486" s="99">
        <f t="shared" si="2804"/>
        <v>0.33333333333333331</v>
      </c>
      <c r="CZ486" s="99">
        <f t="shared" si="2804"/>
        <v>0.5</v>
      </c>
      <c r="DA486" s="99">
        <f t="shared" si="2804"/>
        <v>0.5</v>
      </c>
      <c r="DB486" s="99">
        <f t="shared" si="2804"/>
        <v>0</v>
      </c>
      <c r="DC486" s="99">
        <f t="shared" si="2804"/>
        <v>0.25</v>
      </c>
      <c r="DD486" s="99">
        <f t="shared" si="2804"/>
        <v>0.16666666666666666</v>
      </c>
      <c r="DE486" s="99">
        <f t="shared" si="2804"/>
        <v>0.16666666666666666</v>
      </c>
      <c r="DF486" s="99">
        <f t="shared" si="2804"/>
        <v>0.16666666666666666</v>
      </c>
      <c r="DG486" s="99">
        <f t="shared" si="2804"/>
        <v>0.16666666666666666</v>
      </c>
      <c r="DH486" s="99">
        <f t="shared" si="2804"/>
        <v>0.33333333333333331</v>
      </c>
      <c r="DI486" s="99">
        <f t="shared" si="2804"/>
        <v>0.33333333333333331</v>
      </c>
      <c r="DJ486" s="99">
        <f t="shared" si="2804"/>
        <v>0.33333333333333331</v>
      </c>
      <c r="DK486" s="99">
        <f t="shared" si="2804"/>
        <v>0.33333333333333331</v>
      </c>
      <c r="DL486" s="99">
        <f t="shared" si="2804"/>
        <v>0.5</v>
      </c>
      <c r="DM486" s="99">
        <f t="shared" si="2804"/>
        <v>0.5</v>
      </c>
      <c r="DN486" s="99">
        <f t="shared" si="2804"/>
        <v>0</v>
      </c>
      <c r="DO486" s="99">
        <f t="shared" si="2804"/>
        <v>0</v>
      </c>
      <c r="DP486" s="99">
        <f t="shared" si="2804"/>
        <v>0</v>
      </c>
      <c r="DQ486" s="99"/>
      <c r="DR486" s="99"/>
      <c r="DS486" s="99"/>
      <c r="DT486" s="99"/>
      <c r="DU486" s="99"/>
      <c r="DV486" s="99"/>
      <c r="DW486" s="99"/>
      <c r="DX486" s="99"/>
      <c r="DY486" s="99"/>
      <c r="EA486" s="40" t="str">
        <f>HLOOKUP($I$1,Month,19)</f>
        <v>N/A</v>
      </c>
      <c r="EB486" s="40" t="str">
        <f>HLOOKUP($I$1,Qtr,19)</f>
        <v>N/A</v>
      </c>
      <c r="EC486" s="40"/>
      <c r="ED486" s="429"/>
      <c r="EE486" s="99">
        <f>HLOOKUP($I$1,Month,ROW()-1)</f>
        <v>0</v>
      </c>
      <c r="EF486" s="99">
        <f>HLOOKUP($I$1,Qtr,ROW()-1)</f>
        <v>0</v>
      </c>
      <c r="EG486" s="127">
        <v>1</v>
      </c>
      <c r="EH486" s="54"/>
      <c r="EI486" s="54"/>
      <c r="EJ486" s="54"/>
      <c r="EK486" s="675"/>
      <c r="EL486" s="136"/>
      <c r="EM486" s="136"/>
      <c r="EN486" s="136"/>
      <c r="EO486" s="49"/>
      <c r="EP486" s="49"/>
      <c r="EQ486" s="49"/>
    </row>
    <row r="487" spans="1:149">
      <c r="A487" s="6" t="s">
        <v>23</v>
      </c>
      <c r="B487" s="2" t="s">
        <v>98</v>
      </c>
      <c r="G487" s="41" t="s">
        <v>92</v>
      </c>
      <c r="H487" s="28"/>
      <c r="I487" s="29"/>
      <c r="J487" s="32">
        <f>J473*J474</f>
        <v>1.7218749999999998</v>
      </c>
      <c r="K487" s="32">
        <f t="shared" ref="K487:AJ487" si="2805">K473*K474</f>
        <v>1.7218749999999998</v>
      </c>
      <c r="L487" s="32">
        <f t="shared" si="2805"/>
        <v>1.7218749999999998</v>
      </c>
      <c r="M487" s="32">
        <f t="shared" si="2805"/>
        <v>1.7218749999999998</v>
      </c>
      <c r="N487" s="32">
        <f t="shared" si="2805"/>
        <v>1.7218749999999998</v>
      </c>
      <c r="O487" s="32">
        <f t="shared" si="2805"/>
        <v>1.7218749999999998</v>
      </c>
      <c r="P487" s="32">
        <f t="shared" si="2805"/>
        <v>1.7218749999999998</v>
      </c>
      <c r="Q487" s="32">
        <f t="shared" si="2805"/>
        <v>1.7218749999999998</v>
      </c>
      <c r="R487" s="32">
        <f t="shared" si="2805"/>
        <v>1.7218749999999998</v>
      </c>
      <c r="S487" s="32">
        <f t="shared" si="2805"/>
        <v>1.7218749999999998</v>
      </c>
      <c r="T487" s="32">
        <f t="shared" si="2805"/>
        <v>1.7218749999999998</v>
      </c>
      <c r="U487" s="32">
        <f t="shared" si="2805"/>
        <v>1.7218749999999998</v>
      </c>
      <c r="V487" s="32">
        <f t="shared" si="2805"/>
        <v>1.0370199999999998</v>
      </c>
      <c r="W487" s="32">
        <f t="shared" si="2805"/>
        <v>2.0740399999999997</v>
      </c>
      <c r="X487" s="32">
        <f t="shared" si="2805"/>
        <v>3.1110599999999997</v>
      </c>
      <c r="Y487" s="32">
        <f t="shared" si="2805"/>
        <v>4.1480799999999993</v>
      </c>
      <c r="Z487" s="32">
        <f t="shared" si="2805"/>
        <v>5.1850999999999994</v>
      </c>
      <c r="AA487" s="32">
        <f t="shared" si="2805"/>
        <v>6.2221199999999985</v>
      </c>
      <c r="AB487" s="32">
        <f t="shared" si="2805"/>
        <v>7.2591399999999986</v>
      </c>
      <c r="AC487" s="32">
        <f t="shared" si="2805"/>
        <v>8.2961599999999986</v>
      </c>
      <c r="AD487" s="32">
        <f t="shared" si="2805"/>
        <v>9.3331799999999987</v>
      </c>
      <c r="AE487" s="32">
        <f t="shared" si="2805"/>
        <v>10.370199999999999</v>
      </c>
      <c r="AF487" s="32">
        <f t="shared" si="2805"/>
        <v>11.407219999999997</v>
      </c>
      <c r="AG487" s="32">
        <f t="shared" si="2805"/>
        <v>12.444239999999997</v>
      </c>
      <c r="AH487" s="32">
        <f t="shared" si="2805"/>
        <v>0</v>
      </c>
      <c r="AI487" s="32">
        <f t="shared" si="2805"/>
        <v>0</v>
      </c>
      <c r="AJ487" s="32">
        <f t="shared" si="2805"/>
        <v>0</v>
      </c>
      <c r="AK487" s="408"/>
      <c r="AL487" s="56">
        <f>AL473*AL474</f>
        <v>1.7218749999999998</v>
      </c>
      <c r="AM487" s="56">
        <f>AM473*AM474</f>
        <v>1.7218749999999998</v>
      </c>
      <c r="AN487" s="56">
        <f>AN473*AN474</f>
        <v>1.7218749999999998</v>
      </c>
      <c r="AO487" s="56">
        <f>AO473*AO474</f>
        <v>1.7218749999999998</v>
      </c>
      <c r="AP487" s="56">
        <f t="shared" ref="AP487:BL487" si="2806">AP473*AP474</f>
        <v>1.7218749999999998</v>
      </c>
      <c r="AQ487" s="56">
        <f t="shared" si="2806"/>
        <v>1.7218749999999998</v>
      </c>
      <c r="AR487" s="56">
        <f t="shared" si="2806"/>
        <v>1.7218749999999998</v>
      </c>
      <c r="AS487" s="56">
        <f t="shared" si="2806"/>
        <v>1.7218749999999998</v>
      </c>
      <c r="AT487" s="56">
        <f t="shared" si="2806"/>
        <v>1.7218749999999998</v>
      </c>
      <c r="AU487" s="56">
        <f t="shared" si="2806"/>
        <v>1.7218749999999998</v>
      </c>
      <c r="AV487" s="56">
        <f t="shared" si="2806"/>
        <v>1.7218749999999998</v>
      </c>
      <c r="AW487" s="56">
        <f t="shared" si="2806"/>
        <v>1.7218749999999998</v>
      </c>
      <c r="AX487" s="56">
        <f t="shared" si="2806"/>
        <v>1.0370199999999998</v>
      </c>
      <c r="AY487" s="56">
        <f t="shared" si="2806"/>
        <v>1.0370199999999998</v>
      </c>
      <c r="AZ487" s="56">
        <f t="shared" si="2806"/>
        <v>1.0370200000000001</v>
      </c>
      <c r="BA487" s="56">
        <f t="shared" si="2806"/>
        <v>1.0370199999999996</v>
      </c>
      <c r="BB487" s="56">
        <f t="shared" si="2806"/>
        <v>1.0370199999999996</v>
      </c>
      <c r="BC487" s="56">
        <f t="shared" si="2806"/>
        <v>1.0370199999999996</v>
      </c>
      <c r="BD487" s="56">
        <f t="shared" si="2806"/>
        <v>1.0370199999999996</v>
      </c>
      <c r="BE487" s="56">
        <f t="shared" si="2806"/>
        <v>1.0370200000000005</v>
      </c>
      <c r="BF487" s="56">
        <f t="shared" si="2806"/>
        <v>1.0370199999999996</v>
      </c>
      <c r="BG487" s="56">
        <f t="shared" si="2806"/>
        <v>1.0370199999999996</v>
      </c>
      <c r="BH487" s="56">
        <f t="shared" si="2806"/>
        <v>1.0370199999999996</v>
      </c>
      <c r="BI487" s="56">
        <f t="shared" si="2806"/>
        <v>1.0370199999999996</v>
      </c>
      <c r="BJ487" s="56">
        <f t="shared" si="2806"/>
        <v>0</v>
      </c>
      <c r="BK487" s="56">
        <f t="shared" si="2806"/>
        <v>0</v>
      </c>
      <c r="BL487" s="56">
        <f t="shared" si="2806"/>
        <v>0</v>
      </c>
      <c r="BM487" s="408"/>
      <c r="BN487" s="56">
        <f>+AL487</f>
        <v>1.7218749999999998</v>
      </c>
      <c r="BO487" s="56">
        <f>+BN487+AM487</f>
        <v>3.4437499999999996</v>
      </c>
      <c r="BP487" s="56">
        <f>+BO487+AN487</f>
        <v>5.1656249999999995</v>
      </c>
      <c r="BQ487" s="56">
        <f>M487</f>
        <v>1.7218749999999998</v>
      </c>
      <c r="BR487" s="56">
        <f>+BQ487+AP487</f>
        <v>3.4437499999999996</v>
      </c>
      <c r="BS487" s="56">
        <f>+BR487+AQ487</f>
        <v>5.1656249999999995</v>
      </c>
      <c r="BT487" s="56">
        <f>P487</f>
        <v>1.7218749999999998</v>
      </c>
      <c r="BU487" s="56">
        <f>+BT487+AS487</f>
        <v>3.4437499999999996</v>
      </c>
      <c r="BV487" s="56">
        <f>+BU487+AT487</f>
        <v>5.1656249999999995</v>
      </c>
      <c r="BW487" s="56">
        <f>S487</f>
        <v>1.7218749999999998</v>
      </c>
      <c r="BX487" s="56">
        <f>+BW487+AV487</f>
        <v>3.4437499999999996</v>
      </c>
      <c r="BY487" s="56">
        <f>+BX487+AW487</f>
        <v>5.1656249999999995</v>
      </c>
      <c r="BZ487" s="56">
        <f>V487</f>
        <v>1.0370199999999998</v>
      </c>
      <c r="CA487" s="56">
        <f>+BZ487+AY487</f>
        <v>2.0740399999999997</v>
      </c>
      <c r="CB487" s="56">
        <f>+CA487+AZ487</f>
        <v>3.1110599999999997</v>
      </c>
      <c r="CC487" s="56">
        <f>Y487</f>
        <v>4.1480799999999993</v>
      </c>
      <c r="CD487" s="56">
        <f>+CC487+BB487</f>
        <v>5.1850999999999985</v>
      </c>
      <c r="CE487" s="56">
        <f>+CD487+BC487</f>
        <v>6.2221199999999985</v>
      </c>
      <c r="CF487" s="56">
        <f>AB487</f>
        <v>7.2591399999999986</v>
      </c>
      <c r="CG487" s="56">
        <f>+CF487+BE487</f>
        <v>8.2961599999999986</v>
      </c>
      <c r="CH487" s="56">
        <f>+CG487+BF487</f>
        <v>9.3331799999999987</v>
      </c>
      <c r="CI487" s="56">
        <f>AE487</f>
        <v>10.370199999999999</v>
      </c>
      <c r="CJ487" s="56">
        <f>+CI487+BH487</f>
        <v>11.407219999999999</v>
      </c>
      <c r="CK487" s="56">
        <f>+CJ487+BI487</f>
        <v>12.444239999999999</v>
      </c>
      <c r="CL487" s="56">
        <f>AH487</f>
        <v>0</v>
      </c>
      <c r="CM487" s="56">
        <f>+CL487+BK487</f>
        <v>0</v>
      </c>
      <c r="CN487" s="56">
        <f>+CM487+BL487</f>
        <v>0</v>
      </c>
      <c r="CO487" s="406"/>
      <c r="CP487" s="60">
        <f>J487</f>
        <v>1.7218749999999998</v>
      </c>
      <c r="CQ487" s="60">
        <f t="shared" ref="CQ487:DA487" si="2807">CP487+K487</f>
        <v>3.4437499999999996</v>
      </c>
      <c r="CR487" s="60">
        <f t="shared" si="2807"/>
        <v>5.1656249999999995</v>
      </c>
      <c r="CS487" s="60">
        <f t="shared" si="2807"/>
        <v>6.8874999999999993</v>
      </c>
      <c r="CT487" s="60">
        <f t="shared" si="2807"/>
        <v>8.609375</v>
      </c>
      <c r="CU487" s="60">
        <f t="shared" si="2807"/>
        <v>10.331250000000001</v>
      </c>
      <c r="CV487" s="60">
        <f t="shared" si="2807"/>
        <v>12.053125000000001</v>
      </c>
      <c r="CW487" s="60">
        <f t="shared" si="2807"/>
        <v>13.775000000000002</v>
      </c>
      <c r="CX487" s="60">
        <f t="shared" si="2807"/>
        <v>15.496875000000003</v>
      </c>
      <c r="CY487" s="60">
        <f t="shared" si="2807"/>
        <v>17.218750000000004</v>
      </c>
      <c r="CZ487" s="60">
        <f t="shared" si="2807"/>
        <v>18.940625000000004</v>
      </c>
      <c r="DA487" s="60">
        <f t="shared" si="2807"/>
        <v>20.662500000000005</v>
      </c>
      <c r="DB487" s="60">
        <f>V487</f>
        <v>1.0370199999999998</v>
      </c>
      <c r="DC487" s="60">
        <f t="shared" ref="DC487:DM487" si="2808">DB487+W487</f>
        <v>3.1110599999999993</v>
      </c>
      <c r="DD487" s="60">
        <f t="shared" si="2808"/>
        <v>6.2221199999999985</v>
      </c>
      <c r="DE487" s="60">
        <f t="shared" si="2808"/>
        <v>10.370199999999997</v>
      </c>
      <c r="DF487" s="60">
        <f t="shared" si="2808"/>
        <v>15.555299999999995</v>
      </c>
      <c r="DG487" s="60">
        <f t="shared" si="2808"/>
        <v>21.777419999999992</v>
      </c>
      <c r="DH487" s="60">
        <f t="shared" si="2808"/>
        <v>29.036559999999991</v>
      </c>
      <c r="DI487" s="60">
        <f t="shared" si="2808"/>
        <v>37.332719999999988</v>
      </c>
      <c r="DJ487" s="60">
        <f t="shared" si="2808"/>
        <v>46.665899999999986</v>
      </c>
      <c r="DK487" s="60">
        <f t="shared" si="2808"/>
        <v>57.036099999999983</v>
      </c>
      <c r="DL487" s="60">
        <f t="shared" si="2808"/>
        <v>68.443319999999986</v>
      </c>
      <c r="DM487" s="60">
        <f t="shared" si="2808"/>
        <v>80.887559999999979</v>
      </c>
      <c r="DN487" s="60">
        <f>AH487</f>
        <v>0</v>
      </c>
      <c r="DO487" s="60">
        <f>DN487+AI487</f>
        <v>0</v>
      </c>
      <c r="DP487" s="60">
        <f>DO487+AJ487</f>
        <v>0</v>
      </c>
      <c r="DQ487" s="60"/>
      <c r="DR487" s="60"/>
      <c r="DS487" s="60"/>
      <c r="DT487" s="60"/>
      <c r="DU487" s="60"/>
      <c r="DV487" s="60"/>
      <c r="DW487" s="60"/>
      <c r="DX487" s="60"/>
      <c r="DY487" s="60"/>
      <c r="EA487" s="98">
        <v>0.95</v>
      </c>
      <c r="EB487" s="98">
        <v>0.95</v>
      </c>
      <c r="EC487" s="98"/>
      <c r="ED487" s="429"/>
      <c r="EE487" s="61">
        <f>HLOOKUP($I$1,Month,ROW()-1)</f>
        <v>0</v>
      </c>
      <c r="EF487" s="61">
        <f>HLOOKUP($I$1,Qtr,ROW()-1)</f>
        <v>0</v>
      </c>
      <c r="EG487" s="99">
        <f>HLOOKUP($EJ$4,Budget,ROW()-1)</f>
        <v>0.95</v>
      </c>
      <c r="EH487" s="54"/>
      <c r="EK487" s="675"/>
      <c r="EL487" s="136"/>
      <c r="EM487" s="136"/>
      <c r="EN487" s="136"/>
      <c r="EO487" s="49"/>
      <c r="EP487" s="49"/>
      <c r="EQ487" s="49"/>
    </row>
    <row r="488" spans="1:149">
      <c r="A488" s="6" t="s">
        <v>21</v>
      </c>
      <c r="I488" s="1"/>
      <c r="J488" s="1"/>
      <c r="K488" s="42" t="s">
        <v>114</v>
      </c>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406"/>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406"/>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406"/>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245"/>
      <c r="DR488" s="245"/>
      <c r="DS488" s="245"/>
      <c r="DT488" s="245"/>
      <c r="DU488" s="245"/>
      <c r="DV488" s="245"/>
      <c r="DW488" s="245"/>
      <c r="DX488" s="245"/>
      <c r="DY488" s="245"/>
      <c r="ED488" s="429"/>
      <c r="EE488" s="23"/>
      <c r="EF488" s="23"/>
      <c r="EG488" s="23"/>
      <c r="EH488" s="23"/>
      <c r="EK488" s="23"/>
    </row>
    <row r="489" spans="1:149" ht="12.75" customHeight="1">
      <c r="A489" s="6" t="s">
        <v>22</v>
      </c>
      <c r="B489" s="2" t="s">
        <v>0</v>
      </c>
      <c r="C489" s="3" t="s">
        <v>54</v>
      </c>
      <c r="E489" s="3" t="s">
        <v>16</v>
      </c>
      <c r="G489" s="1" t="s">
        <v>91</v>
      </c>
      <c r="I489" s="18">
        <v>83</v>
      </c>
      <c r="J489" s="21">
        <v>95</v>
      </c>
      <c r="K489" s="19">
        <v>125</v>
      </c>
      <c r="L489" s="19">
        <v>132</v>
      </c>
      <c r="M489" s="20">
        <v>14</v>
      </c>
      <c r="N489" s="19">
        <v>32</v>
      </c>
      <c r="O489" s="19">
        <v>44</v>
      </c>
      <c r="P489" s="19">
        <v>50</v>
      </c>
      <c r="Q489" s="19">
        <v>57</v>
      </c>
      <c r="R489" s="19">
        <v>80</v>
      </c>
      <c r="S489" s="19">
        <v>80</v>
      </c>
      <c r="T489" s="19">
        <v>80</v>
      </c>
      <c r="U489" s="19">
        <v>87</v>
      </c>
      <c r="V489" s="26">
        <v>102</v>
      </c>
      <c r="W489" s="19">
        <v>110</v>
      </c>
      <c r="X489" s="19">
        <v>111</v>
      </c>
      <c r="Y489" s="363">
        <v>26</v>
      </c>
      <c r="Z489" s="246">
        <v>31</v>
      </c>
      <c r="AA489" s="246">
        <v>32</v>
      </c>
      <c r="AB489" s="246">
        <v>38</v>
      </c>
      <c r="AC489" s="246">
        <v>50</v>
      </c>
      <c r="AD489" s="246">
        <v>59</v>
      </c>
      <c r="AE489" s="246">
        <v>65</v>
      </c>
      <c r="AF489" s="246">
        <v>79</v>
      </c>
      <c r="AG489" s="246">
        <v>87</v>
      </c>
      <c r="AH489" s="246">
        <v>95</v>
      </c>
      <c r="AI489" s="246">
        <v>101</v>
      </c>
      <c r="AJ489" s="246"/>
      <c r="AK489" s="408"/>
      <c r="AL489" s="21">
        <f t="shared" ref="AL489:AM493" si="2809">J489-I489</f>
        <v>12</v>
      </c>
      <c r="AM489" s="21">
        <f t="shared" si="2809"/>
        <v>30</v>
      </c>
      <c r="AN489" s="21">
        <f t="shared" ref="AN489:AN497" si="2810">L489-K489</f>
        <v>7</v>
      </c>
      <c r="AO489" s="21">
        <f>M489</f>
        <v>14</v>
      </c>
      <c r="AP489" s="129">
        <f t="shared" ref="AP489:AP497" si="2811">IF(N489&lt;&gt;"",N489-M489,0)</f>
        <v>18</v>
      </c>
      <c r="AQ489" s="131">
        <f t="shared" ref="AQ489:AQ497" si="2812">IF(O489&lt;&gt;"",O489-N489,0)</f>
        <v>12</v>
      </c>
      <c r="AR489" s="131">
        <f t="shared" ref="AR489:AR508" si="2813">IF(P489&lt;&gt;"",P489-O489,0)</f>
        <v>6</v>
      </c>
      <c r="AS489" s="131">
        <f t="shared" ref="AS489:AS508" si="2814">IF(Q489&lt;&gt;"",Q489-P489,0)</f>
        <v>7</v>
      </c>
      <c r="AT489" s="131">
        <f t="shared" ref="AT489:AT505" si="2815">IF(R489&lt;&gt;"",R489-Q489,0)</f>
        <v>23</v>
      </c>
      <c r="AU489" s="131">
        <f t="shared" ref="AU489:AU505" si="2816">IF(S489&lt;&gt;"",S489-R489,0)</f>
        <v>0</v>
      </c>
      <c r="AV489" s="131">
        <f t="shared" ref="AV489:AV508" si="2817">IF(T489&lt;&gt;"",T489-S489,0)</f>
        <v>0</v>
      </c>
      <c r="AW489" s="131">
        <f t="shared" ref="AW489:AW508" si="2818">IF(U489&lt;&gt;"",U489-T489,0)</f>
        <v>7</v>
      </c>
      <c r="AX489" s="131">
        <f>IF(V489&lt;&gt;"",V489-U489,0)</f>
        <v>15</v>
      </c>
      <c r="AY489" s="131">
        <f t="shared" ref="AY489:AY508" si="2819">IF(W489&lt;&gt;"",W489-V489,0)</f>
        <v>8</v>
      </c>
      <c r="AZ489" s="131">
        <f t="shared" ref="AZ489:AZ508" si="2820">IF(X489&lt;&gt;"",X489-W489,0)</f>
        <v>1</v>
      </c>
      <c r="BA489" s="21">
        <f>Y489</f>
        <v>26</v>
      </c>
      <c r="BB489" s="131">
        <f t="shared" ref="BB489:BB505" si="2821">IF(Z489&lt;&gt;"",Z489-Y489,0)</f>
        <v>5</v>
      </c>
      <c r="BC489" s="131">
        <f t="shared" ref="BC489:BC505" si="2822">IF(AA489&lt;&gt;"",AA489-Z489,0)</f>
        <v>1</v>
      </c>
      <c r="BD489" s="131">
        <f t="shared" ref="BD489:BD505" si="2823">IF(AB489&lt;&gt;"",AB489-AA489,0)</f>
        <v>6</v>
      </c>
      <c r="BE489" s="131">
        <f t="shared" ref="BE489:BE505" si="2824">IF(AC489&lt;&gt;"",AC489-AB489,0)</f>
        <v>12</v>
      </c>
      <c r="BF489" s="131">
        <f t="shared" ref="BF489:BF505" si="2825">IF(AD489&lt;&gt;"",AD489-AC489,0)</f>
        <v>9</v>
      </c>
      <c r="BG489" s="131">
        <f t="shared" ref="BG489:BG505" si="2826">IF(AE489&lt;&gt;"",AE489-AD489,0)</f>
        <v>6</v>
      </c>
      <c r="BH489" s="131">
        <f t="shared" ref="BH489:BH505" si="2827">IF(AF489&lt;&gt;"",AF489-AE489,0)</f>
        <v>14</v>
      </c>
      <c r="BI489" s="131">
        <f t="shared" ref="BI489:BI505" si="2828">IF(AG489&lt;&gt;"",AG489-AF489,0)</f>
        <v>8</v>
      </c>
      <c r="BJ489" s="131">
        <f>IF(AH489&lt;&gt;"",AH489-AG489,0)</f>
        <v>8</v>
      </c>
      <c r="BK489" s="131">
        <f t="shared" ref="BK489:BK505" si="2829">IF(AI489&lt;&gt;"",AI489-AH489,0)</f>
        <v>6</v>
      </c>
      <c r="BL489" s="131">
        <f t="shared" ref="BL489:BL505" si="2830">IF(AJ489&lt;&gt;"",AJ489-AI489,0)</f>
        <v>0</v>
      </c>
      <c r="BM489" s="408"/>
      <c r="BN489" s="48">
        <f>BP489</f>
        <v>49</v>
      </c>
      <c r="BO489" s="48">
        <f>BP489</f>
        <v>49</v>
      </c>
      <c r="BP489" s="48">
        <f>SUM(AL489:AN489)</f>
        <v>49</v>
      </c>
      <c r="BQ489" s="48">
        <f>BS489</f>
        <v>44</v>
      </c>
      <c r="BR489" s="48">
        <f>BS489</f>
        <v>44</v>
      </c>
      <c r="BS489" s="48">
        <f>SUM(AO489:AQ489)</f>
        <v>44</v>
      </c>
      <c r="BT489" s="48">
        <f>BV489</f>
        <v>36</v>
      </c>
      <c r="BU489" s="48">
        <f>BV489</f>
        <v>36</v>
      </c>
      <c r="BV489" s="48">
        <f>SUM(AR489:AT489)</f>
        <v>36</v>
      </c>
      <c r="BW489" s="48">
        <f t="shared" ref="BW489:CB489" si="2831">SUM(AS489:AU489)</f>
        <v>30</v>
      </c>
      <c r="BX489" s="48">
        <f t="shared" si="2831"/>
        <v>23</v>
      </c>
      <c r="BY489" s="48">
        <f t="shared" si="2831"/>
        <v>7</v>
      </c>
      <c r="BZ489" s="48">
        <f t="shared" si="2831"/>
        <v>22</v>
      </c>
      <c r="CA489" s="48">
        <f t="shared" si="2831"/>
        <v>30</v>
      </c>
      <c r="CB489" s="48">
        <f t="shared" si="2831"/>
        <v>24</v>
      </c>
      <c r="CC489" s="48">
        <f>CE489</f>
        <v>32</v>
      </c>
      <c r="CD489" s="48">
        <f>CE489</f>
        <v>32</v>
      </c>
      <c r="CE489" s="48">
        <f>SUM(BA489:BC489)</f>
        <v>32</v>
      </c>
      <c r="CF489" s="48">
        <f>CH489</f>
        <v>27</v>
      </c>
      <c r="CG489" s="48">
        <f>CH489</f>
        <v>27</v>
      </c>
      <c r="CH489" s="48">
        <f t="shared" ref="CH489:CH494" si="2832">SUM(BD489:BF489)</f>
        <v>27</v>
      </c>
      <c r="CI489" s="48">
        <f>CK489</f>
        <v>28</v>
      </c>
      <c r="CJ489" s="48">
        <f>CK489</f>
        <v>28</v>
      </c>
      <c r="CK489" s="48">
        <f t="shared" ref="CK489:CK494" si="2833">SUM(BG489:BI489)</f>
        <v>28</v>
      </c>
      <c r="CL489" s="48">
        <f>CN489</f>
        <v>14</v>
      </c>
      <c r="CM489" s="48">
        <f>CN489</f>
        <v>14</v>
      </c>
      <c r="CN489" s="48">
        <f>SUM(BJ489:BL489)</f>
        <v>14</v>
      </c>
      <c r="CO489" s="406"/>
      <c r="CP489" s="21">
        <f t="shared" ref="CP489:CR493" si="2834">I489+AL489</f>
        <v>95</v>
      </c>
      <c r="CQ489" s="21">
        <f t="shared" si="2834"/>
        <v>125</v>
      </c>
      <c r="CR489" s="21">
        <f t="shared" si="2834"/>
        <v>132</v>
      </c>
      <c r="CS489" s="21">
        <f>AO489</f>
        <v>14</v>
      </c>
      <c r="CT489" s="21">
        <f t="shared" ref="CT489:DD495" si="2835">M489+AP489</f>
        <v>32</v>
      </c>
      <c r="CU489" s="21">
        <f t="shared" si="2835"/>
        <v>44</v>
      </c>
      <c r="CV489" s="21">
        <f t="shared" si="2835"/>
        <v>50</v>
      </c>
      <c r="CW489" s="21">
        <f t="shared" si="2835"/>
        <v>57</v>
      </c>
      <c r="CX489" s="21">
        <f t="shared" si="2835"/>
        <v>80</v>
      </c>
      <c r="CY489" s="21">
        <f t="shared" si="2835"/>
        <v>80</v>
      </c>
      <c r="CZ489" s="21">
        <f t="shared" si="2835"/>
        <v>80</v>
      </c>
      <c r="DA489" s="21">
        <f t="shared" si="2835"/>
        <v>87</v>
      </c>
      <c r="DB489" s="21">
        <f t="shared" si="2835"/>
        <v>102</v>
      </c>
      <c r="DC489" s="21">
        <f t="shared" si="2835"/>
        <v>110</v>
      </c>
      <c r="DD489" s="21">
        <f t="shared" si="2835"/>
        <v>111</v>
      </c>
      <c r="DE489" s="21">
        <f>+BA489</f>
        <v>26</v>
      </c>
      <c r="DF489" s="21">
        <f t="shared" ref="DF489:DP495" si="2836">Y489+BB489</f>
        <v>31</v>
      </c>
      <c r="DG489" s="21">
        <f t="shared" si="2836"/>
        <v>32</v>
      </c>
      <c r="DH489" s="21">
        <f t="shared" si="2836"/>
        <v>38</v>
      </c>
      <c r="DI489" s="21">
        <f t="shared" si="2836"/>
        <v>50</v>
      </c>
      <c r="DJ489" s="21">
        <f t="shared" si="2836"/>
        <v>59</v>
      </c>
      <c r="DK489" s="21">
        <f t="shared" si="2836"/>
        <v>65</v>
      </c>
      <c r="DL489" s="21">
        <f t="shared" si="2836"/>
        <v>79</v>
      </c>
      <c r="DM489" s="21">
        <f t="shared" si="2836"/>
        <v>87</v>
      </c>
      <c r="DN489" s="21">
        <f t="shared" si="2836"/>
        <v>95</v>
      </c>
      <c r="DO489" s="21">
        <f t="shared" si="2836"/>
        <v>101</v>
      </c>
      <c r="DP489" s="21">
        <f t="shared" si="2836"/>
        <v>101</v>
      </c>
      <c r="DQ489" s="248"/>
      <c r="DR489" s="248"/>
      <c r="DS489" s="248"/>
      <c r="DT489" s="248"/>
      <c r="DU489" s="248"/>
      <c r="DV489" s="248"/>
      <c r="DW489" s="248"/>
      <c r="DX489" s="248"/>
      <c r="DY489" s="248"/>
      <c r="ED489" s="429"/>
      <c r="EE489" s="23"/>
      <c r="EF489" s="23"/>
      <c r="EG489" s="23"/>
      <c r="EH489" s="18">
        <f t="shared" ref="EH489:EH506" si="2837">HLOOKUP($I$1,Month,ROW()-1)</f>
        <v>6</v>
      </c>
      <c r="EI489" s="18">
        <f t="shared" ref="EI489:EI506" si="2838">HLOOKUP($I$1,Qtr,ROW()-1)</f>
        <v>14</v>
      </c>
      <c r="EJ489" s="18">
        <f t="shared" ref="EJ489:EJ511" si="2839">HLOOKUP($I$1,YTD,ROW()-1)</f>
        <v>101</v>
      </c>
      <c r="EK489" s="24">
        <f>$EK$1/12</f>
        <v>0.91666666666666663</v>
      </c>
      <c r="EL489" s="14">
        <f t="shared" ref="EL489:EM495" si="2840">EH489/EE466</f>
        <v>0.59506099375185961</v>
      </c>
      <c r="EM489" s="14">
        <f t="shared" si="2840"/>
        <v>0.4628252173625575</v>
      </c>
      <c r="EN489" s="14">
        <f>EJ489/EG466</f>
        <v>0.8347383384574697</v>
      </c>
      <c r="EO489" s="46" t="str">
        <f t="shared" ref="EO489:EP495" si="2841">IF(EH489&lt;0,,IF(EH489&lt;EE466,"È",IF(EH489=EE466,"Æ","Ç")))</f>
        <v>È</v>
      </c>
      <c r="EP489" s="46" t="str">
        <f t="shared" si="2841"/>
        <v>È</v>
      </c>
      <c r="EQ489" s="2">
        <f t="shared" ref="EQ489:EQ504" si="2842">IF(EL489&gt;=0.9,1,IF(EL489&lt;0.75,3,2))</f>
        <v>3</v>
      </c>
      <c r="ER489" s="2">
        <f t="shared" ref="ER489:ER504" si="2843">IF(EM489&gt;=0.9,1,IF(EM489&lt;0.75,3,2))</f>
        <v>3</v>
      </c>
      <c r="ES489" s="2">
        <f t="shared" ref="ES489:ES504" si="2844">IF(EN489&gt;=0.9,1,IF(EN489&lt;0.75,3,2))</f>
        <v>2</v>
      </c>
    </row>
    <row r="490" spans="1:149" ht="12.75" customHeight="1">
      <c r="A490" s="6" t="s">
        <v>22</v>
      </c>
      <c r="B490" s="2" t="s">
        <v>1</v>
      </c>
      <c r="C490" s="3" t="s">
        <v>55</v>
      </c>
      <c r="E490" s="3" t="s">
        <v>16</v>
      </c>
      <c r="G490" s="1" t="s">
        <v>91</v>
      </c>
      <c r="I490" s="18">
        <v>22</v>
      </c>
      <c r="J490" s="19">
        <v>24</v>
      </c>
      <c r="K490" s="19">
        <v>26</v>
      </c>
      <c r="L490" s="19">
        <v>27</v>
      </c>
      <c r="M490" s="20">
        <v>6</v>
      </c>
      <c r="N490" s="19">
        <v>10</v>
      </c>
      <c r="O490" s="19">
        <v>11</v>
      </c>
      <c r="P490" s="19">
        <v>12</v>
      </c>
      <c r="Q490" s="19">
        <v>15</v>
      </c>
      <c r="R490" s="19">
        <v>18</v>
      </c>
      <c r="S490" s="19">
        <v>18</v>
      </c>
      <c r="T490" s="19">
        <v>18</v>
      </c>
      <c r="U490" s="19">
        <v>24</v>
      </c>
      <c r="V490" s="26">
        <v>29</v>
      </c>
      <c r="W490" s="19">
        <v>29</v>
      </c>
      <c r="X490" s="19">
        <v>29</v>
      </c>
      <c r="Y490" s="363">
        <v>13</v>
      </c>
      <c r="Z490" s="246">
        <v>17</v>
      </c>
      <c r="AA490" s="246">
        <v>17</v>
      </c>
      <c r="AB490" s="246">
        <v>18</v>
      </c>
      <c r="AC490" s="246">
        <v>18</v>
      </c>
      <c r="AD490" s="246">
        <v>20</v>
      </c>
      <c r="AE490" s="246">
        <v>22</v>
      </c>
      <c r="AF490" s="246">
        <v>24</v>
      </c>
      <c r="AG490" s="246">
        <v>26</v>
      </c>
      <c r="AH490" s="246">
        <v>27</v>
      </c>
      <c r="AI490" s="246">
        <v>31</v>
      </c>
      <c r="AJ490" s="246"/>
      <c r="AK490" s="408"/>
      <c r="AL490" s="21">
        <f t="shared" si="2809"/>
        <v>2</v>
      </c>
      <c r="AM490" s="21">
        <f t="shared" si="2809"/>
        <v>2</v>
      </c>
      <c r="AN490" s="21">
        <f t="shared" si="2810"/>
        <v>1</v>
      </c>
      <c r="AO490" s="21">
        <f>M490</f>
        <v>6</v>
      </c>
      <c r="AP490" s="129">
        <f t="shared" si="2811"/>
        <v>4</v>
      </c>
      <c r="AQ490" s="129">
        <f t="shared" si="2812"/>
        <v>1</v>
      </c>
      <c r="AR490" s="129">
        <f t="shared" si="2813"/>
        <v>1</v>
      </c>
      <c r="AS490" s="129">
        <f t="shared" si="2814"/>
        <v>3</v>
      </c>
      <c r="AT490" s="129">
        <f t="shared" si="2815"/>
        <v>3</v>
      </c>
      <c r="AU490" s="129">
        <f t="shared" si="2816"/>
        <v>0</v>
      </c>
      <c r="AV490" s="129">
        <f t="shared" si="2817"/>
        <v>0</v>
      </c>
      <c r="AW490" s="129">
        <f t="shared" si="2818"/>
        <v>6</v>
      </c>
      <c r="AX490" s="129">
        <f>IF(V490&lt;&gt;"",V490-U490,0)</f>
        <v>5</v>
      </c>
      <c r="AY490" s="129">
        <f t="shared" si="2819"/>
        <v>0</v>
      </c>
      <c r="AZ490" s="129">
        <f t="shared" si="2820"/>
        <v>0</v>
      </c>
      <c r="BA490" s="21">
        <f>Y490</f>
        <v>13</v>
      </c>
      <c r="BB490" s="129">
        <f t="shared" si="2821"/>
        <v>4</v>
      </c>
      <c r="BC490" s="129">
        <f t="shared" si="2822"/>
        <v>0</v>
      </c>
      <c r="BD490" s="129">
        <f t="shared" si="2823"/>
        <v>1</v>
      </c>
      <c r="BE490" s="129">
        <f t="shared" si="2824"/>
        <v>0</v>
      </c>
      <c r="BF490" s="129">
        <f t="shared" si="2825"/>
        <v>2</v>
      </c>
      <c r="BG490" s="129">
        <f t="shared" si="2826"/>
        <v>2</v>
      </c>
      <c r="BH490" s="129">
        <f t="shared" si="2827"/>
        <v>2</v>
      </c>
      <c r="BI490" s="129">
        <f t="shared" si="2828"/>
        <v>2</v>
      </c>
      <c r="BJ490" s="129">
        <f>IF(AH490&lt;&gt;"",AH490-AG490,0)</f>
        <v>1</v>
      </c>
      <c r="BK490" s="129">
        <f t="shared" si="2829"/>
        <v>4</v>
      </c>
      <c r="BL490" s="129">
        <f t="shared" si="2830"/>
        <v>0</v>
      </c>
      <c r="BM490" s="408"/>
      <c r="BN490" s="48">
        <f t="shared" ref="BN490:BN506" si="2845">BP490</f>
        <v>5</v>
      </c>
      <c r="BO490" s="48">
        <f t="shared" ref="BO490:BO506" si="2846">BP490</f>
        <v>5</v>
      </c>
      <c r="BP490" s="48">
        <f t="shared" ref="BP490:BP495" si="2847">SUM(AL490:AN490)</f>
        <v>5</v>
      </c>
      <c r="BQ490" s="48">
        <f t="shared" ref="BQ490:BQ506" si="2848">BS490</f>
        <v>11</v>
      </c>
      <c r="BR490" s="48">
        <f t="shared" ref="BR490:BR506" si="2849">BS490</f>
        <v>11</v>
      </c>
      <c r="BS490" s="48">
        <f t="shared" ref="BS490:BS495" si="2850">SUM(AO490:AQ490)</f>
        <v>11</v>
      </c>
      <c r="BT490" s="48">
        <f t="shared" ref="BT490:BT506" si="2851">BV490</f>
        <v>7</v>
      </c>
      <c r="BU490" s="48">
        <f t="shared" ref="BU490:BU506" si="2852">BV490</f>
        <v>7</v>
      </c>
      <c r="BV490" s="48">
        <f t="shared" ref="BV490:BV495" si="2853">SUM(AR490:AT490)</f>
        <v>7</v>
      </c>
      <c r="BW490" s="48">
        <f t="shared" ref="BW490:BW498" si="2854">SUM(AS490:AU490)</f>
        <v>6</v>
      </c>
      <c r="BX490" s="48">
        <f t="shared" ref="BX490:BX498" si="2855">SUM(AT490:AV490)</f>
        <v>3</v>
      </c>
      <c r="BY490" s="48">
        <f t="shared" ref="BY490:BY498" si="2856">SUM(AU490:AW490)</f>
        <v>6</v>
      </c>
      <c r="BZ490" s="48">
        <f t="shared" ref="BZ490:BZ498" si="2857">SUM(AV490:AX490)</f>
        <v>11</v>
      </c>
      <c r="CA490" s="48">
        <f t="shared" ref="CA490:CA498" si="2858">SUM(AW490:AY490)</f>
        <v>11</v>
      </c>
      <c r="CB490" s="48">
        <f t="shared" ref="CB490:CB498" si="2859">SUM(AX490:AZ490)</f>
        <v>5</v>
      </c>
      <c r="CC490" s="48">
        <f t="shared" ref="CC490:CC506" si="2860">CE490</f>
        <v>17</v>
      </c>
      <c r="CD490" s="48">
        <f t="shared" ref="CD490:CD506" si="2861">CE490</f>
        <v>17</v>
      </c>
      <c r="CE490" s="48">
        <f>SUM(BA490:BC490)</f>
        <v>17</v>
      </c>
      <c r="CF490" s="48">
        <f t="shared" ref="CF490:CF506" si="2862">CH490</f>
        <v>3</v>
      </c>
      <c r="CG490" s="48">
        <f t="shared" ref="CG490:CG506" si="2863">CH490</f>
        <v>3</v>
      </c>
      <c r="CH490" s="48">
        <f t="shared" si="2832"/>
        <v>3</v>
      </c>
      <c r="CI490" s="48">
        <f t="shared" ref="CI490:CI506" si="2864">CK490</f>
        <v>6</v>
      </c>
      <c r="CJ490" s="48">
        <f t="shared" ref="CJ490:CJ506" si="2865">CK490</f>
        <v>6</v>
      </c>
      <c r="CK490" s="48">
        <f t="shared" si="2833"/>
        <v>6</v>
      </c>
      <c r="CL490" s="48">
        <f>CN490</f>
        <v>5</v>
      </c>
      <c r="CM490" s="48">
        <f>CN490</f>
        <v>5</v>
      </c>
      <c r="CN490" s="48">
        <f>SUM(BJ490:BL490)</f>
        <v>5</v>
      </c>
      <c r="CO490" s="406"/>
      <c r="CP490" s="21">
        <f t="shared" si="2834"/>
        <v>24</v>
      </c>
      <c r="CQ490" s="21">
        <f t="shared" si="2834"/>
        <v>26</v>
      </c>
      <c r="CR490" s="21">
        <f t="shared" si="2834"/>
        <v>27</v>
      </c>
      <c r="CS490" s="21">
        <f>AO490</f>
        <v>6</v>
      </c>
      <c r="CT490" s="21">
        <f t="shared" si="2835"/>
        <v>10</v>
      </c>
      <c r="CU490" s="21">
        <f t="shared" si="2835"/>
        <v>11</v>
      </c>
      <c r="CV490" s="21">
        <f t="shared" si="2835"/>
        <v>12</v>
      </c>
      <c r="CW490" s="21">
        <f t="shared" si="2835"/>
        <v>15</v>
      </c>
      <c r="CX490" s="21">
        <f t="shared" si="2835"/>
        <v>18</v>
      </c>
      <c r="CY490" s="21">
        <f t="shared" si="2835"/>
        <v>18</v>
      </c>
      <c r="CZ490" s="21">
        <f t="shared" si="2835"/>
        <v>18</v>
      </c>
      <c r="DA490" s="21">
        <f t="shared" si="2835"/>
        <v>24</v>
      </c>
      <c r="DB490" s="21">
        <f t="shared" si="2835"/>
        <v>29</v>
      </c>
      <c r="DC490" s="21">
        <f t="shared" si="2835"/>
        <v>29</v>
      </c>
      <c r="DD490" s="21">
        <f t="shared" si="2835"/>
        <v>29</v>
      </c>
      <c r="DE490" s="21">
        <f>+BA490</f>
        <v>13</v>
      </c>
      <c r="DF490" s="21">
        <f t="shared" si="2836"/>
        <v>17</v>
      </c>
      <c r="DG490" s="21">
        <f t="shared" si="2836"/>
        <v>17</v>
      </c>
      <c r="DH490" s="21">
        <f t="shared" si="2836"/>
        <v>18</v>
      </c>
      <c r="DI490" s="21">
        <f t="shared" si="2836"/>
        <v>18</v>
      </c>
      <c r="DJ490" s="21">
        <f t="shared" si="2836"/>
        <v>20</v>
      </c>
      <c r="DK490" s="21">
        <f t="shared" si="2836"/>
        <v>22</v>
      </c>
      <c r="DL490" s="21">
        <f t="shared" si="2836"/>
        <v>24</v>
      </c>
      <c r="DM490" s="21">
        <f t="shared" si="2836"/>
        <v>26</v>
      </c>
      <c r="DN490" s="21">
        <f t="shared" si="2836"/>
        <v>27</v>
      </c>
      <c r="DO490" s="21">
        <f t="shared" si="2836"/>
        <v>31</v>
      </c>
      <c r="DP490" s="21">
        <f t="shared" si="2836"/>
        <v>31</v>
      </c>
      <c r="DQ490" s="248"/>
      <c r="DR490" s="248"/>
      <c r="DS490" s="248"/>
      <c r="DT490" s="248"/>
      <c r="DU490" s="248"/>
      <c r="DV490" s="248"/>
      <c r="DW490" s="248"/>
      <c r="DX490" s="248"/>
      <c r="DY490" s="248"/>
      <c r="ED490" s="429"/>
      <c r="EE490" s="23"/>
      <c r="EF490" s="23"/>
      <c r="EG490" s="23"/>
      <c r="EH490" s="18">
        <f t="shared" si="2837"/>
        <v>4</v>
      </c>
      <c r="EI490" s="18">
        <f t="shared" si="2838"/>
        <v>5</v>
      </c>
      <c r="EJ490" s="18">
        <f t="shared" si="2839"/>
        <v>31</v>
      </c>
      <c r="EK490" s="24">
        <f>$EK$1/12</f>
        <v>0.91666666666666663</v>
      </c>
      <c r="EL490" s="14">
        <f t="shared" si="2840"/>
        <v>1.6</v>
      </c>
      <c r="EM490" s="14">
        <f t="shared" si="2840"/>
        <v>0.66666666666666663</v>
      </c>
      <c r="EN490" s="14">
        <f>EJ490/EG467</f>
        <v>1.0333333333333334</v>
      </c>
      <c r="EO490" s="46" t="str">
        <f t="shared" si="2841"/>
        <v>Ç</v>
      </c>
      <c r="EP490" s="46" t="str">
        <f t="shared" si="2841"/>
        <v>È</v>
      </c>
      <c r="EQ490" s="2">
        <f t="shared" si="2842"/>
        <v>1</v>
      </c>
      <c r="ER490" s="2">
        <f t="shared" si="2843"/>
        <v>3</v>
      </c>
      <c r="ES490" s="2">
        <f t="shared" si="2844"/>
        <v>1</v>
      </c>
    </row>
    <row r="491" spans="1:149" ht="15.75">
      <c r="A491" s="6" t="s">
        <v>22</v>
      </c>
      <c r="B491" s="2" t="s">
        <v>2</v>
      </c>
      <c r="C491" s="3" t="s">
        <v>56</v>
      </c>
      <c r="E491" s="3" t="s">
        <v>16</v>
      </c>
      <c r="G491" s="1" t="s">
        <v>91</v>
      </c>
      <c r="I491" s="18">
        <v>19</v>
      </c>
      <c r="J491" s="19">
        <v>20</v>
      </c>
      <c r="K491" s="19">
        <v>22</v>
      </c>
      <c r="L491" s="19">
        <v>24</v>
      </c>
      <c r="M491" s="20">
        <v>1</v>
      </c>
      <c r="N491" s="19">
        <v>5</v>
      </c>
      <c r="O491" s="19">
        <v>6</v>
      </c>
      <c r="P491" s="19">
        <v>7</v>
      </c>
      <c r="Q491" s="19">
        <v>8</v>
      </c>
      <c r="R491" s="19">
        <v>8</v>
      </c>
      <c r="S491" s="19">
        <v>8</v>
      </c>
      <c r="T491" s="19">
        <v>8</v>
      </c>
      <c r="U491" s="19">
        <v>14</v>
      </c>
      <c r="V491" s="26">
        <v>18</v>
      </c>
      <c r="W491" s="19">
        <v>18</v>
      </c>
      <c r="X491" s="19">
        <v>19</v>
      </c>
      <c r="Y491" s="363">
        <v>2</v>
      </c>
      <c r="Z491" s="246">
        <v>5</v>
      </c>
      <c r="AA491" s="246">
        <v>5</v>
      </c>
      <c r="AB491" s="246">
        <v>7</v>
      </c>
      <c r="AC491" s="246">
        <v>7</v>
      </c>
      <c r="AD491" s="246">
        <v>9</v>
      </c>
      <c r="AE491" s="246">
        <v>11</v>
      </c>
      <c r="AF491" s="246">
        <v>11</v>
      </c>
      <c r="AG491" s="246">
        <v>17</v>
      </c>
      <c r="AH491" s="246">
        <v>18</v>
      </c>
      <c r="AI491" s="246">
        <v>20</v>
      </c>
      <c r="AJ491" s="246"/>
      <c r="AK491" s="408"/>
      <c r="AL491" s="21">
        <f t="shared" si="2809"/>
        <v>1</v>
      </c>
      <c r="AM491" s="21">
        <f t="shared" si="2809"/>
        <v>2</v>
      </c>
      <c r="AN491" s="21">
        <f t="shared" si="2810"/>
        <v>2</v>
      </c>
      <c r="AO491" s="21">
        <f>M491</f>
        <v>1</v>
      </c>
      <c r="AP491" s="129">
        <f t="shared" si="2811"/>
        <v>4</v>
      </c>
      <c r="AQ491" s="129">
        <f t="shared" si="2812"/>
        <v>1</v>
      </c>
      <c r="AR491" s="129">
        <f t="shared" si="2813"/>
        <v>1</v>
      </c>
      <c r="AS491" s="129">
        <f t="shared" si="2814"/>
        <v>1</v>
      </c>
      <c r="AT491" s="129">
        <f t="shared" si="2815"/>
        <v>0</v>
      </c>
      <c r="AU491" s="129">
        <f t="shared" si="2816"/>
        <v>0</v>
      </c>
      <c r="AV491" s="129">
        <f t="shared" si="2817"/>
        <v>0</v>
      </c>
      <c r="AW491" s="129">
        <f t="shared" si="2818"/>
        <v>6</v>
      </c>
      <c r="AX491" s="129">
        <f>IF(V491&lt;&gt;"",V491-U491,0)</f>
        <v>4</v>
      </c>
      <c r="AY491" s="129">
        <f t="shared" si="2819"/>
        <v>0</v>
      </c>
      <c r="AZ491" s="129">
        <f t="shared" si="2820"/>
        <v>1</v>
      </c>
      <c r="BA491" s="21">
        <f>Y491</f>
        <v>2</v>
      </c>
      <c r="BB491" s="129">
        <f t="shared" si="2821"/>
        <v>3</v>
      </c>
      <c r="BC491" s="129">
        <f t="shared" si="2822"/>
        <v>0</v>
      </c>
      <c r="BD491" s="129">
        <f t="shared" si="2823"/>
        <v>2</v>
      </c>
      <c r="BE491" s="129">
        <f t="shared" si="2824"/>
        <v>0</v>
      </c>
      <c r="BF491" s="129">
        <f t="shared" si="2825"/>
        <v>2</v>
      </c>
      <c r="BG491" s="129">
        <f t="shared" si="2826"/>
        <v>2</v>
      </c>
      <c r="BH491" s="129">
        <f t="shared" si="2827"/>
        <v>0</v>
      </c>
      <c r="BI491" s="129">
        <f t="shared" si="2828"/>
        <v>6</v>
      </c>
      <c r="BJ491" s="129">
        <f>IF(AH491&lt;&gt;"",AH491-AG491,0)</f>
        <v>1</v>
      </c>
      <c r="BK491" s="129">
        <f t="shared" si="2829"/>
        <v>2</v>
      </c>
      <c r="BL491" s="129">
        <f t="shared" si="2830"/>
        <v>0</v>
      </c>
      <c r="BM491" s="408"/>
      <c r="BN491" s="48">
        <f t="shared" si="2845"/>
        <v>5</v>
      </c>
      <c r="BO491" s="48">
        <f t="shared" si="2846"/>
        <v>5</v>
      </c>
      <c r="BP491" s="48">
        <f t="shared" si="2847"/>
        <v>5</v>
      </c>
      <c r="BQ491" s="48">
        <f t="shared" si="2848"/>
        <v>6</v>
      </c>
      <c r="BR491" s="48">
        <f t="shared" si="2849"/>
        <v>6</v>
      </c>
      <c r="BS491" s="48">
        <f t="shared" si="2850"/>
        <v>6</v>
      </c>
      <c r="BT491" s="48">
        <f t="shared" si="2851"/>
        <v>2</v>
      </c>
      <c r="BU491" s="48">
        <f t="shared" si="2852"/>
        <v>2</v>
      </c>
      <c r="BV491" s="48">
        <f t="shared" si="2853"/>
        <v>2</v>
      </c>
      <c r="BW491" s="48">
        <f t="shared" si="2854"/>
        <v>1</v>
      </c>
      <c r="BX491" s="48">
        <f t="shared" si="2855"/>
        <v>0</v>
      </c>
      <c r="BY491" s="48">
        <f t="shared" si="2856"/>
        <v>6</v>
      </c>
      <c r="BZ491" s="48">
        <f t="shared" si="2857"/>
        <v>10</v>
      </c>
      <c r="CA491" s="48">
        <f t="shared" si="2858"/>
        <v>10</v>
      </c>
      <c r="CB491" s="48">
        <f t="shared" si="2859"/>
        <v>5</v>
      </c>
      <c r="CC491" s="48">
        <f t="shared" si="2860"/>
        <v>5</v>
      </c>
      <c r="CD491" s="48">
        <f t="shared" si="2861"/>
        <v>5</v>
      </c>
      <c r="CE491" s="48">
        <f>SUM(BA491:BC491)</f>
        <v>5</v>
      </c>
      <c r="CF491" s="48">
        <f t="shared" si="2862"/>
        <v>4</v>
      </c>
      <c r="CG491" s="48">
        <f t="shared" si="2863"/>
        <v>4</v>
      </c>
      <c r="CH491" s="48">
        <f t="shared" si="2832"/>
        <v>4</v>
      </c>
      <c r="CI491" s="48">
        <f t="shared" si="2864"/>
        <v>8</v>
      </c>
      <c r="CJ491" s="48">
        <f t="shared" si="2865"/>
        <v>8</v>
      </c>
      <c r="CK491" s="48">
        <f t="shared" si="2833"/>
        <v>8</v>
      </c>
      <c r="CL491" s="48">
        <f>CN491</f>
        <v>3</v>
      </c>
      <c r="CM491" s="48">
        <f>CN491</f>
        <v>3</v>
      </c>
      <c r="CN491" s="48">
        <f>SUM(BJ491:BL491)</f>
        <v>3</v>
      </c>
      <c r="CO491" s="406"/>
      <c r="CP491" s="21">
        <f t="shared" si="2834"/>
        <v>20</v>
      </c>
      <c r="CQ491" s="21">
        <f t="shared" si="2834"/>
        <v>22</v>
      </c>
      <c r="CR491" s="21">
        <f t="shared" si="2834"/>
        <v>24</v>
      </c>
      <c r="CS491" s="21">
        <f>AO491</f>
        <v>1</v>
      </c>
      <c r="CT491" s="21">
        <f t="shared" si="2835"/>
        <v>5</v>
      </c>
      <c r="CU491" s="21">
        <f t="shared" si="2835"/>
        <v>6</v>
      </c>
      <c r="CV491" s="21">
        <f t="shared" si="2835"/>
        <v>7</v>
      </c>
      <c r="CW491" s="21">
        <f t="shared" si="2835"/>
        <v>8</v>
      </c>
      <c r="CX491" s="21">
        <f t="shared" si="2835"/>
        <v>8</v>
      </c>
      <c r="CY491" s="21">
        <f t="shared" si="2835"/>
        <v>8</v>
      </c>
      <c r="CZ491" s="21">
        <f t="shared" si="2835"/>
        <v>8</v>
      </c>
      <c r="DA491" s="21">
        <f t="shared" si="2835"/>
        <v>14</v>
      </c>
      <c r="DB491" s="21">
        <f t="shared" si="2835"/>
        <v>18</v>
      </c>
      <c r="DC491" s="21">
        <f t="shared" si="2835"/>
        <v>18</v>
      </c>
      <c r="DD491" s="21">
        <f t="shared" si="2835"/>
        <v>19</v>
      </c>
      <c r="DE491" s="21">
        <f>+BA491</f>
        <v>2</v>
      </c>
      <c r="DF491" s="21">
        <f t="shared" si="2836"/>
        <v>5</v>
      </c>
      <c r="DG491" s="21">
        <f t="shared" si="2836"/>
        <v>5</v>
      </c>
      <c r="DH491" s="21">
        <f t="shared" si="2836"/>
        <v>7</v>
      </c>
      <c r="DI491" s="21">
        <f t="shared" si="2836"/>
        <v>7</v>
      </c>
      <c r="DJ491" s="21">
        <f t="shared" si="2836"/>
        <v>9</v>
      </c>
      <c r="DK491" s="21">
        <f t="shared" si="2836"/>
        <v>11</v>
      </c>
      <c r="DL491" s="21">
        <f t="shared" si="2836"/>
        <v>11</v>
      </c>
      <c r="DM491" s="21">
        <f t="shared" si="2836"/>
        <v>17</v>
      </c>
      <c r="DN491" s="21">
        <f t="shared" si="2836"/>
        <v>18</v>
      </c>
      <c r="DO491" s="21">
        <f t="shared" si="2836"/>
        <v>20</v>
      </c>
      <c r="DP491" s="21">
        <f t="shared" si="2836"/>
        <v>20</v>
      </c>
      <c r="DQ491" s="248"/>
      <c r="DR491" s="248"/>
      <c r="DS491" s="248"/>
      <c r="DT491" s="248"/>
      <c r="DU491" s="248"/>
      <c r="DV491" s="248"/>
      <c r="DW491" s="248"/>
      <c r="DX491" s="248"/>
      <c r="DY491" s="248"/>
      <c r="ED491" s="429"/>
      <c r="EE491" s="23"/>
      <c r="EF491" s="23"/>
      <c r="EG491" s="23"/>
      <c r="EH491" s="18">
        <f t="shared" si="2837"/>
        <v>2</v>
      </c>
      <c r="EI491" s="18">
        <f t="shared" si="2838"/>
        <v>3</v>
      </c>
      <c r="EJ491" s="18">
        <f t="shared" si="2839"/>
        <v>20</v>
      </c>
      <c r="EK491" s="24">
        <f>$EK$1/12</f>
        <v>0.91666666666666663</v>
      </c>
      <c r="EL491" s="14">
        <f t="shared" si="2840"/>
        <v>1.3333333333333333</v>
      </c>
      <c r="EM491" s="14">
        <f t="shared" si="2840"/>
        <v>0.66666666666666663</v>
      </c>
      <c r="EN491" s="14">
        <f>EJ491/EG468</f>
        <v>1.1111111111111112</v>
      </c>
      <c r="EO491" s="46" t="str">
        <f t="shared" si="2841"/>
        <v>Ç</v>
      </c>
      <c r="EP491" s="46" t="str">
        <f t="shared" si="2841"/>
        <v>È</v>
      </c>
      <c r="EQ491" s="2">
        <f t="shared" si="2842"/>
        <v>1</v>
      </c>
      <c r="ER491" s="2">
        <f t="shared" si="2843"/>
        <v>3</v>
      </c>
      <c r="ES491" s="2">
        <f t="shared" si="2844"/>
        <v>1</v>
      </c>
    </row>
    <row r="492" spans="1:149" ht="12.75" customHeight="1">
      <c r="A492" s="6" t="s">
        <v>22</v>
      </c>
      <c r="B492" s="2" t="s">
        <v>3</v>
      </c>
      <c r="C492" s="3" t="s">
        <v>57</v>
      </c>
      <c r="E492" s="3" t="s">
        <v>16</v>
      </c>
      <c r="G492" s="1" t="s">
        <v>91</v>
      </c>
      <c r="I492" s="18">
        <v>4</v>
      </c>
      <c r="J492" s="21">
        <v>4</v>
      </c>
      <c r="K492" s="21">
        <v>4</v>
      </c>
      <c r="L492" s="21">
        <v>4</v>
      </c>
      <c r="M492" s="22">
        <v>1</v>
      </c>
      <c r="N492" s="21">
        <v>1</v>
      </c>
      <c r="O492" s="21">
        <v>1</v>
      </c>
      <c r="P492" s="21">
        <v>1</v>
      </c>
      <c r="Q492" s="21">
        <v>2</v>
      </c>
      <c r="R492" s="21">
        <v>17</v>
      </c>
      <c r="S492" s="21">
        <v>17</v>
      </c>
      <c r="T492" s="21">
        <v>17</v>
      </c>
      <c r="U492" s="21">
        <v>18</v>
      </c>
      <c r="V492" s="27">
        <v>21</v>
      </c>
      <c r="W492" s="21">
        <v>22</v>
      </c>
      <c r="X492" s="21">
        <v>22</v>
      </c>
      <c r="Y492" s="363">
        <v>0</v>
      </c>
      <c r="Z492" s="246">
        <v>0</v>
      </c>
      <c r="AA492" s="246">
        <v>0</v>
      </c>
      <c r="AB492" s="246">
        <v>3</v>
      </c>
      <c r="AC492" s="246">
        <v>5</v>
      </c>
      <c r="AD492" s="246">
        <v>6</v>
      </c>
      <c r="AE492" s="246">
        <v>6</v>
      </c>
      <c r="AF492" s="246">
        <v>11</v>
      </c>
      <c r="AG492" s="246">
        <v>11</v>
      </c>
      <c r="AH492" s="246">
        <v>12</v>
      </c>
      <c r="AI492" s="246">
        <v>13</v>
      </c>
      <c r="AJ492" s="246"/>
      <c r="AK492" s="408"/>
      <c r="AL492" s="21">
        <f t="shared" si="2809"/>
        <v>0</v>
      </c>
      <c r="AM492" s="21">
        <f t="shared" si="2809"/>
        <v>0</v>
      </c>
      <c r="AN492" s="21">
        <f t="shared" si="2810"/>
        <v>0</v>
      </c>
      <c r="AO492" s="21">
        <f>M492</f>
        <v>1</v>
      </c>
      <c r="AP492" s="129">
        <f t="shared" si="2811"/>
        <v>0</v>
      </c>
      <c r="AQ492" s="129">
        <f t="shared" si="2812"/>
        <v>0</v>
      </c>
      <c r="AR492" s="129">
        <f t="shared" si="2813"/>
        <v>0</v>
      </c>
      <c r="AS492" s="129">
        <f t="shared" si="2814"/>
        <v>1</v>
      </c>
      <c r="AT492" s="129">
        <f t="shared" si="2815"/>
        <v>15</v>
      </c>
      <c r="AU492" s="129">
        <f t="shared" si="2816"/>
        <v>0</v>
      </c>
      <c r="AV492" s="129">
        <f t="shared" si="2817"/>
        <v>0</v>
      </c>
      <c r="AW492" s="129">
        <f t="shared" si="2818"/>
        <v>1</v>
      </c>
      <c r="AX492" s="129">
        <f>IF(V492&lt;&gt;"",V492-U492,0)</f>
        <v>3</v>
      </c>
      <c r="AY492" s="129">
        <f t="shared" si="2819"/>
        <v>1</v>
      </c>
      <c r="AZ492" s="129">
        <f t="shared" si="2820"/>
        <v>0</v>
      </c>
      <c r="BA492" s="21">
        <f>Y492</f>
        <v>0</v>
      </c>
      <c r="BB492" s="129">
        <f t="shared" si="2821"/>
        <v>0</v>
      </c>
      <c r="BC492" s="129">
        <f t="shared" si="2822"/>
        <v>0</v>
      </c>
      <c r="BD492" s="129">
        <f t="shared" si="2823"/>
        <v>3</v>
      </c>
      <c r="BE492" s="129">
        <f t="shared" si="2824"/>
        <v>2</v>
      </c>
      <c r="BF492" s="129">
        <f t="shared" si="2825"/>
        <v>1</v>
      </c>
      <c r="BG492" s="129">
        <f t="shared" si="2826"/>
        <v>0</v>
      </c>
      <c r="BH492" s="129">
        <f t="shared" si="2827"/>
        <v>5</v>
      </c>
      <c r="BI492" s="129">
        <f t="shared" si="2828"/>
        <v>0</v>
      </c>
      <c r="BJ492" s="129">
        <f>IF(AH492&lt;&gt;"",AH492-AG492,0)</f>
        <v>1</v>
      </c>
      <c r="BK492" s="129">
        <f t="shared" si="2829"/>
        <v>1</v>
      </c>
      <c r="BL492" s="129">
        <f t="shared" si="2830"/>
        <v>0</v>
      </c>
      <c r="BM492" s="408"/>
      <c r="BN492" s="48">
        <f t="shared" si="2845"/>
        <v>0</v>
      </c>
      <c r="BO492" s="48">
        <f t="shared" si="2846"/>
        <v>0</v>
      </c>
      <c r="BP492" s="48">
        <f t="shared" si="2847"/>
        <v>0</v>
      </c>
      <c r="BQ492" s="48">
        <f t="shared" si="2848"/>
        <v>1</v>
      </c>
      <c r="BR492" s="48">
        <f t="shared" si="2849"/>
        <v>1</v>
      </c>
      <c r="BS492" s="48">
        <f t="shared" si="2850"/>
        <v>1</v>
      </c>
      <c r="BT492" s="48">
        <f t="shared" si="2851"/>
        <v>16</v>
      </c>
      <c r="BU492" s="48">
        <f t="shared" si="2852"/>
        <v>16</v>
      </c>
      <c r="BV492" s="48">
        <f t="shared" si="2853"/>
        <v>16</v>
      </c>
      <c r="BW492" s="48">
        <f t="shared" si="2854"/>
        <v>16</v>
      </c>
      <c r="BX492" s="48">
        <f t="shared" si="2855"/>
        <v>15</v>
      </c>
      <c r="BY492" s="48">
        <f t="shared" si="2856"/>
        <v>1</v>
      </c>
      <c r="BZ492" s="48">
        <f t="shared" si="2857"/>
        <v>4</v>
      </c>
      <c r="CA492" s="48">
        <f t="shared" si="2858"/>
        <v>5</v>
      </c>
      <c r="CB492" s="48">
        <f t="shared" si="2859"/>
        <v>4</v>
      </c>
      <c r="CC492" s="48">
        <f t="shared" si="2860"/>
        <v>0</v>
      </c>
      <c r="CD492" s="48">
        <f t="shared" si="2861"/>
        <v>0</v>
      </c>
      <c r="CE492" s="48">
        <f>SUM(BA492:BC492)</f>
        <v>0</v>
      </c>
      <c r="CF492" s="48">
        <f t="shared" si="2862"/>
        <v>6</v>
      </c>
      <c r="CG492" s="48">
        <f t="shared" si="2863"/>
        <v>6</v>
      </c>
      <c r="CH492" s="48">
        <f t="shared" si="2832"/>
        <v>6</v>
      </c>
      <c r="CI492" s="48">
        <f t="shared" si="2864"/>
        <v>5</v>
      </c>
      <c r="CJ492" s="48">
        <f t="shared" si="2865"/>
        <v>5</v>
      </c>
      <c r="CK492" s="48">
        <f t="shared" si="2833"/>
        <v>5</v>
      </c>
      <c r="CL492" s="48">
        <f>CN492</f>
        <v>2</v>
      </c>
      <c r="CM492" s="48">
        <f>CN492</f>
        <v>2</v>
      </c>
      <c r="CN492" s="48">
        <f>SUM(BJ492:BL492)</f>
        <v>2</v>
      </c>
      <c r="CO492" s="406"/>
      <c r="CP492" s="21">
        <f t="shared" si="2834"/>
        <v>4</v>
      </c>
      <c r="CQ492" s="21">
        <f t="shared" si="2834"/>
        <v>4</v>
      </c>
      <c r="CR492" s="21">
        <f t="shared" si="2834"/>
        <v>4</v>
      </c>
      <c r="CS492" s="21">
        <f>AO492</f>
        <v>1</v>
      </c>
      <c r="CT492" s="21">
        <f t="shared" si="2835"/>
        <v>1</v>
      </c>
      <c r="CU492" s="21">
        <f t="shared" si="2835"/>
        <v>1</v>
      </c>
      <c r="CV492" s="21">
        <f t="shared" si="2835"/>
        <v>1</v>
      </c>
      <c r="CW492" s="21">
        <f t="shared" si="2835"/>
        <v>2</v>
      </c>
      <c r="CX492" s="21">
        <f t="shared" si="2835"/>
        <v>17</v>
      </c>
      <c r="CY492" s="21">
        <f t="shared" si="2835"/>
        <v>17</v>
      </c>
      <c r="CZ492" s="21">
        <f t="shared" si="2835"/>
        <v>17</v>
      </c>
      <c r="DA492" s="21">
        <f t="shared" si="2835"/>
        <v>18</v>
      </c>
      <c r="DB492" s="21">
        <f t="shared" si="2835"/>
        <v>21</v>
      </c>
      <c r="DC492" s="21">
        <f t="shared" si="2835"/>
        <v>22</v>
      </c>
      <c r="DD492" s="21">
        <f t="shared" si="2835"/>
        <v>22</v>
      </c>
      <c r="DE492" s="21">
        <f>+BA492</f>
        <v>0</v>
      </c>
      <c r="DF492" s="21">
        <f t="shared" si="2836"/>
        <v>0</v>
      </c>
      <c r="DG492" s="21">
        <f t="shared" si="2836"/>
        <v>0</v>
      </c>
      <c r="DH492" s="21">
        <f t="shared" si="2836"/>
        <v>3</v>
      </c>
      <c r="DI492" s="21">
        <f t="shared" si="2836"/>
        <v>5</v>
      </c>
      <c r="DJ492" s="21">
        <f t="shared" si="2836"/>
        <v>6</v>
      </c>
      <c r="DK492" s="21">
        <f t="shared" si="2836"/>
        <v>6</v>
      </c>
      <c r="DL492" s="21">
        <f t="shared" si="2836"/>
        <v>11</v>
      </c>
      <c r="DM492" s="21">
        <f t="shared" si="2836"/>
        <v>11</v>
      </c>
      <c r="DN492" s="21">
        <f t="shared" si="2836"/>
        <v>12</v>
      </c>
      <c r="DO492" s="21">
        <f t="shared" si="2836"/>
        <v>13</v>
      </c>
      <c r="DP492" s="21">
        <f t="shared" si="2836"/>
        <v>13</v>
      </c>
      <c r="DQ492" s="248"/>
      <c r="DR492" s="248"/>
      <c r="DS492" s="248"/>
      <c r="DT492" s="248"/>
      <c r="DU492" s="248"/>
      <c r="DV492" s="248"/>
      <c r="DW492" s="248"/>
      <c r="DX492" s="248"/>
      <c r="DY492" s="248"/>
      <c r="ED492" s="429"/>
      <c r="EE492" s="23"/>
      <c r="EF492" s="23"/>
      <c r="EG492" s="23"/>
      <c r="EH492" s="18">
        <f t="shared" si="2837"/>
        <v>1</v>
      </c>
      <c r="EI492" s="18">
        <f t="shared" si="2838"/>
        <v>2</v>
      </c>
      <c r="EJ492" s="18">
        <f t="shared" si="2839"/>
        <v>13</v>
      </c>
      <c r="EK492" s="24">
        <f>$EK$1/12</f>
        <v>0.91666666666666663</v>
      </c>
      <c r="EL492" s="14">
        <f t="shared" si="2840"/>
        <v>1</v>
      </c>
      <c r="EM492" s="14">
        <f t="shared" si="2840"/>
        <v>0.66666666666666663</v>
      </c>
      <c r="EN492" s="14">
        <f>EJ492/EG469</f>
        <v>1.0833333333333333</v>
      </c>
      <c r="EO492" s="46" t="str">
        <f>IF(EH492&lt;0,,IF(EH492&lt;EE469,"È",IF(EH492&lt;EE469,"Æ","Ç")))</f>
        <v>Ç</v>
      </c>
      <c r="EP492" s="46" t="str">
        <f>IF(EI492&lt;0,,IF(EI492&lt;EF469,"È",IF(EI492&lt;EF469,"Æ","Ç")))</f>
        <v>È</v>
      </c>
      <c r="EQ492" s="2">
        <f t="shared" si="2842"/>
        <v>1</v>
      </c>
      <c r="ER492" s="2">
        <f t="shared" si="2843"/>
        <v>3</v>
      </c>
      <c r="ES492" s="2">
        <f t="shared" si="2844"/>
        <v>1</v>
      </c>
    </row>
    <row r="493" spans="1:149" ht="12.75" customHeight="1" thickBot="1">
      <c r="A493" s="6" t="s">
        <v>22</v>
      </c>
      <c r="B493" s="2" t="s">
        <v>94</v>
      </c>
      <c r="C493" s="3" t="s">
        <v>58</v>
      </c>
      <c r="E493" s="3" t="s">
        <v>16</v>
      </c>
      <c r="G493" s="1" t="s">
        <v>91</v>
      </c>
      <c r="I493" s="116">
        <v>0.46100000000000002</v>
      </c>
      <c r="J493" s="116">
        <v>0.46100000000000002</v>
      </c>
      <c r="K493" s="116">
        <v>0.47599999999999998</v>
      </c>
      <c r="L493" s="116">
        <v>0.47599999999999998</v>
      </c>
      <c r="M493" s="117">
        <v>0</v>
      </c>
      <c r="N493" s="116">
        <v>0</v>
      </c>
      <c r="O493" s="116">
        <v>0</v>
      </c>
      <c r="P493" s="116">
        <v>0.2155</v>
      </c>
      <c r="Q493" s="116">
        <v>0.2155</v>
      </c>
      <c r="R493" s="116">
        <v>0.57550000000000001</v>
      </c>
      <c r="S493" s="116">
        <v>0.57599999999999996</v>
      </c>
      <c r="T493" s="116">
        <v>0.57550000000000001</v>
      </c>
      <c r="U493" s="116">
        <v>0.59530000000000005</v>
      </c>
      <c r="V493" s="123">
        <v>0.8115</v>
      </c>
      <c r="W493" s="116">
        <v>0.8115</v>
      </c>
      <c r="X493" s="116">
        <v>0.8115</v>
      </c>
      <c r="Y493" s="364">
        <v>0</v>
      </c>
      <c r="Z493" s="246">
        <v>0</v>
      </c>
      <c r="AA493" s="246">
        <v>0</v>
      </c>
      <c r="AB493" s="246">
        <v>3.1699999999999999E-2</v>
      </c>
      <c r="AC493" s="246">
        <v>0.33200000000000002</v>
      </c>
      <c r="AD493" s="246">
        <v>0.82920000000000005</v>
      </c>
      <c r="AE493" s="246">
        <v>0.91420000000000001</v>
      </c>
      <c r="AF493" s="246">
        <v>1.044</v>
      </c>
      <c r="AG493" s="436">
        <v>1.1192</v>
      </c>
      <c r="AH493" s="246">
        <v>1.119</v>
      </c>
      <c r="AI493" s="436">
        <v>1.1192</v>
      </c>
      <c r="AJ493" s="246"/>
      <c r="AK493" s="416"/>
      <c r="AL493" s="116">
        <f t="shared" si="2809"/>
        <v>0</v>
      </c>
      <c r="AM493" s="116">
        <f t="shared" si="2809"/>
        <v>1.4999999999999958E-2</v>
      </c>
      <c r="AN493" s="116">
        <f t="shared" si="2810"/>
        <v>0</v>
      </c>
      <c r="AO493" s="116">
        <f>M493</f>
        <v>0</v>
      </c>
      <c r="AP493" s="129">
        <f t="shared" si="2811"/>
        <v>0</v>
      </c>
      <c r="AQ493" s="129">
        <f t="shared" si="2812"/>
        <v>0</v>
      </c>
      <c r="AR493" s="129">
        <f t="shared" si="2813"/>
        <v>0.2155</v>
      </c>
      <c r="AS493" s="129">
        <f t="shared" si="2814"/>
        <v>0</v>
      </c>
      <c r="AT493" s="129">
        <f t="shared" si="2815"/>
        <v>0.36</v>
      </c>
      <c r="AU493" s="129">
        <f t="shared" si="2816"/>
        <v>4.9999999999994493E-4</v>
      </c>
      <c r="AV493" s="129">
        <f t="shared" si="2817"/>
        <v>-4.9999999999994493E-4</v>
      </c>
      <c r="AW493" s="129">
        <f t="shared" si="2818"/>
        <v>1.980000000000004E-2</v>
      </c>
      <c r="AX493" s="129">
        <f>IF(V493&lt;&gt;"",V493-U493,0)</f>
        <v>0.21619999999999995</v>
      </c>
      <c r="AY493" s="129">
        <f t="shared" si="2819"/>
        <v>0</v>
      </c>
      <c r="AZ493" s="129">
        <f t="shared" si="2820"/>
        <v>0</v>
      </c>
      <c r="BA493" s="116">
        <f>Y493</f>
        <v>0</v>
      </c>
      <c r="BB493" s="129">
        <f t="shared" si="2821"/>
        <v>0</v>
      </c>
      <c r="BC493" s="129">
        <f t="shared" si="2822"/>
        <v>0</v>
      </c>
      <c r="BD493" s="129">
        <f t="shared" si="2823"/>
        <v>3.1699999999999999E-2</v>
      </c>
      <c r="BE493" s="129">
        <f t="shared" si="2824"/>
        <v>0.30030000000000001</v>
      </c>
      <c r="BF493" s="129">
        <f t="shared" si="2825"/>
        <v>0.49720000000000003</v>
      </c>
      <c r="BG493" s="129">
        <f t="shared" si="2826"/>
        <v>8.4999999999999964E-2</v>
      </c>
      <c r="BH493" s="129">
        <f t="shared" si="2827"/>
        <v>0.12980000000000003</v>
      </c>
      <c r="BI493" s="129">
        <f t="shared" si="2828"/>
        <v>7.5199999999999934E-2</v>
      </c>
      <c r="BJ493" s="129">
        <f>IF(AH493&lt;&gt;"",AH493-AG493,0)</f>
        <v>-1.9999999999997797E-4</v>
      </c>
      <c r="BK493" s="129">
        <f t="shared" si="2829"/>
        <v>1.9999999999997797E-4</v>
      </c>
      <c r="BL493" s="129">
        <f t="shared" si="2830"/>
        <v>0</v>
      </c>
      <c r="BM493" s="409"/>
      <c r="BN493" s="119">
        <f t="shared" si="2845"/>
        <v>1.4999999999999958E-2</v>
      </c>
      <c r="BO493" s="119">
        <f t="shared" si="2846"/>
        <v>1.4999999999999958E-2</v>
      </c>
      <c r="BP493" s="119">
        <f t="shared" si="2847"/>
        <v>1.4999999999999958E-2</v>
      </c>
      <c r="BQ493" s="119">
        <f t="shared" si="2848"/>
        <v>0</v>
      </c>
      <c r="BR493" s="119">
        <f t="shared" si="2849"/>
        <v>0</v>
      </c>
      <c r="BS493" s="119">
        <f t="shared" si="2850"/>
        <v>0</v>
      </c>
      <c r="BT493" s="119">
        <f t="shared" si="2851"/>
        <v>0.57550000000000001</v>
      </c>
      <c r="BU493" s="119">
        <f t="shared" si="2852"/>
        <v>0.57550000000000001</v>
      </c>
      <c r="BV493" s="119">
        <f t="shared" si="2853"/>
        <v>0.57550000000000001</v>
      </c>
      <c r="BW493" s="119">
        <f t="shared" si="2854"/>
        <v>0.36049999999999993</v>
      </c>
      <c r="BX493" s="119">
        <f t="shared" si="2855"/>
        <v>0.36</v>
      </c>
      <c r="BY493" s="119">
        <f t="shared" si="2856"/>
        <v>1.980000000000004E-2</v>
      </c>
      <c r="BZ493" s="119">
        <f t="shared" si="2857"/>
        <v>0.23550000000000004</v>
      </c>
      <c r="CA493" s="119">
        <f t="shared" si="2858"/>
        <v>0.23599999999999999</v>
      </c>
      <c r="CB493" s="119">
        <f t="shared" si="2859"/>
        <v>0.21619999999999995</v>
      </c>
      <c r="CC493" s="119">
        <f t="shared" si="2860"/>
        <v>0</v>
      </c>
      <c r="CD493" s="119">
        <f t="shared" si="2861"/>
        <v>0</v>
      </c>
      <c r="CE493" s="119">
        <f>SUM(BA493:BC493)</f>
        <v>0</v>
      </c>
      <c r="CF493" s="119">
        <f t="shared" si="2862"/>
        <v>0.82920000000000005</v>
      </c>
      <c r="CG493" s="119">
        <f t="shared" si="2863"/>
        <v>0.82920000000000005</v>
      </c>
      <c r="CH493" s="119">
        <f t="shared" si="2832"/>
        <v>0.82920000000000005</v>
      </c>
      <c r="CI493" s="119">
        <f t="shared" si="2864"/>
        <v>0.28999999999999992</v>
      </c>
      <c r="CJ493" s="119">
        <f t="shared" si="2865"/>
        <v>0.28999999999999992</v>
      </c>
      <c r="CK493" s="119">
        <f t="shared" si="2833"/>
        <v>0.28999999999999992</v>
      </c>
      <c r="CL493" s="119">
        <f>CN493</f>
        <v>0</v>
      </c>
      <c r="CM493" s="119">
        <f>CN493</f>
        <v>0</v>
      </c>
      <c r="CN493" s="119">
        <f>SUM(BJ493:BL493)</f>
        <v>0</v>
      </c>
      <c r="CO493" s="421"/>
      <c r="CP493" s="116">
        <f t="shared" si="2834"/>
        <v>0.46100000000000002</v>
      </c>
      <c r="CQ493" s="116">
        <f t="shared" si="2834"/>
        <v>0.47599999999999998</v>
      </c>
      <c r="CR493" s="116">
        <f t="shared" si="2834"/>
        <v>0.47599999999999998</v>
      </c>
      <c r="CS493" s="116">
        <f>AO493</f>
        <v>0</v>
      </c>
      <c r="CT493" s="116">
        <f t="shared" si="2835"/>
        <v>0</v>
      </c>
      <c r="CU493" s="116">
        <f t="shared" si="2835"/>
        <v>0</v>
      </c>
      <c r="CV493" s="116">
        <f t="shared" si="2835"/>
        <v>0.2155</v>
      </c>
      <c r="CW493" s="116">
        <f t="shared" si="2835"/>
        <v>0.2155</v>
      </c>
      <c r="CX493" s="116">
        <f t="shared" si="2835"/>
        <v>0.57550000000000001</v>
      </c>
      <c r="CY493" s="116">
        <f t="shared" si="2835"/>
        <v>0.57599999999999996</v>
      </c>
      <c r="CZ493" s="116">
        <f t="shared" si="2835"/>
        <v>0.57550000000000001</v>
      </c>
      <c r="DA493" s="116">
        <f t="shared" si="2835"/>
        <v>0.59530000000000005</v>
      </c>
      <c r="DB493" s="116">
        <f t="shared" si="2835"/>
        <v>0.8115</v>
      </c>
      <c r="DC493" s="116">
        <f t="shared" si="2835"/>
        <v>0.8115</v>
      </c>
      <c r="DD493" s="116">
        <f t="shared" si="2835"/>
        <v>0.8115</v>
      </c>
      <c r="DE493" s="116">
        <f>+BA493</f>
        <v>0</v>
      </c>
      <c r="DF493" s="116">
        <f t="shared" si="2836"/>
        <v>0</v>
      </c>
      <c r="DG493" s="116">
        <f t="shared" si="2836"/>
        <v>0</v>
      </c>
      <c r="DH493" s="116">
        <f t="shared" si="2836"/>
        <v>3.1699999999999999E-2</v>
      </c>
      <c r="DI493" s="116">
        <f t="shared" si="2836"/>
        <v>0.33200000000000002</v>
      </c>
      <c r="DJ493" s="116">
        <f t="shared" si="2836"/>
        <v>0.82920000000000005</v>
      </c>
      <c r="DK493" s="116">
        <f t="shared" si="2836"/>
        <v>0.91420000000000001</v>
      </c>
      <c r="DL493" s="116">
        <f t="shared" si="2836"/>
        <v>1.044</v>
      </c>
      <c r="DM493" s="116">
        <f t="shared" si="2836"/>
        <v>1.1192</v>
      </c>
      <c r="DN493" s="116">
        <f t="shared" si="2836"/>
        <v>1.119</v>
      </c>
      <c r="DO493" s="116">
        <f t="shared" si="2836"/>
        <v>1.1192</v>
      </c>
      <c r="DP493" s="116">
        <f t="shared" si="2836"/>
        <v>1.1192</v>
      </c>
      <c r="DQ493" s="243"/>
      <c r="DR493" s="243"/>
      <c r="DS493" s="243"/>
      <c r="DT493" s="243"/>
      <c r="DU493" s="243"/>
      <c r="DV493" s="243"/>
      <c r="DW493" s="243"/>
      <c r="DX493" s="243"/>
      <c r="DY493" s="243"/>
      <c r="DZ493" s="124"/>
      <c r="EA493" s="124"/>
      <c r="EB493" s="124"/>
      <c r="EC493" s="124"/>
      <c r="ED493" s="431"/>
      <c r="EE493" s="125"/>
      <c r="EF493" s="125"/>
      <c r="EG493" s="125"/>
      <c r="EH493" s="116">
        <v>0</v>
      </c>
      <c r="EI493" s="116">
        <v>0</v>
      </c>
      <c r="EJ493" s="116">
        <f t="shared" si="2839"/>
        <v>1.1192</v>
      </c>
      <c r="EK493" s="24">
        <f>$EK$1/12</f>
        <v>0.91666666666666663</v>
      </c>
      <c r="EL493" s="14">
        <f t="shared" si="2840"/>
        <v>0</v>
      </c>
      <c r="EM493" s="14">
        <f t="shared" si="2840"/>
        <v>0</v>
      </c>
      <c r="EN493" s="14">
        <f>EJ493/EG470</f>
        <v>1.1233188733127761</v>
      </c>
      <c r="EO493" s="46" t="str">
        <f>IF(EH493&lt;0,,IF(EH493&lt;EE470,"È",IF(EH493=EE470,"Æ","Ç")))</f>
        <v>È</v>
      </c>
      <c r="EP493" s="46" t="str">
        <f>IF(EI493&lt;0,,IF(EI493&lt;EF470,"È",IF(EI493=EF470,"Æ","Ç")))</f>
        <v>È</v>
      </c>
      <c r="EQ493" s="2">
        <f t="shared" si="2842"/>
        <v>3</v>
      </c>
      <c r="ER493" s="2">
        <f t="shared" si="2843"/>
        <v>3</v>
      </c>
      <c r="ES493" s="2">
        <f t="shared" si="2844"/>
        <v>1</v>
      </c>
    </row>
    <row r="494" spans="1:149" ht="12.75" customHeight="1">
      <c r="A494" s="6" t="s">
        <v>23</v>
      </c>
      <c r="B494" s="2" t="s">
        <v>5</v>
      </c>
      <c r="C494" s="3" t="s">
        <v>61</v>
      </c>
      <c r="E494" s="3" t="s">
        <v>16</v>
      </c>
      <c r="G494" s="3" t="s">
        <v>91</v>
      </c>
      <c r="I494" s="23">
        <f>50/12</f>
        <v>4.166666666666667</v>
      </c>
      <c r="J494" s="19">
        <v>7</v>
      </c>
      <c r="K494" s="19">
        <v>19</v>
      </c>
      <c r="L494" s="19">
        <v>23</v>
      </c>
      <c r="M494" s="19">
        <v>28</v>
      </c>
      <c r="N494" s="19">
        <v>42</v>
      </c>
      <c r="O494" s="19">
        <v>48</v>
      </c>
      <c r="P494" s="19">
        <v>51</v>
      </c>
      <c r="Q494" s="19">
        <v>54</v>
      </c>
      <c r="R494" s="19">
        <v>71</v>
      </c>
      <c r="S494" s="19">
        <v>71</v>
      </c>
      <c r="T494" s="19">
        <v>71</v>
      </c>
      <c r="U494" s="19">
        <v>75</v>
      </c>
      <c r="V494" s="31">
        <v>3</v>
      </c>
      <c r="W494" s="19">
        <v>9</v>
      </c>
      <c r="X494" s="19">
        <v>10</v>
      </c>
      <c r="Y494" s="361">
        <v>21</v>
      </c>
      <c r="Z494" s="19">
        <v>23</v>
      </c>
      <c r="AA494" s="19">
        <v>24</v>
      </c>
      <c r="AB494" s="19">
        <v>27</v>
      </c>
      <c r="AC494" s="19">
        <v>36</v>
      </c>
      <c r="AD494" s="19">
        <v>42</v>
      </c>
      <c r="AE494" s="19">
        <v>45</v>
      </c>
      <c r="AF494" s="19">
        <v>53</v>
      </c>
      <c r="AG494" s="19">
        <v>59</v>
      </c>
      <c r="AH494" s="31">
        <v>4</v>
      </c>
      <c r="AI494" s="19">
        <v>6</v>
      </c>
      <c r="AJ494" s="19"/>
      <c r="AK494" s="408"/>
      <c r="AL494" s="19">
        <f t="shared" ref="AL494:AL510" si="2866">J494</f>
        <v>7</v>
      </c>
      <c r="AM494" s="19">
        <f>K494-J494</f>
        <v>12</v>
      </c>
      <c r="AN494" s="19">
        <f t="shared" si="2810"/>
        <v>4</v>
      </c>
      <c r="AO494" s="19">
        <f>M494-L494</f>
        <v>5</v>
      </c>
      <c r="AP494" s="129">
        <f t="shared" si="2811"/>
        <v>14</v>
      </c>
      <c r="AQ494" s="129">
        <f t="shared" si="2812"/>
        <v>6</v>
      </c>
      <c r="AR494" s="129">
        <f t="shared" si="2813"/>
        <v>3</v>
      </c>
      <c r="AS494" s="129">
        <f t="shared" si="2814"/>
        <v>3</v>
      </c>
      <c r="AT494" s="129">
        <f t="shared" si="2815"/>
        <v>17</v>
      </c>
      <c r="AU494" s="129">
        <f t="shared" si="2816"/>
        <v>0</v>
      </c>
      <c r="AV494" s="129">
        <f t="shared" si="2817"/>
        <v>0</v>
      </c>
      <c r="AW494" s="129">
        <f t="shared" si="2818"/>
        <v>4</v>
      </c>
      <c r="AX494" s="19">
        <f t="shared" ref="AX494:AX508" si="2867">V494</f>
        <v>3</v>
      </c>
      <c r="AY494" s="129">
        <f>IF(W494&lt;&gt;"",W494-AX494,0)</f>
        <v>6</v>
      </c>
      <c r="AZ494" s="129">
        <f t="shared" ref="AZ494:BI494" si="2868">IF(X494&lt;&gt;"",X494-AY494,0)</f>
        <v>4</v>
      </c>
      <c r="BA494" s="129">
        <f t="shared" si="2868"/>
        <v>17</v>
      </c>
      <c r="BB494" s="129">
        <f t="shared" si="2868"/>
        <v>6</v>
      </c>
      <c r="BC494" s="129">
        <f t="shared" si="2868"/>
        <v>18</v>
      </c>
      <c r="BD494" s="129">
        <f t="shared" si="2868"/>
        <v>9</v>
      </c>
      <c r="BE494" s="129">
        <f t="shared" si="2868"/>
        <v>27</v>
      </c>
      <c r="BF494" s="129">
        <f t="shared" si="2868"/>
        <v>15</v>
      </c>
      <c r="BG494" s="129">
        <f t="shared" si="2868"/>
        <v>30</v>
      </c>
      <c r="BH494" s="129">
        <f t="shared" si="2868"/>
        <v>23</v>
      </c>
      <c r="BI494" s="129">
        <f t="shared" si="2868"/>
        <v>36</v>
      </c>
      <c r="BJ494" s="19">
        <f t="shared" ref="BJ494:BJ505" si="2869">AH494</f>
        <v>4</v>
      </c>
      <c r="BK494" s="129">
        <f t="shared" si="2829"/>
        <v>2</v>
      </c>
      <c r="BL494" s="129">
        <f t="shared" si="2830"/>
        <v>0</v>
      </c>
      <c r="BM494" s="408"/>
      <c r="BN494" s="48">
        <f t="shared" si="2845"/>
        <v>23</v>
      </c>
      <c r="BO494" s="48">
        <f t="shared" si="2846"/>
        <v>23</v>
      </c>
      <c r="BP494" s="48">
        <f t="shared" si="2847"/>
        <v>23</v>
      </c>
      <c r="BQ494" s="48">
        <f t="shared" si="2848"/>
        <v>25</v>
      </c>
      <c r="BR494" s="48">
        <f t="shared" si="2849"/>
        <v>25</v>
      </c>
      <c r="BS494" s="48">
        <f t="shared" si="2850"/>
        <v>25</v>
      </c>
      <c r="BT494" s="48">
        <f t="shared" si="2851"/>
        <v>23</v>
      </c>
      <c r="BU494" s="48">
        <f t="shared" si="2852"/>
        <v>23</v>
      </c>
      <c r="BV494" s="48">
        <f t="shared" si="2853"/>
        <v>23</v>
      </c>
      <c r="BW494" s="48">
        <f t="shared" si="2854"/>
        <v>20</v>
      </c>
      <c r="BX494" s="48">
        <f t="shared" si="2855"/>
        <v>17</v>
      </c>
      <c r="BY494" s="48">
        <f t="shared" si="2856"/>
        <v>4</v>
      </c>
      <c r="BZ494" s="48">
        <f>SUM($AX494:AX494)</f>
        <v>3</v>
      </c>
      <c r="CA494" s="48">
        <f>SUM($AX494:AY494)</f>
        <v>9</v>
      </c>
      <c r="CB494" s="48">
        <f>SUM($AX494:AZ494)</f>
        <v>13</v>
      </c>
      <c r="CC494" s="48">
        <f>SUM($BA494:BA494)</f>
        <v>17</v>
      </c>
      <c r="CD494" s="48">
        <f>SUM($BA494:BB494)</f>
        <v>23</v>
      </c>
      <c r="CE494" s="48">
        <f>SUM($BA494:BC494)</f>
        <v>41</v>
      </c>
      <c r="CF494" s="48">
        <f>SUM($BD494:BD494)</f>
        <v>9</v>
      </c>
      <c r="CG494" s="48">
        <f t="shared" si="2863"/>
        <v>51</v>
      </c>
      <c r="CH494" s="48">
        <f t="shared" si="2832"/>
        <v>51</v>
      </c>
      <c r="CI494" s="48">
        <f t="shared" si="2864"/>
        <v>89</v>
      </c>
      <c r="CJ494" s="48">
        <f t="shared" si="2865"/>
        <v>89</v>
      </c>
      <c r="CK494" s="48">
        <f t="shared" si="2833"/>
        <v>89</v>
      </c>
      <c r="CL494" s="48">
        <f>AH494</f>
        <v>4</v>
      </c>
      <c r="CM494" s="48">
        <f>AI494</f>
        <v>6</v>
      </c>
      <c r="CN494" s="48"/>
      <c r="CO494" s="406"/>
      <c r="CP494" s="21">
        <f>+AL494</f>
        <v>7</v>
      </c>
      <c r="CQ494" s="21">
        <f t="shared" ref="CQ494:DA494" si="2870">+CP494+AM494</f>
        <v>19</v>
      </c>
      <c r="CR494" s="21">
        <f t="shared" si="2870"/>
        <v>23</v>
      </c>
      <c r="CS494" s="21">
        <f t="shared" si="2870"/>
        <v>28</v>
      </c>
      <c r="CT494" s="21">
        <f t="shared" si="2870"/>
        <v>42</v>
      </c>
      <c r="CU494" s="21">
        <f t="shared" si="2870"/>
        <v>48</v>
      </c>
      <c r="CV494" s="21">
        <f t="shared" si="2870"/>
        <v>51</v>
      </c>
      <c r="CW494" s="21">
        <f t="shared" si="2870"/>
        <v>54</v>
      </c>
      <c r="CX494" s="21">
        <f t="shared" si="2870"/>
        <v>71</v>
      </c>
      <c r="CY494" s="21">
        <f t="shared" si="2870"/>
        <v>71</v>
      </c>
      <c r="CZ494" s="21">
        <f t="shared" si="2870"/>
        <v>71</v>
      </c>
      <c r="DA494" s="21">
        <f t="shared" si="2870"/>
        <v>75</v>
      </c>
      <c r="DB494" s="21">
        <f>AX494</f>
        <v>3</v>
      </c>
      <c r="DC494" s="248">
        <f>SUM($AX494:AY494)</f>
        <v>9</v>
      </c>
      <c r="DD494" s="248">
        <f t="shared" si="2835"/>
        <v>13</v>
      </c>
      <c r="DE494" s="248">
        <f>X494+BA494</f>
        <v>27</v>
      </c>
      <c r="DF494" s="248">
        <f t="shared" si="2836"/>
        <v>27</v>
      </c>
      <c r="DG494" s="248">
        <f t="shared" si="2836"/>
        <v>41</v>
      </c>
      <c r="DH494" s="248">
        <f t="shared" si="2836"/>
        <v>33</v>
      </c>
      <c r="DI494" s="248">
        <f t="shared" si="2836"/>
        <v>54</v>
      </c>
      <c r="DJ494" s="248">
        <f t="shared" si="2836"/>
        <v>51</v>
      </c>
      <c r="DK494" s="248">
        <f t="shared" si="2836"/>
        <v>72</v>
      </c>
      <c r="DL494" s="248">
        <f t="shared" si="2836"/>
        <v>68</v>
      </c>
      <c r="DM494" s="248">
        <f t="shared" si="2836"/>
        <v>89</v>
      </c>
      <c r="DN494" s="21">
        <f>+BJ494</f>
        <v>4</v>
      </c>
      <c r="DO494" s="21">
        <f>+DN494+BK494</f>
        <v>6</v>
      </c>
      <c r="DP494" s="21">
        <f>+DO494+BL494</f>
        <v>6</v>
      </c>
      <c r="DQ494" s="248"/>
      <c r="DR494" s="248"/>
      <c r="DS494" s="248"/>
      <c r="DT494" s="248"/>
      <c r="DU494" s="248"/>
      <c r="DV494" s="248"/>
      <c r="DW494" s="248"/>
      <c r="DX494" s="248"/>
      <c r="DY494" s="248"/>
      <c r="ED494" s="429"/>
      <c r="EE494" s="23"/>
      <c r="EF494" s="23"/>
      <c r="EG494" s="23"/>
      <c r="EH494" s="18">
        <f t="shared" si="2837"/>
        <v>2</v>
      </c>
      <c r="EI494" s="18">
        <f t="shared" si="2838"/>
        <v>6</v>
      </c>
      <c r="EJ494" s="18">
        <f t="shared" si="2839"/>
        <v>6</v>
      </c>
      <c r="EK494" s="24">
        <f>$EK$2/12</f>
        <v>0.16666666666666666</v>
      </c>
      <c r="EL494" s="14">
        <f t="shared" si="2840"/>
        <v>0.24</v>
      </c>
      <c r="EM494" s="14">
        <f t="shared" si="2840"/>
        <v>0.48</v>
      </c>
      <c r="EN494" s="14">
        <f>EJ494/EK494/EG471</f>
        <v>0.72</v>
      </c>
      <c r="EO494" s="46" t="str">
        <f t="shared" si="2841"/>
        <v>È</v>
      </c>
      <c r="EP494" s="46" t="str">
        <f t="shared" si="2841"/>
        <v>È</v>
      </c>
      <c r="EQ494" s="2">
        <f t="shared" si="2842"/>
        <v>3</v>
      </c>
      <c r="ER494" s="2">
        <f t="shared" si="2843"/>
        <v>3</v>
      </c>
      <c r="ES494" s="2">
        <f t="shared" si="2844"/>
        <v>3</v>
      </c>
    </row>
    <row r="495" spans="1:149" ht="12.75" customHeight="1">
      <c r="A495" s="6" t="s">
        <v>23</v>
      </c>
      <c r="B495" s="2" t="s">
        <v>4</v>
      </c>
      <c r="C495" s="3" t="s">
        <v>62</v>
      </c>
      <c r="E495" s="3" t="s">
        <v>16</v>
      </c>
      <c r="G495" s="3" t="s">
        <v>91</v>
      </c>
      <c r="I495" s="23">
        <f>25/12</f>
        <v>2.0833333333333335</v>
      </c>
      <c r="J495" s="19">
        <v>1</v>
      </c>
      <c r="K495" s="19">
        <v>3</v>
      </c>
      <c r="L495" s="19">
        <v>8</v>
      </c>
      <c r="M495" s="19">
        <v>13</v>
      </c>
      <c r="N495" s="19">
        <v>21</v>
      </c>
      <c r="O495" s="19">
        <v>23</v>
      </c>
      <c r="P495" s="19">
        <v>24</v>
      </c>
      <c r="Q495" s="19">
        <v>25</v>
      </c>
      <c r="R495" s="19">
        <v>30</v>
      </c>
      <c r="S495" s="19">
        <v>30</v>
      </c>
      <c r="T495" s="19">
        <v>30</v>
      </c>
      <c r="U495" s="19">
        <v>34</v>
      </c>
      <c r="V495" s="31">
        <v>1</v>
      </c>
      <c r="W495" s="19">
        <v>1</v>
      </c>
      <c r="X495" s="19">
        <v>1</v>
      </c>
      <c r="Y495" s="361">
        <v>1</v>
      </c>
      <c r="Z495" s="19">
        <v>3</v>
      </c>
      <c r="AA495" s="19">
        <v>3</v>
      </c>
      <c r="AB495" s="19">
        <v>7</v>
      </c>
      <c r="AC495" s="19">
        <v>11</v>
      </c>
      <c r="AD495" s="19">
        <v>14</v>
      </c>
      <c r="AE495" s="19">
        <v>15</v>
      </c>
      <c r="AF495" s="19">
        <v>20</v>
      </c>
      <c r="AG495" s="19">
        <v>23</v>
      </c>
      <c r="AH495" s="31">
        <v>1</v>
      </c>
      <c r="AI495" s="19">
        <v>2</v>
      </c>
      <c r="AJ495" s="19"/>
      <c r="AK495" s="408"/>
      <c r="AL495" s="19">
        <f t="shared" si="2866"/>
        <v>1</v>
      </c>
      <c r="AM495" s="19">
        <f>K495-J495</f>
        <v>2</v>
      </c>
      <c r="AN495" s="19">
        <f t="shared" si="2810"/>
        <v>5</v>
      </c>
      <c r="AO495" s="19">
        <f>M495-L495</f>
        <v>5</v>
      </c>
      <c r="AP495" s="129">
        <f t="shared" si="2811"/>
        <v>8</v>
      </c>
      <c r="AQ495" s="129">
        <f t="shared" si="2812"/>
        <v>2</v>
      </c>
      <c r="AR495" s="129">
        <f t="shared" si="2813"/>
        <v>1</v>
      </c>
      <c r="AS495" s="129">
        <f t="shared" si="2814"/>
        <v>1</v>
      </c>
      <c r="AT495" s="129">
        <f t="shared" si="2815"/>
        <v>5</v>
      </c>
      <c r="AU495" s="129">
        <f t="shared" si="2816"/>
        <v>0</v>
      </c>
      <c r="AV495" s="129">
        <f t="shared" si="2817"/>
        <v>0</v>
      </c>
      <c r="AW495" s="129">
        <f t="shared" si="2818"/>
        <v>4</v>
      </c>
      <c r="AX495" s="19">
        <f t="shared" si="2867"/>
        <v>1</v>
      </c>
      <c r="AY495" s="129">
        <f>IF(W495&lt;&gt;"",W495-AX495,0)</f>
        <v>0</v>
      </c>
      <c r="AZ495" s="129">
        <f t="shared" ref="AZ495:BI495" si="2871">IF(X495&lt;&gt;"",X495-AY495,0)</f>
        <v>1</v>
      </c>
      <c r="BA495" s="129">
        <f t="shared" si="2871"/>
        <v>0</v>
      </c>
      <c r="BB495" s="129">
        <f t="shared" si="2871"/>
        <v>3</v>
      </c>
      <c r="BC495" s="129">
        <f t="shared" si="2871"/>
        <v>0</v>
      </c>
      <c r="BD495" s="129">
        <f t="shared" si="2871"/>
        <v>7</v>
      </c>
      <c r="BE495" s="129">
        <f t="shared" si="2871"/>
        <v>4</v>
      </c>
      <c r="BF495" s="129">
        <f t="shared" si="2871"/>
        <v>10</v>
      </c>
      <c r="BG495" s="129">
        <f t="shared" si="2871"/>
        <v>5</v>
      </c>
      <c r="BH495" s="129">
        <f t="shared" si="2871"/>
        <v>15</v>
      </c>
      <c r="BI495" s="129">
        <f t="shared" si="2871"/>
        <v>8</v>
      </c>
      <c r="BJ495" s="19">
        <f t="shared" si="2869"/>
        <v>1</v>
      </c>
      <c r="BK495" s="129">
        <f t="shared" si="2829"/>
        <v>1</v>
      </c>
      <c r="BL495" s="129">
        <f t="shared" si="2830"/>
        <v>0</v>
      </c>
      <c r="BM495" s="408"/>
      <c r="BN495" s="48">
        <f t="shared" si="2845"/>
        <v>8</v>
      </c>
      <c r="BO495" s="48">
        <f t="shared" si="2846"/>
        <v>8</v>
      </c>
      <c r="BP495" s="48">
        <f t="shared" si="2847"/>
        <v>8</v>
      </c>
      <c r="BQ495" s="48">
        <f t="shared" si="2848"/>
        <v>15</v>
      </c>
      <c r="BR495" s="48">
        <f t="shared" si="2849"/>
        <v>15</v>
      </c>
      <c r="BS495" s="48">
        <f t="shared" si="2850"/>
        <v>15</v>
      </c>
      <c r="BT495" s="48">
        <f t="shared" si="2851"/>
        <v>7</v>
      </c>
      <c r="BU495" s="48">
        <f t="shared" si="2852"/>
        <v>7</v>
      </c>
      <c r="BV495" s="48">
        <f t="shared" si="2853"/>
        <v>7</v>
      </c>
      <c r="BW495" s="48">
        <f t="shared" si="2854"/>
        <v>6</v>
      </c>
      <c r="BX495" s="48">
        <f t="shared" si="2855"/>
        <v>5</v>
      </c>
      <c r="BY495" s="48">
        <f t="shared" si="2856"/>
        <v>4</v>
      </c>
      <c r="BZ495" s="48">
        <f>SUM($AX495:AX495)</f>
        <v>1</v>
      </c>
      <c r="CA495" s="48">
        <f>SUM($AY495)</f>
        <v>0</v>
      </c>
      <c r="CB495" s="48">
        <f>SUM($AX495:AZ495)</f>
        <v>2</v>
      </c>
      <c r="CC495" s="48">
        <f>SUM($BA495:BA495)</f>
        <v>0</v>
      </c>
      <c r="CD495" s="48">
        <f>SUM($BA495:BB495)</f>
        <v>3</v>
      </c>
      <c r="CE495" s="48">
        <f>SUM($BA495:BC495)</f>
        <v>3</v>
      </c>
      <c r="CF495" s="48">
        <f>SUM($BD495:BD495)</f>
        <v>7</v>
      </c>
      <c r="CG495" s="48">
        <f>SUM($BD495:BE495)</f>
        <v>11</v>
      </c>
      <c r="CH495" s="48">
        <f>SUM($BD495:BF495)</f>
        <v>21</v>
      </c>
      <c r="CI495" s="48">
        <f>SUM($BG495:BG495)</f>
        <v>5</v>
      </c>
      <c r="CJ495" s="48">
        <f>SUM($BG495:BH495)</f>
        <v>20</v>
      </c>
      <c r="CK495" s="48">
        <f>SUM($BG495:BI495)</f>
        <v>28</v>
      </c>
      <c r="CL495" s="48">
        <f t="shared" ref="CL495:CM511" si="2872">AH495</f>
        <v>1</v>
      </c>
      <c r="CM495" s="48">
        <f t="shared" si="2872"/>
        <v>2</v>
      </c>
      <c r="CN495" s="48"/>
      <c r="CO495" s="406"/>
      <c r="CP495" s="21">
        <f>+AL495</f>
        <v>1</v>
      </c>
      <c r="CQ495" s="21">
        <f t="shared" ref="CQ495:CR497" si="2873">+CP495+AM495</f>
        <v>3</v>
      </c>
      <c r="CR495" s="21">
        <f t="shared" si="2873"/>
        <v>8</v>
      </c>
      <c r="CS495" s="21">
        <f t="shared" ref="CS495:DA497" si="2874">L495+AO495</f>
        <v>13</v>
      </c>
      <c r="CT495" s="21">
        <f t="shared" si="2874"/>
        <v>21</v>
      </c>
      <c r="CU495" s="21">
        <f t="shared" si="2874"/>
        <v>23</v>
      </c>
      <c r="CV495" s="21">
        <f t="shared" si="2874"/>
        <v>24</v>
      </c>
      <c r="CW495" s="21">
        <f t="shared" si="2874"/>
        <v>25</v>
      </c>
      <c r="CX495" s="21">
        <f t="shared" si="2874"/>
        <v>30</v>
      </c>
      <c r="CY495" s="21">
        <f t="shared" si="2874"/>
        <v>30</v>
      </c>
      <c r="CZ495" s="21">
        <f t="shared" si="2874"/>
        <v>30</v>
      </c>
      <c r="DA495" s="21">
        <f t="shared" si="2874"/>
        <v>34</v>
      </c>
      <c r="DB495" s="21">
        <f>AX495</f>
        <v>1</v>
      </c>
      <c r="DC495" s="248">
        <f>SUM($AX495:AY495)</f>
        <v>1</v>
      </c>
      <c r="DD495" s="248">
        <f t="shared" si="2835"/>
        <v>2</v>
      </c>
      <c r="DE495" s="248">
        <f>X495+BA495</f>
        <v>1</v>
      </c>
      <c r="DF495" s="248">
        <f t="shared" si="2836"/>
        <v>4</v>
      </c>
      <c r="DG495" s="248">
        <f t="shared" si="2836"/>
        <v>3</v>
      </c>
      <c r="DH495" s="248">
        <f t="shared" si="2836"/>
        <v>10</v>
      </c>
      <c r="DI495" s="248">
        <f t="shared" si="2836"/>
        <v>11</v>
      </c>
      <c r="DJ495" s="248">
        <f t="shared" si="2836"/>
        <v>21</v>
      </c>
      <c r="DK495" s="248">
        <f t="shared" si="2836"/>
        <v>19</v>
      </c>
      <c r="DL495" s="248">
        <f t="shared" si="2836"/>
        <v>30</v>
      </c>
      <c r="DM495" s="248">
        <f t="shared" si="2836"/>
        <v>28</v>
      </c>
      <c r="DN495" s="21">
        <f>BJ495</f>
        <v>1</v>
      </c>
      <c r="DO495" s="21">
        <f t="shared" ref="DO495:DP497" si="2875">AH495+BK495</f>
        <v>2</v>
      </c>
      <c r="DP495" s="21">
        <f t="shared" si="2875"/>
        <v>2</v>
      </c>
      <c r="DQ495" s="248"/>
      <c r="DR495" s="248"/>
      <c r="DS495" s="248"/>
      <c r="DT495" s="248"/>
      <c r="DU495" s="248"/>
      <c r="DV495" s="248"/>
      <c r="DW495" s="248"/>
      <c r="DX495" s="248"/>
      <c r="DY495" s="248"/>
      <c r="ED495" s="429"/>
      <c r="EE495" s="23"/>
      <c r="EF495" s="23"/>
      <c r="EG495" s="23"/>
      <c r="EH495" s="18">
        <f t="shared" si="2837"/>
        <v>1</v>
      </c>
      <c r="EI495" s="18">
        <f t="shared" si="2838"/>
        <v>2</v>
      </c>
      <c r="EJ495" s="18">
        <f t="shared" si="2839"/>
        <v>2</v>
      </c>
      <c r="EK495" s="24">
        <f t="shared" ref="EK495:EK511" si="2876">$EK$2/12</f>
        <v>0.16666666666666666</v>
      </c>
      <c r="EL495" s="14">
        <f t="shared" si="2840"/>
        <v>0.24</v>
      </c>
      <c r="EM495" s="14">
        <f t="shared" si="2840"/>
        <v>0.32</v>
      </c>
      <c r="EN495" s="14">
        <f>EJ495/EK495/EG472</f>
        <v>0.48</v>
      </c>
      <c r="EO495" s="46" t="str">
        <f t="shared" si="2841"/>
        <v>È</v>
      </c>
      <c r="EP495" s="46" t="str">
        <f t="shared" si="2841"/>
        <v>È</v>
      </c>
      <c r="EQ495" s="2">
        <f t="shared" si="2842"/>
        <v>3</v>
      </c>
      <c r="ER495" s="2">
        <f t="shared" si="2843"/>
        <v>3</v>
      </c>
      <c r="ES495" s="2">
        <f t="shared" si="2844"/>
        <v>3</v>
      </c>
    </row>
    <row r="496" spans="1:149" ht="12.75" customHeight="1">
      <c r="A496" s="6" t="s">
        <v>23</v>
      </c>
      <c r="B496" s="2" t="s">
        <v>162</v>
      </c>
      <c r="C496" s="3" t="s">
        <v>62</v>
      </c>
      <c r="E496" s="3" t="s">
        <v>16</v>
      </c>
      <c r="G496" s="3" t="s">
        <v>91</v>
      </c>
      <c r="I496" s="23"/>
      <c r="J496" s="19">
        <v>20</v>
      </c>
      <c r="K496" s="19">
        <v>35</v>
      </c>
      <c r="L496" s="19">
        <v>45</v>
      </c>
      <c r="M496" s="19">
        <v>53</v>
      </c>
      <c r="N496" s="19">
        <v>68</v>
      </c>
      <c r="O496" s="19">
        <v>79</v>
      </c>
      <c r="P496" s="19">
        <v>83</v>
      </c>
      <c r="Q496" s="19">
        <v>86</v>
      </c>
      <c r="R496" s="19">
        <v>105</v>
      </c>
      <c r="S496" s="19">
        <v>105</v>
      </c>
      <c r="T496" s="19">
        <v>105</v>
      </c>
      <c r="U496" s="19">
        <v>111</v>
      </c>
      <c r="V496" s="31">
        <v>11</v>
      </c>
      <c r="W496" s="19">
        <v>21</v>
      </c>
      <c r="X496" s="19">
        <v>22</v>
      </c>
      <c r="Y496" s="361">
        <v>40</v>
      </c>
      <c r="Z496" s="19">
        <v>45</v>
      </c>
      <c r="AA496" s="19">
        <v>46</v>
      </c>
      <c r="AB496" s="19">
        <v>52</v>
      </c>
      <c r="AC496" s="19">
        <v>64</v>
      </c>
      <c r="AD496" s="19">
        <v>73</v>
      </c>
      <c r="AE496" s="19">
        <v>79</v>
      </c>
      <c r="AF496" s="19">
        <v>93</v>
      </c>
      <c r="AG496" s="19">
        <v>101</v>
      </c>
      <c r="AH496" s="31">
        <v>12</v>
      </c>
      <c r="AI496" s="19">
        <v>23</v>
      </c>
      <c r="AJ496" s="19"/>
      <c r="AK496" s="408"/>
      <c r="AL496" s="19">
        <f t="shared" si="2866"/>
        <v>20</v>
      </c>
      <c r="AM496" s="19">
        <f>K496-J496</f>
        <v>15</v>
      </c>
      <c r="AN496" s="19">
        <f t="shared" si="2810"/>
        <v>10</v>
      </c>
      <c r="AO496" s="19">
        <f>M496-L496</f>
        <v>8</v>
      </c>
      <c r="AP496" s="129">
        <f t="shared" si="2811"/>
        <v>15</v>
      </c>
      <c r="AQ496" s="129">
        <f t="shared" si="2812"/>
        <v>11</v>
      </c>
      <c r="AR496" s="129">
        <f t="shared" si="2813"/>
        <v>4</v>
      </c>
      <c r="AS496" s="129">
        <f t="shared" si="2814"/>
        <v>3</v>
      </c>
      <c r="AT496" s="129">
        <f t="shared" si="2815"/>
        <v>19</v>
      </c>
      <c r="AU496" s="129">
        <f t="shared" si="2816"/>
        <v>0</v>
      </c>
      <c r="AV496" s="129">
        <f t="shared" si="2817"/>
        <v>0</v>
      </c>
      <c r="AW496" s="129">
        <f t="shared" si="2818"/>
        <v>6</v>
      </c>
      <c r="AX496" s="19">
        <f t="shared" si="2867"/>
        <v>11</v>
      </c>
      <c r="AY496" s="129">
        <f t="shared" si="2819"/>
        <v>10</v>
      </c>
      <c r="AZ496" s="129">
        <f t="shared" si="2820"/>
        <v>1</v>
      </c>
      <c r="BA496" s="129">
        <f>IF(Y496&lt;&gt;"",Y496-X496,0)</f>
        <v>18</v>
      </c>
      <c r="BB496" s="129">
        <f t="shared" si="2821"/>
        <v>5</v>
      </c>
      <c r="BC496" s="129">
        <f t="shared" si="2822"/>
        <v>1</v>
      </c>
      <c r="BD496" s="129">
        <f t="shared" si="2823"/>
        <v>6</v>
      </c>
      <c r="BE496" s="129">
        <f t="shared" si="2824"/>
        <v>12</v>
      </c>
      <c r="BF496" s="129">
        <f t="shared" si="2825"/>
        <v>9</v>
      </c>
      <c r="BG496" s="129">
        <f t="shared" si="2826"/>
        <v>6</v>
      </c>
      <c r="BH496" s="129">
        <f t="shared" si="2827"/>
        <v>14</v>
      </c>
      <c r="BI496" s="129">
        <f t="shared" si="2828"/>
        <v>8</v>
      </c>
      <c r="BJ496" s="19">
        <f t="shared" si="2869"/>
        <v>12</v>
      </c>
      <c r="BK496" s="129">
        <f t="shared" si="2829"/>
        <v>11</v>
      </c>
      <c r="BL496" s="129">
        <f t="shared" si="2830"/>
        <v>0</v>
      </c>
      <c r="BM496" s="408"/>
      <c r="BN496" s="48">
        <f t="shared" si="2845"/>
        <v>45</v>
      </c>
      <c r="BO496" s="48">
        <f t="shared" si="2846"/>
        <v>45</v>
      </c>
      <c r="BP496" s="48">
        <f>SUM(AL496:AN496)</f>
        <v>45</v>
      </c>
      <c r="BQ496" s="48">
        <f t="shared" si="2848"/>
        <v>34</v>
      </c>
      <c r="BR496" s="48">
        <f t="shared" si="2849"/>
        <v>34</v>
      </c>
      <c r="BS496" s="48">
        <f>SUM(AO496:AQ496)</f>
        <v>34</v>
      </c>
      <c r="BT496" s="48">
        <f t="shared" si="2851"/>
        <v>26</v>
      </c>
      <c r="BU496" s="48">
        <f t="shared" si="2852"/>
        <v>26</v>
      </c>
      <c r="BV496" s="48">
        <f>SUM(AR496:AT496)</f>
        <v>26</v>
      </c>
      <c r="BW496" s="48">
        <f t="shared" si="2854"/>
        <v>22</v>
      </c>
      <c r="BX496" s="48">
        <f t="shared" si="2855"/>
        <v>19</v>
      </c>
      <c r="BY496" s="48">
        <f t="shared" si="2856"/>
        <v>6</v>
      </c>
      <c r="BZ496" s="48">
        <f>SUM($AX496:AX496)</f>
        <v>11</v>
      </c>
      <c r="CA496" s="48">
        <f>SUM($AX496:AY496)</f>
        <v>21</v>
      </c>
      <c r="CB496" s="48">
        <f>SUM($AX496:AZ496)</f>
        <v>22</v>
      </c>
      <c r="CC496" s="48">
        <f>SUM($BA496:BA496)</f>
        <v>18</v>
      </c>
      <c r="CD496" s="48">
        <f>SUM($BA496:BB496)</f>
        <v>23</v>
      </c>
      <c r="CE496" s="48">
        <f>SUM($BA496:BC496)</f>
        <v>24</v>
      </c>
      <c r="CF496" s="48">
        <f>SUM($BD496:BD496)</f>
        <v>6</v>
      </c>
      <c r="CG496" s="48">
        <f>CH496</f>
        <v>27</v>
      </c>
      <c r="CH496" s="48">
        <f>SUM(BD496:BF496)</f>
        <v>27</v>
      </c>
      <c r="CI496" s="48">
        <f>CK496</f>
        <v>28</v>
      </c>
      <c r="CJ496" s="48">
        <f>CK496</f>
        <v>28</v>
      </c>
      <c r="CK496" s="48">
        <f>SUM(BG496:BI496)</f>
        <v>28</v>
      </c>
      <c r="CL496" s="48">
        <f t="shared" si="2872"/>
        <v>12</v>
      </c>
      <c r="CM496" s="48">
        <f t="shared" si="2872"/>
        <v>23</v>
      </c>
      <c r="CN496" s="48"/>
      <c r="CO496" s="406"/>
      <c r="CP496" s="21">
        <f>+AL496</f>
        <v>20</v>
      </c>
      <c r="CQ496" s="21">
        <f t="shared" si="2873"/>
        <v>35</v>
      </c>
      <c r="CR496" s="21">
        <f t="shared" si="2873"/>
        <v>45</v>
      </c>
      <c r="CS496" s="21">
        <f t="shared" si="2874"/>
        <v>53</v>
      </c>
      <c r="CT496" s="21">
        <f t="shared" si="2874"/>
        <v>68</v>
      </c>
      <c r="CU496" s="21">
        <f t="shared" si="2874"/>
        <v>79</v>
      </c>
      <c r="CV496" s="21">
        <f t="shared" si="2874"/>
        <v>83</v>
      </c>
      <c r="CW496" s="21">
        <f t="shared" si="2874"/>
        <v>86</v>
      </c>
      <c r="CX496" s="21">
        <f t="shared" si="2874"/>
        <v>105</v>
      </c>
      <c r="CY496" s="21">
        <f t="shared" si="2874"/>
        <v>105</v>
      </c>
      <c r="CZ496" s="21">
        <f t="shared" si="2874"/>
        <v>105</v>
      </c>
      <c r="DA496" s="21">
        <f t="shared" si="2874"/>
        <v>111</v>
      </c>
      <c r="DB496" s="21">
        <f>AX496</f>
        <v>11</v>
      </c>
      <c r="DC496" s="21">
        <f t="shared" ref="DC496:DM497" si="2877">V496+AY496</f>
        <v>21</v>
      </c>
      <c r="DD496" s="21">
        <f t="shared" si="2877"/>
        <v>22</v>
      </c>
      <c r="DE496" s="21">
        <f t="shared" si="2877"/>
        <v>40</v>
      </c>
      <c r="DF496" s="21">
        <f t="shared" si="2877"/>
        <v>45</v>
      </c>
      <c r="DG496" s="21">
        <f t="shared" si="2877"/>
        <v>46</v>
      </c>
      <c r="DH496" s="21">
        <f t="shared" si="2877"/>
        <v>52</v>
      </c>
      <c r="DI496" s="21">
        <f t="shared" si="2877"/>
        <v>64</v>
      </c>
      <c r="DJ496" s="21">
        <f t="shared" si="2877"/>
        <v>73</v>
      </c>
      <c r="DK496" s="21">
        <f t="shared" si="2877"/>
        <v>79</v>
      </c>
      <c r="DL496" s="21">
        <f t="shared" si="2877"/>
        <v>93</v>
      </c>
      <c r="DM496" s="21">
        <f t="shared" si="2877"/>
        <v>101</v>
      </c>
      <c r="DN496" s="21">
        <f>BJ496</f>
        <v>12</v>
      </c>
      <c r="DO496" s="21">
        <f t="shared" si="2875"/>
        <v>23</v>
      </c>
      <c r="DP496" s="21">
        <f t="shared" si="2875"/>
        <v>23</v>
      </c>
      <c r="DQ496" s="248"/>
      <c r="DR496" s="248"/>
      <c r="DS496" s="248"/>
      <c r="DT496" s="248"/>
      <c r="DU496" s="248"/>
      <c r="DV496" s="248"/>
      <c r="DW496" s="248"/>
      <c r="DX496" s="248"/>
      <c r="DY496" s="248"/>
      <c r="ED496" s="429"/>
      <c r="EE496" s="23"/>
      <c r="EF496" s="23"/>
      <c r="EG496" s="23"/>
      <c r="EH496" s="18">
        <f t="shared" si="2837"/>
        <v>11</v>
      </c>
      <c r="EI496" s="18">
        <f t="shared" si="2838"/>
        <v>23</v>
      </c>
      <c r="EJ496" s="18">
        <f t="shared" si="2839"/>
        <v>23</v>
      </c>
      <c r="EK496" s="24">
        <f t="shared" si="2876"/>
        <v>0.16666666666666666</v>
      </c>
      <c r="EL496" s="14"/>
      <c r="EM496" s="14"/>
      <c r="EN496" s="14"/>
      <c r="EO496" s="46" t="str">
        <f>IF(EH496&lt;0,,IF(EH496&lt;EE474,"È",IF(EH496=EE474,"Æ","Ç")))</f>
        <v>Ç</v>
      </c>
      <c r="EP496" s="46" t="str">
        <f>IF(EI496&lt;0,,IF(EI496&lt;EF474,"È",IF(EI496=EF474,"Æ","Ç")))</f>
        <v>Ç</v>
      </c>
      <c r="EQ496" s="2">
        <f t="shared" si="2842"/>
        <v>3</v>
      </c>
      <c r="ER496" s="2">
        <f t="shared" si="2843"/>
        <v>3</v>
      </c>
      <c r="ES496" s="2">
        <f t="shared" si="2844"/>
        <v>3</v>
      </c>
    </row>
    <row r="497" spans="1:149" ht="12.75" customHeight="1">
      <c r="A497" s="6" t="s">
        <v>23</v>
      </c>
      <c r="B497" s="2" t="s">
        <v>163</v>
      </c>
      <c r="C497" s="3" t="s">
        <v>62</v>
      </c>
      <c r="E497" s="3" t="s">
        <v>16</v>
      </c>
      <c r="G497" s="3" t="s">
        <v>91</v>
      </c>
      <c r="I497" s="23"/>
      <c r="J497" s="19">
        <v>11</v>
      </c>
      <c r="K497" s="19">
        <v>13</v>
      </c>
      <c r="L497" s="19">
        <v>15</v>
      </c>
      <c r="M497" s="19">
        <v>17</v>
      </c>
      <c r="N497" s="19">
        <v>19</v>
      </c>
      <c r="O497" s="19">
        <v>19</v>
      </c>
      <c r="P497" s="19">
        <v>19</v>
      </c>
      <c r="Q497" s="19">
        <v>19</v>
      </c>
      <c r="R497" s="19">
        <v>21</v>
      </c>
      <c r="S497" s="19">
        <v>21</v>
      </c>
      <c r="T497" s="19">
        <v>21</v>
      </c>
      <c r="U497" s="19">
        <v>26</v>
      </c>
      <c r="V497" s="31">
        <v>7</v>
      </c>
      <c r="W497" s="19">
        <v>8</v>
      </c>
      <c r="X497" s="19">
        <v>8</v>
      </c>
      <c r="Y497" s="361">
        <v>17</v>
      </c>
      <c r="Z497" s="19">
        <v>21</v>
      </c>
      <c r="AA497" s="19">
        <v>21</v>
      </c>
      <c r="AB497" s="19">
        <v>22</v>
      </c>
      <c r="AC497" s="19">
        <v>22</v>
      </c>
      <c r="AD497" s="19">
        <v>24</v>
      </c>
      <c r="AE497" s="19">
        <v>26</v>
      </c>
      <c r="AF497" s="19">
        <v>28</v>
      </c>
      <c r="AG497" s="19">
        <v>30</v>
      </c>
      <c r="AH497" s="31">
        <v>3</v>
      </c>
      <c r="AI497" s="19">
        <v>8</v>
      </c>
      <c r="AJ497" s="19"/>
      <c r="AK497" s="408"/>
      <c r="AL497" s="19">
        <f t="shared" si="2866"/>
        <v>11</v>
      </c>
      <c r="AM497" s="19">
        <f>K497-J497</f>
        <v>2</v>
      </c>
      <c r="AN497" s="19">
        <f t="shared" si="2810"/>
        <v>2</v>
      </c>
      <c r="AO497" s="19">
        <f>M497-L497</f>
        <v>2</v>
      </c>
      <c r="AP497" s="129">
        <f t="shared" si="2811"/>
        <v>2</v>
      </c>
      <c r="AQ497" s="129">
        <f t="shared" si="2812"/>
        <v>0</v>
      </c>
      <c r="AR497" s="129">
        <f t="shared" si="2813"/>
        <v>0</v>
      </c>
      <c r="AS497" s="129">
        <f t="shared" si="2814"/>
        <v>0</v>
      </c>
      <c r="AT497" s="129">
        <f t="shared" si="2815"/>
        <v>2</v>
      </c>
      <c r="AU497" s="129">
        <f t="shared" si="2816"/>
        <v>0</v>
      </c>
      <c r="AV497" s="129">
        <f t="shared" si="2817"/>
        <v>0</v>
      </c>
      <c r="AW497" s="129">
        <f t="shared" si="2818"/>
        <v>5</v>
      </c>
      <c r="AX497" s="19">
        <f t="shared" si="2867"/>
        <v>7</v>
      </c>
      <c r="AY497" s="129">
        <f t="shared" si="2819"/>
        <v>1</v>
      </c>
      <c r="AZ497" s="129">
        <f t="shared" si="2820"/>
        <v>0</v>
      </c>
      <c r="BA497" s="129">
        <f>IF(Y497&lt;&gt;"",Y497-X497,0)</f>
        <v>9</v>
      </c>
      <c r="BB497" s="129">
        <f t="shared" si="2821"/>
        <v>4</v>
      </c>
      <c r="BC497" s="129">
        <f t="shared" si="2822"/>
        <v>0</v>
      </c>
      <c r="BD497" s="129">
        <f t="shared" si="2823"/>
        <v>1</v>
      </c>
      <c r="BE497" s="129">
        <f t="shared" si="2824"/>
        <v>0</v>
      </c>
      <c r="BF497" s="129">
        <f t="shared" si="2825"/>
        <v>2</v>
      </c>
      <c r="BG497" s="129">
        <f t="shared" si="2826"/>
        <v>2</v>
      </c>
      <c r="BH497" s="129">
        <f t="shared" si="2827"/>
        <v>2</v>
      </c>
      <c r="BI497" s="129">
        <f t="shared" si="2828"/>
        <v>2</v>
      </c>
      <c r="BJ497" s="19">
        <f t="shared" si="2869"/>
        <v>3</v>
      </c>
      <c r="BK497" s="129">
        <f t="shared" si="2829"/>
        <v>5</v>
      </c>
      <c r="BL497" s="129">
        <f t="shared" si="2830"/>
        <v>0</v>
      </c>
      <c r="BM497" s="408"/>
      <c r="BN497" s="48">
        <f t="shared" si="2845"/>
        <v>15</v>
      </c>
      <c r="BO497" s="48">
        <f t="shared" si="2846"/>
        <v>15</v>
      </c>
      <c r="BP497" s="48">
        <f>SUM(AL497:AN497)</f>
        <v>15</v>
      </c>
      <c r="BQ497" s="48">
        <f t="shared" si="2848"/>
        <v>4</v>
      </c>
      <c r="BR497" s="48">
        <f t="shared" si="2849"/>
        <v>4</v>
      </c>
      <c r="BS497" s="48">
        <f>SUM(AO497:AQ497)</f>
        <v>4</v>
      </c>
      <c r="BT497" s="48">
        <f t="shared" si="2851"/>
        <v>2</v>
      </c>
      <c r="BU497" s="48">
        <f t="shared" si="2852"/>
        <v>2</v>
      </c>
      <c r="BV497" s="48">
        <f>SUM(AR497:AT497)</f>
        <v>2</v>
      </c>
      <c r="BW497" s="48">
        <f t="shared" si="2854"/>
        <v>2</v>
      </c>
      <c r="BX497" s="48">
        <f t="shared" si="2855"/>
        <v>2</v>
      </c>
      <c r="BY497" s="48">
        <f t="shared" si="2856"/>
        <v>5</v>
      </c>
      <c r="BZ497" s="48">
        <f>SUM($AX497:AX497)</f>
        <v>7</v>
      </c>
      <c r="CA497" s="48">
        <f>SUM($AX497:AY497)</f>
        <v>8</v>
      </c>
      <c r="CB497" s="48">
        <f>SUM($AX497:AZ497)</f>
        <v>8</v>
      </c>
      <c r="CC497" s="48">
        <f>SUM($BA497:BA497)</f>
        <v>9</v>
      </c>
      <c r="CD497" s="48">
        <f>SUM($BA497:BB497)</f>
        <v>13</v>
      </c>
      <c r="CE497" s="48">
        <f>SUM($BA497:BC497)</f>
        <v>13</v>
      </c>
      <c r="CF497" s="48">
        <f>SUM($BD497:BD497)</f>
        <v>1</v>
      </c>
      <c r="CG497" s="48">
        <f>SUM($BD497:BE497)</f>
        <v>1</v>
      </c>
      <c r="CH497" s="48">
        <f>SUM($BD497:BF497)</f>
        <v>3</v>
      </c>
      <c r="CI497" s="48">
        <f>SUM($BG497:BG497)</f>
        <v>2</v>
      </c>
      <c r="CJ497" s="48">
        <f>SUM($BG497:BH497)</f>
        <v>4</v>
      </c>
      <c r="CK497" s="48">
        <f>SUM($BG497:BI497)</f>
        <v>6</v>
      </c>
      <c r="CL497" s="48">
        <f t="shared" si="2872"/>
        <v>3</v>
      </c>
      <c r="CM497" s="48">
        <f t="shared" si="2872"/>
        <v>8</v>
      </c>
      <c r="CN497" s="48"/>
      <c r="CO497" s="406"/>
      <c r="CP497" s="21">
        <f>+AL497</f>
        <v>11</v>
      </c>
      <c r="CQ497" s="21">
        <f t="shared" si="2873"/>
        <v>13</v>
      </c>
      <c r="CR497" s="21">
        <f t="shared" si="2873"/>
        <v>15</v>
      </c>
      <c r="CS497" s="21">
        <f t="shared" si="2874"/>
        <v>17</v>
      </c>
      <c r="CT497" s="21">
        <f t="shared" si="2874"/>
        <v>19</v>
      </c>
      <c r="CU497" s="21">
        <f t="shared" si="2874"/>
        <v>19</v>
      </c>
      <c r="CV497" s="21">
        <f t="shared" si="2874"/>
        <v>19</v>
      </c>
      <c r="CW497" s="21">
        <f t="shared" si="2874"/>
        <v>19</v>
      </c>
      <c r="CX497" s="21">
        <f t="shared" si="2874"/>
        <v>21</v>
      </c>
      <c r="CY497" s="21">
        <f t="shared" si="2874"/>
        <v>21</v>
      </c>
      <c r="CZ497" s="21">
        <f t="shared" si="2874"/>
        <v>21</v>
      </c>
      <c r="DA497" s="21">
        <f t="shared" si="2874"/>
        <v>26</v>
      </c>
      <c r="DB497" s="21">
        <f>AX497</f>
        <v>7</v>
      </c>
      <c r="DC497" s="21">
        <f t="shared" si="2877"/>
        <v>8</v>
      </c>
      <c r="DD497" s="21">
        <f t="shared" si="2877"/>
        <v>8</v>
      </c>
      <c r="DE497" s="21">
        <f t="shared" si="2877"/>
        <v>17</v>
      </c>
      <c r="DF497" s="21">
        <f t="shared" si="2877"/>
        <v>21</v>
      </c>
      <c r="DG497" s="21">
        <f t="shared" si="2877"/>
        <v>21</v>
      </c>
      <c r="DH497" s="21">
        <f t="shared" si="2877"/>
        <v>22</v>
      </c>
      <c r="DI497" s="21">
        <f t="shared" si="2877"/>
        <v>22</v>
      </c>
      <c r="DJ497" s="21">
        <f t="shared" si="2877"/>
        <v>24</v>
      </c>
      <c r="DK497" s="21">
        <f t="shared" si="2877"/>
        <v>26</v>
      </c>
      <c r="DL497" s="21">
        <f t="shared" si="2877"/>
        <v>28</v>
      </c>
      <c r="DM497" s="21">
        <f t="shared" si="2877"/>
        <v>30</v>
      </c>
      <c r="DN497" s="21">
        <f>BJ497</f>
        <v>3</v>
      </c>
      <c r="DO497" s="21">
        <f t="shared" si="2875"/>
        <v>8</v>
      </c>
      <c r="DP497" s="21">
        <f t="shared" si="2875"/>
        <v>8</v>
      </c>
      <c r="DQ497" s="248"/>
      <c r="DR497" s="248"/>
      <c r="DS497" s="248"/>
      <c r="DT497" s="248"/>
      <c r="DU497" s="248"/>
      <c r="DV497" s="248"/>
      <c r="DW497" s="248"/>
      <c r="DX497" s="248"/>
      <c r="DY497" s="248"/>
      <c r="ED497" s="429"/>
      <c r="EE497" s="23"/>
      <c r="EF497" s="23"/>
      <c r="EG497" s="23"/>
      <c r="EH497" s="18">
        <f t="shared" si="2837"/>
        <v>5</v>
      </c>
      <c r="EI497" s="18">
        <f t="shared" si="2838"/>
        <v>8</v>
      </c>
      <c r="EJ497" s="18">
        <f t="shared" si="2839"/>
        <v>8</v>
      </c>
      <c r="EK497" s="24">
        <f t="shared" si="2876"/>
        <v>0.16666666666666666</v>
      </c>
      <c r="EL497" s="14"/>
      <c r="EM497" s="14"/>
      <c r="EN497" s="14"/>
      <c r="EO497" s="46" t="str">
        <f>IF(EH497&lt;0,,IF(EH497&lt;EE473,"È",IF(EH497=EE473,"Æ","Ç")))</f>
        <v>Ç</v>
      </c>
      <c r="EP497" s="46" t="str">
        <f>IF(EI497&lt;0,,IF(EI497&lt;EF473,"È",IF(EI497=EF473,"Æ","Ç")))</f>
        <v>Ç</v>
      </c>
      <c r="EQ497" s="2">
        <f t="shared" si="2842"/>
        <v>3</v>
      </c>
      <c r="ER497" s="2">
        <f t="shared" si="2843"/>
        <v>3</v>
      </c>
      <c r="ES497" s="2">
        <f t="shared" si="2844"/>
        <v>3</v>
      </c>
    </row>
    <row r="498" spans="1:149" ht="12.75" customHeight="1">
      <c r="A498" s="6" t="s">
        <v>23</v>
      </c>
      <c r="B498" s="2" t="s">
        <v>6</v>
      </c>
      <c r="C498" s="3" t="s">
        <v>63</v>
      </c>
      <c r="E498" s="3" t="s">
        <v>16</v>
      </c>
      <c r="G498" s="3" t="s">
        <v>89</v>
      </c>
      <c r="I498" s="23"/>
      <c r="J498" s="19">
        <v>0</v>
      </c>
      <c r="K498" s="19">
        <v>0</v>
      </c>
      <c r="L498" s="19">
        <v>1</v>
      </c>
      <c r="M498" s="19">
        <v>0</v>
      </c>
      <c r="N498" s="19">
        <v>1</v>
      </c>
      <c r="O498" s="19">
        <v>1</v>
      </c>
      <c r="P498" s="19">
        <v>0</v>
      </c>
      <c r="Q498" s="19">
        <v>0</v>
      </c>
      <c r="R498" s="19">
        <v>0</v>
      </c>
      <c r="S498" s="19">
        <v>2</v>
      </c>
      <c r="T498" s="19">
        <v>0</v>
      </c>
      <c r="U498" s="19">
        <v>0</v>
      </c>
      <c r="V498" s="31">
        <v>1</v>
      </c>
      <c r="W498" s="19">
        <v>0</v>
      </c>
      <c r="X498" s="19">
        <v>0</v>
      </c>
      <c r="Y498" s="361">
        <v>1</v>
      </c>
      <c r="Z498" s="19">
        <v>0</v>
      </c>
      <c r="AA498" s="19">
        <v>0</v>
      </c>
      <c r="AB498" s="263">
        <v>1E-4</v>
      </c>
      <c r="AC498" s="19">
        <v>0</v>
      </c>
      <c r="AD498" s="19">
        <v>1</v>
      </c>
      <c r="AE498" s="19">
        <v>1</v>
      </c>
      <c r="AF498" s="19">
        <v>0</v>
      </c>
      <c r="AG498" s="19">
        <v>3</v>
      </c>
      <c r="AH498" s="31">
        <v>1</v>
      </c>
      <c r="AI498" s="19">
        <v>0</v>
      </c>
      <c r="AJ498" s="19"/>
      <c r="AK498" s="408"/>
      <c r="AL498" s="19">
        <f t="shared" si="2866"/>
        <v>0</v>
      </c>
      <c r="AM498" s="19">
        <f t="shared" ref="AM498:AO499" si="2878">K498</f>
        <v>0</v>
      </c>
      <c r="AN498" s="19">
        <f t="shared" si="2878"/>
        <v>1</v>
      </c>
      <c r="AO498" s="246">
        <f t="shared" ref="AO498:AV498" si="2879">M498</f>
        <v>0</v>
      </c>
      <c r="AP498" s="246">
        <f t="shared" si="2879"/>
        <v>1</v>
      </c>
      <c r="AQ498" s="246">
        <f t="shared" si="2879"/>
        <v>1</v>
      </c>
      <c r="AR498" s="246">
        <f t="shared" si="2879"/>
        <v>0</v>
      </c>
      <c r="AS498" s="246">
        <f t="shared" si="2879"/>
        <v>0</v>
      </c>
      <c r="AT498" s="246">
        <f t="shared" si="2879"/>
        <v>0</v>
      </c>
      <c r="AU498" s="246">
        <f t="shared" si="2879"/>
        <v>2</v>
      </c>
      <c r="AV498" s="246">
        <f t="shared" si="2879"/>
        <v>0</v>
      </c>
      <c r="AW498" s="376">
        <f>U498</f>
        <v>0</v>
      </c>
      <c r="AX498" s="376">
        <f t="shared" si="2867"/>
        <v>1</v>
      </c>
      <c r="AY498" s="376">
        <f t="shared" ref="AY498:BI498" si="2880">W498</f>
        <v>0</v>
      </c>
      <c r="AZ498" s="376">
        <f t="shared" si="2880"/>
        <v>0</v>
      </c>
      <c r="BA498" s="376">
        <f t="shared" si="2880"/>
        <v>1</v>
      </c>
      <c r="BB498" s="376">
        <f t="shared" si="2880"/>
        <v>0</v>
      </c>
      <c r="BC498" s="376">
        <f t="shared" si="2880"/>
        <v>0</v>
      </c>
      <c r="BD498" s="376">
        <f t="shared" si="2880"/>
        <v>1E-4</v>
      </c>
      <c r="BE498" s="376">
        <f t="shared" si="2880"/>
        <v>0</v>
      </c>
      <c r="BF498" s="376">
        <f t="shared" si="2880"/>
        <v>1</v>
      </c>
      <c r="BG498" s="376">
        <f t="shared" si="2880"/>
        <v>1</v>
      </c>
      <c r="BH498" s="376">
        <f t="shared" si="2880"/>
        <v>0</v>
      </c>
      <c r="BI498" s="376">
        <f t="shared" si="2880"/>
        <v>3</v>
      </c>
      <c r="BJ498" s="376">
        <f t="shared" si="2869"/>
        <v>1</v>
      </c>
      <c r="BK498" s="376">
        <f>AI498</f>
        <v>0</v>
      </c>
      <c r="BL498" s="376">
        <f>AJ498</f>
        <v>0</v>
      </c>
      <c r="BM498" s="408">
        <f>AK498</f>
        <v>0</v>
      </c>
      <c r="BN498" s="48">
        <f t="shared" si="2845"/>
        <v>1</v>
      </c>
      <c r="BO498" s="48">
        <f t="shared" si="2846"/>
        <v>1</v>
      </c>
      <c r="BP498" s="48">
        <f>SUM(AL498:AN498)</f>
        <v>1</v>
      </c>
      <c r="BQ498" s="48">
        <f t="shared" si="2848"/>
        <v>2</v>
      </c>
      <c r="BR498" s="48">
        <f t="shared" si="2849"/>
        <v>2</v>
      </c>
      <c r="BS498" s="48">
        <f>SUM(AO498:AQ498)</f>
        <v>2</v>
      </c>
      <c r="BT498" s="48">
        <f t="shared" si="2851"/>
        <v>0</v>
      </c>
      <c r="BU498" s="48">
        <f t="shared" si="2852"/>
        <v>0</v>
      </c>
      <c r="BV498" s="48">
        <f>SUM(AR498:AT498)</f>
        <v>0</v>
      </c>
      <c r="BW498" s="48">
        <f t="shared" si="2854"/>
        <v>2</v>
      </c>
      <c r="BX498" s="48">
        <f t="shared" si="2855"/>
        <v>2</v>
      </c>
      <c r="BY498" s="48">
        <f t="shared" si="2856"/>
        <v>2</v>
      </c>
      <c r="BZ498" s="48">
        <f t="shared" si="2857"/>
        <v>1</v>
      </c>
      <c r="CA498" s="48">
        <f t="shared" si="2858"/>
        <v>1</v>
      </c>
      <c r="CB498" s="48">
        <f t="shared" si="2859"/>
        <v>1</v>
      </c>
      <c r="CC498" s="48">
        <f t="shared" si="2860"/>
        <v>1</v>
      </c>
      <c r="CD498" s="48">
        <f t="shared" si="2861"/>
        <v>1</v>
      </c>
      <c r="CE498" s="48">
        <f>SUM(BA498:BC498)</f>
        <v>1</v>
      </c>
      <c r="CF498" s="48">
        <f t="shared" si="2862"/>
        <v>1.0001</v>
      </c>
      <c r="CG498" s="48">
        <f t="shared" si="2863"/>
        <v>1.0001</v>
      </c>
      <c r="CH498" s="48">
        <f>SUM(BD498:BF498)</f>
        <v>1.0001</v>
      </c>
      <c r="CI498" s="48">
        <f t="shared" si="2864"/>
        <v>4</v>
      </c>
      <c r="CJ498" s="48">
        <f t="shared" si="2865"/>
        <v>4</v>
      </c>
      <c r="CK498" s="48">
        <f>SUM(BG498:BI498)</f>
        <v>4</v>
      </c>
      <c r="CL498" s="48">
        <f t="shared" si="2872"/>
        <v>1</v>
      </c>
      <c r="CM498" s="48">
        <f t="shared" si="2872"/>
        <v>0</v>
      </c>
      <c r="CN498" s="48"/>
      <c r="CO498" s="406"/>
      <c r="CP498" s="21">
        <f>+J498</f>
        <v>0</v>
      </c>
      <c r="CQ498" s="21">
        <f t="shared" ref="CQ498:DA498" si="2881">+CP498+K498</f>
        <v>0</v>
      </c>
      <c r="CR498" s="21">
        <f t="shared" si="2881"/>
        <v>1</v>
      </c>
      <c r="CS498" s="21">
        <f t="shared" si="2881"/>
        <v>1</v>
      </c>
      <c r="CT498" s="21">
        <f t="shared" si="2881"/>
        <v>2</v>
      </c>
      <c r="CU498" s="21">
        <f t="shared" si="2881"/>
        <v>3</v>
      </c>
      <c r="CV498" s="21">
        <f t="shared" si="2881"/>
        <v>3</v>
      </c>
      <c r="CW498" s="21">
        <f t="shared" si="2881"/>
        <v>3</v>
      </c>
      <c r="CX498" s="21">
        <f t="shared" si="2881"/>
        <v>3</v>
      </c>
      <c r="CY498" s="21">
        <f t="shared" si="2881"/>
        <v>5</v>
      </c>
      <c r="CZ498" s="21">
        <f t="shared" si="2881"/>
        <v>5</v>
      </c>
      <c r="DA498" s="21">
        <f t="shared" si="2881"/>
        <v>5</v>
      </c>
      <c r="DB498" s="21">
        <f>+V498</f>
        <v>1</v>
      </c>
      <c r="DC498" s="21">
        <f t="shared" ref="DC498:DM498" si="2882">+DB498+W498</f>
        <v>1</v>
      </c>
      <c r="DD498" s="21">
        <f t="shared" si="2882"/>
        <v>1</v>
      </c>
      <c r="DE498" s="21">
        <f t="shared" si="2882"/>
        <v>2</v>
      </c>
      <c r="DF498" s="21">
        <f t="shared" si="2882"/>
        <v>2</v>
      </c>
      <c r="DG498" s="21">
        <f t="shared" si="2882"/>
        <v>2</v>
      </c>
      <c r="DH498" s="21">
        <f t="shared" si="2882"/>
        <v>2.0001000000000002</v>
      </c>
      <c r="DI498" s="21">
        <f t="shared" si="2882"/>
        <v>2.0001000000000002</v>
      </c>
      <c r="DJ498" s="21">
        <f t="shared" si="2882"/>
        <v>3.0001000000000002</v>
      </c>
      <c r="DK498" s="21">
        <f t="shared" si="2882"/>
        <v>4.0000999999999998</v>
      </c>
      <c r="DL498" s="21">
        <f t="shared" si="2882"/>
        <v>4.0000999999999998</v>
      </c>
      <c r="DM498" s="21">
        <f t="shared" si="2882"/>
        <v>7.0000999999999998</v>
      </c>
      <c r="DN498" s="21">
        <f>BJ498</f>
        <v>1</v>
      </c>
      <c r="DO498" s="21">
        <f>DN498+BK498</f>
        <v>1</v>
      </c>
      <c r="DP498" s="21">
        <f>DO498+BL498</f>
        <v>1</v>
      </c>
      <c r="DQ498" s="248"/>
      <c r="DR498" s="248"/>
      <c r="DS498" s="248"/>
      <c r="DT498" s="248"/>
      <c r="DU498" s="248"/>
      <c r="DV498" s="248"/>
      <c r="DW498" s="248"/>
      <c r="DX498" s="248"/>
      <c r="DY498" s="248"/>
      <c r="ED498" s="429"/>
      <c r="EE498" s="23"/>
      <c r="EF498" s="23"/>
      <c r="EG498" s="23"/>
      <c r="EH498" s="18">
        <f t="shared" si="2837"/>
        <v>0</v>
      </c>
      <c r="EI498" s="18">
        <f t="shared" si="2838"/>
        <v>0</v>
      </c>
      <c r="EJ498" s="18">
        <f t="shared" si="2839"/>
        <v>1</v>
      </c>
      <c r="EK498" s="24">
        <f t="shared" si="2876"/>
        <v>0.16666666666666666</v>
      </c>
      <c r="EL498" s="14">
        <f>+EH498/EH497</f>
        <v>0</v>
      </c>
      <c r="EM498" s="14">
        <f>+EI498/EI497</f>
        <v>0</v>
      </c>
      <c r="EN498" s="14">
        <f>+EJ498/EJ497</f>
        <v>0.125</v>
      </c>
      <c r="EO498" s="46" t="str">
        <f t="shared" ref="EO498:EO510" si="2883">IF(EH498&lt;0,,IF(EH498&lt;EE473,"È",IF(EH498=EE473,"Æ","Ç")))</f>
        <v>Æ</v>
      </c>
      <c r="EP498" s="46" t="str">
        <f t="shared" ref="EP498:EP510" si="2884">IF(EI498&lt;0,,IF(EI498&lt;EF473,"È",IF(EI498=EF473,"Æ","Ç")))</f>
        <v>Æ</v>
      </c>
      <c r="EQ498" s="2">
        <f t="shared" si="2842"/>
        <v>3</v>
      </c>
      <c r="ER498" s="2">
        <f t="shared" si="2843"/>
        <v>3</v>
      </c>
      <c r="ES498" s="2">
        <f t="shared" si="2844"/>
        <v>3</v>
      </c>
    </row>
    <row r="499" spans="1:149" ht="12.75" customHeight="1">
      <c r="A499" s="15" t="s">
        <v>23</v>
      </c>
      <c r="B499" s="14" t="s">
        <v>7</v>
      </c>
      <c r="C499" s="16" t="s">
        <v>64</v>
      </c>
      <c r="D499" s="16"/>
      <c r="E499" s="16" t="s">
        <v>16</v>
      </c>
      <c r="F499" s="16"/>
      <c r="G499" s="16" t="s">
        <v>89</v>
      </c>
      <c r="H499" s="16"/>
      <c r="I499" s="24">
        <v>0.95</v>
      </c>
      <c r="J499" s="25">
        <v>0</v>
      </c>
      <c r="K499" s="25">
        <v>0</v>
      </c>
      <c r="L499" s="25">
        <v>1</v>
      </c>
      <c r="M499" s="25">
        <v>0</v>
      </c>
      <c r="N499" s="25">
        <v>1</v>
      </c>
      <c r="O499" s="25">
        <v>1</v>
      </c>
      <c r="P499" s="25">
        <v>0</v>
      </c>
      <c r="Q499" s="25">
        <v>0</v>
      </c>
      <c r="R499" s="25">
        <v>0</v>
      </c>
      <c r="S499" s="25">
        <v>1</v>
      </c>
      <c r="T499" s="25">
        <v>0</v>
      </c>
      <c r="U499" s="25">
        <v>0</v>
      </c>
      <c r="V499" s="33">
        <v>1</v>
      </c>
      <c r="W499" s="25">
        <v>0</v>
      </c>
      <c r="X499" s="25">
        <v>0</v>
      </c>
      <c r="Y499" s="362">
        <v>1</v>
      </c>
      <c r="Z499" s="25">
        <v>0</v>
      </c>
      <c r="AA499" s="25">
        <v>0</v>
      </c>
      <c r="AB499" s="25">
        <v>0</v>
      </c>
      <c r="AC499" s="25">
        <v>0</v>
      </c>
      <c r="AD499" s="25">
        <v>1</v>
      </c>
      <c r="AE499" s="25">
        <v>1</v>
      </c>
      <c r="AF499" s="25">
        <v>0</v>
      </c>
      <c r="AG499" s="25">
        <v>1</v>
      </c>
      <c r="AH499" s="33">
        <v>1</v>
      </c>
      <c r="AI499" s="377">
        <v>0</v>
      </c>
      <c r="AJ499" s="25"/>
      <c r="AK499" s="412"/>
      <c r="AL499" s="14">
        <f t="shared" si="2866"/>
        <v>0</v>
      </c>
      <c r="AM499" s="14">
        <f t="shared" si="2878"/>
        <v>0</v>
      </c>
      <c r="AN499" s="14">
        <f t="shared" si="2878"/>
        <v>1</v>
      </c>
      <c r="AO499" s="14">
        <f t="shared" si="2878"/>
        <v>0</v>
      </c>
      <c r="AP499" s="289">
        <f>IF(N499&lt;&gt;"",N499-M499,0)</f>
        <v>1</v>
      </c>
      <c r="AQ499" s="289">
        <f t="shared" ref="AQ499:AW499" si="2885">IF(O499&lt;&gt;"",O499,0)</f>
        <v>1</v>
      </c>
      <c r="AR499" s="289">
        <f t="shared" si="2885"/>
        <v>0</v>
      </c>
      <c r="AS499" s="289">
        <f t="shared" si="2885"/>
        <v>0</v>
      </c>
      <c r="AT499" s="289">
        <f t="shared" si="2885"/>
        <v>0</v>
      </c>
      <c r="AU499" s="289">
        <f t="shared" si="2885"/>
        <v>1</v>
      </c>
      <c r="AV499" s="289">
        <f t="shared" si="2885"/>
        <v>0</v>
      </c>
      <c r="AW499" s="289">
        <f t="shared" si="2885"/>
        <v>0</v>
      </c>
      <c r="AX499" s="289">
        <f>IF(V499&lt;&gt;"",V499-U499,0)</f>
        <v>1</v>
      </c>
      <c r="AY499" s="289">
        <f t="shared" ref="AY499:BI499" si="2886">IF(W499&lt;&gt;"",W499,0)</f>
        <v>0</v>
      </c>
      <c r="AZ499" s="289">
        <f t="shared" si="2886"/>
        <v>0</v>
      </c>
      <c r="BA499" s="289">
        <f t="shared" si="2886"/>
        <v>1</v>
      </c>
      <c r="BB499" s="289">
        <f t="shared" si="2886"/>
        <v>0</v>
      </c>
      <c r="BC499" s="289">
        <f t="shared" si="2886"/>
        <v>0</v>
      </c>
      <c r="BD499" s="289">
        <f t="shared" si="2886"/>
        <v>0</v>
      </c>
      <c r="BE499" s="289">
        <f t="shared" si="2886"/>
        <v>0</v>
      </c>
      <c r="BF499" s="289">
        <f t="shared" si="2886"/>
        <v>1</v>
      </c>
      <c r="BG499" s="289">
        <f t="shared" si="2886"/>
        <v>1</v>
      </c>
      <c r="BH499" s="289">
        <f t="shared" si="2886"/>
        <v>0</v>
      </c>
      <c r="BI499" s="289">
        <f t="shared" si="2886"/>
        <v>1</v>
      </c>
      <c r="BJ499" s="14">
        <f t="shared" si="2869"/>
        <v>1</v>
      </c>
      <c r="BK499" s="129">
        <f t="shared" si="2829"/>
        <v>-1</v>
      </c>
      <c r="BL499" s="129">
        <f t="shared" si="2830"/>
        <v>0</v>
      </c>
      <c r="BM499" s="410"/>
      <c r="BN499" s="56">
        <f t="shared" si="2845"/>
        <v>1</v>
      </c>
      <c r="BO499" s="56">
        <f t="shared" si="2846"/>
        <v>1</v>
      </c>
      <c r="BP499" s="56">
        <f>(AL499*AL498+AM499*AM498+AN499*AN498)/BP498</f>
        <v>1</v>
      </c>
      <c r="BQ499" s="56">
        <f t="shared" si="2848"/>
        <v>1</v>
      </c>
      <c r="BR499" s="56">
        <f t="shared" si="2849"/>
        <v>1</v>
      </c>
      <c r="BS499" s="56">
        <f>(AO499*AO498+AP499*AP498+AQ499*AQ498)/BS498</f>
        <v>1</v>
      </c>
      <c r="BT499" s="56">
        <f t="shared" si="2851"/>
        <v>1E-4</v>
      </c>
      <c r="BU499" s="56">
        <f t="shared" si="2852"/>
        <v>1E-4</v>
      </c>
      <c r="BV499" s="56">
        <v>1E-4</v>
      </c>
      <c r="BW499" s="56">
        <f>BY499</f>
        <v>1</v>
      </c>
      <c r="BX499" s="56">
        <f>BY499</f>
        <v>1</v>
      </c>
      <c r="BY499" s="56">
        <f>(AU499*AU498+AV499*AV498+AW499*AW498)/BY498</f>
        <v>1</v>
      </c>
      <c r="BZ499" s="56">
        <f>(AV499*AV498+AW499*AW498+AX499*AX498)/BZ498</f>
        <v>1</v>
      </c>
      <c r="CA499" s="56">
        <f>(AW499*AW498+AX499*AX498+AY499*AY498)/CA498</f>
        <v>1</v>
      </c>
      <c r="CB499" s="56">
        <f>(AX499*AX498+AY499*AY498+AZ499*AZ498)/CB498</f>
        <v>1</v>
      </c>
      <c r="CC499" s="56">
        <f t="shared" si="2860"/>
        <v>1</v>
      </c>
      <c r="CD499" s="56">
        <f t="shared" si="2861"/>
        <v>1</v>
      </c>
      <c r="CE499" s="56">
        <f>(BA499*BA498+BB499*BB498+BC499*BC498)/CE498</f>
        <v>1</v>
      </c>
      <c r="CF499" s="56">
        <f t="shared" si="2862"/>
        <v>0.99990000999900008</v>
      </c>
      <c r="CG499" s="56">
        <f t="shared" si="2863"/>
        <v>0.99990000999900008</v>
      </c>
      <c r="CH499" s="56">
        <f>(BD499*BD498+BE499*BE498+BF499*BF498)/CH498</f>
        <v>0.99990000999900008</v>
      </c>
      <c r="CI499" s="56">
        <f t="shared" si="2864"/>
        <v>1</v>
      </c>
      <c r="CJ499" s="56">
        <f t="shared" si="2865"/>
        <v>1</v>
      </c>
      <c r="CK499" s="56">
        <f>(BG499*BG498+BH499*BH498+BI499*BI498)/CK498</f>
        <v>1</v>
      </c>
      <c r="CL499" s="56">
        <f t="shared" si="2872"/>
        <v>1</v>
      </c>
      <c r="CM499" s="56">
        <f t="shared" si="2872"/>
        <v>0</v>
      </c>
      <c r="CN499" s="56"/>
      <c r="CO499" s="422"/>
      <c r="CP499" s="25">
        <f>J499</f>
        <v>0</v>
      </c>
      <c r="CQ499" s="25" t="e">
        <f t="shared" ref="CQ499:DP499" si="2887">CQ511/CQ498</f>
        <v>#DIV/0!</v>
      </c>
      <c r="CR499" s="25">
        <f t="shared" si="2887"/>
        <v>1</v>
      </c>
      <c r="CS499" s="25">
        <f t="shared" si="2887"/>
        <v>1</v>
      </c>
      <c r="CT499" s="25">
        <f t="shared" si="2887"/>
        <v>1</v>
      </c>
      <c r="CU499" s="25">
        <f t="shared" si="2887"/>
        <v>1</v>
      </c>
      <c r="CV499" s="25">
        <f t="shared" si="2887"/>
        <v>1</v>
      </c>
      <c r="CW499" s="25">
        <f t="shared" si="2887"/>
        <v>1</v>
      </c>
      <c r="CX499" s="25">
        <f t="shared" si="2887"/>
        <v>1</v>
      </c>
      <c r="CY499" s="25">
        <f t="shared" si="2887"/>
        <v>1</v>
      </c>
      <c r="CZ499" s="25">
        <f t="shared" si="2887"/>
        <v>1</v>
      </c>
      <c r="DA499" s="25">
        <f t="shared" si="2887"/>
        <v>1</v>
      </c>
      <c r="DB499" s="25">
        <f t="shared" si="2887"/>
        <v>1</v>
      </c>
      <c r="DC499" s="25">
        <f t="shared" si="2887"/>
        <v>1</v>
      </c>
      <c r="DD499" s="25">
        <f t="shared" si="2887"/>
        <v>1</v>
      </c>
      <c r="DE499" s="25">
        <f t="shared" si="2887"/>
        <v>1</v>
      </c>
      <c r="DF499" s="25">
        <f t="shared" si="2887"/>
        <v>1</v>
      </c>
      <c r="DG499" s="25">
        <f t="shared" si="2887"/>
        <v>1</v>
      </c>
      <c r="DH499" s="25">
        <f t="shared" si="2887"/>
        <v>0.99995000249987487</v>
      </c>
      <c r="DI499" s="25">
        <f t="shared" si="2887"/>
        <v>0.99995000249987487</v>
      </c>
      <c r="DJ499" s="25">
        <f t="shared" si="2887"/>
        <v>0.99996666777774068</v>
      </c>
      <c r="DK499" s="25">
        <f t="shared" si="2887"/>
        <v>0.99997500062498446</v>
      </c>
      <c r="DL499" s="25">
        <f t="shared" si="2887"/>
        <v>0.99997500062498446</v>
      </c>
      <c r="DM499" s="25">
        <f t="shared" si="2887"/>
        <v>0.99998571448979301</v>
      </c>
      <c r="DN499" s="25">
        <f t="shared" si="2887"/>
        <v>1</v>
      </c>
      <c r="DO499" s="25">
        <f t="shared" si="2887"/>
        <v>1</v>
      </c>
      <c r="DP499" s="25">
        <f t="shared" si="2887"/>
        <v>1</v>
      </c>
      <c r="DQ499" s="377"/>
      <c r="DR499" s="377"/>
      <c r="DS499" s="377"/>
      <c r="DT499" s="377"/>
      <c r="DU499" s="377"/>
      <c r="DV499" s="377"/>
      <c r="DW499" s="377"/>
      <c r="DX499" s="377"/>
      <c r="DY499" s="377"/>
      <c r="DZ499" s="14"/>
      <c r="EA499" s="14"/>
      <c r="EB499" s="14"/>
      <c r="EC499" s="14"/>
      <c r="ED499" s="430"/>
      <c r="EE499" s="24"/>
      <c r="EF499" s="24"/>
      <c r="EG499" s="24"/>
      <c r="EH499" s="25">
        <f t="shared" si="2837"/>
        <v>-1</v>
      </c>
      <c r="EI499" s="250">
        <f t="shared" si="2838"/>
        <v>0</v>
      </c>
      <c r="EJ499" s="25">
        <f t="shared" si="2839"/>
        <v>1</v>
      </c>
      <c r="EK499" s="24">
        <f t="shared" si="2876"/>
        <v>0.16666666666666666</v>
      </c>
      <c r="EL499" s="14">
        <f>EH499</f>
        <v>-1</v>
      </c>
      <c r="EM499" s="14">
        <f>EI499</f>
        <v>0</v>
      </c>
      <c r="EN499" s="14">
        <f>EJ499</f>
        <v>1</v>
      </c>
      <c r="EO499" s="46">
        <f t="shared" si="2883"/>
        <v>0</v>
      </c>
      <c r="EP499" s="46" t="str">
        <f>IF(EI499&lt;0,,IF(EI499&lt;EF474,"È",IF(EI499=EF474,"Æ","Ç")))</f>
        <v>È</v>
      </c>
      <c r="EQ499" s="2">
        <f t="shared" si="2842"/>
        <v>3</v>
      </c>
      <c r="ER499" s="2">
        <f t="shared" si="2843"/>
        <v>3</v>
      </c>
      <c r="ES499" s="2">
        <f t="shared" si="2844"/>
        <v>1</v>
      </c>
    </row>
    <row r="500" spans="1:149" ht="12.75" customHeight="1">
      <c r="A500" s="6" t="s">
        <v>23</v>
      </c>
      <c r="B500" s="2" t="s">
        <v>8</v>
      </c>
      <c r="C500" s="3" t="s">
        <v>87</v>
      </c>
      <c r="E500" s="3" t="s">
        <v>16</v>
      </c>
      <c r="G500" s="3" t="s">
        <v>91</v>
      </c>
      <c r="I500" s="23"/>
      <c r="J500" s="19">
        <v>0</v>
      </c>
      <c r="K500" s="19">
        <v>0</v>
      </c>
      <c r="L500" s="19">
        <v>0</v>
      </c>
      <c r="M500" s="19">
        <v>0</v>
      </c>
      <c r="N500" s="19">
        <v>0</v>
      </c>
      <c r="O500" s="19">
        <v>0</v>
      </c>
      <c r="P500" s="19">
        <v>0</v>
      </c>
      <c r="Q500" s="19">
        <v>5</v>
      </c>
      <c r="R500" s="19">
        <v>17</v>
      </c>
      <c r="S500" s="19">
        <v>17</v>
      </c>
      <c r="T500" s="19">
        <v>17</v>
      </c>
      <c r="U500" s="19">
        <v>19</v>
      </c>
      <c r="V500" s="31">
        <v>3</v>
      </c>
      <c r="W500" s="19">
        <v>4</v>
      </c>
      <c r="X500" s="19">
        <v>9</v>
      </c>
      <c r="Y500" s="361">
        <v>9</v>
      </c>
      <c r="Z500" s="19">
        <v>14</v>
      </c>
      <c r="AA500" s="19">
        <v>14</v>
      </c>
      <c r="AB500" s="19">
        <v>17</v>
      </c>
      <c r="AC500" s="19">
        <v>19</v>
      </c>
      <c r="AD500" s="19">
        <v>20</v>
      </c>
      <c r="AE500" s="19">
        <v>21</v>
      </c>
      <c r="AF500" s="19">
        <v>29</v>
      </c>
      <c r="AG500" s="19">
        <v>49</v>
      </c>
      <c r="AH500" s="31">
        <v>0</v>
      </c>
      <c r="AI500" s="19">
        <v>1</v>
      </c>
      <c r="AJ500" s="19"/>
      <c r="AK500" s="408"/>
      <c r="AL500" s="19">
        <f t="shared" si="2866"/>
        <v>0</v>
      </c>
      <c r="AM500" s="19">
        <f>K500-J500</f>
        <v>0</v>
      </c>
      <c r="AN500" s="19">
        <f t="shared" ref="AN500:AN506" si="2888">L500-K500</f>
        <v>0</v>
      </c>
      <c r="AO500" s="19">
        <f t="shared" ref="AO500:AO506" si="2889">M500-L500</f>
        <v>0</v>
      </c>
      <c r="AP500" s="129">
        <f t="shared" ref="AP500:AP505" si="2890">IF(N500&lt;&gt;"",N500-M500,0)</f>
        <v>0</v>
      </c>
      <c r="AQ500" s="129">
        <f t="shared" ref="AQ500:AQ508" si="2891">IF(O500&lt;&gt;"",O500-N500,0)</f>
        <v>0</v>
      </c>
      <c r="AR500" s="129">
        <f t="shared" si="2813"/>
        <v>0</v>
      </c>
      <c r="AS500" s="129">
        <f t="shared" si="2814"/>
        <v>5</v>
      </c>
      <c r="AT500" s="129">
        <f t="shared" si="2815"/>
        <v>12</v>
      </c>
      <c r="AU500" s="129">
        <f t="shared" si="2816"/>
        <v>0</v>
      </c>
      <c r="AV500" s="129">
        <f t="shared" si="2817"/>
        <v>0</v>
      </c>
      <c r="AW500" s="129">
        <f t="shared" si="2818"/>
        <v>2</v>
      </c>
      <c r="AX500" s="19">
        <f t="shared" si="2867"/>
        <v>3</v>
      </c>
      <c r="AY500" s="129">
        <f t="shared" si="2819"/>
        <v>1</v>
      </c>
      <c r="AZ500" s="129">
        <f t="shared" si="2820"/>
        <v>5</v>
      </c>
      <c r="BA500" s="129">
        <f t="shared" ref="BA500:BA505" si="2892">IF(Y500&lt;&gt;"",Y500-X500,0)</f>
        <v>0</v>
      </c>
      <c r="BB500" s="129">
        <f t="shared" si="2821"/>
        <v>5</v>
      </c>
      <c r="BC500" s="129">
        <f t="shared" si="2822"/>
        <v>0</v>
      </c>
      <c r="BD500" s="129">
        <f t="shared" si="2823"/>
        <v>3</v>
      </c>
      <c r="BE500" s="129">
        <f t="shared" si="2824"/>
        <v>2</v>
      </c>
      <c r="BF500" s="129">
        <f t="shared" si="2825"/>
        <v>1</v>
      </c>
      <c r="BG500" s="129">
        <f t="shared" si="2826"/>
        <v>1</v>
      </c>
      <c r="BH500" s="129">
        <f t="shared" si="2827"/>
        <v>8</v>
      </c>
      <c r="BI500" s="129">
        <f t="shared" si="2828"/>
        <v>20</v>
      </c>
      <c r="BJ500" s="19">
        <f t="shared" si="2869"/>
        <v>0</v>
      </c>
      <c r="BK500" s="129">
        <f t="shared" si="2829"/>
        <v>1</v>
      </c>
      <c r="BL500" s="129">
        <f t="shared" si="2830"/>
        <v>0</v>
      </c>
      <c r="BM500" s="408"/>
      <c r="BN500" s="48">
        <f t="shared" si="2845"/>
        <v>0</v>
      </c>
      <c r="BO500" s="48">
        <f t="shared" si="2846"/>
        <v>0</v>
      </c>
      <c r="BP500" s="48">
        <f t="shared" ref="BP500:BP505" si="2893">SUM(AL500:AN500)</f>
        <v>0</v>
      </c>
      <c r="BQ500" s="48">
        <f t="shared" si="2848"/>
        <v>0</v>
      </c>
      <c r="BR500" s="48">
        <f t="shared" si="2849"/>
        <v>0</v>
      </c>
      <c r="BS500" s="48">
        <f t="shared" ref="BS500:BS505" si="2894">SUM(AO500:AQ500)</f>
        <v>0</v>
      </c>
      <c r="BT500" s="48">
        <f t="shared" si="2851"/>
        <v>17</v>
      </c>
      <c r="BU500" s="48">
        <f t="shared" si="2852"/>
        <v>17</v>
      </c>
      <c r="BV500" s="48">
        <f t="shared" ref="BV500:BV505" si="2895">SUM(AR500:AT500)</f>
        <v>17</v>
      </c>
      <c r="BW500" s="48">
        <f t="shared" ref="BW500:BW505" si="2896">SUM(AS500:AU500)</f>
        <v>17</v>
      </c>
      <c r="BX500" s="48">
        <f t="shared" ref="BX500:BX505" si="2897">SUM(AT500:AV500)</f>
        <v>12</v>
      </c>
      <c r="BY500" s="48">
        <f t="shared" ref="BY500:BY505" si="2898">SUM(AU500:AW500)</f>
        <v>2</v>
      </c>
      <c r="BZ500" s="48">
        <f>SUM(AX500:AX500)</f>
        <v>3</v>
      </c>
      <c r="CA500" s="48">
        <f>SUM(AX500:AY500)</f>
        <v>4</v>
      </c>
      <c r="CB500" s="48">
        <f>SUM(AX500:AZ500)</f>
        <v>9</v>
      </c>
      <c r="CC500" s="48">
        <f>SUM($BA500:BA500)</f>
        <v>0</v>
      </c>
      <c r="CD500" s="48">
        <f>SUM($BA500:BB500)</f>
        <v>5</v>
      </c>
      <c r="CE500" s="48">
        <f>SUM($BA500:BC500)</f>
        <v>5</v>
      </c>
      <c r="CF500" s="48">
        <f>SUM($BD500:BD500)</f>
        <v>3</v>
      </c>
      <c r="CG500" s="48">
        <f>SUM($BD500:BE500)</f>
        <v>5</v>
      </c>
      <c r="CH500" s="48">
        <f>SUM($BD500:BF500)</f>
        <v>6</v>
      </c>
      <c r="CI500" s="48">
        <f>SUM($BG500:BG500)</f>
        <v>1</v>
      </c>
      <c r="CJ500" s="48">
        <f>SUM($BG500:BH500)</f>
        <v>9</v>
      </c>
      <c r="CK500" s="48">
        <f>SUM($BG500:BI500)</f>
        <v>29</v>
      </c>
      <c r="CL500" s="48">
        <f t="shared" si="2872"/>
        <v>0</v>
      </c>
      <c r="CM500" s="48">
        <f t="shared" si="2872"/>
        <v>1</v>
      </c>
      <c r="CN500" s="48"/>
      <c r="CO500" s="406"/>
      <c r="CP500" s="21">
        <f>AL500</f>
        <v>0</v>
      </c>
      <c r="CQ500" s="21">
        <f>CP500+AM500</f>
        <v>0</v>
      </c>
      <c r="CR500" s="21">
        <f t="shared" ref="CR500:CR506" si="2899">CQ500+AN500</f>
        <v>0</v>
      </c>
      <c r="CS500" s="21">
        <f t="shared" ref="CS500:CS506" si="2900">CR500+AO500</f>
        <v>0</v>
      </c>
      <c r="CT500" s="21">
        <f t="shared" ref="CT500:CT506" si="2901">CS500+AP500</f>
        <v>0</v>
      </c>
      <c r="CU500" s="21">
        <f t="shared" ref="CU500:CU506" si="2902">CT500+AQ500</f>
        <v>0</v>
      </c>
      <c r="CV500" s="21">
        <f t="shared" ref="CV500:CV506" si="2903">CU500+AR500</f>
        <v>0</v>
      </c>
      <c r="CW500" s="21">
        <f t="shared" ref="CW500:CW506" si="2904">CV500+AS500</f>
        <v>5</v>
      </c>
      <c r="CX500" s="21">
        <f t="shared" ref="CX500:CX506" si="2905">CW500+AT500</f>
        <v>17</v>
      </c>
      <c r="CY500" s="21">
        <f t="shared" ref="CY500:CY506" si="2906">CX500+AU500</f>
        <v>17</v>
      </c>
      <c r="CZ500" s="21">
        <f t="shared" ref="CZ500:CZ506" si="2907">CY500+AV500</f>
        <v>17</v>
      </c>
      <c r="DA500" s="21">
        <f t="shared" ref="DA500:DA506" si="2908">CZ500+AW500</f>
        <v>19</v>
      </c>
      <c r="DB500" s="21">
        <f>AX500</f>
        <v>3</v>
      </c>
      <c r="DC500" s="21">
        <f t="shared" ref="DC500:DC506" si="2909">DB500+AY500</f>
        <v>4</v>
      </c>
      <c r="DD500" s="21">
        <f t="shared" ref="DD500:DD506" si="2910">DC500+AZ500</f>
        <v>9</v>
      </c>
      <c r="DE500" s="21">
        <f t="shared" ref="DE500:DE506" si="2911">DD500+BA500</f>
        <v>9</v>
      </c>
      <c r="DF500" s="21">
        <f t="shared" ref="DF500:DF506" si="2912">DE500+BB500</f>
        <v>14</v>
      </c>
      <c r="DG500" s="21">
        <f t="shared" ref="DG500:DG506" si="2913">DF500+BC500</f>
        <v>14</v>
      </c>
      <c r="DH500" s="21">
        <f t="shared" ref="DH500:DH506" si="2914">DG500+BD500</f>
        <v>17</v>
      </c>
      <c r="DI500" s="21">
        <f t="shared" ref="DI500:DI506" si="2915">DH500+BE500</f>
        <v>19</v>
      </c>
      <c r="DJ500" s="21">
        <f t="shared" ref="DJ500:DJ506" si="2916">DI500+BF500</f>
        <v>20</v>
      </c>
      <c r="DK500" s="21">
        <f t="shared" ref="DK500:DK506" si="2917">DJ500+BG500</f>
        <v>21</v>
      </c>
      <c r="DL500" s="21">
        <f t="shared" ref="DL500:DL506" si="2918">DK500+BH500</f>
        <v>29</v>
      </c>
      <c r="DM500" s="21">
        <f t="shared" ref="DM500:DM506" si="2919">DL500+BI500</f>
        <v>49</v>
      </c>
      <c r="DN500" s="21">
        <f t="shared" ref="DN500:DN505" si="2920">BJ500</f>
        <v>0</v>
      </c>
      <c r="DO500" s="21">
        <f t="shared" ref="DO500:DO506" si="2921">DN500+BK500</f>
        <v>1</v>
      </c>
      <c r="DP500" s="21">
        <f t="shared" ref="DP500:DP506" si="2922">DO500+BL500</f>
        <v>1</v>
      </c>
      <c r="DQ500" s="248"/>
      <c r="DR500" s="248"/>
      <c r="DS500" s="248"/>
      <c r="DT500" s="248"/>
      <c r="DU500" s="248"/>
      <c r="DV500" s="248"/>
      <c r="DW500" s="248"/>
      <c r="DX500" s="248"/>
      <c r="DY500" s="248"/>
      <c r="ED500" s="429"/>
      <c r="EE500" s="23"/>
      <c r="EF500" s="23"/>
      <c r="EG500" s="23"/>
      <c r="EH500" s="18">
        <f t="shared" si="2837"/>
        <v>1</v>
      </c>
      <c r="EI500" s="18">
        <f t="shared" si="2838"/>
        <v>1</v>
      </c>
      <c r="EJ500" s="18">
        <f t="shared" si="2839"/>
        <v>1</v>
      </c>
      <c r="EK500" s="24">
        <f t="shared" si="2876"/>
        <v>0.16666666666666666</v>
      </c>
      <c r="EL500" s="14" t="e">
        <f>EH500/EE475</f>
        <v>#DIV/0!</v>
      </c>
      <c r="EM500" s="14" t="e">
        <f>EI500/EF475</f>
        <v>#DIV/0!</v>
      </c>
      <c r="EN500" s="14">
        <f>EJ500/EK500/EG475</f>
        <v>0.10714285012755144</v>
      </c>
      <c r="EO500" s="46" t="str">
        <f t="shared" si="2883"/>
        <v>Ç</v>
      </c>
      <c r="EP500" s="46" t="str">
        <f t="shared" si="2884"/>
        <v>Ç</v>
      </c>
      <c r="EQ500" s="2" t="e">
        <f t="shared" si="2842"/>
        <v>#DIV/0!</v>
      </c>
      <c r="ER500" s="2" t="e">
        <f t="shared" si="2843"/>
        <v>#DIV/0!</v>
      </c>
      <c r="ES500" s="2">
        <f t="shared" si="2844"/>
        <v>3</v>
      </c>
    </row>
    <row r="501" spans="1:149" ht="12.75" customHeight="1">
      <c r="A501" s="6" t="s">
        <v>23</v>
      </c>
      <c r="B501" s="2" t="s">
        <v>9</v>
      </c>
      <c r="C501" s="3" t="s">
        <v>65</v>
      </c>
      <c r="E501" s="3" t="s">
        <v>16</v>
      </c>
      <c r="G501" s="3" t="s">
        <v>91</v>
      </c>
      <c r="I501" s="242" t="s">
        <v>236</v>
      </c>
      <c r="J501" s="19">
        <v>27.8</v>
      </c>
      <c r="K501" s="19">
        <v>52.45</v>
      </c>
      <c r="L501" s="19">
        <v>71.7</v>
      </c>
      <c r="M501" s="19">
        <v>98.2</v>
      </c>
      <c r="N501" s="19">
        <v>137.44999999999999</v>
      </c>
      <c r="O501" s="19">
        <v>155.94999999999999</v>
      </c>
      <c r="P501" s="19">
        <v>173.3</v>
      </c>
      <c r="Q501" s="19">
        <v>200.2</v>
      </c>
      <c r="R501" s="19">
        <v>250.35</v>
      </c>
      <c r="S501" s="19">
        <v>250.35</v>
      </c>
      <c r="T501" s="19">
        <v>250.35</v>
      </c>
      <c r="U501" s="19">
        <v>283.60000000000002</v>
      </c>
      <c r="V501" s="31">
        <v>21.5</v>
      </c>
      <c r="W501" s="19">
        <v>33.75</v>
      </c>
      <c r="X501" s="19">
        <v>34.75</v>
      </c>
      <c r="Y501" s="361">
        <v>96.65</v>
      </c>
      <c r="Z501" s="19">
        <v>125.65</v>
      </c>
      <c r="AA501" s="19">
        <v>127.15</v>
      </c>
      <c r="AB501" s="19">
        <v>143.9</v>
      </c>
      <c r="AC501" s="19">
        <v>160.4</v>
      </c>
      <c r="AD501" s="19">
        <v>197.9</v>
      </c>
      <c r="AE501" s="19">
        <v>215.15</v>
      </c>
      <c r="AF501" s="19">
        <v>243.25</v>
      </c>
      <c r="AG501" s="365">
        <v>293.5</v>
      </c>
      <c r="AH501" s="31">
        <v>28.5</v>
      </c>
      <c r="AI501" s="19">
        <v>52.15</v>
      </c>
      <c r="AJ501" s="19">
        <f>+AI501+AH501</f>
        <v>80.650000000000006</v>
      </c>
      <c r="AK501" s="408"/>
      <c r="AL501" s="19">
        <f t="shared" si="2866"/>
        <v>27.8</v>
      </c>
      <c r="AM501" s="19">
        <f t="shared" ref="AM501:AM506" si="2923">K501-J501</f>
        <v>24.650000000000002</v>
      </c>
      <c r="AN501" s="19">
        <f t="shared" si="2888"/>
        <v>19.25</v>
      </c>
      <c r="AO501" s="19">
        <f t="shared" si="2889"/>
        <v>26.5</v>
      </c>
      <c r="AP501" s="130">
        <f t="shared" si="2890"/>
        <v>39.249999999999986</v>
      </c>
      <c r="AQ501" s="130">
        <f t="shared" si="2891"/>
        <v>18.5</v>
      </c>
      <c r="AR501" s="130">
        <f t="shared" si="2813"/>
        <v>17.350000000000023</v>
      </c>
      <c r="AS501" s="130">
        <f t="shared" si="2814"/>
        <v>26.899999999999977</v>
      </c>
      <c r="AT501" s="130">
        <f t="shared" si="2815"/>
        <v>50.150000000000006</v>
      </c>
      <c r="AU501" s="130">
        <f t="shared" si="2816"/>
        <v>0</v>
      </c>
      <c r="AV501" s="130">
        <f t="shared" si="2817"/>
        <v>0</v>
      </c>
      <c r="AW501" s="130">
        <f t="shared" si="2818"/>
        <v>33.250000000000028</v>
      </c>
      <c r="AX501" s="19">
        <f t="shared" si="2867"/>
        <v>21.5</v>
      </c>
      <c r="AY501" s="130">
        <f t="shared" si="2819"/>
        <v>12.25</v>
      </c>
      <c r="AZ501" s="130">
        <f t="shared" si="2820"/>
        <v>1</v>
      </c>
      <c r="BA501" s="130">
        <f t="shared" si="2892"/>
        <v>61.900000000000006</v>
      </c>
      <c r="BB501" s="130">
        <f t="shared" si="2821"/>
        <v>29</v>
      </c>
      <c r="BC501" s="130">
        <f t="shared" si="2822"/>
        <v>1.5</v>
      </c>
      <c r="BD501" s="130">
        <f t="shared" si="2823"/>
        <v>16.75</v>
      </c>
      <c r="BE501" s="130">
        <f t="shared" si="2824"/>
        <v>16.5</v>
      </c>
      <c r="BF501" s="130">
        <f t="shared" si="2825"/>
        <v>37.5</v>
      </c>
      <c r="BG501" s="130">
        <f t="shared" si="2826"/>
        <v>17.25</v>
      </c>
      <c r="BH501" s="130">
        <f t="shared" si="2827"/>
        <v>28.099999999999994</v>
      </c>
      <c r="BI501" s="130">
        <f t="shared" si="2828"/>
        <v>50.25</v>
      </c>
      <c r="BJ501" s="19">
        <f t="shared" si="2869"/>
        <v>28.5</v>
      </c>
      <c r="BK501" s="130">
        <f t="shared" si="2829"/>
        <v>23.65</v>
      </c>
      <c r="BL501" s="130">
        <f t="shared" si="2830"/>
        <v>28.500000000000007</v>
      </c>
      <c r="BM501" s="408"/>
      <c r="BN501" s="48">
        <f t="shared" si="2845"/>
        <v>71.7</v>
      </c>
      <c r="BO501" s="48">
        <f t="shared" si="2846"/>
        <v>71.7</v>
      </c>
      <c r="BP501" s="48">
        <f t="shared" si="2893"/>
        <v>71.7</v>
      </c>
      <c r="BQ501" s="48">
        <f t="shared" si="2848"/>
        <v>84.249999999999986</v>
      </c>
      <c r="BR501" s="48">
        <f t="shared" si="2849"/>
        <v>84.249999999999986</v>
      </c>
      <c r="BS501" s="48">
        <f t="shared" si="2894"/>
        <v>84.249999999999986</v>
      </c>
      <c r="BT501" s="48">
        <f t="shared" si="2851"/>
        <v>94.4</v>
      </c>
      <c r="BU501" s="48">
        <f t="shared" si="2852"/>
        <v>94.4</v>
      </c>
      <c r="BV501" s="48">
        <f t="shared" si="2895"/>
        <v>94.4</v>
      </c>
      <c r="BW501" s="48">
        <f t="shared" si="2896"/>
        <v>77.049999999999983</v>
      </c>
      <c r="BX501" s="48">
        <f t="shared" si="2897"/>
        <v>50.150000000000006</v>
      </c>
      <c r="BY501" s="48">
        <f t="shared" si="2898"/>
        <v>33.250000000000028</v>
      </c>
      <c r="BZ501" s="48">
        <f>SUM($AX501:AX501)</f>
        <v>21.5</v>
      </c>
      <c r="CA501" s="48">
        <f>SUM($AX501:AY501)</f>
        <v>33.75</v>
      </c>
      <c r="CB501" s="48">
        <f>SUM($AX501:AZ501)</f>
        <v>34.75</v>
      </c>
      <c r="CC501" s="48">
        <f>SUM($BA501:BA501)</f>
        <v>61.900000000000006</v>
      </c>
      <c r="CD501" s="48">
        <f>SUM($BA501:BB501)</f>
        <v>90.9</v>
      </c>
      <c r="CE501" s="48">
        <f>SUM($BA501:BC501)</f>
        <v>92.4</v>
      </c>
      <c r="CF501" s="48">
        <f>SUM($BD501:BD501)</f>
        <v>16.75</v>
      </c>
      <c r="CG501" s="48">
        <f>SUM($BD501:BE501)</f>
        <v>33.25</v>
      </c>
      <c r="CH501" s="48">
        <f>SUM($BD501:BF501)</f>
        <v>70.75</v>
      </c>
      <c r="CI501" s="48">
        <f>SUM($BG501:BG501)</f>
        <v>17.25</v>
      </c>
      <c r="CJ501" s="48">
        <f>SUM($BG501:BH501)</f>
        <v>45.349999999999994</v>
      </c>
      <c r="CK501" s="48">
        <f>SUM($BG501:BI501)</f>
        <v>95.6</v>
      </c>
      <c r="CL501" s="48">
        <f t="shared" si="2872"/>
        <v>28.5</v>
      </c>
      <c r="CM501" s="48">
        <f t="shared" si="2872"/>
        <v>52.15</v>
      </c>
      <c r="CN501" s="48"/>
      <c r="CO501" s="406"/>
      <c r="CP501" s="21">
        <f t="shared" ref="CP501:CP506" si="2924">AL501</f>
        <v>27.8</v>
      </c>
      <c r="CQ501" s="21">
        <f t="shared" ref="CQ501:CQ506" si="2925">CP501+AM501</f>
        <v>52.45</v>
      </c>
      <c r="CR501" s="21">
        <f t="shared" si="2899"/>
        <v>71.7</v>
      </c>
      <c r="CS501" s="21">
        <f t="shared" si="2900"/>
        <v>98.2</v>
      </c>
      <c r="CT501" s="21">
        <f t="shared" si="2901"/>
        <v>137.44999999999999</v>
      </c>
      <c r="CU501" s="21">
        <f t="shared" si="2902"/>
        <v>155.94999999999999</v>
      </c>
      <c r="CV501" s="21">
        <f t="shared" si="2903"/>
        <v>173.3</v>
      </c>
      <c r="CW501" s="21">
        <f t="shared" si="2904"/>
        <v>200.2</v>
      </c>
      <c r="CX501" s="21">
        <f t="shared" si="2905"/>
        <v>250.35</v>
      </c>
      <c r="CY501" s="21">
        <f t="shared" si="2906"/>
        <v>250.35</v>
      </c>
      <c r="CZ501" s="21">
        <f t="shared" si="2907"/>
        <v>250.35</v>
      </c>
      <c r="DA501" s="21">
        <f t="shared" si="2908"/>
        <v>283.60000000000002</v>
      </c>
      <c r="DB501" s="21">
        <f t="shared" ref="DB501:DB506" si="2926">AX501</f>
        <v>21.5</v>
      </c>
      <c r="DC501" s="21">
        <f t="shared" si="2909"/>
        <v>33.75</v>
      </c>
      <c r="DD501" s="21">
        <f t="shared" si="2910"/>
        <v>34.75</v>
      </c>
      <c r="DE501" s="21">
        <f t="shared" si="2911"/>
        <v>96.65</v>
      </c>
      <c r="DF501" s="21">
        <f t="shared" si="2912"/>
        <v>125.65</v>
      </c>
      <c r="DG501" s="21">
        <f t="shared" si="2913"/>
        <v>127.15</v>
      </c>
      <c r="DH501" s="21">
        <f t="shared" si="2914"/>
        <v>143.9</v>
      </c>
      <c r="DI501" s="21">
        <f t="shared" si="2915"/>
        <v>160.4</v>
      </c>
      <c r="DJ501" s="21">
        <f t="shared" si="2916"/>
        <v>197.9</v>
      </c>
      <c r="DK501" s="21">
        <f t="shared" si="2917"/>
        <v>215.15</v>
      </c>
      <c r="DL501" s="21">
        <f t="shared" si="2918"/>
        <v>243.25</v>
      </c>
      <c r="DM501" s="21">
        <f t="shared" si="2919"/>
        <v>293.5</v>
      </c>
      <c r="DN501" s="21">
        <f t="shared" si="2920"/>
        <v>28.5</v>
      </c>
      <c r="DO501" s="21">
        <f t="shared" si="2921"/>
        <v>52.15</v>
      </c>
      <c r="DP501" s="21">
        <f t="shared" si="2922"/>
        <v>80.650000000000006</v>
      </c>
      <c r="DQ501" s="248"/>
      <c r="DR501" s="248"/>
      <c r="DS501" s="248"/>
      <c r="DT501" s="248"/>
      <c r="DU501" s="248"/>
      <c r="DV501" s="248"/>
      <c r="DW501" s="248"/>
      <c r="DX501" s="248"/>
      <c r="DY501" s="248"/>
      <c r="ED501" s="429"/>
      <c r="EE501" s="23"/>
      <c r="EF501" s="23"/>
      <c r="EG501" s="23"/>
      <c r="EH501" s="18">
        <f t="shared" si="2837"/>
        <v>23.65</v>
      </c>
      <c r="EI501" s="305">
        <f t="shared" si="2838"/>
        <v>52.15</v>
      </c>
      <c r="EJ501" s="305">
        <f t="shared" si="2839"/>
        <v>52.15</v>
      </c>
      <c r="EK501" s="24">
        <f t="shared" si="2876"/>
        <v>0.16666666666666666</v>
      </c>
      <c r="EL501" s="14"/>
      <c r="EM501" s="14"/>
      <c r="EN501" s="14"/>
      <c r="EO501" s="46" t="str">
        <f t="shared" si="2883"/>
        <v>È</v>
      </c>
      <c r="EP501" s="46" t="str">
        <f t="shared" si="2884"/>
        <v>È</v>
      </c>
      <c r="EQ501" s="2">
        <f t="shared" si="2842"/>
        <v>3</v>
      </c>
      <c r="ER501" s="2">
        <f t="shared" si="2843"/>
        <v>3</v>
      </c>
      <c r="ES501" s="2">
        <f t="shared" si="2844"/>
        <v>3</v>
      </c>
    </row>
    <row r="502" spans="1:149" ht="12.75" customHeight="1">
      <c r="A502" s="6" t="s">
        <v>23</v>
      </c>
      <c r="B502" s="2" t="s">
        <v>10</v>
      </c>
      <c r="C502" s="3" t="s">
        <v>66</v>
      </c>
      <c r="E502" s="3" t="s">
        <v>16</v>
      </c>
      <c r="G502" s="3" t="s">
        <v>91</v>
      </c>
      <c r="I502" s="23"/>
      <c r="J502" s="305">
        <v>2.65</v>
      </c>
      <c r="K502" s="305">
        <v>4.05</v>
      </c>
      <c r="L502" s="305">
        <v>4.55</v>
      </c>
      <c r="M502" s="305">
        <v>5.05</v>
      </c>
      <c r="N502" s="305">
        <v>5.05</v>
      </c>
      <c r="O502" s="305">
        <v>5.55</v>
      </c>
      <c r="P502" s="305">
        <v>5.65</v>
      </c>
      <c r="Q502" s="305">
        <v>18.8</v>
      </c>
      <c r="R502" s="305">
        <v>20.95</v>
      </c>
      <c r="S502" s="305">
        <v>20.95</v>
      </c>
      <c r="T502" s="305">
        <v>20.95</v>
      </c>
      <c r="U502" s="305">
        <v>21.45</v>
      </c>
      <c r="V502" s="309">
        <v>2</v>
      </c>
      <c r="W502" s="305">
        <v>2.5</v>
      </c>
      <c r="X502" s="305">
        <v>2.5</v>
      </c>
      <c r="Y502" s="365">
        <v>22.15</v>
      </c>
      <c r="Z502" s="305">
        <v>24.9</v>
      </c>
      <c r="AA502" s="305">
        <v>24.9</v>
      </c>
      <c r="AB502" s="305">
        <v>24.9</v>
      </c>
      <c r="AC502" s="305">
        <v>24.9</v>
      </c>
      <c r="AD502" s="305">
        <v>24.9</v>
      </c>
      <c r="AE502" s="305">
        <v>29.4</v>
      </c>
      <c r="AF502" s="305">
        <v>29.4</v>
      </c>
      <c r="AG502" s="305">
        <v>29.4</v>
      </c>
      <c r="AH502" s="309">
        <v>0</v>
      </c>
      <c r="AI502" s="305">
        <v>0</v>
      </c>
      <c r="AJ502" s="305"/>
      <c r="AK502" s="414"/>
      <c r="AL502" s="305">
        <f t="shared" si="2866"/>
        <v>2.65</v>
      </c>
      <c r="AM502" s="305">
        <f t="shared" si="2923"/>
        <v>1.4</v>
      </c>
      <c r="AN502" s="305">
        <f t="shared" si="2888"/>
        <v>0.5</v>
      </c>
      <c r="AO502" s="305">
        <f t="shared" si="2889"/>
        <v>0.5</v>
      </c>
      <c r="AP502" s="131">
        <f t="shared" si="2890"/>
        <v>0</v>
      </c>
      <c r="AQ502" s="131">
        <f t="shared" si="2891"/>
        <v>0.5</v>
      </c>
      <c r="AR502" s="131">
        <f t="shared" si="2813"/>
        <v>0.10000000000000053</v>
      </c>
      <c r="AS502" s="131">
        <f t="shared" si="2814"/>
        <v>13.15</v>
      </c>
      <c r="AT502" s="131">
        <f t="shared" si="2815"/>
        <v>2.1499999999999986</v>
      </c>
      <c r="AU502" s="131">
        <f t="shared" si="2816"/>
        <v>0</v>
      </c>
      <c r="AV502" s="131">
        <f t="shared" si="2817"/>
        <v>0</v>
      </c>
      <c r="AW502" s="131">
        <f t="shared" si="2818"/>
        <v>0.5</v>
      </c>
      <c r="AX502" s="305">
        <f t="shared" si="2867"/>
        <v>2</v>
      </c>
      <c r="AY502" s="131">
        <f t="shared" si="2819"/>
        <v>0.5</v>
      </c>
      <c r="AZ502" s="131">
        <f t="shared" si="2820"/>
        <v>0</v>
      </c>
      <c r="BA502" s="131">
        <f t="shared" si="2892"/>
        <v>19.649999999999999</v>
      </c>
      <c r="BB502" s="131">
        <f t="shared" si="2821"/>
        <v>2.75</v>
      </c>
      <c r="BC502" s="131">
        <f t="shared" si="2822"/>
        <v>0</v>
      </c>
      <c r="BD502" s="131">
        <f t="shared" si="2823"/>
        <v>0</v>
      </c>
      <c r="BE502" s="131">
        <f t="shared" si="2824"/>
        <v>0</v>
      </c>
      <c r="BF502" s="131">
        <f t="shared" si="2825"/>
        <v>0</v>
      </c>
      <c r="BG502" s="131">
        <f t="shared" si="2826"/>
        <v>4.5</v>
      </c>
      <c r="BH502" s="131">
        <f t="shared" si="2827"/>
        <v>0</v>
      </c>
      <c r="BI502" s="131">
        <f t="shared" si="2828"/>
        <v>0</v>
      </c>
      <c r="BJ502" s="305">
        <f t="shared" si="2869"/>
        <v>0</v>
      </c>
      <c r="BK502" s="131">
        <f t="shared" si="2829"/>
        <v>0</v>
      </c>
      <c r="BL502" s="131">
        <f t="shared" si="2830"/>
        <v>0</v>
      </c>
      <c r="BM502" s="414"/>
      <c r="BN502" s="306">
        <f t="shared" si="2845"/>
        <v>4.55</v>
      </c>
      <c r="BO502" s="306">
        <f t="shared" si="2846"/>
        <v>4.55</v>
      </c>
      <c r="BP502" s="306">
        <f t="shared" si="2893"/>
        <v>4.55</v>
      </c>
      <c r="BQ502" s="306">
        <f t="shared" si="2848"/>
        <v>1</v>
      </c>
      <c r="BR502" s="306">
        <f t="shared" si="2849"/>
        <v>1</v>
      </c>
      <c r="BS502" s="306">
        <f t="shared" si="2894"/>
        <v>1</v>
      </c>
      <c r="BT502" s="306">
        <f t="shared" si="2851"/>
        <v>15.399999999999999</v>
      </c>
      <c r="BU502" s="306">
        <f t="shared" si="2852"/>
        <v>15.399999999999999</v>
      </c>
      <c r="BV502" s="306">
        <f t="shared" si="2895"/>
        <v>15.399999999999999</v>
      </c>
      <c r="BW502" s="306">
        <f t="shared" si="2896"/>
        <v>15.299999999999999</v>
      </c>
      <c r="BX502" s="306">
        <f t="shared" si="2897"/>
        <v>2.1499999999999986</v>
      </c>
      <c r="BY502" s="306">
        <f t="shared" si="2898"/>
        <v>0.5</v>
      </c>
      <c r="BZ502" s="306">
        <f>SUM($AX502:AX502)</f>
        <v>2</v>
      </c>
      <c r="CA502" s="306">
        <f>SUM($AX502:AY502)</f>
        <v>2.5</v>
      </c>
      <c r="CB502" s="306">
        <f>SUM($AX502:AZ502)</f>
        <v>2.5</v>
      </c>
      <c r="CC502" s="306">
        <f>SUM($BA502:BA502)</f>
        <v>19.649999999999999</v>
      </c>
      <c r="CD502" s="306">
        <f>SUM($BA502:BB502)</f>
        <v>22.4</v>
      </c>
      <c r="CE502" s="306">
        <f>SUM($BA502:BC502)</f>
        <v>22.4</v>
      </c>
      <c r="CF502" s="306">
        <f>SUM($BD502:BD502)</f>
        <v>0</v>
      </c>
      <c r="CG502" s="306">
        <f>SUM($BD502:BE502)</f>
        <v>0</v>
      </c>
      <c r="CH502" s="306">
        <f>SUM($BD502:BF502)</f>
        <v>0</v>
      </c>
      <c r="CI502" s="306">
        <f>SUM($BG502:BG502)</f>
        <v>4.5</v>
      </c>
      <c r="CJ502" s="306">
        <f>SUM($BG502:BH502)</f>
        <v>4.5</v>
      </c>
      <c r="CK502" s="306">
        <f>SUM($BG502:BI502)</f>
        <v>4.5</v>
      </c>
      <c r="CL502" s="48">
        <f t="shared" si="2872"/>
        <v>0</v>
      </c>
      <c r="CM502" s="48">
        <f t="shared" si="2872"/>
        <v>0</v>
      </c>
      <c r="CN502" s="306"/>
      <c r="CO502" s="425"/>
      <c r="CP502" s="305">
        <f t="shared" si="2924"/>
        <v>2.65</v>
      </c>
      <c r="CQ502" s="305">
        <f t="shared" si="2925"/>
        <v>4.05</v>
      </c>
      <c r="CR502" s="305">
        <f t="shared" si="2899"/>
        <v>4.55</v>
      </c>
      <c r="CS502" s="305">
        <f t="shared" si="2900"/>
        <v>5.05</v>
      </c>
      <c r="CT502" s="305">
        <f t="shared" si="2901"/>
        <v>5.05</v>
      </c>
      <c r="CU502" s="305">
        <f t="shared" si="2902"/>
        <v>5.55</v>
      </c>
      <c r="CV502" s="305">
        <f t="shared" si="2903"/>
        <v>5.65</v>
      </c>
      <c r="CW502" s="305">
        <f t="shared" si="2904"/>
        <v>18.8</v>
      </c>
      <c r="CX502" s="305">
        <f t="shared" si="2905"/>
        <v>20.95</v>
      </c>
      <c r="CY502" s="305">
        <f t="shared" si="2906"/>
        <v>20.95</v>
      </c>
      <c r="CZ502" s="305">
        <f t="shared" si="2907"/>
        <v>20.95</v>
      </c>
      <c r="DA502" s="305">
        <f t="shared" si="2908"/>
        <v>21.45</v>
      </c>
      <c r="DB502" s="305">
        <f t="shared" si="2926"/>
        <v>2</v>
      </c>
      <c r="DC502" s="305">
        <f t="shared" si="2909"/>
        <v>2.5</v>
      </c>
      <c r="DD502" s="305">
        <f t="shared" si="2910"/>
        <v>2.5</v>
      </c>
      <c r="DE502" s="305">
        <f t="shared" si="2911"/>
        <v>22.15</v>
      </c>
      <c r="DF502" s="305">
        <f t="shared" si="2912"/>
        <v>24.9</v>
      </c>
      <c r="DG502" s="305">
        <f t="shared" si="2913"/>
        <v>24.9</v>
      </c>
      <c r="DH502" s="305">
        <f t="shared" si="2914"/>
        <v>24.9</v>
      </c>
      <c r="DI502" s="305">
        <f t="shared" si="2915"/>
        <v>24.9</v>
      </c>
      <c r="DJ502" s="305">
        <f t="shared" si="2916"/>
        <v>24.9</v>
      </c>
      <c r="DK502" s="305">
        <f t="shared" si="2917"/>
        <v>29.4</v>
      </c>
      <c r="DL502" s="305">
        <f t="shared" si="2918"/>
        <v>29.4</v>
      </c>
      <c r="DM502" s="305">
        <f t="shared" si="2919"/>
        <v>29.4</v>
      </c>
      <c r="DN502" s="305">
        <f t="shared" si="2920"/>
        <v>0</v>
      </c>
      <c r="DO502" s="305">
        <f t="shared" si="2921"/>
        <v>0</v>
      </c>
      <c r="DP502" s="305">
        <f t="shared" si="2922"/>
        <v>0</v>
      </c>
      <c r="DQ502" s="365"/>
      <c r="DR502" s="365"/>
      <c r="DS502" s="365"/>
      <c r="DT502" s="365"/>
      <c r="DU502" s="365"/>
      <c r="DV502" s="365"/>
      <c r="DW502" s="365"/>
      <c r="DX502" s="365"/>
      <c r="DY502" s="365"/>
      <c r="DZ502" s="307"/>
      <c r="EA502" s="307"/>
      <c r="EB502" s="307"/>
      <c r="EC502" s="307"/>
      <c r="ED502" s="434"/>
      <c r="EE502" s="308"/>
      <c r="EF502" s="308"/>
      <c r="EG502" s="308"/>
      <c r="EH502" s="305">
        <f t="shared" si="2837"/>
        <v>0</v>
      </c>
      <c r="EI502" s="305">
        <f t="shared" si="2838"/>
        <v>0</v>
      </c>
      <c r="EJ502" s="305">
        <f t="shared" si="2839"/>
        <v>0</v>
      </c>
      <c r="EK502" s="24">
        <f t="shared" si="2876"/>
        <v>0.16666666666666666</v>
      </c>
      <c r="EL502" s="14" t="e">
        <f>EH502/EE477</f>
        <v>#DIV/0!</v>
      </c>
      <c r="EM502" s="14">
        <f>+EI502/EI501</f>
        <v>0</v>
      </c>
      <c r="EN502" s="14">
        <f>EJ502/EJ501</f>
        <v>0</v>
      </c>
      <c r="EO502" s="46" t="str">
        <f t="shared" si="2883"/>
        <v>Æ</v>
      </c>
      <c r="EP502" s="46" t="str">
        <f t="shared" si="2884"/>
        <v>Æ</v>
      </c>
      <c r="EQ502" s="2" t="e">
        <f t="shared" si="2842"/>
        <v>#DIV/0!</v>
      </c>
      <c r="ER502" s="2">
        <f t="shared" si="2843"/>
        <v>3</v>
      </c>
      <c r="ES502" s="2">
        <f t="shared" si="2844"/>
        <v>3</v>
      </c>
    </row>
    <row r="503" spans="1:149" ht="12.75" customHeight="1">
      <c r="A503" s="6" t="s">
        <v>23</v>
      </c>
      <c r="B503" s="2" t="s">
        <v>11</v>
      </c>
      <c r="C503" s="3" t="s">
        <v>67</v>
      </c>
      <c r="E503" s="3" t="s">
        <v>16</v>
      </c>
      <c r="G503" s="3" t="s">
        <v>91</v>
      </c>
      <c r="I503" s="23"/>
      <c r="J503" s="19">
        <v>8</v>
      </c>
      <c r="K503" s="19">
        <v>20</v>
      </c>
      <c r="L503" s="19">
        <v>26</v>
      </c>
      <c r="M503" s="19">
        <v>31</v>
      </c>
      <c r="N503" s="19">
        <v>45</v>
      </c>
      <c r="O503" s="19">
        <v>52</v>
      </c>
      <c r="P503" s="19">
        <v>55</v>
      </c>
      <c r="Q503" s="19">
        <v>60</v>
      </c>
      <c r="R503" s="19">
        <v>78</v>
      </c>
      <c r="S503" s="19">
        <v>78</v>
      </c>
      <c r="T503" s="19">
        <v>78</v>
      </c>
      <c r="U503" s="19">
        <v>85</v>
      </c>
      <c r="V503" s="31">
        <v>3</v>
      </c>
      <c r="W503" s="19">
        <v>11</v>
      </c>
      <c r="X503" s="19">
        <v>12</v>
      </c>
      <c r="Y503" s="361">
        <v>24</v>
      </c>
      <c r="Z503" s="19">
        <v>29</v>
      </c>
      <c r="AA503" s="19">
        <v>30</v>
      </c>
      <c r="AB503" s="19">
        <v>36</v>
      </c>
      <c r="AC503" s="19">
        <v>47</v>
      </c>
      <c r="AD503" s="19">
        <v>57</v>
      </c>
      <c r="AE503" s="19">
        <v>61</v>
      </c>
      <c r="AF503" s="19">
        <v>72</v>
      </c>
      <c r="AG503" s="19">
        <v>80</v>
      </c>
      <c r="AH503" s="31">
        <v>6</v>
      </c>
      <c r="AI503" s="19">
        <v>10</v>
      </c>
      <c r="AJ503" s="19"/>
      <c r="AK503" s="408"/>
      <c r="AL503" s="19">
        <f t="shared" si="2866"/>
        <v>8</v>
      </c>
      <c r="AM503" s="19">
        <f t="shared" si="2923"/>
        <v>12</v>
      </c>
      <c r="AN503" s="19">
        <f t="shared" si="2888"/>
        <v>6</v>
      </c>
      <c r="AO503" s="19">
        <f t="shared" si="2889"/>
        <v>5</v>
      </c>
      <c r="AP503" s="129">
        <f t="shared" si="2890"/>
        <v>14</v>
      </c>
      <c r="AQ503" s="129">
        <f t="shared" si="2891"/>
        <v>7</v>
      </c>
      <c r="AR503" s="129">
        <f t="shared" si="2813"/>
        <v>3</v>
      </c>
      <c r="AS503" s="129">
        <f t="shared" si="2814"/>
        <v>5</v>
      </c>
      <c r="AT503" s="129">
        <f t="shared" si="2815"/>
        <v>18</v>
      </c>
      <c r="AU503" s="129">
        <f t="shared" si="2816"/>
        <v>0</v>
      </c>
      <c r="AV503" s="129">
        <f t="shared" si="2817"/>
        <v>0</v>
      </c>
      <c r="AW503" s="129">
        <f t="shared" si="2818"/>
        <v>7</v>
      </c>
      <c r="AX503" s="19">
        <f t="shared" si="2867"/>
        <v>3</v>
      </c>
      <c r="AY503" s="129">
        <f t="shared" si="2819"/>
        <v>8</v>
      </c>
      <c r="AZ503" s="129">
        <f t="shared" si="2820"/>
        <v>1</v>
      </c>
      <c r="BA503" s="129">
        <f t="shared" si="2892"/>
        <v>12</v>
      </c>
      <c r="BB503" s="129">
        <f t="shared" si="2821"/>
        <v>5</v>
      </c>
      <c r="BC503" s="129">
        <f t="shared" si="2822"/>
        <v>1</v>
      </c>
      <c r="BD503" s="129">
        <f t="shared" si="2823"/>
        <v>6</v>
      </c>
      <c r="BE503" s="129">
        <f t="shared" si="2824"/>
        <v>11</v>
      </c>
      <c r="BF503" s="129">
        <f t="shared" si="2825"/>
        <v>10</v>
      </c>
      <c r="BG503" s="129">
        <f t="shared" si="2826"/>
        <v>4</v>
      </c>
      <c r="BH503" s="129">
        <f t="shared" si="2827"/>
        <v>11</v>
      </c>
      <c r="BI503" s="129">
        <f t="shared" si="2828"/>
        <v>8</v>
      </c>
      <c r="BJ503" s="19">
        <f t="shared" si="2869"/>
        <v>6</v>
      </c>
      <c r="BK503" s="129">
        <f t="shared" si="2829"/>
        <v>4</v>
      </c>
      <c r="BL503" s="129">
        <f t="shared" si="2830"/>
        <v>0</v>
      </c>
      <c r="BM503" s="408"/>
      <c r="BN503" s="48">
        <f t="shared" si="2845"/>
        <v>26</v>
      </c>
      <c r="BO503" s="48">
        <f t="shared" si="2846"/>
        <v>26</v>
      </c>
      <c r="BP503" s="48">
        <f t="shared" si="2893"/>
        <v>26</v>
      </c>
      <c r="BQ503" s="48">
        <f t="shared" si="2848"/>
        <v>26</v>
      </c>
      <c r="BR503" s="48">
        <f t="shared" si="2849"/>
        <v>26</v>
      </c>
      <c r="BS503" s="48">
        <f t="shared" si="2894"/>
        <v>26</v>
      </c>
      <c r="BT503" s="48">
        <f t="shared" si="2851"/>
        <v>26</v>
      </c>
      <c r="BU503" s="48">
        <f t="shared" si="2852"/>
        <v>26</v>
      </c>
      <c r="BV503" s="48">
        <f t="shared" si="2895"/>
        <v>26</v>
      </c>
      <c r="BW503" s="48">
        <f t="shared" si="2896"/>
        <v>23</v>
      </c>
      <c r="BX503" s="48">
        <f t="shared" si="2897"/>
        <v>18</v>
      </c>
      <c r="BY503" s="48">
        <f t="shared" si="2898"/>
        <v>7</v>
      </c>
      <c r="BZ503" s="306">
        <f>SUM($AX503:AX503)</f>
        <v>3</v>
      </c>
      <c r="CA503" s="306">
        <f>SUM($AX503:AY503)</f>
        <v>11</v>
      </c>
      <c r="CB503" s="306">
        <f>SUM($AX503:AZ503)</f>
        <v>12</v>
      </c>
      <c r="CC503" s="306">
        <f>SUM($BA503:BA503)</f>
        <v>12</v>
      </c>
      <c r="CD503" s="306">
        <f>SUM($BA503:BB503)</f>
        <v>17</v>
      </c>
      <c r="CE503" s="306">
        <f>SUM($BA503:BC503)</f>
        <v>18</v>
      </c>
      <c r="CF503" s="306">
        <f>SUM($BD503:BD503)</f>
        <v>6</v>
      </c>
      <c r="CG503" s="306">
        <f>SUM($BD503:BE503)</f>
        <v>17</v>
      </c>
      <c r="CH503" s="306">
        <f>SUM($BD503:BF503)</f>
        <v>27</v>
      </c>
      <c r="CI503" s="306">
        <f>SUM($BG503:BG503)</f>
        <v>4</v>
      </c>
      <c r="CJ503" s="306">
        <f>SUM($BG503:BH503)</f>
        <v>15</v>
      </c>
      <c r="CK503" s="306">
        <f>SUM($BG503:BI503)</f>
        <v>23</v>
      </c>
      <c r="CL503" s="48">
        <f t="shared" si="2872"/>
        <v>6</v>
      </c>
      <c r="CM503" s="48">
        <f t="shared" si="2872"/>
        <v>10</v>
      </c>
      <c r="CN503" s="48"/>
      <c r="CO503" s="406"/>
      <c r="CP503" s="21">
        <f t="shared" si="2924"/>
        <v>8</v>
      </c>
      <c r="CQ503" s="21">
        <f t="shared" si="2925"/>
        <v>20</v>
      </c>
      <c r="CR503" s="21">
        <f t="shared" si="2899"/>
        <v>26</v>
      </c>
      <c r="CS503" s="21">
        <f t="shared" si="2900"/>
        <v>31</v>
      </c>
      <c r="CT503" s="21">
        <f t="shared" si="2901"/>
        <v>45</v>
      </c>
      <c r="CU503" s="21">
        <f t="shared" si="2902"/>
        <v>52</v>
      </c>
      <c r="CV503" s="21">
        <f t="shared" si="2903"/>
        <v>55</v>
      </c>
      <c r="CW503" s="21">
        <f t="shared" si="2904"/>
        <v>60</v>
      </c>
      <c r="CX503" s="21">
        <f t="shared" si="2905"/>
        <v>78</v>
      </c>
      <c r="CY503" s="21">
        <f t="shared" si="2906"/>
        <v>78</v>
      </c>
      <c r="CZ503" s="21">
        <f t="shared" si="2907"/>
        <v>78</v>
      </c>
      <c r="DA503" s="21">
        <f t="shared" si="2908"/>
        <v>85</v>
      </c>
      <c r="DB503" s="21">
        <f t="shared" si="2926"/>
        <v>3</v>
      </c>
      <c r="DC503" s="21">
        <f t="shared" si="2909"/>
        <v>11</v>
      </c>
      <c r="DD503" s="21">
        <f t="shared" si="2910"/>
        <v>12</v>
      </c>
      <c r="DE503" s="21">
        <f t="shared" si="2911"/>
        <v>24</v>
      </c>
      <c r="DF503" s="21">
        <f t="shared" si="2912"/>
        <v>29</v>
      </c>
      <c r="DG503" s="21">
        <f t="shared" si="2913"/>
        <v>30</v>
      </c>
      <c r="DH503" s="21">
        <f t="shared" si="2914"/>
        <v>36</v>
      </c>
      <c r="DI503" s="21">
        <f t="shared" si="2915"/>
        <v>47</v>
      </c>
      <c r="DJ503" s="21">
        <f t="shared" si="2916"/>
        <v>57</v>
      </c>
      <c r="DK503" s="21">
        <f t="shared" si="2917"/>
        <v>61</v>
      </c>
      <c r="DL503" s="21">
        <f t="shared" si="2918"/>
        <v>72</v>
      </c>
      <c r="DM503" s="21">
        <f t="shared" si="2919"/>
        <v>80</v>
      </c>
      <c r="DN503" s="21">
        <f t="shared" si="2920"/>
        <v>6</v>
      </c>
      <c r="DO503" s="21">
        <f t="shared" si="2921"/>
        <v>10</v>
      </c>
      <c r="DP503" s="21">
        <f t="shared" si="2922"/>
        <v>10</v>
      </c>
      <c r="DQ503" s="248"/>
      <c r="DR503" s="248"/>
      <c r="DS503" s="248"/>
      <c r="DT503" s="248"/>
      <c r="DU503" s="248"/>
      <c r="DV503" s="248"/>
      <c r="DW503" s="248"/>
      <c r="DX503" s="248"/>
      <c r="DY503" s="248"/>
      <c r="ED503" s="429"/>
      <c r="EE503" s="23"/>
      <c r="EF503" s="23"/>
      <c r="EG503" s="23"/>
      <c r="EH503" s="18">
        <f t="shared" si="2837"/>
        <v>4</v>
      </c>
      <c r="EI503" s="18">
        <f t="shared" si="2838"/>
        <v>10</v>
      </c>
      <c r="EJ503" s="18">
        <f t="shared" si="2839"/>
        <v>10</v>
      </c>
      <c r="EK503" s="24">
        <f t="shared" si="2876"/>
        <v>0.16666666666666666</v>
      </c>
      <c r="EL503" s="14" t="e">
        <f>EH503/EE478</f>
        <v>#DIV/0!</v>
      </c>
      <c r="EM503" s="14" t="e">
        <f>EI503/EF478</f>
        <v>#DIV/0!</v>
      </c>
      <c r="EN503" s="14">
        <f>EJ503/EG478</f>
        <v>0.12820512820512819</v>
      </c>
      <c r="EO503" s="46" t="str">
        <f t="shared" si="2883"/>
        <v>Ç</v>
      </c>
      <c r="EP503" s="46" t="str">
        <f t="shared" si="2884"/>
        <v>Ç</v>
      </c>
      <c r="EQ503" s="2" t="e">
        <f t="shared" si="2842"/>
        <v>#DIV/0!</v>
      </c>
      <c r="ER503" s="2" t="e">
        <f t="shared" si="2843"/>
        <v>#DIV/0!</v>
      </c>
      <c r="ES503" s="2">
        <f t="shared" si="2844"/>
        <v>3</v>
      </c>
    </row>
    <row r="504" spans="1:149" ht="12.75" customHeight="1">
      <c r="A504" s="6" t="s">
        <v>23</v>
      </c>
      <c r="B504" s="2" t="s">
        <v>12</v>
      </c>
      <c r="C504" s="3" t="s">
        <v>68</v>
      </c>
      <c r="E504" s="3" t="s">
        <v>16</v>
      </c>
      <c r="G504" s="3" t="s">
        <v>91</v>
      </c>
      <c r="I504" s="23"/>
      <c r="J504" s="19">
        <v>0</v>
      </c>
      <c r="K504" s="19">
        <v>0</v>
      </c>
      <c r="L504" s="19">
        <v>0</v>
      </c>
      <c r="M504" s="19">
        <v>0</v>
      </c>
      <c r="N504" s="19">
        <v>0</v>
      </c>
      <c r="O504" s="19">
        <v>0</v>
      </c>
      <c r="P504" s="19">
        <v>0</v>
      </c>
      <c r="Q504" s="19">
        <v>3</v>
      </c>
      <c r="R504" s="19">
        <v>24</v>
      </c>
      <c r="S504" s="19">
        <v>24</v>
      </c>
      <c r="T504" s="19">
        <v>24</v>
      </c>
      <c r="U504" s="19">
        <v>42</v>
      </c>
      <c r="V504" s="31">
        <v>7</v>
      </c>
      <c r="W504" s="19">
        <v>9</v>
      </c>
      <c r="X504" s="19">
        <v>9</v>
      </c>
      <c r="Y504" s="361">
        <v>11</v>
      </c>
      <c r="Z504" s="19">
        <v>13</v>
      </c>
      <c r="AA504" s="19">
        <v>13</v>
      </c>
      <c r="AB504" s="19">
        <v>20</v>
      </c>
      <c r="AC504" s="19">
        <v>23</v>
      </c>
      <c r="AD504" s="19">
        <v>29</v>
      </c>
      <c r="AE504" s="19">
        <v>29</v>
      </c>
      <c r="AF504" s="19">
        <v>35</v>
      </c>
      <c r="AG504" s="19">
        <v>38</v>
      </c>
      <c r="AH504" s="31">
        <v>4</v>
      </c>
      <c r="AI504" s="19">
        <v>4</v>
      </c>
      <c r="AJ504" s="19"/>
      <c r="AK504" s="408"/>
      <c r="AL504" s="19">
        <f t="shared" si="2866"/>
        <v>0</v>
      </c>
      <c r="AM504" s="19">
        <f t="shared" si="2923"/>
        <v>0</v>
      </c>
      <c r="AN504" s="19">
        <f t="shared" si="2888"/>
        <v>0</v>
      </c>
      <c r="AO504" s="19">
        <f t="shared" si="2889"/>
        <v>0</v>
      </c>
      <c r="AP504" s="129">
        <f t="shared" si="2890"/>
        <v>0</v>
      </c>
      <c r="AQ504" s="129">
        <f t="shared" si="2891"/>
        <v>0</v>
      </c>
      <c r="AR504" s="129">
        <f t="shared" si="2813"/>
        <v>0</v>
      </c>
      <c r="AS504" s="129">
        <f t="shared" si="2814"/>
        <v>3</v>
      </c>
      <c r="AT504" s="129">
        <f t="shared" si="2815"/>
        <v>21</v>
      </c>
      <c r="AU504" s="129">
        <f t="shared" si="2816"/>
        <v>0</v>
      </c>
      <c r="AV504" s="129">
        <f t="shared" si="2817"/>
        <v>0</v>
      </c>
      <c r="AW504" s="129">
        <f t="shared" si="2818"/>
        <v>18</v>
      </c>
      <c r="AX504" s="19">
        <f t="shared" si="2867"/>
        <v>7</v>
      </c>
      <c r="AY504" s="129">
        <f t="shared" si="2819"/>
        <v>2</v>
      </c>
      <c r="AZ504" s="129">
        <f t="shared" si="2820"/>
        <v>0</v>
      </c>
      <c r="BA504" s="129">
        <f t="shared" si="2892"/>
        <v>2</v>
      </c>
      <c r="BB504" s="129">
        <f t="shared" si="2821"/>
        <v>2</v>
      </c>
      <c r="BC504" s="129">
        <f t="shared" si="2822"/>
        <v>0</v>
      </c>
      <c r="BD504" s="129">
        <f t="shared" si="2823"/>
        <v>7</v>
      </c>
      <c r="BE504" s="129">
        <f t="shared" si="2824"/>
        <v>3</v>
      </c>
      <c r="BF504" s="129">
        <f t="shared" si="2825"/>
        <v>6</v>
      </c>
      <c r="BG504" s="129">
        <f t="shared" si="2826"/>
        <v>0</v>
      </c>
      <c r="BH504" s="129">
        <f t="shared" si="2827"/>
        <v>6</v>
      </c>
      <c r="BI504" s="129">
        <f t="shared" si="2828"/>
        <v>3</v>
      </c>
      <c r="BJ504" s="19">
        <f t="shared" si="2869"/>
        <v>4</v>
      </c>
      <c r="BK504" s="129">
        <f t="shared" si="2829"/>
        <v>0</v>
      </c>
      <c r="BL504" s="129">
        <f t="shared" si="2830"/>
        <v>0</v>
      </c>
      <c r="BM504" s="408"/>
      <c r="BN504" s="48">
        <f t="shared" si="2845"/>
        <v>0</v>
      </c>
      <c r="BO504" s="48">
        <f t="shared" si="2846"/>
        <v>0</v>
      </c>
      <c r="BP504" s="48">
        <f t="shared" si="2893"/>
        <v>0</v>
      </c>
      <c r="BQ504" s="48">
        <f t="shared" si="2848"/>
        <v>0</v>
      </c>
      <c r="BR504" s="48">
        <f t="shared" si="2849"/>
        <v>0</v>
      </c>
      <c r="BS504" s="48">
        <f t="shared" si="2894"/>
        <v>0</v>
      </c>
      <c r="BT504" s="48">
        <f t="shared" si="2851"/>
        <v>24</v>
      </c>
      <c r="BU504" s="48">
        <f t="shared" si="2852"/>
        <v>24</v>
      </c>
      <c r="BV504" s="48">
        <f t="shared" si="2895"/>
        <v>24</v>
      </c>
      <c r="BW504" s="48">
        <f t="shared" si="2896"/>
        <v>24</v>
      </c>
      <c r="BX504" s="48">
        <f t="shared" si="2897"/>
        <v>21</v>
      </c>
      <c r="BY504" s="48">
        <f t="shared" si="2898"/>
        <v>18</v>
      </c>
      <c r="BZ504" s="306">
        <f>SUM($AX504:AX504)</f>
        <v>7</v>
      </c>
      <c r="CA504" s="306">
        <f>SUM($AX504:AY504)</f>
        <v>9</v>
      </c>
      <c r="CB504" s="306">
        <f>SUM($AX504:AZ504)</f>
        <v>9</v>
      </c>
      <c r="CC504" s="306">
        <f>SUM($BA504:BA504)</f>
        <v>2</v>
      </c>
      <c r="CD504" s="306">
        <f>SUM($BA504:BB504)</f>
        <v>4</v>
      </c>
      <c r="CE504" s="306">
        <f>SUM($BA504:BC504)</f>
        <v>4</v>
      </c>
      <c r="CF504" s="306">
        <f>SUM($BD504:BD504)</f>
        <v>7</v>
      </c>
      <c r="CG504" s="306">
        <f>SUM($BD504:BE504)</f>
        <v>10</v>
      </c>
      <c r="CH504" s="306">
        <f>SUM($BD504:BF504)</f>
        <v>16</v>
      </c>
      <c r="CI504" s="306">
        <f>SUM($BG504:BG504)</f>
        <v>0</v>
      </c>
      <c r="CJ504" s="306">
        <f>SUM($BG504:BH504)</f>
        <v>6</v>
      </c>
      <c r="CK504" s="306">
        <f>SUM($BG504:BI504)</f>
        <v>9</v>
      </c>
      <c r="CL504" s="48">
        <f t="shared" si="2872"/>
        <v>4</v>
      </c>
      <c r="CM504" s="48">
        <f t="shared" si="2872"/>
        <v>4</v>
      </c>
      <c r="CN504" s="48"/>
      <c r="CO504" s="406"/>
      <c r="CP504" s="21">
        <f t="shared" si="2924"/>
        <v>0</v>
      </c>
      <c r="CQ504" s="21">
        <f t="shared" si="2925"/>
        <v>0</v>
      </c>
      <c r="CR504" s="21">
        <f t="shared" si="2899"/>
        <v>0</v>
      </c>
      <c r="CS504" s="21">
        <f t="shared" si="2900"/>
        <v>0</v>
      </c>
      <c r="CT504" s="21">
        <f t="shared" si="2901"/>
        <v>0</v>
      </c>
      <c r="CU504" s="21">
        <f t="shared" si="2902"/>
        <v>0</v>
      </c>
      <c r="CV504" s="21">
        <f t="shared" si="2903"/>
        <v>0</v>
      </c>
      <c r="CW504" s="21">
        <f t="shared" si="2904"/>
        <v>3</v>
      </c>
      <c r="CX504" s="21">
        <f t="shared" si="2905"/>
        <v>24</v>
      </c>
      <c r="CY504" s="21">
        <f t="shared" si="2906"/>
        <v>24</v>
      </c>
      <c r="CZ504" s="21">
        <f t="shared" si="2907"/>
        <v>24</v>
      </c>
      <c r="DA504" s="21">
        <f t="shared" si="2908"/>
        <v>42</v>
      </c>
      <c r="DB504" s="21">
        <f t="shared" si="2926"/>
        <v>7</v>
      </c>
      <c r="DC504" s="21">
        <f t="shared" si="2909"/>
        <v>9</v>
      </c>
      <c r="DD504" s="21">
        <f t="shared" si="2910"/>
        <v>9</v>
      </c>
      <c r="DE504" s="21">
        <f t="shared" si="2911"/>
        <v>11</v>
      </c>
      <c r="DF504" s="21">
        <f t="shared" si="2912"/>
        <v>13</v>
      </c>
      <c r="DG504" s="21">
        <f t="shared" si="2913"/>
        <v>13</v>
      </c>
      <c r="DH504" s="21">
        <f t="shared" si="2914"/>
        <v>20</v>
      </c>
      <c r="DI504" s="21">
        <f t="shared" si="2915"/>
        <v>23</v>
      </c>
      <c r="DJ504" s="21">
        <f t="shared" si="2916"/>
        <v>29</v>
      </c>
      <c r="DK504" s="21">
        <f t="shared" si="2917"/>
        <v>29</v>
      </c>
      <c r="DL504" s="21">
        <f t="shared" si="2918"/>
        <v>35</v>
      </c>
      <c r="DM504" s="21">
        <f t="shared" si="2919"/>
        <v>38</v>
      </c>
      <c r="DN504" s="21">
        <f t="shared" si="2920"/>
        <v>4</v>
      </c>
      <c r="DO504" s="21">
        <f t="shared" si="2921"/>
        <v>4</v>
      </c>
      <c r="DP504" s="21">
        <f t="shared" si="2922"/>
        <v>4</v>
      </c>
      <c r="DQ504" s="248"/>
      <c r="DR504" s="248"/>
      <c r="DS504" s="248"/>
      <c r="DT504" s="248"/>
      <c r="DU504" s="248"/>
      <c r="DV504" s="248"/>
      <c r="DW504" s="248"/>
      <c r="DX504" s="248"/>
      <c r="DY504" s="248"/>
      <c r="ED504" s="429"/>
      <c r="EE504" s="23"/>
      <c r="EF504" s="23"/>
      <c r="EG504" s="23"/>
      <c r="EH504" s="18">
        <f t="shared" si="2837"/>
        <v>0</v>
      </c>
      <c r="EI504" s="18">
        <f t="shared" si="2838"/>
        <v>4</v>
      </c>
      <c r="EJ504" s="18">
        <f t="shared" si="2839"/>
        <v>4</v>
      </c>
      <c r="EK504" s="24">
        <f t="shared" si="2876"/>
        <v>0.16666666666666666</v>
      </c>
      <c r="EL504" s="14" t="e">
        <f>EH504/EE479</f>
        <v>#DIV/0!</v>
      </c>
      <c r="EM504" s="14" t="e">
        <f>EI504/EF479</f>
        <v>#DIV/0!</v>
      </c>
      <c r="EN504" s="14">
        <f>EJ504/EG479</f>
        <v>5.4794548070320935E-2</v>
      </c>
      <c r="EO504" s="46" t="str">
        <f t="shared" si="2883"/>
        <v>Æ</v>
      </c>
      <c r="EP504" s="46" t="str">
        <f t="shared" si="2884"/>
        <v>Ç</v>
      </c>
      <c r="EQ504" s="2" t="e">
        <f t="shared" si="2842"/>
        <v>#DIV/0!</v>
      </c>
      <c r="ER504" s="2" t="e">
        <f t="shared" si="2843"/>
        <v>#DIV/0!</v>
      </c>
      <c r="ES504" s="2">
        <f t="shared" si="2844"/>
        <v>3</v>
      </c>
    </row>
    <row r="505" spans="1:149" ht="12.75" customHeight="1">
      <c r="A505" s="6" t="s">
        <v>23</v>
      </c>
      <c r="B505" s="2" t="s">
        <v>17</v>
      </c>
      <c r="C505" s="3" t="s">
        <v>69</v>
      </c>
      <c r="E505" s="3" t="s">
        <v>18</v>
      </c>
      <c r="G505" s="3" t="s">
        <v>91</v>
      </c>
      <c r="I505" s="23"/>
      <c r="J505" s="19">
        <v>0</v>
      </c>
      <c r="K505" s="19">
        <v>0</v>
      </c>
      <c r="L505" s="19">
        <v>2</v>
      </c>
      <c r="M505" s="19">
        <v>2</v>
      </c>
      <c r="N505" s="19">
        <v>2</v>
      </c>
      <c r="O505" s="19">
        <v>2</v>
      </c>
      <c r="P505" s="19">
        <v>4</v>
      </c>
      <c r="Q505" s="19">
        <v>4</v>
      </c>
      <c r="R505" s="246">
        <v>4</v>
      </c>
      <c r="S505" s="19">
        <v>4</v>
      </c>
      <c r="T505" s="19">
        <v>7</v>
      </c>
      <c r="U505" s="19">
        <v>7</v>
      </c>
      <c r="V505" s="31">
        <v>0</v>
      </c>
      <c r="W505" s="19">
        <v>2</v>
      </c>
      <c r="X505" s="19">
        <v>2</v>
      </c>
      <c r="Y505" s="361">
        <v>2</v>
      </c>
      <c r="Z505" s="19">
        <v>2</v>
      </c>
      <c r="AA505" s="19">
        <v>2</v>
      </c>
      <c r="AB505" s="19">
        <v>4</v>
      </c>
      <c r="AC505" s="19">
        <v>4</v>
      </c>
      <c r="AD505" s="19">
        <v>4</v>
      </c>
      <c r="AE505" s="19">
        <v>4</v>
      </c>
      <c r="AF505" s="19"/>
      <c r="AG505" s="19">
        <v>2</v>
      </c>
      <c r="AH505" s="31"/>
      <c r="AI505" s="19"/>
      <c r="AJ505" s="19"/>
      <c r="AK505" s="408"/>
      <c r="AL505" s="19">
        <f t="shared" si="2866"/>
        <v>0</v>
      </c>
      <c r="AM505" s="19">
        <f t="shared" si="2923"/>
        <v>0</v>
      </c>
      <c r="AN505" s="19">
        <f t="shared" si="2888"/>
        <v>2</v>
      </c>
      <c r="AO505" s="19">
        <f t="shared" si="2889"/>
        <v>0</v>
      </c>
      <c r="AP505" s="129">
        <f t="shared" si="2890"/>
        <v>0</v>
      </c>
      <c r="AQ505" s="129">
        <f t="shared" si="2891"/>
        <v>0</v>
      </c>
      <c r="AR505" s="129">
        <f t="shared" si="2813"/>
        <v>2</v>
      </c>
      <c r="AS505" s="129">
        <f t="shared" si="2814"/>
        <v>0</v>
      </c>
      <c r="AT505" s="129">
        <f t="shared" si="2815"/>
        <v>0</v>
      </c>
      <c r="AU505" s="129">
        <f t="shared" si="2816"/>
        <v>0</v>
      </c>
      <c r="AV505" s="129">
        <f t="shared" si="2817"/>
        <v>3</v>
      </c>
      <c r="AW505" s="129">
        <f t="shared" si="2818"/>
        <v>0</v>
      </c>
      <c r="AX505" s="19">
        <f t="shared" si="2867"/>
        <v>0</v>
      </c>
      <c r="AY505" s="129">
        <f t="shared" si="2819"/>
        <v>2</v>
      </c>
      <c r="AZ505" s="129">
        <f t="shared" si="2820"/>
        <v>0</v>
      </c>
      <c r="BA505" s="129">
        <f t="shared" si="2892"/>
        <v>0</v>
      </c>
      <c r="BB505" s="129">
        <f t="shared" si="2821"/>
        <v>0</v>
      </c>
      <c r="BC505" s="129">
        <f t="shared" si="2822"/>
        <v>0</v>
      </c>
      <c r="BD505" s="129">
        <f t="shared" si="2823"/>
        <v>2</v>
      </c>
      <c r="BE505" s="129">
        <f t="shared" si="2824"/>
        <v>0</v>
      </c>
      <c r="BF505" s="129">
        <f t="shared" si="2825"/>
        <v>0</v>
      </c>
      <c r="BG505" s="129">
        <f t="shared" si="2826"/>
        <v>0</v>
      </c>
      <c r="BH505" s="129">
        <f t="shared" si="2827"/>
        <v>0</v>
      </c>
      <c r="BI505" s="129">
        <f t="shared" si="2828"/>
        <v>2</v>
      </c>
      <c r="BJ505" s="19">
        <f t="shared" si="2869"/>
        <v>0</v>
      </c>
      <c r="BK505" s="129">
        <f t="shared" si="2829"/>
        <v>0</v>
      </c>
      <c r="BL505" s="129">
        <f t="shared" si="2830"/>
        <v>0</v>
      </c>
      <c r="BM505" s="408"/>
      <c r="BN505" s="48">
        <f t="shared" si="2845"/>
        <v>2</v>
      </c>
      <c r="BO505" s="48">
        <f t="shared" si="2846"/>
        <v>2</v>
      </c>
      <c r="BP505" s="48">
        <f t="shared" si="2893"/>
        <v>2</v>
      </c>
      <c r="BQ505" s="48">
        <f t="shared" si="2848"/>
        <v>0</v>
      </c>
      <c r="BR505" s="48">
        <f t="shared" si="2849"/>
        <v>0</v>
      </c>
      <c r="BS505" s="48">
        <f t="shared" si="2894"/>
        <v>0</v>
      </c>
      <c r="BT505" s="48">
        <f t="shared" si="2851"/>
        <v>2</v>
      </c>
      <c r="BU505" s="48">
        <f t="shared" si="2852"/>
        <v>2</v>
      </c>
      <c r="BV505" s="48">
        <f t="shared" si="2895"/>
        <v>2</v>
      </c>
      <c r="BW505" s="48">
        <f t="shared" si="2896"/>
        <v>0</v>
      </c>
      <c r="BX505" s="48">
        <f t="shared" si="2897"/>
        <v>3</v>
      </c>
      <c r="BY505" s="48">
        <f t="shared" si="2898"/>
        <v>3</v>
      </c>
      <c r="BZ505" s="48">
        <f>SUM(AV505:AX505)</f>
        <v>3</v>
      </c>
      <c r="CA505" s="48">
        <f>SUM(AW505:AY505)</f>
        <v>2</v>
      </c>
      <c r="CB505" s="48">
        <f>SUM(AX505:AZ505)</f>
        <v>2</v>
      </c>
      <c r="CC505" s="48">
        <f t="shared" si="2860"/>
        <v>0</v>
      </c>
      <c r="CD505" s="48">
        <f t="shared" si="2861"/>
        <v>0</v>
      </c>
      <c r="CE505" s="48">
        <f>SUM(BA505:BC505)</f>
        <v>0</v>
      </c>
      <c r="CF505" s="48">
        <f t="shared" si="2862"/>
        <v>2</v>
      </c>
      <c r="CG505" s="48">
        <f t="shared" si="2863"/>
        <v>2</v>
      </c>
      <c r="CH505" s="48">
        <f>SUM(BD505:BF505)</f>
        <v>2</v>
      </c>
      <c r="CI505" s="48">
        <f t="shared" si="2864"/>
        <v>2</v>
      </c>
      <c r="CJ505" s="48">
        <f t="shared" si="2865"/>
        <v>2</v>
      </c>
      <c r="CK505" s="48">
        <f>SUM(BG505:BI505)</f>
        <v>2</v>
      </c>
      <c r="CL505" s="48">
        <f t="shared" si="2872"/>
        <v>0</v>
      </c>
      <c r="CM505" s="48">
        <f t="shared" si="2872"/>
        <v>0</v>
      </c>
      <c r="CN505" s="48"/>
      <c r="CO505" s="406"/>
      <c r="CP505" s="21">
        <f t="shared" si="2924"/>
        <v>0</v>
      </c>
      <c r="CQ505" s="21">
        <f t="shared" si="2925"/>
        <v>0</v>
      </c>
      <c r="CR505" s="21">
        <f t="shared" si="2899"/>
        <v>2</v>
      </c>
      <c r="CS505" s="21">
        <f t="shared" si="2900"/>
        <v>2</v>
      </c>
      <c r="CT505" s="21">
        <f t="shared" si="2901"/>
        <v>2</v>
      </c>
      <c r="CU505" s="21">
        <f t="shared" si="2902"/>
        <v>2</v>
      </c>
      <c r="CV505" s="21">
        <f t="shared" si="2903"/>
        <v>4</v>
      </c>
      <c r="CW505" s="21">
        <f t="shared" si="2904"/>
        <v>4</v>
      </c>
      <c r="CX505" s="21">
        <f t="shared" si="2905"/>
        <v>4</v>
      </c>
      <c r="CY505" s="21">
        <f t="shared" si="2906"/>
        <v>4</v>
      </c>
      <c r="CZ505" s="21">
        <f t="shared" si="2907"/>
        <v>7</v>
      </c>
      <c r="DA505" s="21">
        <f t="shared" si="2908"/>
        <v>7</v>
      </c>
      <c r="DB505" s="21">
        <f t="shared" si="2926"/>
        <v>0</v>
      </c>
      <c r="DC505" s="21">
        <f t="shared" si="2909"/>
        <v>2</v>
      </c>
      <c r="DD505" s="21">
        <f t="shared" si="2910"/>
        <v>2</v>
      </c>
      <c r="DE505" s="21">
        <f t="shared" si="2911"/>
        <v>2</v>
      </c>
      <c r="DF505" s="21">
        <f t="shared" si="2912"/>
        <v>2</v>
      </c>
      <c r="DG505" s="21">
        <f t="shared" si="2913"/>
        <v>2</v>
      </c>
      <c r="DH505" s="21">
        <f t="shared" si="2914"/>
        <v>4</v>
      </c>
      <c r="DI505" s="21">
        <f t="shared" si="2915"/>
        <v>4</v>
      </c>
      <c r="DJ505" s="21">
        <f t="shared" si="2916"/>
        <v>4</v>
      </c>
      <c r="DK505" s="21">
        <f t="shared" si="2917"/>
        <v>4</v>
      </c>
      <c r="DL505" s="21">
        <f t="shared" si="2918"/>
        <v>4</v>
      </c>
      <c r="DM505" s="21">
        <f t="shared" si="2919"/>
        <v>6</v>
      </c>
      <c r="DN505" s="21">
        <f t="shared" si="2920"/>
        <v>0</v>
      </c>
      <c r="DO505" s="21">
        <f t="shared" si="2921"/>
        <v>0</v>
      </c>
      <c r="DP505" s="21">
        <f t="shared" si="2922"/>
        <v>0</v>
      </c>
      <c r="DQ505" s="248"/>
      <c r="DR505" s="248"/>
      <c r="DS505" s="248"/>
      <c r="DT505" s="248"/>
      <c r="DU505" s="248"/>
      <c r="DV505" s="248"/>
      <c r="DW505" s="248"/>
      <c r="DX505" s="248"/>
      <c r="DY505" s="248"/>
      <c r="ED505" s="429"/>
      <c r="EE505" s="23"/>
      <c r="EF505" s="23"/>
      <c r="EG505" s="23"/>
      <c r="EH505" s="18">
        <f t="shared" si="2837"/>
        <v>0</v>
      </c>
      <c r="EI505" s="18">
        <f t="shared" si="2838"/>
        <v>0</v>
      </c>
      <c r="EJ505" s="18">
        <f t="shared" si="2839"/>
        <v>0</v>
      </c>
      <c r="EK505" s="24">
        <f t="shared" si="2876"/>
        <v>0.16666666666666666</v>
      </c>
      <c r="EL505" s="14">
        <f>IF(EE480=0,0,EH505/EE480)</f>
        <v>0</v>
      </c>
      <c r="EM505" s="14" t="str">
        <f>IF(EF480=0,"",EI505/EF480)</f>
        <v/>
      </c>
      <c r="EN505" s="14">
        <f>EJ505/EG480</f>
        <v>0</v>
      </c>
      <c r="EO505" s="46" t="str">
        <f t="shared" si="2883"/>
        <v>Æ</v>
      </c>
      <c r="EP505" s="46" t="str">
        <f t="shared" si="2884"/>
        <v>Æ</v>
      </c>
      <c r="EQ505" s="24" t="str">
        <f>IF(EJ480&lt;&gt;0,EM505/EJ480,"N/A")</f>
        <v>N/A</v>
      </c>
      <c r="ER505" s="2">
        <f>IF(EM505&gt;=0.9,1,IF(EM505&gt;0.75,2,3))</f>
        <v>1</v>
      </c>
      <c r="ES505" s="2">
        <f>IF(EN505="","",IF(EN505&gt;=0.9,1,IF(EN505&lt;0.75,3,2)))</f>
        <v>3</v>
      </c>
    </row>
    <row r="506" spans="1:149" ht="12.75" customHeight="1">
      <c r="A506" s="6" t="s">
        <v>23</v>
      </c>
      <c r="B506" s="324" t="s">
        <v>202</v>
      </c>
      <c r="C506" s="3" t="s">
        <v>70</v>
      </c>
      <c r="E506" s="3" t="s">
        <v>15</v>
      </c>
      <c r="G506" s="3" t="s">
        <v>91</v>
      </c>
      <c r="I506" s="23"/>
      <c r="J506" s="19">
        <v>0</v>
      </c>
      <c r="K506" s="19">
        <v>0</v>
      </c>
      <c r="L506" s="19">
        <v>0</v>
      </c>
      <c r="M506" s="19">
        <v>0</v>
      </c>
      <c r="N506" s="19">
        <v>0</v>
      </c>
      <c r="O506" s="19">
        <v>0</v>
      </c>
      <c r="P506" s="19">
        <v>2</v>
      </c>
      <c r="Q506" s="19">
        <v>2</v>
      </c>
      <c r="R506" s="246">
        <v>2</v>
      </c>
      <c r="S506" s="19">
        <v>2</v>
      </c>
      <c r="T506" s="19">
        <v>2</v>
      </c>
      <c r="U506" s="19">
        <v>4</v>
      </c>
      <c r="V506" s="31">
        <v>0</v>
      </c>
      <c r="W506" s="19">
        <v>0</v>
      </c>
      <c r="X506" s="19">
        <v>0</v>
      </c>
      <c r="Y506" s="361">
        <v>0</v>
      </c>
      <c r="Z506" s="19">
        <v>0</v>
      </c>
      <c r="AA506" s="19">
        <v>0</v>
      </c>
      <c r="AB506" s="19">
        <v>0</v>
      </c>
      <c r="AC506" s="19">
        <v>2</v>
      </c>
      <c r="AD506" s="19">
        <v>2</v>
      </c>
      <c r="AE506" s="19">
        <v>2</v>
      </c>
      <c r="AF506" s="19">
        <v>2</v>
      </c>
      <c r="AG506" s="19"/>
      <c r="AH506" s="31"/>
      <c r="AI506" s="19"/>
      <c r="AJ506" s="19"/>
      <c r="AK506" s="408"/>
      <c r="AL506" s="40">
        <f t="shared" si="2866"/>
        <v>0</v>
      </c>
      <c r="AM506" s="40">
        <f t="shared" si="2923"/>
        <v>0</v>
      </c>
      <c r="AN506" s="40">
        <f t="shared" si="2888"/>
        <v>0</v>
      </c>
      <c r="AO506" s="40">
        <f t="shared" si="2889"/>
        <v>0</v>
      </c>
      <c r="AP506" s="40">
        <f t="shared" ref="AP506:AW506" si="2927">N506-M506</f>
        <v>0</v>
      </c>
      <c r="AQ506" s="40">
        <f t="shared" si="2927"/>
        <v>0</v>
      </c>
      <c r="AR506" s="40">
        <f t="shared" si="2927"/>
        <v>2</v>
      </c>
      <c r="AS506" s="40">
        <f t="shared" si="2927"/>
        <v>0</v>
      </c>
      <c r="AT506" s="40">
        <f t="shared" si="2927"/>
        <v>0</v>
      </c>
      <c r="AU506" s="40">
        <f t="shared" si="2927"/>
        <v>0</v>
      </c>
      <c r="AV506" s="40">
        <f t="shared" si="2927"/>
        <v>0</v>
      </c>
      <c r="AW506" s="40">
        <f t="shared" si="2927"/>
        <v>2</v>
      </c>
      <c r="AX506" s="40">
        <f t="shared" si="2867"/>
        <v>0</v>
      </c>
      <c r="AY506" s="40">
        <f t="shared" ref="AY506:BL507" si="2928">W506-V506</f>
        <v>0</v>
      </c>
      <c r="AZ506" s="40">
        <f t="shared" si="2928"/>
        <v>0</v>
      </c>
      <c r="BA506" s="40">
        <f t="shared" si="2928"/>
        <v>0</v>
      </c>
      <c r="BB506" s="40">
        <f t="shared" si="2928"/>
        <v>0</v>
      </c>
      <c r="BC506" s="40">
        <f t="shared" si="2928"/>
        <v>0</v>
      </c>
      <c r="BD506" s="40">
        <f t="shared" si="2928"/>
        <v>0</v>
      </c>
      <c r="BE506" s="40">
        <f t="shared" si="2928"/>
        <v>2</v>
      </c>
      <c r="BF506" s="40">
        <f t="shared" si="2928"/>
        <v>0</v>
      </c>
      <c r="BG506" s="40">
        <f t="shared" si="2928"/>
        <v>0</v>
      </c>
      <c r="BH506" s="40">
        <f t="shared" si="2928"/>
        <v>0</v>
      </c>
      <c r="BI506" s="40">
        <f t="shared" si="2928"/>
        <v>-2</v>
      </c>
      <c r="BJ506" s="40">
        <f t="shared" si="2928"/>
        <v>0</v>
      </c>
      <c r="BK506" s="40">
        <f t="shared" si="2928"/>
        <v>0</v>
      </c>
      <c r="BL506" s="40">
        <f t="shared" si="2928"/>
        <v>0</v>
      </c>
      <c r="BM506" s="408"/>
      <c r="BN506" s="48">
        <f t="shared" si="2845"/>
        <v>0</v>
      </c>
      <c r="BO506" s="48">
        <f t="shared" si="2846"/>
        <v>0</v>
      </c>
      <c r="BP506" s="48">
        <f>SUM(AL506:AN506)</f>
        <v>0</v>
      </c>
      <c r="BQ506" s="48">
        <f t="shared" si="2848"/>
        <v>0</v>
      </c>
      <c r="BR506" s="48">
        <f t="shared" si="2849"/>
        <v>0</v>
      </c>
      <c r="BS506" s="48">
        <f>SUM(AO506:AQ506)</f>
        <v>0</v>
      </c>
      <c r="BT506" s="48">
        <f t="shared" si="2851"/>
        <v>2</v>
      </c>
      <c r="BU506" s="48">
        <f t="shared" si="2852"/>
        <v>2</v>
      </c>
      <c r="BV506" s="48">
        <f>SUM(AR506:AT506)</f>
        <v>2</v>
      </c>
      <c r="BW506" s="48">
        <f>BY506</f>
        <v>2</v>
      </c>
      <c r="BX506" s="48">
        <f>BY506</f>
        <v>2</v>
      </c>
      <c r="BY506" s="48">
        <f>SUM(AU506:AW506)</f>
        <v>2</v>
      </c>
      <c r="BZ506" s="48">
        <f>CB506</f>
        <v>0</v>
      </c>
      <c r="CA506" s="48">
        <f>CB506</f>
        <v>0</v>
      </c>
      <c r="CB506" s="48">
        <f>SUM(AX506:AZ506)</f>
        <v>0</v>
      </c>
      <c r="CC506" s="48">
        <f t="shared" si="2860"/>
        <v>0</v>
      </c>
      <c r="CD506" s="48">
        <f t="shared" si="2861"/>
        <v>0</v>
      </c>
      <c r="CE506" s="48">
        <f>SUM(BA506:BC506)</f>
        <v>0</v>
      </c>
      <c r="CF506" s="48">
        <f t="shared" si="2862"/>
        <v>2</v>
      </c>
      <c r="CG506" s="48">
        <f t="shared" si="2863"/>
        <v>2</v>
      </c>
      <c r="CH506" s="48">
        <f>SUM(BD506:BF506)</f>
        <v>2</v>
      </c>
      <c r="CI506" s="48">
        <f t="shared" si="2864"/>
        <v>-2</v>
      </c>
      <c r="CJ506" s="48">
        <f t="shared" si="2865"/>
        <v>-2</v>
      </c>
      <c r="CK506" s="48">
        <f>SUM(BG506:BI506)</f>
        <v>-2</v>
      </c>
      <c r="CL506" s="48">
        <f t="shared" si="2872"/>
        <v>0</v>
      </c>
      <c r="CM506" s="48">
        <f t="shared" si="2872"/>
        <v>0</v>
      </c>
      <c r="CN506" s="48">
        <f>SUM(BJ506:BL506)</f>
        <v>0</v>
      </c>
      <c r="CO506" s="406"/>
      <c r="CP506" s="48">
        <f t="shared" si="2924"/>
        <v>0</v>
      </c>
      <c r="CQ506" s="48">
        <f t="shared" si="2925"/>
        <v>0</v>
      </c>
      <c r="CR506" s="48">
        <f t="shared" si="2899"/>
        <v>0</v>
      </c>
      <c r="CS506" s="48">
        <f t="shared" si="2900"/>
        <v>0</v>
      </c>
      <c r="CT506" s="48">
        <f t="shared" si="2901"/>
        <v>0</v>
      </c>
      <c r="CU506" s="48">
        <f t="shared" si="2902"/>
        <v>0</v>
      </c>
      <c r="CV506" s="48">
        <f t="shared" si="2903"/>
        <v>2</v>
      </c>
      <c r="CW506" s="48">
        <f t="shared" si="2904"/>
        <v>2</v>
      </c>
      <c r="CX506" s="48">
        <f t="shared" si="2905"/>
        <v>2</v>
      </c>
      <c r="CY506" s="48">
        <f t="shared" si="2906"/>
        <v>2</v>
      </c>
      <c r="CZ506" s="48">
        <f t="shared" si="2907"/>
        <v>2</v>
      </c>
      <c r="DA506" s="48">
        <f t="shared" si="2908"/>
        <v>4</v>
      </c>
      <c r="DB506" s="48">
        <f t="shared" si="2926"/>
        <v>0</v>
      </c>
      <c r="DC506" s="48">
        <f t="shared" si="2909"/>
        <v>0</v>
      </c>
      <c r="DD506" s="48">
        <f t="shared" si="2910"/>
        <v>0</v>
      </c>
      <c r="DE506" s="48">
        <f t="shared" si="2911"/>
        <v>0</v>
      </c>
      <c r="DF506" s="48">
        <f t="shared" si="2912"/>
        <v>0</v>
      </c>
      <c r="DG506" s="48">
        <f t="shared" si="2913"/>
        <v>0</v>
      </c>
      <c r="DH506" s="48">
        <f t="shared" si="2914"/>
        <v>0</v>
      </c>
      <c r="DI506" s="48">
        <f t="shared" si="2915"/>
        <v>2</v>
      </c>
      <c r="DJ506" s="48">
        <f t="shared" si="2916"/>
        <v>2</v>
      </c>
      <c r="DK506" s="48">
        <f t="shared" si="2917"/>
        <v>2</v>
      </c>
      <c r="DL506" s="48">
        <f t="shared" si="2918"/>
        <v>2</v>
      </c>
      <c r="DM506" s="48">
        <f t="shared" si="2919"/>
        <v>0</v>
      </c>
      <c r="DN506" s="48">
        <f>DM506+BJ506</f>
        <v>0</v>
      </c>
      <c r="DO506" s="48">
        <f t="shared" si="2921"/>
        <v>0</v>
      </c>
      <c r="DP506" s="48">
        <f t="shared" si="2922"/>
        <v>0</v>
      </c>
      <c r="DQ506" s="48"/>
      <c r="DR506" s="48"/>
      <c r="DS506" s="48"/>
      <c r="DT506" s="48"/>
      <c r="DU506" s="48"/>
      <c r="DV506" s="48"/>
      <c r="DW506" s="48"/>
      <c r="DX506" s="48"/>
      <c r="DY506" s="48"/>
      <c r="ED506" s="429"/>
      <c r="EE506" s="23"/>
      <c r="EF506" s="23"/>
      <c r="EG506" s="23"/>
      <c r="EH506" s="18">
        <f t="shared" si="2837"/>
        <v>0</v>
      </c>
      <c r="EI506" s="18">
        <f t="shared" si="2838"/>
        <v>0</v>
      </c>
      <c r="EJ506" s="18">
        <f t="shared" si="2839"/>
        <v>0</v>
      </c>
      <c r="EK506" s="24">
        <f>IF(EK464&lt;6,0.5,IF(AND(EK464&gt;=6,EK464&lt;12),0.5,1))</f>
        <v>0.5</v>
      </c>
      <c r="EL506" s="14">
        <f>IF(EE481=0,0,EH506/EE481)</f>
        <v>0</v>
      </c>
      <c r="EM506" s="14">
        <f>IF(EF481=0,0,EI506/EF481)</f>
        <v>0</v>
      </c>
      <c r="EN506" s="14">
        <f>IF(EG481="","",EJ506/EG481)</f>
        <v>0</v>
      </c>
      <c r="EO506" s="46" t="str">
        <f t="shared" si="2883"/>
        <v>Æ</v>
      </c>
      <c r="EP506" s="46" t="str">
        <f t="shared" si="2884"/>
        <v>Ç</v>
      </c>
      <c r="EQ506" s="24" t="str">
        <f>IF(EJ481&lt;&gt;0,EM506/EJ481,"N/A")</f>
        <v>N/A</v>
      </c>
      <c r="ER506" s="24" t="str">
        <f>IF(EK481&lt;&gt;0,EN506/EK481,"N/A")</f>
        <v>N/A</v>
      </c>
      <c r="ES506" s="2">
        <f>IF(EN506="","",IF(EN506&gt;=0.9,1,IF(EN506&lt;0.75,3,2)))</f>
        <v>3</v>
      </c>
    </row>
    <row r="507" spans="1:149" ht="12.75" customHeight="1">
      <c r="A507" s="6" t="s">
        <v>23</v>
      </c>
      <c r="B507" s="2" t="s">
        <v>13</v>
      </c>
      <c r="C507" s="3" t="s">
        <v>71</v>
      </c>
      <c r="E507" s="3" t="s">
        <v>15</v>
      </c>
      <c r="G507" s="3" t="s">
        <v>91</v>
      </c>
      <c r="I507" s="23"/>
      <c r="J507" s="19">
        <v>0</v>
      </c>
      <c r="K507" s="19">
        <f>J507</f>
        <v>0</v>
      </c>
      <c r="L507" s="19">
        <v>0</v>
      </c>
      <c r="M507" s="19">
        <f>L507</f>
        <v>0</v>
      </c>
      <c r="N507" s="19">
        <v>0</v>
      </c>
      <c r="O507" s="19">
        <v>8111.33</v>
      </c>
      <c r="P507" s="263">
        <v>16397.05</v>
      </c>
      <c r="Q507" s="263">
        <f>P507</f>
        <v>16397.05</v>
      </c>
      <c r="R507" s="263">
        <f>Q507</f>
        <v>16397.05</v>
      </c>
      <c r="S507" s="19">
        <v>16397</v>
      </c>
      <c r="T507" s="19">
        <v>16397</v>
      </c>
      <c r="U507" s="19">
        <v>16397</v>
      </c>
      <c r="V507" s="31">
        <v>0</v>
      </c>
      <c r="W507" s="19">
        <v>0</v>
      </c>
      <c r="X507" s="19">
        <v>0</v>
      </c>
      <c r="Y507" s="361">
        <v>0</v>
      </c>
      <c r="Z507" s="19">
        <v>0</v>
      </c>
      <c r="AA507" s="19">
        <v>0</v>
      </c>
      <c r="AB507" s="263">
        <v>34172.97</v>
      </c>
      <c r="AC507" s="19">
        <v>0</v>
      </c>
      <c r="AD507" s="19">
        <v>0</v>
      </c>
      <c r="AE507" s="19">
        <v>0</v>
      </c>
      <c r="AF507" s="19">
        <v>0</v>
      </c>
      <c r="AG507" s="19"/>
      <c r="AH507" s="404">
        <v>27493.29</v>
      </c>
      <c r="AI507" s="19"/>
      <c r="AJ507" s="19"/>
      <c r="AK507" s="408"/>
      <c r="AL507" s="19">
        <f t="shared" si="2866"/>
        <v>0</v>
      </c>
      <c r="AM507" s="19"/>
      <c r="AN507" s="19"/>
      <c r="AO507" s="19"/>
      <c r="AP507" s="19"/>
      <c r="AQ507" s="19">
        <f t="shared" si="2891"/>
        <v>8111.33</v>
      </c>
      <c r="AR507" s="19">
        <f t="shared" si="2813"/>
        <v>8285.7199999999993</v>
      </c>
      <c r="AS507" s="19">
        <f t="shared" si="2814"/>
        <v>0</v>
      </c>
      <c r="AT507" s="19"/>
      <c r="AU507" s="19"/>
      <c r="AV507" s="19">
        <f t="shared" si="2817"/>
        <v>0</v>
      </c>
      <c r="AW507" s="19">
        <f t="shared" si="2818"/>
        <v>0</v>
      </c>
      <c r="AX507" s="19">
        <f t="shared" si="2867"/>
        <v>0</v>
      </c>
      <c r="AY507" s="19">
        <f t="shared" si="2819"/>
        <v>0</v>
      </c>
      <c r="AZ507" s="19">
        <f t="shared" si="2820"/>
        <v>0</v>
      </c>
      <c r="BA507" s="19">
        <f>IF(Y507&lt;&gt;"",Y507-X507,0)</f>
        <v>0</v>
      </c>
      <c r="BB507" s="19">
        <f t="shared" si="2928"/>
        <v>0</v>
      </c>
      <c r="BC507" s="19">
        <f t="shared" si="2928"/>
        <v>0</v>
      </c>
      <c r="BD507" s="19">
        <f t="shared" si="2928"/>
        <v>34172.97</v>
      </c>
      <c r="BE507" s="19">
        <f t="shared" si="2928"/>
        <v>-34172.97</v>
      </c>
      <c r="BF507" s="19">
        <f t="shared" si="2928"/>
        <v>0</v>
      </c>
      <c r="BG507" s="19">
        <f t="shared" si="2928"/>
        <v>0</v>
      </c>
      <c r="BH507" s="19">
        <f t="shared" si="2928"/>
        <v>0</v>
      </c>
      <c r="BI507" s="19">
        <f t="shared" si="2928"/>
        <v>0</v>
      </c>
      <c r="BJ507" s="19"/>
      <c r="BK507" s="19"/>
      <c r="BL507" s="19"/>
      <c r="BM507" s="408"/>
      <c r="BN507" s="40" t="s">
        <v>97</v>
      </c>
      <c r="BO507" s="40" t="s">
        <v>97</v>
      </c>
      <c r="BP507" s="40" t="s">
        <v>97</v>
      </c>
      <c r="BQ507" s="40" t="s">
        <v>97</v>
      </c>
      <c r="BR507" s="40" t="s">
        <v>97</v>
      </c>
      <c r="BS507" s="40" t="s">
        <v>97</v>
      </c>
      <c r="BT507" s="40" t="s">
        <v>97</v>
      </c>
      <c r="BU507" s="40" t="s">
        <v>97</v>
      </c>
      <c r="BV507" s="40" t="s">
        <v>97</v>
      </c>
      <c r="BW507" s="40" t="s">
        <v>97</v>
      </c>
      <c r="BX507" s="40" t="s">
        <v>97</v>
      </c>
      <c r="BY507" s="40" t="s">
        <v>97</v>
      </c>
      <c r="BZ507" s="40" t="s">
        <v>97</v>
      </c>
      <c r="CA507" s="40" t="s">
        <v>97</v>
      </c>
      <c r="CB507" s="40" t="s">
        <v>97</v>
      </c>
      <c r="CC507" s="40" t="s">
        <v>97</v>
      </c>
      <c r="CD507" s="40" t="s">
        <v>97</v>
      </c>
      <c r="CE507" s="40" t="s">
        <v>97</v>
      </c>
      <c r="CF507" s="40" t="s">
        <v>97</v>
      </c>
      <c r="CG507" s="40" t="s">
        <v>97</v>
      </c>
      <c r="CH507" s="40" t="s">
        <v>97</v>
      </c>
      <c r="CI507" s="40" t="s">
        <v>97</v>
      </c>
      <c r="CJ507" s="40" t="s">
        <v>97</v>
      </c>
      <c r="CK507" s="40">
        <v>0</v>
      </c>
      <c r="CL507" s="48">
        <f t="shared" si="2872"/>
        <v>27493.29</v>
      </c>
      <c r="CM507" s="48">
        <f t="shared" si="2872"/>
        <v>0</v>
      </c>
      <c r="CN507" s="40"/>
      <c r="CO507" s="408"/>
      <c r="CP507" s="21">
        <f t="shared" ref="CP507:CY508" si="2929">J507</f>
        <v>0</v>
      </c>
      <c r="CQ507" s="21">
        <f t="shared" si="2929"/>
        <v>0</v>
      </c>
      <c r="CR507" s="21">
        <f t="shared" si="2929"/>
        <v>0</v>
      </c>
      <c r="CS507" s="21">
        <f t="shared" si="2929"/>
        <v>0</v>
      </c>
      <c r="CT507" s="21">
        <f t="shared" si="2929"/>
        <v>0</v>
      </c>
      <c r="CU507" s="21">
        <f t="shared" si="2929"/>
        <v>8111.33</v>
      </c>
      <c r="CV507" s="21">
        <f t="shared" si="2929"/>
        <v>16397.05</v>
      </c>
      <c r="CW507" s="21">
        <f t="shared" si="2929"/>
        <v>16397.05</v>
      </c>
      <c r="CX507" s="21">
        <f t="shared" si="2929"/>
        <v>16397.05</v>
      </c>
      <c r="CY507" s="21">
        <f t="shared" si="2929"/>
        <v>16397</v>
      </c>
      <c r="CZ507" s="21">
        <f t="shared" ref="CZ507:DI508" si="2930">T507</f>
        <v>16397</v>
      </c>
      <c r="DA507" s="21">
        <f t="shared" si="2930"/>
        <v>16397</v>
      </c>
      <c r="DB507" s="21">
        <f t="shared" si="2930"/>
        <v>0</v>
      </c>
      <c r="DC507" s="21">
        <f t="shared" si="2930"/>
        <v>0</v>
      </c>
      <c r="DD507" s="21">
        <f t="shared" si="2930"/>
        <v>0</v>
      </c>
      <c r="DE507" s="21">
        <f t="shared" si="2930"/>
        <v>0</v>
      </c>
      <c r="DF507" s="21">
        <f t="shared" si="2930"/>
        <v>0</v>
      </c>
      <c r="DG507" s="21">
        <f t="shared" si="2930"/>
        <v>0</v>
      </c>
      <c r="DH507" s="21">
        <f t="shared" si="2930"/>
        <v>34172.97</v>
      </c>
      <c r="DI507" s="21">
        <f t="shared" si="2930"/>
        <v>0</v>
      </c>
      <c r="DJ507" s="21">
        <f t="shared" ref="DJ507:DP508" si="2931">AD507</f>
        <v>0</v>
      </c>
      <c r="DK507" s="21">
        <f t="shared" si="2931"/>
        <v>0</v>
      </c>
      <c r="DL507" s="21">
        <f t="shared" si="2931"/>
        <v>0</v>
      </c>
      <c r="DM507" s="21">
        <f t="shared" si="2931"/>
        <v>0</v>
      </c>
      <c r="DN507" s="21">
        <f t="shared" si="2931"/>
        <v>27493.29</v>
      </c>
      <c r="DO507" s="21">
        <f t="shared" si="2931"/>
        <v>0</v>
      </c>
      <c r="DP507" s="21">
        <f t="shared" si="2931"/>
        <v>0</v>
      </c>
      <c r="DQ507" s="248"/>
      <c r="DR507" s="248"/>
      <c r="DS507" s="248"/>
      <c r="DT507" s="248"/>
      <c r="DU507" s="248"/>
      <c r="DV507" s="248"/>
      <c r="DW507" s="248"/>
      <c r="DX507" s="248"/>
      <c r="DY507" s="248"/>
      <c r="ED507" s="429"/>
      <c r="EE507" s="23"/>
      <c r="EF507" s="23"/>
      <c r="EG507" s="23"/>
      <c r="EH507" s="24" t="s">
        <v>97</v>
      </c>
      <c r="EI507" s="24" t="s">
        <v>97</v>
      </c>
      <c r="EJ507" s="18">
        <f t="shared" si="2839"/>
        <v>0</v>
      </c>
      <c r="EK507" s="24">
        <f t="shared" si="2876"/>
        <v>0.16666666666666666</v>
      </c>
      <c r="EL507" s="24" t="s">
        <v>97</v>
      </c>
      <c r="EM507" s="24" t="s">
        <v>97</v>
      </c>
      <c r="EN507" s="24">
        <f>EJ507/EG482</f>
        <v>0</v>
      </c>
      <c r="EO507" s="46" t="str">
        <f t="shared" si="2883"/>
        <v>Æ</v>
      </c>
      <c r="EP507" s="46" t="str">
        <f t="shared" si="2884"/>
        <v>Æ</v>
      </c>
      <c r="EQ507" s="24" t="s">
        <v>97</v>
      </c>
      <c r="ER507" s="24" t="s">
        <v>97</v>
      </c>
      <c r="ES507" s="2">
        <f>IF(EN507&gt;=0.9,1,IF(EN507&lt;0.75,2,3))</f>
        <v>2</v>
      </c>
    </row>
    <row r="508" spans="1:149" ht="12.75" customHeight="1" thickBot="1">
      <c r="A508" s="6" t="s">
        <v>23</v>
      </c>
      <c r="B508" s="2" t="s">
        <v>14</v>
      </c>
      <c r="C508" s="3" t="s">
        <v>72</v>
      </c>
      <c r="E508" s="3" t="s">
        <v>15</v>
      </c>
      <c r="G508" s="3" t="s">
        <v>91</v>
      </c>
      <c r="I508" s="23"/>
      <c r="J508" s="19">
        <v>0</v>
      </c>
      <c r="K508" s="19">
        <f>J508</f>
        <v>0</v>
      </c>
      <c r="L508" s="19">
        <v>0</v>
      </c>
      <c r="M508" s="19">
        <f>L508</f>
        <v>0</v>
      </c>
      <c r="N508" s="19">
        <v>0</v>
      </c>
      <c r="O508" s="19">
        <f>7355.16+4137.27</f>
        <v>11492.43</v>
      </c>
      <c r="P508" s="263">
        <f>15131.84+8511.66</f>
        <v>23643.5</v>
      </c>
      <c r="Q508" s="263">
        <f>P508</f>
        <v>23643.5</v>
      </c>
      <c r="R508" s="263">
        <f>Q508</f>
        <v>23643.5</v>
      </c>
      <c r="S508" s="19">
        <v>23644</v>
      </c>
      <c r="T508" s="19">
        <v>23644</v>
      </c>
      <c r="U508" s="19">
        <v>23644</v>
      </c>
      <c r="V508" s="34">
        <v>0</v>
      </c>
      <c r="W508" s="19">
        <v>0</v>
      </c>
      <c r="X508" s="19">
        <v>0</v>
      </c>
      <c r="Y508" s="361">
        <v>0</v>
      </c>
      <c r="Z508" s="19">
        <v>0</v>
      </c>
      <c r="AA508" s="19">
        <v>0</v>
      </c>
      <c r="AB508" s="263">
        <v>53756.23</v>
      </c>
      <c r="AC508" s="19">
        <v>0</v>
      </c>
      <c r="AD508" s="19">
        <v>0</v>
      </c>
      <c r="AE508" s="19">
        <v>0</v>
      </c>
      <c r="AF508" s="19">
        <v>0</v>
      </c>
      <c r="AG508" s="19"/>
      <c r="AH508" s="387">
        <v>23249.35</v>
      </c>
      <c r="AI508" s="19"/>
      <c r="AJ508" s="19"/>
      <c r="AK508" s="408"/>
      <c r="AL508" s="19">
        <f t="shared" si="2866"/>
        <v>0</v>
      </c>
      <c r="AM508" s="19"/>
      <c r="AN508" s="19"/>
      <c r="AO508" s="19"/>
      <c r="AP508" s="19"/>
      <c r="AQ508" s="19">
        <f t="shared" si="2891"/>
        <v>11492.43</v>
      </c>
      <c r="AR508" s="19">
        <f t="shared" si="2813"/>
        <v>12151.07</v>
      </c>
      <c r="AS508" s="19">
        <f t="shared" si="2814"/>
        <v>0</v>
      </c>
      <c r="AT508" s="19"/>
      <c r="AU508" s="19"/>
      <c r="AV508" s="19">
        <f t="shared" si="2817"/>
        <v>0</v>
      </c>
      <c r="AW508" s="19">
        <f t="shared" si="2818"/>
        <v>0</v>
      </c>
      <c r="AX508" s="19">
        <f t="shared" si="2867"/>
        <v>0</v>
      </c>
      <c r="AY508" s="19">
        <f t="shared" si="2819"/>
        <v>0</v>
      </c>
      <c r="AZ508" s="19">
        <f t="shared" si="2820"/>
        <v>0</v>
      </c>
      <c r="BA508" s="19">
        <f>IF(Y508&lt;&gt;"",Y508-X508,0)</f>
        <v>0</v>
      </c>
      <c r="BB508" s="19"/>
      <c r="BC508" s="19"/>
      <c r="BD508" s="19"/>
      <c r="BE508" s="19"/>
      <c r="BF508" s="19"/>
      <c r="BG508" s="19"/>
      <c r="BH508" s="19"/>
      <c r="BI508" s="19"/>
      <c r="BJ508" s="19"/>
      <c r="BK508" s="19"/>
      <c r="BL508" s="19"/>
      <c r="BM508" s="408"/>
      <c r="BN508" s="40" t="s">
        <v>97</v>
      </c>
      <c r="BO508" s="40" t="s">
        <v>97</v>
      </c>
      <c r="BP508" s="40" t="s">
        <v>97</v>
      </c>
      <c r="BQ508" s="40" t="s">
        <v>97</v>
      </c>
      <c r="BR508" s="40" t="s">
        <v>97</v>
      </c>
      <c r="BS508" s="40" t="s">
        <v>97</v>
      </c>
      <c r="BT508" s="40" t="s">
        <v>97</v>
      </c>
      <c r="BU508" s="40" t="s">
        <v>97</v>
      </c>
      <c r="BV508" s="40" t="s">
        <v>97</v>
      </c>
      <c r="BW508" s="40" t="s">
        <v>97</v>
      </c>
      <c r="BX508" s="40" t="s">
        <v>97</v>
      </c>
      <c r="BY508" s="40" t="s">
        <v>97</v>
      </c>
      <c r="BZ508" s="40" t="s">
        <v>97</v>
      </c>
      <c r="CA508" s="40" t="s">
        <v>97</v>
      </c>
      <c r="CB508" s="40" t="s">
        <v>97</v>
      </c>
      <c r="CC508" s="40" t="s">
        <v>97</v>
      </c>
      <c r="CD508" s="40" t="s">
        <v>97</v>
      </c>
      <c r="CE508" s="40" t="s">
        <v>97</v>
      </c>
      <c r="CF508" s="40" t="s">
        <v>97</v>
      </c>
      <c r="CG508" s="40" t="s">
        <v>97</v>
      </c>
      <c r="CH508" s="40" t="s">
        <v>97</v>
      </c>
      <c r="CI508" s="40" t="s">
        <v>97</v>
      </c>
      <c r="CJ508" s="40" t="s">
        <v>97</v>
      </c>
      <c r="CK508" s="40">
        <v>0</v>
      </c>
      <c r="CL508" s="48">
        <f t="shared" si="2872"/>
        <v>23249.35</v>
      </c>
      <c r="CM508" s="48">
        <f t="shared" si="2872"/>
        <v>0</v>
      </c>
      <c r="CN508" s="40"/>
      <c r="CO508" s="408"/>
      <c r="CP508" s="21">
        <f t="shared" si="2929"/>
        <v>0</v>
      </c>
      <c r="CQ508" s="21">
        <f t="shared" si="2929"/>
        <v>0</v>
      </c>
      <c r="CR508" s="21">
        <f t="shared" si="2929"/>
        <v>0</v>
      </c>
      <c r="CS508" s="21">
        <f t="shared" si="2929"/>
        <v>0</v>
      </c>
      <c r="CT508" s="21">
        <f t="shared" si="2929"/>
        <v>0</v>
      </c>
      <c r="CU508" s="21">
        <f t="shared" si="2929"/>
        <v>11492.43</v>
      </c>
      <c r="CV508" s="21">
        <f t="shared" si="2929"/>
        <v>23643.5</v>
      </c>
      <c r="CW508" s="21">
        <f t="shared" si="2929"/>
        <v>23643.5</v>
      </c>
      <c r="CX508" s="21">
        <f t="shared" si="2929"/>
        <v>23643.5</v>
      </c>
      <c r="CY508" s="21">
        <f t="shared" si="2929"/>
        <v>23644</v>
      </c>
      <c r="CZ508" s="21">
        <f t="shared" si="2930"/>
        <v>23644</v>
      </c>
      <c r="DA508" s="21">
        <f t="shared" si="2930"/>
        <v>23644</v>
      </c>
      <c r="DB508" s="21">
        <f t="shared" si="2930"/>
        <v>0</v>
      </c>
      <c r="DC508" s="21">
        <f t="shared" si="2930"/>
        <v>0</v>
      </c>
      <c r="DD508" s="21">
        <f t="shared" si="2930"/>
        <v>0</v>
      </c>
      <c r="DE508" s="21">
        <f t="shared" si="2930"/>
        <v>0</v>
      </c>
      <c r="DF508" s="21">
        <f t="shared" si="2930"/>
        <v>0</v>
      </c>
      <c r="DG508" s="21">
        <f t="shared" si="2930"/>
        <v>0</v>
      </c>
      <c r="DH508" s="21">
        <f t="shared" si="2930"/>
        <v>53756.23</v>
      </c>
      <c r="DI508" s="21">
        <f t="shared" si="2930"/>
        <v>0</v>
      </c>
      <c r="DJ508" s="21">
        <f t="shared" si="2931"/>
        <v>0</v>
      </c>
      <c r="DK508" s="21">
        <f t="shared" si="2931"/>
        <v>0</v>
      </c>
      <c r="DL508" s="21">
        <f t="shared" si="2931"/>
        <v>0</v>
      </c>
      <c r="DM508" s="21">
        <f t="shared" si="2931"/>
        <v>0</v>
      </c>
      <c r="DN508" s="21">
        <f t="shared" si="2931"/>
        <v>23249.35</v>
      </c>
      <c r="DO508" s="21">
        <f t="shared" si="2931"/>
        <v>0</v>
      </c>
      <c r="DP508" s="21">
        <f t="shared" si="2931"/>
        <v>0</v>
      </c>
      <c r="DQ508" s="248"/>
      <c r="DR508" s="248"/>
      <c r="DS508" s="248"/>
      <c r="DT508" s="248"/>
      <c r="DU508" s="248"/>
      <c r="DV508" s="248"/>
      <c r="DW508" s="248"/>
      <c r="DX508" s="248"/>
      <c r="DY508" s="248"/>
      <c r="ED508" s="429"/>
      <c r="EE508" s="23"/>
      <c r="EF508" s="23"/>
      <c r="EG508" s="23"/>
      <c r="EH508" s="24" t="s">
        <v>97</v>
      </c>
      <c r="EI508" s="24" t="s">
        <v>97</v>
      </c>
      <c r="EJ508" s="18">
        <f t="shared" si="2839"/>
        <v>0</v>
      </c>
      <c r="EK508" s="24">
        <f t="shared" si="2876"/>
        <v>0.16666666666666666</v>
      </c>
      <c r="EL508" s="24" t="s">
        <v>97</v>
      </c>
      <c r="EM508" s="24" t="s">
        <v>97</v>
      </c>
      <c r="EN508" s="24">
        <f>EJ508/EG483</f>
        <v>0</v>
      </c>
      <c r="EO508" s="46" t="str">
        <f t="shared" si="2883"/>
        <v>Æ</v>
      </c>
      <c r="EP508" s="46" t="str">
        <f t="shared" si="2884"/>
        <v>Æ</v>
      </c>
      <c r="EQ508" s="24" t="s">
        <v>97</v>
      </c>
      <c r="ER508" s="24" t="s">
        <v>97</v>
      </c>
      <c r="ES508" s="2">
        <f>IF(EN508&gt;=0.9,1,IF(EN508&lt;0.75,2,3))</f>
        <v>2</v>
      </c>
    </row>
    <row r="509" spans="1:149">
      <c r="A509" s="6" t="s">
        <v>23</v>
      </c>
      <c r="B509" s="2" t="s">
        <v>0</v>
      </c>
      <c r="C509" s="3" t="s">
        <v>59</v>
      </c>
      <c r="E509" s="3" t="s">
        <v>16</v>
      </c>
      <c r="G509" s="28" t="s">
        <v>92</v>
      </c>
      <c r="H509" s="28"/>
      <c r="I509" s="29">
        <f>250/12</f>
        <v>20.833333333333332</v>
      </c>
      <c r="J509" s="30">
        <f t="shared" ref="J509:U509" si="2932">IF(J496&lt;&gt;"",+J496-I496,"")</f>
        <v>20</v>
      </c>
      <c r="K509" s="30">
        <f t="shared" si="2932"/>
        <v>15</v>
      </c>
      <c r="L509" s="30">
        <f t="shared" si="2932"/>
        <v>10</v>
      </c>
      <c r="M509" s="30">
        <f t="shared" si="2932"/>
        <v>8</v>
      </c>
      <c r="N509" s="30">
        <f t="shared" si="2932"/>
        <v>15</v>
      </c>
      <c r="O509" s="30">
        <f t="shared" si="2932"/>
        <v>11</v>
      </c>
      <c r="P509" s="30">
        <f t="shared" si="2932"/>
        <v>4</v>
      </c>
      <c r="Q509" s="30">
        <f t="shared" si="2932"/>
        <v>3</v>
      </c>
      <c r="R509" s="226">
        <f t="shared" ref="R509:T510" si="2933">IF(R496&lt;&gt;"",+R496-Q496,"")</f>
        <v>19</v>
      </c>
      <c r="S509" s="226">
        <f t="shared" si="2933"/>
        <v>0</v>
      </c>
      <c r="T509" s="226">
        <f t="shared" si="2933"/>
        <v>0</v>
      </c>
      <c r="U509" s="30">
        <f t="shared" si="2932"/>
        <v>6</v>
      </c>
      <c r="V509" s="30">
        <f>IF(V489&lt;&gt;"",+V489-U489,"")</f>
        <v>15</v>
      </c>
      <c r="W509" s="30">
        <f>IF(W496&lt;&gt;"",+W496-V496,"")</f>
        <v>10</v>
      </c>
      <c r="X509" s="30">
        <f>IF(X496&lt;&gt;"",+X496-W496,"")</f>
        <v>1</v>
      </c>
      <c r="Y509" s="226">
        <f>IF(Y496&lt;&gt;"",+Y496-X496,0)</f>
        <v>18</v>
      </c>
      <c r="Z509" s="30">
        <f t="shared" ref="Z509:AG510" si="2934">IF(Z496&lt;&gt;"",+Z496-Y496,"")</f>
        <v>5</v>
      </c>
      <c r="AA509" s="30">
        <f t="shared" si="2934"/>
        <v>1</v>
      </c>
      <c r="AB509" s="30">
        <f t="shared" si="2934"/>
        <v>6</v>
      </c>
      <c r="AC509" s="30">
        <f t="shared" si="2934"/>
        <v>12</v>
      </c>
      <c r="AD509" s="30">
        <f t="shared" si="2934"/>
        <v>9</v>
      </c>
      <c r="AE509" s="30">
        <f t="shared" si="2934"/>
        <v>6</v>
      </c>
      <c r="AF509" s="30">
        <f t="shared" si="2934"/>
        <v>14</v>
      </c>
      <c r="AG509" s="30">
        <f t="shared" si="2934"/>
        <v>8</v>
      </c>
      <c r="AH509" s="30">
        <f>IF(AH496&lt;&gt;"",+AH496,"")</f>
        <v>12</v>
      </c>
      <c r="AI509" s="30">
        <f>IF(AI496&lt;&gt;"",+AI496-AH496,"")</f>
        <v>11</v>
      </c>
      <c r="AJ509" s="30" t="str">
        <f>IF(AJ496&lt;&gt;"",+AJ496-AI496,"")</f>
        <v/>
      </c>
      <c r="AK509" s="408"/>
      <c r="AL509" s="48">
        <f t="shared" si="2866"/>
        <v>20</v>
      </c>
      <c r="AM509" s="48">
        <f t="shared" ref="AM509:AV510" si="2935">K509</f>
        <v>15</v>
      </c>
      <c r="AN509" s="48">
        <f t="shared" si="2935"/>
        <v>10</v>
      </c>
      <c r="AO509" s="48">
        <f t="shared" si="2935"/>
        <v>8</v>
      </c>
      <c r="AP509" s="48">
        <f t="shared" si="2935"/>
        <v>15</v>
      </c>
      <c r="AQ509" s="48">
        <f t="shared" si="2935"/>
        <v>11</v>
      </c>
      <c r="AR509" s="48">
        <f t="shared" si="2935"/>
        <v>4</v>
      </c>
      <c r="AS509" s="48">
        <f t="shared" si="2935"/>
        <v>3</v>
      </c>
      <c r="AT509" s="48">
        <f t="shared" si="2935"/>
        <v>19</v>
      </c>
      <c r="AU509" s="48">
        <f t="shared" si="2935"/>
        <v>0</v>
      </c>
      <c r="AV509" s="48">
        <f t="shared" si="2935"/>
        <v>0</v>
      </c>
      <c r="AW509" s="48">
        <f t="shared" ref="AW509:BF510" si="2936">U509</f>
        <v>6</v>
      </c>
      <c r="AX509" s="48">
        <f t="shared" si="2936"/>
        <v>15</v>
      </c>
      <c r="AY509" s="48">
        <f t="shared" si="2936"/>
        <v>10</v>
      </c>
      <c r="AZ509" s="48">
        <f t="shared" si="2936"/>
        <v>1</v>
      </c>
      <c r="BA509" s="48">
        <f t="shared" si="2936"/>
        <v>18</v>
      </c>
      <c r="BB509" s="48">
        <f t="shared" si="2936"/>
        <v>5</v>
      </c>
      <c r="BC509" s="48">
        <f t="shared" si="2936"/>
        <v>1</v>
      </c>
      <c r="BD509" s="48">
        <f t="shared" si="2936"/>
        <v>6</v>
      </c>
      <c r="BE509" s="48">
        <f t="shared" si="2936"/>
        <v>12</v>
      </c>
      <c r="BF509" s="48">
        <f t="shared" si="2936"/>
        <v>9</v>
      </c>
      <c r="BG509" s="48">
        <f t="shared" ref="BG509:BL510" si="2937">AE509</f>
        <v>6</v>
      </c>
      <c r="BH509" s="48">
        <f t="shared" si="2937"/>
        <v>14</v>
      </c>
      <c r="BI509" s="48">
        <f t="shared" si="2937"/>
        <v>8</v>
      </c>
      <c r="BJ509" s="48">
        <f t="shared" si="2937"/>
        <v>12</v>
      </c>
      <c r="BK509" s="48">
        <f t="shared" si="2937"/>
        <v>11</v>
      </c>
      <c r="BL509" s="48" t="str">
        <f t="shared" si="2937"/>
        <v/>
      </c>
      <c r="BM509" s="408"/>
      <c r="BN509" s="48">
        <f>+AL509</f>
        <v>20</v>
      </c>
      <c r="BO509" s="48">
        <f t="shared" ref="BO509:BP511" si="2938">+BN509+AM509</f>
        <v>35</v>
      </c>
      <c r="BP509" s="48">
        <f t="shared" si="2938"/>
        <v>45</v>
      </c>
      <c r="BQ509" s="48">
        <f>+AO509</f>
        <v>8</v>
      </c>
      <c r="BR509" s="48">
        <f t="shared" ref="BR509:BS511" si="2939">+BQ509+AP509</f>
        <v>23</v>
      </c>
      <c r="BS509" s="48">
        <f t="shared" si="2939"/>
        <v>34</v>
      </c>
      <c r="BT509" s="48">
        <f>+AR509</f>
        <v>4</v>
      </c>
      <c r="BU509" s="48">
        <f t="shared" ref="BU509:BV511" si="2940">+BT509+AS509</f>
        <v>7</v>
      </c>
      <c r="BV509" s="48">
        <f t="shared" si="2940"/>
        <v>26</v>
      </c>
      <c r="BW509" s="48">
        <f>+AU509</f>
        <v>0</v>
      </c>
      <c r="BX509" s="48">
        <f t="shared" ref="BX509:BY511" si="2941">+BW509+AV509</f>
        <v>0</v>
      </c>
      <c r="BY509" s="48">
        <f t="shared" si="2941"/>
        <v>6</v>
      </c>
      <c r="BZ509" s="48">
        <f>+AX509</f>
        <v>15</v>
      </c>
      <c r="CA509" s="48">
        <f t="shared" ref="CA509:CB511" si="2942">+BZ509+AY509</f>
        <v>25</v>
      </c>
      <c r="CB509" s="48">
        <f t="shared" si="2942"/>
        <v>26</v>
      </c>
      <c r="CC509" s="48">
        <f>+BA509</f>
        <v>18</v>
      </c>
      <c r="CD509" s="48">
        <f t="shared" ref="CD509:CE511" si="2943">+CC509+BB509</f>
        <v>23</v>
      </c>
      <c r="CE509" s="48">
        <f t="shared" si="2943"/>
        <v>24</v>
      </c>
      <c r="CF509" s="48">
        <f>+BD509</f>
        <v>6</v>
      </c>
      <c r="CG509" s="48">
        <f t="shared" ref="CG509:CH511" si="2944">+CF509+BE509</f>
        <v>18</v>
      </c>
      <c r="CH509" s="48">
        <f t="shared" si="2944"/>
        <v>27</v>
      </c>
      <c r="CI509" s="48">
        <f>+BG509</f>
        <v>6</v>
      </c>
      <c r="CJ509" s="48">
        <f t="shared" ref="CJ509:CK511" si="2945">+CI509+BH509</f>
        <v>20</v>
      </c>
      <c r="CK509" s="48">
        <f t="shared" si="2945"/>
        <v>28</v>
      </c>
      <c r="CL509" s="48">
        <f t="shared" si="2872"/>
        <v>12</v>
      </c>
      <c r="CM509" s="48">
        <f t="shared" si="2872"/>
        <v>11</v>
      </c>
      <c r="CN509" s="48"/>
      <c r="CO509" s="406"/>
      <c r="CP509" s="40">
        <f>AL509</f>
        <v>20</v>
      </c>
      <c r="CQ509" s="40">
        <f t="shared" ref="CQ509:DA510" si="2946">CP509+AM509</f>
        <v>35</v>
      </c>
      <c r="CR509" s="40">
        <f t="shared" si="2946"/>
        <v>45</v>
      </c>
      <c r="CS509" s="40">
        <f t="shared" si="2946"/>
        <v>53</v>
      </c>
      <c r="CT509" s="40">
        <f t="shared" si="2946"/>
        <v>68</v>
      </c>
      <c r="CU509" s="40">
        <f t="shared" si="2946"/>
        <v>79</v>
      </c>
      <c r="CV509" s="40">
        <f t="shared" si="2946"/>
        <v>83</v>
      </c>
      <c r="CW509" s="40">
        <f t="shared" si="2946"/>
        <v>86</v>
      </c>
      <c r="CX509" s="40">
        <f t="shared" si="2946"/>
        <v>105</v>
      </c>
      <c r="CY509" s="40">
        <f t="shared" si="2946"/>
        <v>105</v>
      </c>
      <c r="CZ509" s="40">
        <f t="shared" si="2946"/>
        <v>105</v>
      </c>
      <c r="DA509" s="40">
        <f t="shared" si="2946"/>
        <v>111</v>
      </c>
      <c r="DB509" s="40">
        <f>AX509</f>
        <v>15</v>
      </c>
      <c r="DC509" s="40">
        <f t="shared" ref="DC509:DM510" si="2947">DB509+AY509</f>
        <v>25</v>
      </c>
      <c r="DD509" s="40">
        <f t="shared" si="2947"/>
        <v>26</v>
      </c>
      <c r="DE509" s="40">
        <f t="shared" si="2947"/>
        <v>44</v>
      </c>
      <c r="DF509" s="40">
        <f t="shared" si="2947"/>
        <v>49</v>
      </c>
      <c r="DG509" s="40">
        <f t="shared" si="2947"/>
        <v>50</v>
      </c>
      <c r="DH509" s="40">
        <f t="shared" si="2947"/>
        <v>56</v>
      </c>
      <c r="DI509" s="40">
        <f t="shared" si="2947"/>
        <v>68</v>
      </c>
      <c r="DJ509" s="40">
        <f t="shared" si="2947"/>
        <v>77</v>
      </c>
      <c r="DK509" s="40">
        <f t="shared" si="2947"/>
        <v>83</v>
      </c>
      <c r="DL509" s="40">
        <f t="shared" si="2947"/>
        <v>97</v>
      </c>
      <c r="DM509" s="40">
        <f t="shared" si="2947"/>
        <v>105</v>
      </c>
      <c r="DN509" s="40">
        <f>BJ509</f>
        <v>12</v>
      </c>
      <c r="DO509" s="40">
        <f>DN509+BK509</f>
        <v>23</v>
      </c>
      <c r="DP509" s="40" t="e">
        <f>DO509+BL509</f>
        <v>#VALUE!</v>
      </c>
      <c r="DQ509" s="40"/>
      <c r="DR509" s="40"/>
      <c r="DS509" s="40"/>
      <c r="DT509" s="40"/>
      <c r="DU509" s="40"/>
      <c r="DV509" s="40"/>
      <c r="DW509" s="40"/>
      <c r="DX509" s="40"/>
      <c r="DY509" s="40"/>
      <c r="EA509" s="53"/>
      <c r="EB509" s="53"/>
      <c r="EC509" s="53"/>
      <c r="ED509" s="429"/>
      <c r="EE509" s="54"/>
      <c r="EF509" s="54"/>
      <c r="EG509" s="54"/>
      <c r="EH509" s="18">
        <f>HLOOKUP($I$1,Month,ROW()-1)</f>
        <v>11</v>
      </c>
      <c r="EI509" s="18">
        <f>HLOOKUP($I$1,Qtr,ROW()-1)</f>
        <v>11</v>
      </c>
      <c r="EJ509" s="18">
        <f t="shared" si="2839"/>
        <v>23</v>
      </c>
      <c r="EK509" s="57">
        <f t="shared" si="2876"/>
        <v>0.16666666666666666</v>
      </c>
      <c r="EL509" s="14">
        <f>EH509/EE484</f>
        <v>0.26400000000000001</v>
      </c>
      <c r="EM509" s="14">
        <f>EI509/EF484</f>
        <v>0.17599999999999999</v>
      </c>
      <c r="EN509" s="14">
        <f>EJ509/EG484</f>
        <v>9.1999999999999998E-2</v>
      </c>
      <c r="EO509" s="46" t="str">
        <f t="shared" si="2883"/>
        <v>È</v>
      </c>
      <c r="EP509" s="46" t="str">
        <f>IF(EI509&lt;0,,IF(EI509&lt;EF484,"È",IF(EI509=EF484,"Æ","Ç")))</f>
        <v>È</v>
      </c>
      <c r="EQ509" s="2">
        <f>IF(EL509&gt;=0.9,1,IF(EL509&lt;0.75,2,3))</f>
        <v>2</v>
      </c>
      <c r="ER509" s="2">
        <f>IF(EM509&gt;=0.9,1,IF(EM509&lt;0.75,2,3))</f>
        <v>2</v>
      </c>
      <c r="ES509" s="2">
        <f>IF(EN509&gt;=0.9,1,IF(EN509&lt;0.75,2,3))</f>
        <v>2</v>
      </c>
    </row>
    <row r="510" spans="1:149">
      <c r="A510" s="6" t="s">
        <v>23</v>
      </c>
      <c r="B510" s="2" t="s">
        <v>1</v>
      </c>
      <c r="C510" s="3" t="s">
        <v>60</v>
      </c>
      <c r="E510" s="3" t="s">
        <v>16</v>
      </c>
      <c r="G510" s="28" t="s">
        <v>92</v>
      </c>
      <c r="H510" s="28"/>
      <c r="I510" s="29"/>
      <c r="J510" s="30">
        <f>IF(J497&lt;&gt;"",,"")+J497-I497</f>
        <v>11</v>
      </c>
      <c r="K510" s="30">
        <f t="shared" ref="K510:U510" si="2948">IF(K497&lt;&gt;"",+K497-J497,"")</f>
        <v>2</v>
      </c>
      <c r="L510" s="30">
        <f t="shared" si="2948"/>
        <v>2</v>
      </c>
      <c r="M510" s="30">
        <f t="shared" si="2948"/>
        <v>2</v>
      </c>
      <c r="N510" s="30">
        <f t="shared" si="2948"/>
        <v>2</v>
      </c>
      <c r="O510" s="30">
        <f t="shared" si="2948"/>
        <v>0</v>
      </c>
      <c r="P510" s="30">
        <f t="shared" si="2948"/>
        <v>0</v>
      </c>
      <c r="Q510" s="30">
        <f t="shared" si="2948"/>
        <v>0</v>
      </c>
      <c r="R510" s="226">
        <f t="shared" si="2933"/>
        <v>2</v>
      </c>
      <c r="S510" s="226">
        <f t="shared" si="2933"/>
        <v>0</v>
      </c>
      <c r="T510" s="226">
        <f t="shared" si="2933"/>
        <v>0</v>
      </c>
      <c r="U510" s="30">
        <f t="shared" si="2948"/>
        <v>5</v>
      </c>
      <c r="V510" s="30">
        <f>IF(V497&lt;&gt;"",+V497,"")</f>
        <v>7</v>
      </c>
      <c r="W510" s="30">
        <f>IF(W497&lt;&gt;"",+W497-V497,"")</f>
        <v>1</v>
      </c>
      <c r="X510" s="30">
        <f>IF(X497&lt;&gt;"",+X497-W497,"")</f>
        <v>0</v>
      </c>
      <c r="Y510" s="30">
        <f>IF(Y497&lt;&gt;"",+Y497-X497,"")</f>
        <v>9</v>
      </c>
      <c r="Z510" s="30">
        <f t="shared" si="2934"/>
        <v>4</v>
      </c>
      <c r="AA510" s="30">
        <f t="shared" si="2934"/>
        <v>0</v>
      </c>
      <c r="AB510" s="30">
        <f t="shared" si="2934"/>
        <v>1</v>
      </c>
      <c r="AC510" s="30">
        <f t="shared" si="2934"/>
        <v>0</v>
      </c>
      <c r="AD510" s="30">
        <f t="shared" si="2934"/>
        <v>2</v>
      </c>
      <c r="AE510" s="30">
        <f t="shared" si="2934"/>
        <v>2</v>
      </c>
      <c r="AF510" s="30">
        <f t="shared" si="2934"/>
        <v>2</v>
      </c>
      <c r="AG510" s="30">
        <f t="shared" si="2934"/>
        <v>2</v>
      </c>
      <c r="AH510" s="30">
        <f>IF(AH497&lt;&gt;"",+AH497,"")</f>
        <v>3</v>
      </c>
      <c r="AI510" s="30">
        <f>IF(AI497&lt;&gt;"",+AI497-AH497,"")</f>
        <v>5</v>
      </c>
      <c r="AJ510" s="30" t="str">
        <f>IF(AJ497&lt;&gt;"",+AJ497-AI497,"")</f>
        <v/>
      </c>
      <c r="AK510" s="408"/>
      <c r="AL510" s="48">
        <f t="shared" si="2866"/>
        <v>11</v>
      </c>
      <c r="AM510" s="48">
        <f t="shared" si="2935"/>
        <v>2</v>
      </c>
      <c r="AN510" s="48">
        <f t="shared" si="2935"/>
        <v>2</v>
      </c>
      <c r="AO510" s="48">
        <f t="shared" si="2935"/>
        <v>2</v>
      </c>
      <c r="AP510" s="48">
        <f t="shared" si="2935"/>
        <v>2</v>
      </c>
      <c r="AQ510" s="48">
        <f t="shared" si="2935"/>
        <v>0</v>
      </c>
      <c r="AR510" s="48">
        <f t="shared" si="2935"/>
        <v>0</v>
      </c>
      <c r="AS510" s="48">
        <f t="shared" si="2935"/>
        <v>0</v>
      </c>
      <c r="AT510" s="48">
        <f t="shared" si="2935"/>
        <v>2</v>
      </c>
      <c r="AU510" s="48">
        <f t="shared" si="2935"/>
        <v>0</v>
      </c>
      <c r="AV510" s="48">
        <f t="shared" si="2935"/>
        <v>0</v>
      </c>
      <c r="AW510" s="48">
        <f t="shared" si="2936"/>
        <v>5</v>
      </c>
      <c r="AX510" s="48">
        <f t="shared" si="2936"/>
        <v>7</v>
      </c>
      <c r="AY510" s="48">
        <f t="shared" si="2936"/>
        <v>1</v>
      </c>
      <c r="AZ510" s="48">
        <f t="shared" si="2936"/>
        <v>0</v>
      </c>
      <c r="BA510" s="48">
        <f t="shared" si="2936"/>
        <v>9</v>
      </c>
      <c r="BB510" s="48">
        <f t="shared" si="2936"/>
        <v>4</v>
      </c>
      <c r="BC510" s="48">
        <f t="shared" si="2936"/>
        <v>0</v>
      </c>
      <c r="BD510" s="48">
        <f t="shared" si="2936"/>
        <v>1</v>
      </c>
      <c r="BE510" s="48">
        <f t="shared" si="2936"/>
        <v>0</v>
      </c>
      <c r="BF510" s="48">
        <f t="shared" si="2936"/>
        <v>2</v>
      </c>
      <c r="BG510" s="48">
        <f t="shared" si="2937"/>
        <v>2</v>
      </c>
      <c r="BH510" s="48">
        <f t="shared" si="2937"/>
        <v>2</v>
      </c>
      <c r="BI510" s="48">
        <f t="shared" si="2937"/>
        <v>2</v>
      </c>
      <c r="BJ510" s="48">
        <f t="shared" si="2937"/>
        <v>3</v>
      </c>
      <c r="BK510" s="48">
        <f t="shared" si="2937"/>
        <v>5</v>
      </c>
      <c r="BL510" s="48" t="str">
        <f t="shared" si="2937"/>
        <v/>
      </c>
      <c r="BM510" s="408"/>
      <c r="BN510" s="48">
        <f>+AL510</f>
        <v>11</v>
      </c>
      <c r="BO510" s="48">
        <f t="shared" si="2938"/>
        <v>13</v>
      </c>
      <c r="BP510" s="48">
        <f t="shared" si="2938"/>
        <v>15</v>
      </c>
      <c r="BQ510" s="48">
        <f>+AO510</f>
        <v>2</v>
      </c>
      <c r="BR510" s="48">
        <f t="shared" si="2939"/>
        <v>4</v>
      </c>
      <c r="BS510" s="48">
        <f t="shared" si="2939"/>
        <v>4</v>
      </c>
      <c r="BT510" s="48">
        <f>+AR510</f>
        <v>0</v>
      </c>
      <c r="BU510" s="48">
        <f t="shared" si="2940"/>
        <v>0</v>
      </c>
      <c r="BV510" s="48">
        <f t="shared" si="2940"/>
        <v>2</v>
      </c>
      <c r="BW510" s="48">
        <f>+AU510</f>
        <v>0</v>
      </c>
      <c r="BX510" s="48">
        <f t="shared" si="2941"/>
        <v>0</v>
      </c>
      <c r="BY510" s="48">
        <f t="shared" si="2941"/>
        <v>5</v>
      </c>
      <c r="BZ510" s="48">
        <f>+AX510</f>
        <v>7</v>
      </c>
      <c r="CA510" s="48">
        <f t="shared" si="2942"/>
        <v>8</v>
      </c>
      <c r="CB510" s="48">
        <f t="shared" si="2942"/>
        <v>8</v>
      </c>
      <c r="CC510" s="48">
        <f>+BA510</f>
        <v>9</v>
      </c>
      <c r="CD510" s="48">
        <f t="shared" si="2943"/>
        <v>13</v>
      </c>
      <c r="CE510" s="48">
        <f t="shared" si="2943"/>
        <v>13</v>
      </c>
      <c r="CF510" s="48">
        <f>+BD510</f>
        <v>1</v>
      </c>
      <c r="CG510" s="48">
        <f t="shared" si="2944"/>
        <v>1</v>
      </c>
      <c r="CH510" s="48">
        <f t="shared" si="2944"/>
        <v>3</v>
      </c>
      <c r="CI510" s="48">
        <f>+BG510</f>
        <v>2</v>
      </c>
      <c r="CJ510" s="48">
        <f t="shared" si="2945"/>
        <v>4</v>
      </c>
      <c r="CK510" s="48">
        <f t="shared" si="2945"/>
        <v>6</v>
      </c>
      <c r="CL510" s="48">
        <f t="shared" si="2872"/>
        <v>3</v>
      </c>
      <c r="CM510" s="48">
        <f t="shared" si="2872"/>
        <v>5</v>
      </c>
      <c r="CN510" s="48"/>
      <c r="CO510" s="406"/>
      <c r="CP510" s="40">
        <f>AL510</f>
        <v>11</v>
      </c>
      <c r="CQ510" s="40">
        <f t="shared" si="2946"/>
        <v>13</v>
      </c>
      <c r="CR510" s="40">
        <f t="shared" si="2946"/>
        <v>15</v>
      </c>
      <c r="CS510" s="40">
        <f t="shared" si="2946"/>
        <v>17</v>
      </c>
      <c r="CT510" s="40">
        <f t="shared" si="2946"/>
        <v>19</v>
      </c>
      <c r="CU510" s="40">
        <f t="shared" si="2946"/>
        <v>19</v>
      </c>
      <c r="CV510" s="40">
        <f t="shared" si="2946"/>
        <v>19</v>
      </c>
      <c r="CW510" s="40">
        <f t="shared" si="2946"/>
        <v>19</v>
      </c>
      <c r="CX510" s="40">
        <f t="shared" si="2946"/>
        <v>21</v>
      </c>
      <c r="CY510" s="40">
        <f t="shared" si="2946"/>
        <v>21</v>
      </c>
      <c r="CZ510" s="40">
        <f t="shared" si="2946"/>
        <v>21</v>
      </c>
      <c r="DA510" s="40">
        <f t="shared" si="2946"/>
        <v>26</v>
      </c>
      <c r="DB510" s="40">
        <f>AX510</f>
        <v>7</v>
      </c>
      <c r="DC510" s="40">
        <f t="shared" si="2947"/>
        <v>8</v>
      </c>
      <c r="DD510" s="40">
        <f t="shared" si="2947"/>
        <v>8</v>
      </c>
      <c r="DE510" s="40">
        <f t="shared" si="2947"/>
        <v>17</v>
      </c>
      <c r="DF510" s="40">
        <f t="shared" si="2947"/>
        <v>21</v>
      </c>
      <c r="DG510" s="40">
        <f t="shared" si="2947"/>
        <v>21</v>
      </c>
      <c r="DH510" s="40">
        <f t="shared" si="2947"/>
        <v>22</v>
      </c>
      <c r="DI510" s="40">
        <f t="shared" si="2947"/>
        <v>22</v>
      </c>
      <c r="DJ510" s="40">
        <f t="shared" si="2947"/>
        <v>24</v>
      </c>
      <c r="DK510" s="40">
        <f t="shared" si="2947"/>
        <v>26</v>
      </c>
      <c r="DL510" s="40">
        <f t="shared" si="2947"/>
        <v>28</v>
      </c>
      <c r="DM510" s="40">
        <f t="shared" si="2947"/>
        <v>30</v>
      </c>
      <c r="DN510" s="40">
        <f>BJ510</f>
        <v>3</v>
      </c>
      <c r="DO510" s="40">
        <f>DN510+BK510</f>
        <v>8</v>
      </c>
      <c r="DP510" s="40" t="e">
        <f>DO510+BL510</f>
        <v>#VALUE!</v>
      </c>
      <c r="DQ510" s="40"/>
      <c r="DR510" s="40"/>
      <c r="DS510" s="40"/>
      <c r="DT510" s="40"/>
      <c r="DU510" s="40"/>
      <c r="DV510" s="40"/>
      <c r="DW510" s="40"/>
      <c r="DX510" s="40"/>
      <c r="DY510" s="40"/>
      <c r="EA510" s="53"/>
      <c r="EB510" s="53"/>
      <c r="EC510" s="53"/>
      <c r="ED510" s="429"/>
      <c r="EE510" s="54"/>
      <c r="EF510" s="54"/>
      <c r="EG510" s="54"/>
      <c r="EH510" s="18">
        <f>HLOOKUP($I$1,Month,ROW()-1)</f>
        <v>5</v>
      </c>
      <c r="EI510" s="18">
        <f>HLOOKUP($I$1,Qtr,ROW()-1)</f>
        <v>5</v>
      </c>
      <c r="EJ510" s="18">
        <f t="shared" si="2839"/>
        <v>8</v>
      </c>
      <c r="EK510" s="57">
        <f t="shared" si="2876"/>
        <v>0.16666666666666666</v>
      </c>
      <c r="EL510" s="14">
        <f>EH510/EE485</f>
        <v>2</v>
      </c>
      <c r="EM510" s="14">
        <f>EI510/EF485</f>
        <v>1</v>
      </c>
      <c r="EN510" s="14">
        <f>EJ510/EG485</f>
        <v>0.26666666666666666</v>
      </c>
      <c r="EO510" s="46" t="str">
        <f t="shared" si="2883"/>
        <v>Ç</v>
      </c>
      <c r="EP510" s="46" t="str">
        <f t="shared" si="2884"/>
        <v>Æ</v>
      </c>
      <c r="EQ510" s="2">
        <f>IF(EL510&gt;=0.9,1,IF(EL510&lt;0.75,2,3))</f>
        <v>1</v>
      </c>
      <c r="ER510" s="2">
        <f>IF(EM510&gt;=0.9,1,IF(EM510&lt;0.75,2,3))</f>
        <v>1</v>
      </c>
      <c r="ES510" s="2">
        <f>IF(EN510&gt;=0.9,1,IF(EN510&lt;0.75,2,3))</f>
        <v>2</v>
      </c>
    </row>
    <row r="511" spans="1:149">
      <c r="A511" s="6" t="s">
        <v>23</v>
      </c>
      <c r="B511" s="2" t="s">
        <v>98</v>
      </c>
      <c r="G511" s="28" t="s">
        <v>92</v>
      </c>
      <c r="H511" s="28"/>
      <c r="I511" s="29"/>
      <c r="J511" s="32">
        <f>J498*J499</f>
        <v>0</v>
      </c>
      <c r="K511" s="32">
        <f t="shared" ref="K511:AJ511" si="2949">K498*K499</f>
        <v>0</v>
      </c>
      <c r="L511" s="32">
        <f t="shared" si="2949"/>
        <v>1</v>
      </c>
      <c r="M511" s="32">
        <f t="shared" si="2949"/>
        <v>0</v>
      </c>
      <c r="N511" s="32">
        <f t="shared" si="2949"/>
        <v>1</v>
      </c>
      <c r="O511" s="32">
        <f t="shared" si="2949"/>
        <v>1</v>
      </c>
      <c r="P511" s="32">
        <f t="shared" si="2949"/>
        <v>0</v>
      </c>
      <c r="Q511" s="32">
        <f t="shared" si="2949"/>
        <v>0</v>
      </c>
      <c r="R511" s="32">
        <f t="shared" si="2949"/>
        <v>0</v>
      </c>
      <c r="S511" s="32">
        <f t="shared" si="2949"/>
        <v>2</v>
      </c>
      <c r="T511" s="32">
        <f t="shared" si="2949"/>
        <v>0</v>
      </c>
      <c r="U511" s="32">
        <f t="shared" si="2949"/>
        <v>0</v>
      </c>
      <c r="V511" s="32">
        <f t="shared" si="2949"/>
        <v>1</v>
      </c>
      <c r="W511" s="32">
        <f t="shared" si="2949"/>
        <v>0</v>
      </c>
      <c r="X511" s="32">
        <f t="shared" si="2949"/>
        <v>0</v>
      </c>
      <c r="Y511" s="32">
        <f t="shared" si="2949"/>
        <v>1</v>
      </c>
      <c r="Z511" s="32">
        <f t="shared" si="2949"/>
        <v>0</v>
      </c>
      <c r="AA511" s="32">
        <f t="shared" si="2949"/>
        <v>0</v>
      </c>
      <c r="AB511" s="32">
        <f t="shared" si="2949"/>
        <v>0</v>
      </c>
      <c r="AC511" s="32">
        <f t="shared" si="2949"/>
        <v>0</v>
      </c>
      <c r="AD511" s="32">
        <f t="shared" si="2949"/>
        <v>1</v>
      </c>
      <c r="AE511" s="32">
        <f t="shared" si="2949"/>
        <v>1</v>
      </c>
      <c r="AF511" s="32">
        <f t="shared" si="2949"/>
        <v>0</v>
      </c>
      <c r="AG511" s="32">
        <f t="shared" si="2949"/>
        <v>3</v>
      </c>
      <c r="AH511" s="32">
        <f t="shared" si="2949"/>
        <v>1</v>
      </c>
      <c r="AI511" s="32">
        <f t="shared" si="2949"/>
        <v>0</v>
      </c>
      <c r="AJ511" s="32">
        <f t="shared" si="2949"/>
        <v>0</v>
      </c>
      <c r="AK511" s="408"/>
      <c r="AL511" s="56">
        <f t="shared" ref="AL511:BL511" si="2950">AL498*AL499</f>
        <v>0</v>
      </c>
      <c r="AM511" s="56">
        <f t="shared" si="2950"/>
        <v>0</v>
      </c>
      <c r="AN511" s="56">
        <f t="shared" si="2950"/>
        <v>1</v>
      </c>
      <c r="AO511" s="56">
        <f t="shared" si="2950"/>
        <v>0</v>
      </c>
      <c r="AP511" s="56">
        <f t="shared" si="2950"/>
        <v>1</v>
      </c>
      <c r="AQ511" s="56">
        <f t="shared" si="2950"/>
        <v>1</v>
      </c>
      <c r="AR511" s="56">
        <f t="shared" si="2950"/>
        <v>0</v>
      </c>
      <c r="AS511" s="56">
        <f t="shared" si="2950"/>
        <v>0</v>
      </c>
      <c r="AT511" s="56">
        <f t="shared" si="2950"/>
        <v>0</v>
      </c>
      <c r="AU511" s="56">
        <f t="shared" si="2950"/>
        <v>2</v>
      </c>
      <c r="AV511" s="56">
        <f t="shared" si="2950"/>
        <v>0</v>
      </c>
      <c r="AW511" s="56">
        <f t="shared" si="2950"/>
        <v>0</v>
      </c>
      <c r="AX511" s="56">
        <f t="shared" si="2950"/>
        <v>1</v>
      </c>
      <c r="AY511" s="56">
        <f t="shared" si="2950"/>
        <v>0</v>
      </c>
      <c r="AZ511" s="56">
        <f t="shared" si="2950"/>
        <v>0</v>
      </c>
      <c r="BA511" s="56">
        <f t="shared" si="2950"/>
        <v>1</v>
      </c>
      <c r="BB511" s="56">
        <f t="shared" si="2950"/>
        <v>0</v>
      </c>
      <c r="BC511" s="56">
        <f t="shared" si="2950"/>
        <v>0</v>
      </c>
      <c r="BD511" s="56">
        <f t="shared" si="2950"/>
        <v>0</v>
      </c>
      <c r="BE511" s="56">
        <f t="shared" si="2950"/>
        <v>0</v>
      </c>
      <c r="BF511" s="56">
        <f t="shared" si="2950"/>
        <v>1</v>
      </c>
      <c r="BG511" s="56">
        <f t="shared" si="2950"/>
        <v>1</v>
      </c>
      <c r="BH511" s="56">
        <f t="shared" si="2950"/>
        <v>0</v>
      </c>
      <c r="BI511" s="56">
        <f t="shared" si="2950"/>
        <v>3</v>
      </c>
      <c r="BJ511" s="56">
        <f t="shared" si="2950"/>
        <v>1</v>
      </c>
      <c r="BK511" s="56">
        <f t="shared" si="2950"/>
        <v>0</v>
      </c>
      <c r="BL511" s="56">
        <f t="shared" si="2950"/>
        <v>0</v>
      </c>
      <c r="BM511" s="408"/>
      <c r="BN511" s="56">
        <f>+AL511</f>
        <v>0</v>
      </c>
      <c r="BO511" s="56">
        <f t="shared" si="2938"/>
        <v>0</v>
      </c>
      <c r="BP511" s="56">
        <f t="shared" si="2938"/>
        <v>1</v>
      </c>
      <c r="BQ511" s="56">
        <f>+AO511</f>
        <v>0</v>
      </c>
      <c r="BR511" s="56">
        <f t="shared" si="2939"/>
        <v>1</v>
      </c>
      <c r="BS511" s="56">
        <f t="shared" si="2939"/>
        <v>2</v>
      </c>
      <c r="BT511" s="56">
        <f>+AR511</f>
        <v>0</v>
      </c>
      <c r="BU511" s="56">
        <f t="shared" si="2940"/>
        <v>0</v>
      </c>
      <c r="BV511" s="56">
        <f t="shared" si="2940"/>
        <v>0</v>
      </c>
      <c r="BW511" s="56">
        <f>+AU511</f>
        <v>2</v>
      </c>
      <c r="BX511" s="56">
        <f t="shared" si="2941"/>
        <v>2</v>
      </c>
      <c r="BY511" s="56">
        <f t="shared" si="2941"/>
        <v>2</v>
      </c>
      <c r="BZ511" s="56">
        <f>+AX511</f>
        <v>1</v>
      </c>
      <c r="CA511" s="56">
        <f t="shared" si="2942"/>
        <v>1</v>
      </c>
      <c r="CB511" s="56">
        <f t="shared" si="2942"/>
        <v>1</v>
      </c>
      <c r="CC511" s="56">
        <f>+BA511</f>
        <v>1</v>
      </c>
      <c r="CD511" s="56">
        <f t="shared" si="2943"/>
        <v>1</v>
      </c>
      <c r="CE511" s="56">
        <f t="shared" si="2943"/>
        <v>1</v>
      </c>
      <c r="CF511" s="56">
        <f>+BD511</f>
        <v>0</v>
      </c>
      <c r="CG511" s="56">
        <f t="shared" si="2944"/>
        <v>0</v>
      </c>
      <c r="CH511" s="56">
        <f t="shared" si="2944"/>
        <v>1</v>
      </c>
      <c r="CI511" s="56">
        <f>+BG511</f>
        <v>1</v>
      </c>
      <c r="CJ511" s="56">
        <f t="shared" si="2945"/>
        <v>1</v>
      </c>
      <c r="CK511" s="56">
        <f t="shared" si="2945"/>
        <v>4</v>
      </c>
      <c r="CL511" s="48">
        <f t="shared" si="2872"/>
        <v>1</v>
      </c>
      <c r="CM511" s="48">
        <f t="shared" si="2872"/>
        <v>0</v>
      </c>
      <c r="CN511" s="56"/>
      <c r="CO511" s="406"/>
      <c r="CP511" s="60">
        <f>J511</f>
        <v>0</v>
      </c>
      <c r="CQ511" s="60">
        <f t="shared" ref="CQ511:DA511" si="2951">CP511+K511</f>
        <v>0</v>
      </c>
      <c r="CR511" s="60">
        <f t="shared" si="2951"/>
        <v>1</v>
      </c>
      <c r="CS511" s="60">
        <f t="shared" si="2951"/>
        <v>1</v>
      </c>
      <c r="CT511" s="60">
        <f t="shared" si="2951"/>
        <v>2</v>
      </c>
      <c r="CU511" s="60">
        <f t="shared" si="2951"/>
        <v>3</v>
      </c>
      <c r="CV511" s="60">
        <f t="shared" si="2951"/>
        <v>3</v>
      </c>
      <c r="CW511" s="60">
        <f t="shared" si="2951"/>
        <v>3</v>
      </c>
      <c r="CX511" s="60">
        <f t="shared" si="2951"/>
        <v>3</v>
      </c>
      <c r="CY511" s="60">
        <f t="shared" si="2951"/>
        <v>5</v>
      </c>
      <c r="CZ511" s="60">
        <f t="shared" si="2951"/>
        <v>5</v>
      </c>
      <c r="DA511" s="60">
        <f t="shared" si="2951"/>
        <v>5</v>
      </c>
      <c r="DB511" s="60">
        <f>V511</f>
        <v>1</v>
      </c>
      <c r="DC511" s="60">
        <f t="shared" ref="DC511:DM511" si="2952">DB511+W511</f>
        <v>1</v>
      </c>
      <c r="DD511" s="60">
        <f t="shared" si="2952"/>
        <v>1</v>
      </c>
      <c r="DE511" s="60">
        <f t="shared" si="2952"/>
        <v>2</v>
      </c>
      <c r="DF511" s="60">
        <f t="shared" si="2952"/>
        <v>2</v>
      </c>
      <c r="DG511" s="60">
        <f t="shared" si="2952"/>
        <v>2</v>
      </c>
      <c r="DH511" s="60">
        <f t="shared" si="2952"/>
        <v>2</v>
      </c>
      <c r="DI511" s="60">
        <f t="shared" si="2952"/>
        <v>2</v>
      </c>
      <c r="DJ511" s="60">
        <f t="shared" si="2952"/>
        <v>3</v>
      </c>
      <c r="DK511" s="60">
        <f t="shared" si="2952"/>
        <v>4</v>
      </c>
      <c r="DL511" s="60">
        <f t="shared" si="2952"/>
        <v>4</v>
      </c>
      <c r="DM511" s="60">
        <f t="shared" si="2952"/>
        <v>7</v>
      </c>
      <c r="DN511" s="60">
        <f>AH511</f>
        <v>1</v>
      </c>
      <c r="DO511" s="60">
        <f>DN511+AI511</f>
        <v>1</v>
      </c>
      <c r="DP511" s="60">
        <f>DO511+AJ511</f>
        <v>1</v>
      </c>
      <c r="DQ511" s="60"/>
      <c r="DR511" s="60"/>
      <c r="DS511" s="60"/>
      <c r="DT511" s="60"/>
      <c r="DU511" s="60"/>
      <c r="DV511" s="60"/>
      <c r="DW511" s="60"/>
      <c r="DX511" s="60"/>
      <c r="DY511" s="60"/>
      <c r="EA511" s="53"/>
      <c r="EB511" s="53"/>
      <c r="EC511" s="53"/>
      <c r="ED511" s="429"/>
      <c r="EE511" s="54"/>
      <c r="EF511" s="54"/>
      <c r="EG511" s="54"/>
      <c r="EH511" s="18">
        <f>HLOOKUP($I$1,Month,ROW()-1)</f>
        <v>0</v>
      </c>
      <c r="EI511" s="18">
        <f>HLOOKUP($I$1,Qtr,ROW()-1)</f>
        <v>0</v>
      </c>
      <c r="EJ511" s="18">
        <f t="shared" si="2839"/>
        <v>1</v>
      </c>
      <c r="EK511" s="57">
        <f t="shared" si="2876"/>
        <v>0.16666666666666666</v>
      </c>
      <c r="EL511" s="14"/>
      <c r="EM511" s="14" t="e">
        <f>EI511/EF487</f>
        <v>#DIV/0!</v>
      </c>
      <c r="EN511" s="14"/>
      <c r="EO511" s="46" t="str">
        <f>IF(EH511&lt;0,,IF(EH511&lt;EE487,"È",IF(EH511=EE487,"Æ","Ç")))</f>
        <v>Æ</v>
      </c>
      <c r="EP511" s="46" t="str">
        <f>IF(EI511&lt;0,,IF(EI511&lt;EF487,"È",IF(EI511=EF487,"Æ","Ç")))</f>
        <v>Æ</v>
      </c>
    </row>
    <row r="512" spans="1:149" ht="13.5" thickBot="1">
      <c r="K512" s="42" t="s">
        <v>114</v>
      </c>
      <c r="AL512" s="14"/>
      <c r="CN512" s="23" t="s">
        <v>152</v>
      </c>
      <c r="CP512" s="2">
        <v>10</v>
      </c>
      <c r="CQ512" s="2">
        <v>11</v>
      </c>
      <c r="CR512" s="2">
        <v>12</v>
      </c>
      <c r="CS512" s="2">
        <v>1</v>
      </c>
      <c r="CT512" s="2">
        <v>2</v>
      </c>
      <c r="CU512" s="2">
        <v>3</v>
      </c>
      <c r="CV512" s="2">
        <v>4</v>
      </c>
      <c r="CW512" s="2">
        <v>5</v>
      </c>
      <c r="CX512" s="2">
        <v>6</v>
      </c>
      <c r="CY512" s="2">
        <v>7</v>
      </c>
      <c r="CZ512" s="2">
        <v>8</v>
      </c>
      <c r="DA512" s="2">
        <v>9</v>
      </c>
      <c r="DB512" s="2">
        <v>10</v>
      </c>
      <c r="DC512" s="2">
        <v>11</v>
      </c>
      <c r="DD512" s="2">
        <v>12</v>
      </c>
      <c r="DE512" s="2">
        <v>1</v>
      </c>
      <c r="DF512" s="2">
        <v>2</v>
      </c>
      <c r="DG512" s="2">
        <v>3</v>
      </c>
      <c r="DH512" s="2">
        <v>4</v>
      </c>
      <c r="DI512" s="2">
        <v>5</v>
      </c>
      <c r="DJ512" s="2">
        <v>6</v>
      </c>
      <c r="DK512" s="2">
        <v>7</v>
      </c>
      <c r="DL512" s="2">
        <v>8</v>
      </c>
      <c r="DM512" s="2">
        <v>9</v>
      </c>
      <c r="DN512" s="2">
        <v>10</v>
      </c>
      <c r="DO512" s="2">
        <v>11</v>
      </c>
      <c r="DP512" s="2">
        <v>12</v>
      </c>
      <c r="ED512" s="429"/>
      <c r="EE512" s="23"/>
      <c r="EF512" s="23"/>
      <c r="EG512" s="23"/>
      <c r="EH512" s="23"/>
      <c r="EI512" s="23"/>
      <c r="EJ512" s="23"/>
      <c r="EK512" s="23"/>
    </row>
    <row r="513" spans="1:149" ht="13.5" thickBot="1">
      <c r="E513" s="666" t="s">
        <v>88</v>
      </c>
      <c r="F513" s="667"/>
      <c r="G513" s="667"/>
      <c r="H513" s="667"/>
      <c r="I513" s="668"/>
      <c r="CN513" s="23" t="s">
        <v>153</v>
      </c>
      <c r="CP513" s="2">
        <v>1</v>
      </c>
      <c r="CQ513" s="2">
        <v>2</v>
      </c>
      <c r="CR513" s="2">
        <v>3</v>
      </c>
      <c r="CS513" s="2">
        <v>4</v>
      </c>
      <c r="CT513" s="2">
        <v>5</v>
      </c>
      <c r="CU513" s="2">
        <v>6</v>
      </c>
      <c r="CV513" s="2">
        <v>7</v>
      </c>
      <c r="CW513" s="2">
        <v>8</v>
      </c>
      <c r="CX513" s="2">
        <v>9</v>
      </c>
      <c r="CY513" s="2">
        <v>10</v>
      </c>
      <c r="CZ513" s="2">
        <v>11</v>
      </c>
      <c r="DA513" s="2">
        <v>12</v>
      </c>
      <c r="DB513" s="2">
        <v>1</v>
      </c>
      <c r="DC513" s="2">
        <v>2</v>
      </c>
      <c r="DD513" s="2">
        <v>3</v>
      </c>
      <c r="DE513" s="2">
        <v>4</v>
      </c>
      <c r="DF513" s="2">
        <v>5</v>
      </c>
      <c r="DG513" s="2">
        <v>6</v>
      </c>
      <c r="DH513" s="2">
        <v>7</v>
      </c>
      <c r="DI513" s="2">
        <v>8</v>
      </c>
      <c r="DJ513" s="2">
        <v>9</v>
      </c>
      <c r="DK513" s="2">
        <v>10</v>
      </c>
      <c r="DL513" s="2">
        <v>11</v>
      </c>
      <c r="DM513" s="2">
        <v>12</v>
      </c>
      <c r="ED513" s="429"/>
      <c r="EE513" s="23"/>
      <c r="EF513" s="23"/>
      <c r="EG513" s="23"/>
      <c r="EH513" s="23"/>
      <c r="EI513" s="23"/>
      <c r="EJ513" s="23"/>
      <c r="EK513" s="23"/>
    </row>
    <row r="514" spans="1:149" ht="13.5" thickBot="1">
      <c r="A514" s="6" t="s">
        <v>30</v>
      </c>
      <c r="C514" s="11" t="s">
        <v>73</v>
      </c>
      <c r="E514" s="8" t="s">
        <v>34</v>
      </c>
      <c r="F514" s="11" t="s">
        <v>33</v>
      </c>
      <c r="G514" s="9" t="s">
        <v>34</v>
      </c>
      <c r="H514" s="11" t="s">
        <v>33</v>
      </c>
      <c r="I514" s="11" t="s">
        <v>34</v>
      </c>
      <c r="AL514" s="109"/>
    </row>
    <row r="515" spans="1:149">
      <c r="A515" s="6" t="s">
        <v>23</v>
      </c>
      <c r="B515" s="2" t="s">
        <v>24</v>
      </c>
      <c r="C515" s="3" t="s">
        <v>74</v>
      </c>
      <c r="E515" s="4" t="str">
        <f>C472</f>
        <v>BInBusNew</v>
      </c>
      <c r="F515" s="4" t="s">
        <v>31</v>
      </c>
      <c r="G515" s="28" t="str">
        <f>C471</f>
        <v>BAllNew</v>
      </c>
      <c r="H515" s="28"/>
      <c r="I515" s="28"/>
      <c r="J515" s="62">
        <f t="shared" ref="J515:AJ515" si="2953">J472/J471</f>
        <v>0.33</v>
      </c>
      <c r="K515" s="62">
        <f t="shared" si="2953"/>
        <v>0.33</v>
      </c>
      <c r="L515" s="62">
        <f t="shared" si="2953"/>
        <v>0.33</v>
      </c>
      <c r="M515" s="62">
        <f t="shared" si="2953"/>
        <v>0.33</v>
      </c>
      <c r="N515" s="62">
        <f t="shared" si="2953"/>
        <v>0.33</v>
      </c>
      <c r="O515" s="62">
        <f t="shared" si="2953"/>
        <v>0.33</v>
      </c>
      <c r="P515" s="62">
        <f t="shared" si="2953"/>
        <v>0.33000000000000007</v>
      </c>
      <c r="Q515" s="62">
        <f t="shared" si="2953"/>
        <v>0.33</v>
      </c>
      <c r="R515" s="62">
        <f t="shared" si="2953"/>
        <v>0.32999999999999996</v>
      </c>
      <c r="S515" s="62">
        <f t="shared" si="2953"/>
        <v>0.32999999999999996</v>
      </c>
      <c r="T515" s="62">
        <f t="shared" si="2953"/>
        <v>0.32999999999999996</v>
      </c>
      <c r="U515" s="62">
        <f t="shared" si="2953"/>
        <v>0.3299999999999999</v>
      </c>
      <c r="V515" s="62">
        <f t="shared" si="2953"/>
        <v>0.50574712643678155</v>
      </c>
      <c r="W515" s="62">
        <f t="shared" si="2953"/>
        <v>0.50574712873563221</v>
      </c>
      <c r="X515" s="62">
        <f t="shared" si="2953"/>
        <v>0.50574712950191569</v>
      </c>
      <c r="Y515" s="62">
        <f t="shared" si="2953"/>
        <v>0.50574712988505754</v>
      </c>
      <c r="Z515" s="62">
        <f t="shared" si="2953"/>
        <v>0.50574713011494254</v>
      </c>
      <c r="AA515" s="62">
        <f t="shared" si="2953"/>
        <v>0.50574713026819917</v>
      </c>
      <c r="AB515" s="62">
        <f t="shared" si="2953"/>
        <v>0.50574713037766827</v>
      </c>
      <c r="AC515" s="62">
        <f t="shared" si="2953"/>
        <v>0.50574713045977016</v>
      </c>
      <c r="AD515" s="62">
        <f t="shared" si="2953"/>
        <v>0.50574713052362708</v>
      </c>
      <c r="AE515" s="62">
        <f t="shared" si="2953"/>
        <v>0.50574713057471266</v>
      </c>
      <c r="AF515" s="62">
        <f t="shared" si="2953"/>
        <v>0.50574713061651</v>
      </c>
      <c r="AG515" s="62">
        <f t="shared" si="2953"/>
        <v>0.50574713065134103</v>
      </c>
      <c r="AH515" s="62">
        <f t="shared" si="2953"/>
        <v>0.5</v>
      </c>
      <c r="AI515" s="62">
        <f t="shared" si="2953"/>
        <v>0.5</v>
      </c>
      <c r="AJ515" s="62" t="e">
        <f t="shared" si="2953"/>
        <v>#DIV/0!</v>
      </c>
      <c r="AK515" s="412"/>
      <c r="AL515" s="14">
        <f t="shared" ref="AL515:BL515" si="2954">AL472/AL471</f>
        <v>0.33</v>
      </c>
      <c r="AM515" s="14">
        <f t="shared" si="2954"/>
        <v>0.33</v>
      </c>
      <c r="AN515" s="14">
        <f t="shared" si="2954"/>
        <v>0.33</v>
      </c>
      <c r="AO515" s="14">
        <f t="shared" si="2954"/>
        <v>0.33</v>
      </c>
      <c r="AP515" s="14">
        <f t="shared" si="2954"/>
        <v>0.33</v>
      </c>
      <c r="AQ515" s="14">
        <f t="shared" si="2954"/>
        <v>0.33</v>
      </c>
      <c r="AR515" s="14">
        <f t="shared" si="2954"/>
        <v>0.33000000000000024</v>
      </c>
      <c r="AS515" s="14">
        <f t="shared" si="2954"/>
        <v>0.32999999999999974</v>
      </c>
      <c r="AT515" s="14">
        <f t="shared" si="2954"/>
        <v>0.32999999999999974</v>
      </c>
      <c r="AU515" s="14">
        <f t="shared" si="2954"/>
        <v>0.32999999999999974</v>
      </c>
      <c r="AV515" s="14">
        <f t="shared" si="2954"/>
        <v>0.32999999999999974</v>
      </c>
      <c r="AW515" s="14">
        <f t="shared" si="2954"/>
        <v>0.32999999999999974</v>
      </c>
      <c r="AX515" s="14">
        <f t="shared" si="2954"/>
        <v>0.50574712643678155</v>
      </c>
      <c r="AY515" s="14">
        <f t="shared" si="2954"/>
        <v>0.50574713103448277</v>
      </c>
      <c r="AZ515" s="14">
        <f t="shared" si="2954"/>
        <v>0.50574713103448277</v>
      </c>
      <c r="BA515" s="14">
        <f t="shared" si="2954"/>
        <v>0.50574713103448277</v>
      </c>
      <c r="BB515" s="14">
        <f t="shared" si="2954"/>
        <v>0.50574713103448254</v>
      </c>
      <c r="BC515" s="14">
        <f t="shared" si="2954"/>
        <v>0.50574713103448277</v>
      </c>
      <c r="BD515" s="14">
        <f t="shared" si="2954"/>
        <v>0.50574713103448277</v>
      </c>
      <c r="BE515" s="14">
        <f t="shared" si="2954"/>
        <v>0.50574713103448277</v>
      </c>
      <c r="BF515" s="14">
        <f t="shared" si="2954"/>
        <v>0.50574713103448277</v>
      </c>
      <c r="BG515" s="14">
        <f t="shared" si="2954"/>
        <v>0.50574713103448277</v>
      </c>
      <c r="BH515" s="14">
        <f t="shared" si="2954"/>
        <v>0.50574713103448277</v>
      </c>
      <c r="BI515" s="14">
        <f t="shared" si="2954"/>
        <v>0.50574713103448277</v>
      </c>
      <c r="BJ515" s="14">
        <f t="shared" si="2954"/>
        <v>0.5</v>
      </c>
      <c r="BK515" s="14">
        <f t="shared" si="2954"/>
        <v>0.5</v>
      </c>
      <c r="BL515" s="14" t="e">
        <f t="shared" si="2954"/>
        <v>#DIV/0!</v>
      </c>
      <c r="BM515" s="412"/>
      <c r="BN515" s="14">
        <f t="shared" ref="BN515:CN515" si="2955">BN472/BN471</f>
        <v>0.33</v>
      </c>
      <c r="BO515" s="14">
        <f t="shared" si="2955"/>
        <v>0.33</v>
      </c>
      <c r="BP515" s="14">
        <f t="shared" si="2955"/>
        <v>0.33</v>
      </c>
      <c r="BQ515" s="14">
        <f t="shared" si="2955"/>
        <v>0.33</v>
      </c>
      <c r="BR515" s="14">
        <f t="shared" si="2955"/>
        <v>0.33</v>
      </c>
      <c r="BS515" s="14">
        <f t="shared" si="2955"/>
        <v>0.33</v>
      </c>
      <c r="BT515" s="14">
        <f t="shared" si="2955"/>
        <v>0.3299999999999999</v>
      </c>
      <c r="BU515" s="14">
        <f t="shared" si="2955"/>
        <v>0.3299999999999999</v>
      </c>
      <c r="BV515" s="14">
        <f t="shared" si="2955"/>
        <v>0.3299999999999999</v>
      </c>
      <c r="BW515" s="14">
        <f t="shared" si="2955"/>
        <v>0.32999999999999974</v>
      </c>
      <c r="BX515" s="14">
        <f t="shared" si="2955"/>
        <v>0.32999999999999974</v>
      </c>
      <c r="BY515" s="14">
        <f t="shared" si="2955"/>
        <v>0.32999999999999974</v>
      </c>
      <c r="BZ515" s="14">
        <f t="shared" si="2955"/>
        <v>0.50574712950191569</v>
      </c>
      <c r="CA515" s="14">
        <f t="shared" si="2955"/>
        <v>0.50574712950191569</v>
      </c>
      <c r="CB515" s="14">
        <f t="shared" si="2955"/>
        <v>0.50574712950191569</v>
      </c>
      <c r="CC515" s="14">
        <f t="shared" si="2955"/>
        <v>0.50574713103448277</v>
      </c>
      <c r="CD515" s="14">
        <f t="shared" si="2955"/>
        <v>0.50574713103448277</v>
      </c>
      <c r="CE515" s="14">
        <f t="shared" si="2955"/>
        <v>0.50574713103448277</v>
      </c>
      <c r="CF515" s="14">
        <f t="shared" si="2955"/>
        <v>0.50574713103448277</v>
      </c>
      <c r="CG515" s="14">
        <f t="shared" si="2955"/>
        <v>0.50574713103448277</v>
      </c>
      <c r="CH515" s="14">
        <f t="shared" si="2955"/>
        <v>0.50574713103448277</v>
      </c>
      <c r="CI515" s="14">
        <f t="shared" si="2955"/>
        <v>0.50574713103448277</v>
      </c>
      <c r="CJ515" s="14">
        <f t="shared" si="2955"/>
        <v>0.50574713103448277</v>
      </c>
      <c r="CK515" s="14">
        <f t="shared" si="2955"/>
        <v>0.50574713103448277</v>
      </c>
      <c r="CL515" s="14">
        <f t="shared" si="2955"/>
        <v>0.5</v>
      </c>
      <c r="CM515" s="14">
        <f t="shared" si="2955"/>
        <v>0.5</v>
      </c>
      <c r="CN515" s="14">
        <f t="shared" si="2955"/>
        <v>0.5</v>
      </c>
      <c r="CO515" s="412"/>
      <c r="CP515" s="14">
        <f t="shared" ref="CP515:DP515" si="2956">CP472/CP471</f>
        <v>0.33</v>
      </c>
      <c r="CQ515" s="14">
        <f t="shared" si="2956"/>
        <v>0.33</v>
      </c>
      <c r="CR515" s="14">
        <f t="shared" si="2956"/>
        <v>0.33</v>
      </c>
      <c r="CS515" s="14">
        <f t="shared" si="2956"/>
        <v>0.33</v>
      </c>
      <c r="CT515" s="14">
        <f t="shared" si="2956"/>
        <v>0.33</v>
      </c>
      <c r="CU515" s="14">
        <f t="shared" si="2956"/>
        <v>0.33</v>
      </c>
      <c r="CV515" s="14">
        <f t="shared" si="2956"/>
        <v>0.33000000000000007</v>
      </c>
      <c r="CW515" s="14">
        <f t="shared" si="2956"/>
        <v>0.33</v>
      </c>
      <c r="CX515" s="14">
        <f t="shared" si="2956"/>
        <v>0.32999999999999996</v>
      </c>
      <c r="CY515" s="14">
        <f t="shared" si="2956"/>
        <v>0.32999999999999996</v>
      </c>
      <c r="CZ515" s="14">
        <f t="shared" si="2956"/>
        <v>0.32999999999999996</v>
      </c>
      <c r="DA515" s="14">
        <f t="shared" si="2956"/>
        <v>0.3299999999999999</v>
      </c>
      <c r="DB515" s="14">
        <f t="shared" si="2956"/>
        <v>0.50574712643678155</v>
      </c>
      <c r="DC515" s="14">
        <f t="shared" si="2956"/>
        <v>0.50574712873563221</v>
      </c>
      <c r="DD515" s="14">
        <f t="shared" si="2956"/>
        <v>0.50574712950191569</v>
      </c>
      <c r="DE515" s="14">
        <f t="shared" si="2956"/>
        <v>0.50574712988505754</v>
      </c>
      <c r="DF515" s="14">
        <f t="shared" si="2956"/>
        <v>0.50574713011494254</v>
      </c>
      <c r="DG515" s="14">
        <f t="shared" si="2956"/>
        <v>0.50574713026819917</v>
      </c>
      <c r="DH515" s="14">
        <f t="shared" si="2956"/>
        <v>0.50574713037766827</v>
      </c>
      <c r="DI515" s="14">
        <f t="shared" si="2956"/>
        <v>0.50574713045977016</v>
      </c>
      <c r="DJ515" s="14">
        <f t="shared" si="2956"/>
        <v>0.50574713052362708</v>
      </c>
      <c r="DK515" s="14">
        <f t="shared" si="2956"/>
        <v>0.50574713057471266</v>
      </c>
      <c r="DL515" s="14">
        <f t="shared" si="2956"/>
        <v>0.50574713061651</v>
      </c>
      <c r="DM515" s="14">
        <f t="shared" si="2956"/>
        <v>0.50574713065134103</v>
      </c>
      <c r="DN515" s="14">
        <f t="shared" si="2956"/>
        <v>0.5</v>
      </c>
      <c r="DO515" s="14">
        <f t="shared" si="2956"/>
        <v>0.5</v>
      </c>
      <c r="DP515" s="14">
        <f t="shared" si="2956"/>
        <v>0.33333333333333337</v>
      </c>
      <c r="DQ515" s="14"/>
      <c r="DR515" s="14"/>
      <c r="DS515" s="14"/>
      <c r="DT515" s="14"/>
      <c r="DU515" s="14"/>
      <c r="DV515" s="14"/>
      <c r="DW515" s="14"/>
      <c r="DX515" s="14"/>
      <c r="DY515" s="14"/>
      <c r="DZ515" s="14"/>
      <c r="EA515" s="14">
        <f>EA472/EA471</f>
        <v>0.3299999999999999</v>
      </c>
      <c r="EB515" s="14">
        <f>EB472/EB471</f>
        <v>0.50574713065134103</v>
      </c>
      <c r="EC515" s="14"/>
      <c r="ED515" s="429"/>
      <c r="EE515" s="14">
        <f>EE472/EE471</f>
        <v>0.5</v>
      </c>
      <c r="EF515" s="14">
        <f>EF472/EF471</f>
        <v>0.5</v>
      </c>
      <c r="EG515" s="14">
        <f>EG472/EG471</f>
        <v>0.5</v>
      </c>
      <c r="EK515" s="24"/>
      <c r="EL515" s="47"/>
      <c r="EM515" s="47"/>
      <c r="EN515" s="47"/>
    </row>
    <row r="516" spans="1:149">
      <c r="A516" s="6" t="s">
        <v>23</v>
      </c>
      <c r="B516" s="2" t="s">
        <v>25</v>
      </c>
      <c r="C516" s="3" t="s">
        <v>75</v>
      </c>
      <c r="E516" s="4" t="str">
        <f>C485</f>
        <v>BSEE</v>
      </c>
      <c r="F516" s="4" t="s">
        <v>31</v>
      </c>
      <c r="G516" s="28" t="str">
        <f>C484</f>
        <v>BSUniq</v>
      </c>
      <c r="H516" s="28"/>
      <c r="I516" s="28"/>
      <c r="J516" s="62">
        <f t="shared" ref="J516:AJ516" si="2957">J485/J484</f>
        <v>0.18211559432933475</v>
      </c>
      <c r="K516" s="62">
        <f t="shared" si="2957"/>
        <v>0.18211559432933455</v>
      </c>
      <c r="L516" s="62">
        <f t="shared" si="2957"/>
        <v>0.18211559432933494</v>
      </c>
      <c r="M516" s="62">
        <f t="shared" si="2957"/>
        <v>0.26785714285714285</v>
      </c>
      <c r="N516" s="62">
        <f t="shared" si="2957"/>
        <v>0.26795284030010719</v>
      </c>
      <c r="O516" s="62">
        <f t="shared" si="2957"/>
        <v>0.26795284030010724</v>
      </c>
      <c r="P516" s="62">
        <f t="shared" si="2957"/>
        <v>0.26795284030010724</v>
      </c>
      <c r="Q516" s="62">
        <f t="shared" si="2957"/>
        <v>0.26795284030010724</v>
      </c>
      <c r="R516" s="62">
        <f t="shared" si="2957"/>
        <v>0.26795284030010724</v>
      </c>
      <c r="S516" s="62">
        <f t="shared" si="2957"/>
        <v>0.26795284030010702</v>
      </c>
      <c r="T516" s="62">
        <f t="shared" si="2957"/>
        <v>0.26795284030010724</v>
      </c>
      <c r="U516" s="62">
        <f t="shared" si="2957"/>
        <v>0.26795284030010724</v>
      </c>
      <c r="V516" s="62">
        <f t="shared" si="2957"/>
        <v>0.24793388429752064</v>
      </c>
      <c r="W516" s="62">
        <f t="shared" si="2957"/>
        <v>0.12396899122299541</v>
      </c>
      <c r="X516" s="62">
        <f t="shared" si="2957"/>
        <v>8.2646449508529118E-2</v>
      </c>
      <c r="Y516" s="62">
        <f t="shared" si="2957"/>
        <v>6.1985007892757675E-2</v>
      </c>
      <c r="Z516" s="62">
        <f t="shared" si="2957"/>
        <v>4.9588088280020634E-2</v>
      </c>
      <c r="AA516" s="62">
        <f t="shared" si="2957"/>
        <v>4.1323452436706251E-2</v>
      </c>
      <c r="AB516" s="62">
        <f t="shared" si="2957"/>
        <v>3.5420129968263561E-2</v>
      </c>
      <c r="AC516" s="62">
        <f t="shared" si="2957"/>
        <v>3.0992632018281521E-2</v>
      </c>
      <c r="AD516" s="62">
        <f t="shared" si="2957"/>
        <v>2.754901888760735E-2</v>
      </c>
      <c r="AE516" s="62">
        <f t="shared" si="2957"/>
        <v>2.479412610623126E-2</v>
      </c>
      <c r="AF516" s="62">
        <f t="shared" si="2957"/>
        <v>2.2540121416120697E-2</v>
      </c>
      <c r="AG516" s="62">
        <f t="shared" si="2957"/>
        <v>2.0661783139433978E-2</v>
      </c>
      <c r="AH516" s="62">
        <f t="shared" si="2957"/>
        <v>0.12000000000000001</v>
      </c>
      <c r="AI516" s="62">
        <f t="shared" si="2957"/>
        <v>6.0000000000000005E-2</v>
      </c>
      <c r="AJ516" s="62">
        <f t="shared" si="2957"/>
        <v>0.12000000000000001</v>
      </c>
      <c r="AK516" s="412"/>
      <c r="AL516" s="14">
        <f t="shared" ref="AL516:BL516" si="2958">AL485/AL484</f>
        <v>0.18211559432933475</v>
      </c>
      <c r="AM516" s="14">
        <f t="shared" si="2958"/>
        <v>0.18211559432933455</v>
      </c>
      <c r="AN516" s="14">
        <f t="shared" si="2958"/>
        <v>0.18211559432933494</v>
      </c>
      <c r="AO516" s="14">
        <f t="shared" si="2958"/>
        <v>0.26785714285714285</v>
      </c>
      <c r="AP516" s="14">
        <f t="shared" si="2958"/>
        <v>0.26795284030010719</v>
      </c>
      <c r="AQ516" s="14">
        <f t="shared" si="2958"/>
        <v>0.26795284030010724</v>
      </c>
      <c r="AR516" s="14">
        <f t="shared" si="2958"/>
        <v>0.26795284030010724</v>
      </c>
      <c r="AS516" s="14">
        <f t="shared" si="2958"/>
        <v>0.26795284030010724</v>
      </c>
      <c r="AT516" s="14">
        <f t="shared" si="2958"/>
        <v>0.26795284030010724</v>
      </c>
      <c r="AU516" s="14">
        <f t="shared" si="2958"/>
        <v>0.26795284030010702</v>
      </c>
      <c r="AV516" s="14">
        <f t="shared" si="2958"/>
        <v>0.26795284030010724</v>
      </c>
      <c r="AW516" s="14">
        <f t="shared" si="2958"/>
        <v>0.26795284030010724</v>
      </c>
      <c r="AX516" s="14">
        <f t="shared" si="2958"/>
        <v>0.24793388429752064</v>
      </c>
      <c r="AY516" s="14">
        <f t="shared" si="2958"/>
        <v>0.24793388429752064</v>
      </c>
      <c r="AZ516" s="14">
        <f t="shared" si="2958"/>
        <v>0.24793388429752064</v>
      </c>
      <c r="BA516" s="14">
        <f t="shared" si="2958"/>
        <v>0.24793388429752064</v>
      </c>
      <c r="BB516" s="14">
        <f t="shared" si="2958"/>
        <v>0.24793388429752064</v>
      </c>
      <c r="BC516" s="14">
        <f t="shared" si="2958"/>
        <v>0.24793388429752064</v>
      </c>
      <c r="BD516" s="14">
        <f t="shared" si="2958"/>
        <v>0.24793388429752064</v>
      </c>
      <c r="BE516" s="14">
        <f t="shared" si="2958"/>
        <v>0.24793388429752064</v>
      </c>
      <c r="BF516" s="14">
        <f t="shared" si="2958"/>
        <v>0.24793388429752064</v>
      </c>
      <c r="BG516" s="14">
        <f t="shared" si="2958"/>
        <v>0.24793388429752064</v>
      </c>
      <c r="BH516" s="14">
        <f t="shared" si="2958"/>
        <v>0.24793388429752064</v>
      </c>
      <c r="BI516" s="14">
        <f t="shared" si="2958"/>
        <v>0.24793388429752064</v>
      </c>
      <c r="BJ516" s="14">
        <f t="shared" si="2958"/>
        <v>0.12000000000000001</v>
      </c>
      <c r="BK516" s="14">
        <f t="shared" si="2958"/>
        <v>6.0000000000000005E-2</v>
      </c>
      <c r="BL516" s="14" t="e">
        <f t="shared" si="2958"/>
        <v>#DIV/0!</v>
      </c>
      <c r="BM516" s="412"/>
      <c r="BN516" s="14">
        <f t="shared" ref="BN516:CN516" si="2959">BN485/BN484</f>
        <v>0.18211559432933475</v>
      </c>
      <c r="BO516" s="14">
        <f t="shared" si="2959"/>
        <v>0.18211559432933466</v>
      </c>
      <c r="BP516" s="14">
        <f t="shared" si="2959"/>
        <v>0.18211559432933475</v>
      </c>
      <c r="BQ516" s="14">
        <f t="shared" si="2959"/>
        <v>0.26785714285714285</v>
      </c>
      <c r="BR516" s="14">
        <f t="shared" si="2959"/>
        <v>0.2679049830326844</v>
      </c>
      <c r="BS516" s="14">
        <f t="shared" si="2959"/>
        <v>0.26792093355560848</v>
      </c>
      <c r="BT516" s="14">
        <f t="shared" si="2959"/>
        <v>0.26795284030010724</v>
      </c>
      <c r="BU516" s="14">
        <f t="shared" si="2959"/>
        <v>0.26795284030010724</v>
      </c>
      <c r="BV516" s="14">
        <f t="shared" si="2959"/>
        <v>0.26795284030010724</v>
      </c>
      <c r="BW516" s="14">
        <f t="shared" si="2959"/>
        <v>0.26795284030010702</v>
      </c>
      <c r="BX516" s="14">
        <f t="shared" si="2959"/>
        <v>0.26795284030010713</v>
      </c>
      <c r="BY516" s="14">
        <f t="shared" si="2959"/>
        <v>0.26795284030010719</v>
      </c>
      <c r="BZ516" s="14">
        <f t="shared" si="2959"/>
        <v>8.264736024331383E-2</v>
      </c>
      <c r="CA516" s="14">
        <f t="shared" si="2959"/>
        <v>0.16529472048662766</v>
      </c>
      <c r="CB516" s="14">
        <f t="shared" si="2959"/>
        <v>0.24794208072994151</v>
      </c>
      <c r="CC516" s="14">
        <f t="shared" si="2959"/>
        <v>4.1323680121656915E-2</v>
      </c>
      <c r="CD516" s="14">
        <f t="shared" si="2959"/>
        <v>8.264736024331383E-2</v>
      </c>
      <c r="CE516" s="14">
        <f t="shared" si="2959"/>
        <v>0.12397104036497075</v>
      </c>
      <c r="CF516" s="14">
        <f t="shared" si="2959"/>
        <v>2.7549120081104609E-2</v>
      </c>
      <c r="CG516" s="14">
        <f t="shared" si="2959"/>
        <v>5.5098240162209218E-2</v>
      </c>
      <c r="CH516" s="14">
        <f t="shared" si="2959"/>
        <v>8.264736024331383E-2</v>
      </c>
      <c r="CI516" s="14">
        <f t="shared" si="2959"/>
        <v>2.0661157024793389E-2</v>
      </c>
      <c r="CJ516" s="14">
        <f t="shared" si="2959"/>
        <v>4.1322314049586778E-2</v>
      </c>
      <c r="CK516" s="14">
        <f t="shared" si="2959"/>
        <v>6.1983471074380167E-2</v>
      </c>
      <c r="CL516" s="14">
        <f t="shared" si="2959"/>
        <v>0.04</v>
      </c>
      <c r="CM516" s="14">
        <f t="shared" si="2959"/>
        <v>0.08</v>
      </c>
      <c r="CN516" s="14">
        <f t="shared" si="2959"/>
        <v>0.12</v>
      </c>
      <c r="CO516" s="412"/>
      <c r="CP516" s="14">
        <f t="shared" ref="CP516:DP516" si="2960">CP485/CP484</f>
        <v>0.18211559432933475</v>
      </c>
      <c r="CQ516" s="14">
        <f t="shared" si="2960"/>
        <v>0.18211559432933466</v>
      </c>
      <c r="CR516" s="14">
        <f t="shared" si="2960"/>
        <v>0.18211559432933475</v>
      </c>
      <c r="CS516" s="14">
        <f t="shared" si="2960"/>
        <v>0.20383606260743684</v>
      </c>
      <c r="CT516" s="14">
        <f t="shared" si="2960"/>
        <v>0.21679179901819229</v>
      </c>
      <c r="CU516" s="14">
        <f t="shared" si="2960"/>
        <v>0.22539186835625485</v>
      </c>
      <c r="CV516" s="14">
        <f t="shared" si="2960"/>
        <v>0.23151670951156808</v>
      </c>
      <c r="CW516" s="14">
        <f t="shared" si="2960"/>
        <v>0.23610049889882687</v>
      </c>
      <c r="CX516" s="14">
        <f t="shared" si="2960"/>
        <v>0.23965985308208235</v>
      </c>
      <c r="CY516" s="14">
        <f t="shared" si="2960"/>
        <v>0.24250368082737811</v>
      </c>
      <c r="CZ516" s="14">
        <f t="shared" si="2960"/>
        <v>0.24482803628532265</v>
      </c>
      <c r="DA516" s="14">
        <f t="shared" si="2960"/>
        <v>0.24676334280161455</v>
      </c>
      <c r="DB516" s="14">
        <f t="shared" si="2960"/>
        <v>0.24793388429752064</v>
      </c>
      <c r="DC516" s="14">
        <f t="shared" si="2960"/>
        <v>0.24793798244599083</v>
      </c>
      <c r="DD516" s="14">
        <f t="shared" si="2960"/>
        <v>0.24793934852558736</v>
      </c>
      <c r="DE516" s="14">
        <f t="shared" si="2960"/>
        <v>0.2479400315710307</v>
      </c>
      <c r="DF516" s="14">
        <f t="shared" si="2960"/>
        <v>0.24794044140010316</v>
      </c>
      <c r="DG516" s="14">
        <f t="shared" si="2960"/>
        <v>0.24794071462023751</v>
      </c>
      <c r="DH516" s="14">
        <f t="shared" si="2960"/>
        <v>0.24794090977784494</v>
      </c>
      <c r="DI516" s="14">
        <f t="shared" si="2960"/>
        <v>0.24794105614625217</v>
      </c>
      <c r="DJ516" s="14">
        <f t="shared" si="2960"/>
        <v>0.24794116998846616</v>
      </c>
      <c r="DK516" s="14">
        <f t="shared" si="2960"/>
        <v>0.24794126106231262</v>
      </c>
      <c r="DL516" s="14">
        <f t="shared" si="2960"/>
        <v>0.24794133557732767</v>
      </c>
      <c r="DM516" s="14">
        <f t="shared" si="2960"/>
        <v>0.24794139767320775</v>
      </c>
      <c r="DN516" s="14">
        <f t="shared" si="2960"/>
        <v>0.12000000000000001</v>
      </c>
      <c r="DO516" s="14">
        <f t="shared" si="2960"/>
        <v>0.08</v>
      </c>
      <c r="DP516" s="14">
        <f t="shared" si="2960"/>
        <v>0.12</v>
      </c>
      <c r="DQ516" s="14"/>
      <c r="DR516" s="14"/>
      <c r="DS516" s="14"/>
      <c r="DT516" s="14"/>
      <c r="DU516" s="14"/>
      <c r="DV516" s="14"/>
      <c r="DW516" s="14"/>
      <c r="DX516" s="14"/>
      <c r="DY516" s="14"/>
      <c r="DZ516" s="14"/>
      <c r="EA516" s="14">
        <f>EA485/EA484</f>
        <v>0.24676334280161455</v>
      </c>
      <c r="EB516" s="14">
        <f>EB485/EB484</f>
        <v>0.24794139767320775</v>
      </c>
      <c r="EC516" s="14"/>
      <c r="ED516" s="429"/>
      <c r="EE516" s="14">
        <f>EE485/EE484</f>
        <v>6.0000000000000005E-2</v>
      </c>
      <c r="EF516" s="14">
        <f>EF485/EF484</f>
        <v>0.08</v>
      </c>
      <c r="EG516" s="14">
        <f>+EF516</f>
        <v>0.08</v>
      </c>
      <c r="EK516" s="24"/>
      <c r="EL516" s="47"/>
      <c r="EM516" s="47"/>
      <c r="EN516" s="47"/>
    </row>
    <row r="517" spans="1:149">
      <c r="A517" s="6" t="s">
        <v>23</v>
      </c>
      <c r="B517" s="2" t="s">
        <v>160</v>
      </c>
      <c r="C517" s="3" t="s">
        <v>76</v>
      </c>
      <c r="E517" s="3" t="str">
        <f>C474</f>
        <v>BSatRate</v>
      </c>
      <c r="F517" s="3" t="s">
        <v>32</v>
      </c>
      <c r="G517" s="28" t="str">
        <f>C471</f>
        <v>BAllNew</v>
      </c>
      <c r="H517" s="63" t="s">
        <v>31</v>
      </c>
      <c r="I517" s="28" t="str">
        <f>C473</f>
        <v>BSatResp</v>
      </c>
      <c r="J517" s="62">
        <f t="shared" ref="J517:AJ517" si="2961">J474*J473/J471</f>
        <v>0.23749999999999999</v>
      </c>
      <c r="K517" s="62">
        <f t="shared" si="2961"/>
        <v>0.11874999999999999</v>
      </c>
      <c r="L517" s="62">
        <f t="shared" si="2961"/>
        <v>7.9166666666666663E-2</v>
      </c>
      <c r="M517" s="62">
        <f t="shared" si="2961"/>
        <v>5.9374999999999997E-2</v>
      </c>
      <c r="N517" s="62">
        <f t="shared" si="2961"/>
        <v>4.7499999999999994E-2</v>
      </c>
      <c r="O517" s="62">
        <f t="shared" si="2961"/>
        <v>3.9583333333333331E-2</v>
      </c>
      <c r="P517" s="62">
        <f t="shared" si="2961"/>
        <v>3.3928571428571426E-2</v>
      </c>
      <c r="Q517" s="62">
        <f t="shared" si="2961"/>
        <v>2.9687499999999999E-2</v>
      </c>
      <c r="R517" s="62">
        <f t="shared" si="2961"/>
        <v>2.6388888888888885E-2</v>
      </c>
      <c r="S517" s="62">
        <f t="shared" si="2961"/>
        <v>2.3749999999999997E-2</v>
      </c>
      <c r="T517" s="62">
        <f t="shared" si="2961"/>
        <v>2.1590909090909088E-2</v>
      </c>
      <c r="U517" s="62">
        <f t="shared" si="2961"/>
        <v>1.9791666666666666E-2</v>
      </c>
      <c r="V517" s="62">
        <f t="shared" si="2961"/>
        <v>0.14303724137931031</v>
      </c>
      <c r="W517" s="62">
        <f t="shared" si="2961"/>
        <v>0.14303724137931031</v>
      </c>
      <c r="X517" s="62">
        <f t="shared" si="2961"/>
        <v>0.14303724137931034</v>
      </c>
      <c r="Y517" s="62">
        <f t="shared" si="2961"/>
        <v>0.14303724137931031</v>
      </c>
      <c r="Z517" s="62">
        <f t="shared" si="2961"/>
        <v>0.14303724137931031</v>
      </c>
      <c r="AA517" s="62">
        <f t="shared" si="2961"/>
        <v>0.14303724137931031</v>
      </c>
      <c r="AB517" s="62">
        <f t="shared" si="2961"/>
        <v>0.14303724137931031</v>
      </c>
      <c r="AC517" s="62">
        <f t="shared" si="2961"/>
        <v>0.14303724137931031</v>
      </c>
      <c r="AD517" s="62">
        <f t="shared" si="2961"/>
        <v>0.14303724137931031</v>
      </c>
      <c r="AE517" s="62">
        <f t="shared" si="2961"/>
        <v>0.14303724137931031</v>
      </c>
      <c r="AF517" s="62">
        <f t="shared" si="2961"/>
        <v>0.14303724137931031</v>
      </c>
      <c r="AG517" s="62">
        <f t="shared" si="2961"/>
        <v>0.14303724137931031</v>
      </c>
      <c r="AH517" s="62">
        <f t="shared" si="2961"/>
        <v>0</v>
      </c>
      <c r="AI517" s="62">
        <f t="shared" si="2961"/>
        <v>0</v>
      </c>
      <c r="AJ517" s="62" t="e">
        <f t="shared" si="2961"/>
        <v>#DIV/0!</v>
      </c>
      <c r="AK517" s="412"/>
      <c r="AL517" s="14">
        <f t="shared" ref="AL517:BL517" si="2962">AL474*AL473/AL471</f>
        <v>0.23749999999999999</v>
      </c>
      <c r="AM517" s="14">
        <f t="shared" si="2962"/>
        <v>0.23749999999999999</v>
      </c>
      <c r="AN517" s="14">
        <f t="shared" si="2962"/>
        <v>0.23749999999999999</v>
      </c>
      <c r="AO517" s="14">
        <f t="shared" si="2962"/>
        <v>0.23749999999999999</v>
      </c>
      <c r="AP517" s="14">
        <f t="shared" si="2962"/>
        <v>0.23749999999999999</v>
      </c>
      <c r="AQ517" s="14">
        <f t="shared" si="2962"/>
        <v>0.23749999999999999</v>
      </c>
      <c r="AR517" s="14">
        <f t="shared" si="2962"/>
        <v>0.23749999999999999</v>
      </c>
      <c r="AS517" s="14">
        <f t="shared" si="2962"/>
        <v>0.23749999999999999</v>
      </c>
      <c r="AT517" s="14">
        <f t="shared" si="2962"/>
        <v>0.23749999999999999</v>
      </c>
      <c r="AU517" s="14">
        <f t="shared" si="2962"/>
        <v>0.23749999999999999</v>
      </c>
      <c r="AV517" s="14">
        <f t="shared" si="2962"/>
        <v>0.23749999999999999</v>
      </c>
      <c r="AW517" s="14">
        <f t="shared" si="2962"/>
        <v>0.23749999999999999</v>
      </c>
      <c r="AX517" s="14">
        <f t="shared" si="2962"/>
        <v>0.14303724137931031</v>
      </c>
      <c r="AY517" s="14">
        <f t="shared" si="2962"/>
        <v>0.14303724137931031</v>
      </c>
      <c r="AZ517" s="14">
        <f t="shared" si="2962"/>
        <v>0.14303724137931034</v>
      </c>
      <c r="BA517" s="14">
        <f t="shared" si="2962"/>
        <v>0.14303724137931029</v>
      </c>
      <c r="BB517" s="14">
        <f t="shared" si="2962"/>
        <v>0.14303724137931029</v>
      </c>
      <c r="BC517" s="14">
        <f t="shared" si="2962"/>
        <v>0.14303724137931029</v>
      </c>
      <c r="BD517" s="14">
        <f t="shared" si="2962"/>
        <v>0.14303724137931029</v>
      </c>
      <c r="BE517" s="14">
        <f t="shared" si="2962"/>
        <v>0.14303724137931043</v>
      </c>
      <c r="BF517" s="14">
        <f t="shared" si="2962"/>
        <v>0.14303724137931029</v>
      </c>
      <c r="BG517" s="14">
        <f t="shared" si="2962"/>
        <v>0.14303724137931029</v>
      </c>
      <c r="BH517" s="14">
        <f t="shared" si="2962"/>
        <v>0.14303724137931029</v>
      </c>
      <c r="BI517" s="14">
        <f t="shared" si="2962"/>
        <v>0.14303724137931029</v>
      </c>
      <c r="BJ517" s="14">
        <f t="shared" si="2962"/>
        <v>0</v>
      </c>
      <c r="BK517" s="14">
        <f t="shared" si="2962"/>
        <v>0</v>
      </c>
      <c r="BL517" s="14" t="e">
        <f t="shared" si="2962"/>
        <v>#DIV/0!</v>
      </c>
      <c r="BM517" s="412"/>
      <c r="BN517" s="14">
        <f t="shared" ref="BN517:CN517" si="2963">BN474*BN473/BN471</f>
        <v>0.23749999999999999</v>
      </c>
      <c r="BO517" s="14">
        <f t="shared" si="2963"/>
        <v>0.23749999999999999</v>
      </c>
      <c r="BP517" s="14">
        <f t="shared" si="2963"/>
        <v>0.23749999999999999</v>
      </c>
      <c r="BQ517" s="14">
        <f t="shared" si="2963"/>
        <v>0.23749999999999999</v>
      </c>
      <c r="BR517" s="14">
        <f t="shared" si="2963"/>
        <v>0.23749999999999999</v>
      </c>
      <c r="BS517" s="14">
        <f t="shared" si="2963"/>
        <v>0.23749999999999999</v>
      </c>
      <c r="BT517" s="14">
        <f t="shared" si="2963"/>
        <v>0.23749999999999999</v>
      </c>
      <c r="BU517" s="14">
        <f t="shared" si="2963"/>
        <v>0.23749999999999999</v>
      </c>
      <c r="BV517" s="14">
        <f t="shared" si="2963"/>
        <v>0.23749999999999999</v>
      </c>
      <c r="BW517" s="14">
        <f t="shared" si="2963"/>
        <v>0.23749999999999999</v>
      </c>
      <c r="BX517" s="14">
        <f t="shared" si="2963"/>
        <v>0.23749999999999999</v>
      </c>
      <c r="BY517" s="14">
        <f t="shared" si="2963"/>
        <v>0.23749999999999999</v>
      </c>
      <c r="BZ517" s="14">
        <f t="shared" si="2963"/>
        <v>0.14303724137931034</v>
      </c>
      <c r="CA517" s="14">
        <f t="shared" si="2963"/>
        <v>0.14303724137931034</v>
      </c>
      <c r="CB517" s="14">
        <f t="shared" si="2963"/>
        <v>0.14303724137931034</v>
      </c>
      <c r="CC517" s="14">
        <f t="shared" si="2963"/>
        <v>0.42911172413793092</v>
      </c>
      <c r="CD517" s="14">
        <f t="shared" si="2963"/>
        <v>0.42911172413793092</v>
      </c>
      <c r="CE517" s="14">
        <f t="shared" si="2963"/>
        <v>0.42911172413793092</v>
      </c>
      <c r="CF517" s="14">
        <f t="shared" si="2963"/>
        <v>0.42911172413793097</v>
      </c>
      <c r="CG517" s="14">
        <f t="shared" si="2963"/>
        <v>0.42911172413793097</v>
      </c>
      <c r="CH517" s="14">
        <f t="shared" si="2963"/>
        <v>0.42911172413793097</v>
      </c>
      <c r="CI517" s="14">
        <f t="shared" si="2963"/>
        <v>0.42911172413793092</v>
      </c>
      <c r="CJ517" s="14">
        <f t="shared" si="2963"/>
        <v>0.42911172413793092</v>
      </c>
      <c r="CK517" s="14">
        <f t="shared" si="2963"/>
        <v>0.42911172413793092</v>
      </c>
      <c r="CL517" s="14" t="e">
        <f t="shared" si="2963"/>
        <v>#DIV/0!</v>
      </c>
      <c r="CM517" s="14" t="e">
        <f t="shared" si="2963"/>
        <v>#DIV/0!</v>
      </c>
      <c r="CN517" s="14" t="e">
        <f t="shared" si="2963"/>
        <v>#DIV/0!</v>
      </c>
      <c r="CO517" s="412"/>
      <c r="CP517" s="14">
        <f t="shared" ref="CP517:DP517" si="2964">CP474*CP473/CP471</f>
        <v>0.23749999999999999</v>
      </c>
      <c r="CQ517" s="14">
        <f t="shared" si="2964"/>
        <v>0.23749999999999999</v>
      </c>
      <c r="CR517" s="14">
        <f t="shared" si="2964"/>
        <v>0.23749999999999999</v>
      </c>
      <c r="CS517" s="14">
        <f t="shared" si="2964"/>
        <v>0.23749999999999999</v>
      </c>
      <c r="CT517" s="14">
        <f t="shared" si="2964"/>
        <v>0.23749999999999999</v>
      </c>
      <c r="CU517" s="14">
        <f t="shared" si="2964"/>
        <v>0.23750000000000002</v>
      </c>
      <c r="CV517" s="14">
        <f t="shared" si="2964"/>
        <v>0.23750000000000002</v>
      </c>
      <c r="CW517" s="14">
        <f t="shared" si="2964"/>
        <v>0.23750000000000004</v>
      </c>
      <c r="CX517" s="14">
        <f t="shared" si="2964"/>
        <v>0.23750000000000004</v>
      </c>
      <c r="CY517" s="14">
        <f t="shared" si="2964"/>
        <v>0.23750000000000004</v>
      </c>
      <c r="CZ517" s="14">
        <f t="shared" si="2964"/>
        <v>0.23750000000000004</v>
      </c>
      <c r="DA517" s="14">
        <f t="shared" si="2964"/>
        <v>0.23750000000000004</v>
      </c>
      <c r="DB517" s="14">
        <f t="shared" si="2964"/>
        <v>0.14303724137931034</v>
      </c>
      <c r="DC517" s="14">
        <f t="shared" si="2964"/>
        <v>0.14303724137931034</v>
      </c>
      <c r="DD517" s="14">
        <f t="shared" si="2964"/>
        <v>0.14303724137931037</v>
      </c>
      <c r="DE517" s="14">
        <f t="shared" si="2964"/>
        <v>0.14303724137931034</v>
      </c>
      <c r="DF517" s="14">
        <f t="shared" si="2964"/>
        <v>0.14303724137931034</v>
      </c>
      <c r="DG517" s="14">
        <f t="shared" si="2964"/>
        <v>0.14303724137931034</v>
      </c>
      <c r="DH517" s="14">
        <f t="shared" si="2964"/>
        <v>0.14303724137931034</v>
      </c>
      <c r="DI517" s="14">
        <f t="shared" si="2964"/>
        <v>0.14303724137931034</v>
      </c>
      <c r="DJ517" s="14">
        <f t="shared" si="2964"/>
        <v>0.14303724137931034</v>
      </c>
      <c r="DK517" s="14">
        <f t="shared" si="2964"/>
        <v>0.14303724137931034</v>
      </c>
      <c r="DL517" s="14">
        <f t="shared" si="2964"/>
        <v>0.14303724137931034</v>
      </c>
      <c r="DM517" s="14">
        <f t="shared" si="2964"/>
        <v>0.14303724137931034</v>
      </c>
      <c r="DN517" s="14">
        <f t="shared" si="2964"/>
        <v>0</v>
      </c>
      <c r="DO517" s="14">
        <f t="shared" si="2964"/>
        <v>0</v>
      </c>
      <c r="DP517" s="14">
        <f t="shared" si="2964"/>
        <v>0</v>
      </c>
      <c r="DQ517" s="14"/>
      <c r="DR517" s="14"/>
      <c r="DS517" s="14"/>
      <c r="DT517" s="14"/>
      <c r="DU517" s="14"/>
      <c r="DV517" s="14"/>
      <c r="DW517" s="14"/>
      <c r="DX517" s="14"/>
      <c r="DY517" s="14"/>
      <c r="DZ517" s="14"/>
      <c r="EA517" s="14">
        <f>EA474*EA473/EA471</f>
        <v>0.23750000000000004</v>
      </c>
      <c r="EB517" s="14">
        <f>EB474*EB473/EB471</f>
        <v>0.14303724137931034</v>
      </c>
      <c r="EC517" s="14"/>
      <c r="ED517" s="429"/>
      <c r="EE517" s="14" t="e">
        <f>EE473*EE474/EE473</f>
        <v>#DIV/0!</v>
      </c>
      <c r="EF517" s="14" t="e">
        <f>EF474*EF473/EF473</f>
        <v>#DIV/0!</v>
      </c>
      <c r="EG517" s="14">
        <f>EG473*EG474/EG473</f>
        <v>0.95000000000000018</v>
      </c>
      <c r="EK517" s="24"/>
      <c r="EL517" s="47"/>
      <c r="EM517" s="47"/>
      <c r="EN517" s="47"/>
    </row>
    <row r="518" spans="1:149">
      <c r="A518" s="6" t="s">
        <v>23</v>
      </c>
      <c r="B518" s="2" t="s">
        <v>26</v>
      </c>
      <c r="C518" s="3" t="s">
        <v>84</v>
      </c>
      <c r="E518" s="3" t="str">
        <f>C475</f>
        <v>BSpec1</v>
      </c>
      <c r="F518" s="4" t="s">
        <v>31</v>
      </c>
      <c r="G518" s="28" t="str">
        <f>C484</f>
        <v>BSUniq</v>
      </c>
      <c r="H518" s="28"/>
      <c r="I518" s="28"/>
      <c r="J518" s="62">
        <f t="shared" ref="J518:AJ518" si="2965">J475/J484</f>
        <v>0.10905125408942201</v>
      </c>
      <c r="K518" s="62">
        <f t="shared" si="2965"/>
        <v>0.21810250817884402</v>
      </c>
      <c r="L518" s="62">
        <f t="shared" si="2965"/>
        <v>0.32715376226826604</v>
      </c>
      <c r="M518" s="62">
        <f t="shared" si="2965"/>
        <v>0.42857142857142855</v>
      </c>
      <c r="N518" s="62">
        <f t="shared" si="2965"/>
        <v>0.53590568060021437</v>
      </c>
      <c r="O518" s="62">
        <f t="shared" si="2965"/>
        <v>0.64308681672025736</v>
      </c>
      <c r="P518" s="62">
        <f t="shared" si="2965"/>
        <v>0.75026795284030023</v>
      </c>
      <c r="Q518" s="62">
        <f t="shared" si="2965"/>
        <v>0.85744908896034311</v>
      </c>
      <c r="R518" s="62">
        <f t="shared" si="2965"/>
        <v>0.96463022508038598</v>
      </c>
      <c r="S518" s="62">
        <f t="shared" si="2965"/>
        <v>1.0718113612004281</v>
      </c>
      <c r="T518" s="62">
        <f t="shared" si="2965"/>
        <v>1.1789924973204717</v>
      </c>
      <c r="U518" s="62">
        <f t="shared" si="2965"/>
        <v>1.2861736334405147</v>
      </c>
      <c r="V518" s="62">
        <f t="shared" si="2965"/>
        <v>0.46280991735537191</v>
      </c>
      <c r="W518" s="62">
        <f t="shared" si="2965"/>
        <v>0.46281758376171511</v>
      </c>
      <c r="X518" s="62">
        <f t="shared" si="2965"/>
        <v>0.46282013928681631</v>
      </c>
      <c r="Y518" s="62">
        <f t="shared" si="2965"/>
        <v>0.46282141705992719</v>
      </c>
      <c r="Z518" s="62">
        <f t="shared" si="2965"/>
        <v>0.46282218372717304</v>
      </c>
      <c r="AA518" s="62">
        <f t="shared" si="2965"/>
        <v>0.46282269484007832</v>
      </c>
      <c r="AB518" s="62">
        <f t="shared" si="2965"/>
        <v>0.46282305992141454</v>
      </c>
      <c r="AC518" s="62">
        <f t="shared" si="2965"/>
        <v>0.462823333732794</v>
      </c>
      <c r="AD518" s="62">
        <f t="shared" si="2965"/>
        <v>0.4628235466974237</v>
      </c>
      <c r="AE518" s="62">
        <f t="shared" si="2965"/>
        <v>0.46282371706926834</v>
      </c>
      <c r="AF518" s="62">
        <f t="shared" si="2965"/>
        <v>0.46282385646450697</v>
      </c>
      <c r="AG518" s="62">
        <f t="shared" si="2965"/>
        <v>0.46282397262726988</v>
      </c>
      <c r="AH518" s="62">
        <f t="shared" si="2965"/>
        <v>0</v>
      </c>
      <c r="AI518" s="62">
        <f t="shared" si="2965"/>
        <v>0</v>
      </c>
      <c r="AJ518" s="62">
        <f t="shared" si="2965"/>
        <v>0</v>
      </c>
      <c r="AK518" s="412"/>
      <c r="AL518" s="14">
        <f t="shared" ref="AL518:BL518" si="2966">AL475/AL484</f>
        <v>0.10905125408942201</v>
      </c>
      <c r="AM518" s="14">
        <f t="shared" si="2966"/>
        <v>0.10905125408942201</v>
      </c>
      <c r="AN518" s="14">
        <f t="shared" si="2966"/>
        <v>0.10905125408942201</v>
      </c>
      <c r="AO518" s="14">
        <f t="shared" si="2966"/>
        <v>0.10714285714285714</v>
      </c>
      <c r="AP518" s="14">
        <f t="shared" si="2966"/>
        <v>0.10718113612004287</v>
      </c>
      <c r="AQ518" s="14">
        <f t="shared" si="2966"/>
        <v>0.10718113612004289</v>
      </c>
      <c r="AR518" s="14">
        <f t="shared" si="2966"/>
        <v>0.10718113612004289</v>
      </c>
      <c r="AS518" s="14">
        <f t="shared" si="2966"/>
        <v>0.10718113612004289</v>
      </c>
      <c r="AT518" s="14">
        <f t="shared" si="2966"/>
        <v>0.10718113612004289</v>
      </c>
      <c r="AU518" s="14">
        <f t="shared" si="2966"/>
        <v>0.10718113612004281</v>
      </c>
      <c r="AV518" s="14">
        <f t="shared" si="2966"/>
        <v>0.10718113612004289</v>
      </c>
      <c r="AW518" s="14">
        <f t="shared" si="2966"/>
        <v>0.10718113612004289</v>
      </c>
      <c r="AX518" s="14">
        <f t="shared" si="2966"/>
        <v>0.46280991735537191</v>
      </c>
      <c r="AY518" s="14">
        <f t="shared" si="2966"/>
        <v>0.46280995041322326</v>
      </c>
      <c r="AZ518" s="14">
        <f t="shared" si="2966"/>
        <v>0.46280995041322315</v>
      </c>
      <c r="BA518" s="14">
        <f t="shared" si="2966"/>
        <v>0.46280995041322315</v>
      </c>
      <c r="BB518" s="14">
        <f t="shared" si="2966"/>
        <v>0.46280995041322315</v>
      </c>
      <c r="BC518" s="14">
        <f t="shared" si="2966"/>
        <v>0.46280995041322315</v>
      </c>
      <c r="BD518" s="14">
        <f t="shared" si="2966"/>
        <v>0.46280995041322281</v>
      </c>
      <c r="BE518" s="14">
        <f t="shared" si="2966"/>
        <v>0.46280995041322348</v>
      </c>
      <c r="BF518" s="14">
        <f t="shared" si="2966"/>
        <v>0.46280995041322348</v>
      </c>
      <c r="BG518" s="14">
        <f t="shared" si="2966"/>
        <v>0.46280995041322348</v>
      </c>
      <c r="BH518" s="14">
        <f t="shared" si="2966"/>
        <v>0.46280995041322348</v>
      </c>
      <c r="BI518" s="14">
        <f t="shared" si="2966"/>
        <v>0.46280995041322348</v>
      </c>
      <c r="BJ518" s="14">
        <f t="shared" si="2966"/>
        <v>0</v>
      </c>
      <c r="BK518" s="14">
        <f t="shared" si="2966"/>
        <v>0</v>
      </c>
      <c r="BL518" s="14" t="e">
        <f t="shared" si="2966"/>
        <v>#DIV/0!</v>
      </c>
      <c r="BM518" s="412"/>
      <c r="BN518" s="14">
        <f t="shared" ref="BN518:CN518" si="2967">BN475/BN484</f>
        <v>0.32715376226826604</v>
      </c>
      <c r="BO518" s="14">
        <f t="shared" si="2967"/>
        <v>0.16357688113413302</v>
      </c>
      <c r="BP518" s="14">
        <f t="shared" si="2967"/>
        <v>0.10905125408942201</v>
      </c>
      <c r="BQ518" s="14">
        <f t="shared" si="2967"/>
        <v>0.3214285714285714</v>
      </c>
      <c r="BR518" s="14">
        <f t="shared" si="2967"/>
        <v>0.16074298981961063</v>
      </c>
      <c r="BS518" s="14">
        <f t="shared" si="2967"/>
        <v>0.10716837342224339</v>
      </c>
      <c r="BT518" s="14">
        <f t="shared" si="2967"/>
        <v>0.32154340836012868</v>
      </c>
      <c r="BU518" s="14">
        <f t="shared" si="2967"/>
        <v>0.16077170418006434</v>
      </c>
      <c r="BV518" s="14">
        <f t="shared" si="2967"/>
        <v>0.10718113612004289</v>
      </c>
      <c r="BW518" s="14">
        <f t="shared" si="2967"/>
        <v>0.32154340836012846</v>
      </c>
      <c r="BX518" s="14">
        <f t="shared" si="2967"/>
        <v>0.16077170418006428</v>
      </c>
      <c r="BY518" s="14">
        <f t="shared" si="2967"/>
        <v>0.10718113612004286</v>
      </c>
      <c r="BZ518" s="14">
        <f t="shared" si="2967"/>
        <v>0.15427507245418584</v>
      </c>
      <c r="CA518" s="14">
        <f t="shared" si="2967"/>
        <v>0.30855015592801971</v>
      </c>
      <c r="CB518" s="14">
        <f t="shared" si="2967"/>
        <v>0.46282523940185361</v>
      </c>
      <c r="CC518" s="14">
        <f t="shared" si="2967"/>
        <v>7.7137541736916934E-2</v>
      </c>
      <c r="CD518" s="14">
        <f t="shared" si="2967"/>
        <v>0.15427508347383387</v>
      </c>
      <c r="CE518" s="14">
        <f t="shared" si="2967"/>
        <v>0.23141262521075079</v>
      </c>
      <c r="CF518" s="14">
        <f t="shared" si="2967"/>
        <v>0.1542750834738339</v>
      </c>
      <c r="CG518" s="14">
        <f t="shared" si="2967"/>
        <v>0.1542750834738339</v>
      </c>
      <c r="CH518" s="14">
        <f t="shared" si="2967"/>
        <v>0.1542750834738339</v>
      </c>
      <c r="CI518" s="14">
        <f t="shared" si="2967"/>
        <v>0.11570248760330588</v>
      </c>
      <c r="CJ518" s="14">
        <f t="shared" si="2967"/>
        <v>0.11570248760330588</v>
      </c>
      <c r="CK518" s="14">
        <f t="shared" si="2967"/>
        <v>0.11570248760330588</v>
      </c>
      <c r="CL518" s="14">
        <f t="shared" si="2967"/>
        <v>0</v>
      </c>
      <c r="CM518" s="14">
        <f t="shared" si="2967"/>
        <v>0</v>
      </c>
      <c r="CN518" s="14">
        <f t="shared" si="2967"/>
        <v>0</v>
      </c>
      <c r="CO518" s="412"/>
      <c r="CP518" s="14">
        <f t="shared" ref="CP518:DP518" si="2968">CP475/CP484</f>
        <v>0.10905125408942201</v>
      </c>
      <c r="CQ518" s="14">
        <f t="shared" si="2968"/>
        <v>0.10905125408942201</v>
      </c>
      <c r="CR518" s="14">
        <f t="shared" si="2968"/>
        <v>0.10905125408942201</v>
      </c>
      <c r="CS518" s="14">
        <f t="shared" si="2968"/>
        <v>0.10856780964444041</v>
      </c>
      <c r="CT518" s="14">
        <f t="shared" si="2968"/>
        <v>0.10828761189719895</v>
      </c>
      <c r="CU518" s="14">
        <f t="shared" si="2968"/>
        <v>0.10810161551858746</v>
      </c>
      <c r="CV518" s="14">
        <f t="shared" si="2968"/>
        <v>0.10796915167095114</v>
      </c>
      <c r="CW518" s="14">
        <f t="shared" si="2968"/>
        <v>0.10787001662996089</v>
      </c>
      <c r="CX518" s="14">
        <f t="shared" si="2968"/>
        <v>0.10779303736825295</v>
      </c>
      <c r="CY518" s="14">
        <f t="shared" si="2968"/>
        <v>0.10773153301971485</v>
      </c>
      <c r="CZ518" s="14">
        <f t="shared" si="2968"/>
        <v>0.10768126346015791</v>
      </c>
      <c r="DA518" s="14">
        <f t="shared" si="2968"/>
        <v>0.10763940798325608</v>
      </c>
      <c r="DB518" s="14">
        <f t="shared" si="2968"/>
        <v>0.46280991735537191</v>
      </c>
      <c r="DC518" s="14">
        <f t="shared" si="2968"/>
        <v>0.46281758376171511</v>
      </c>
      <c r="DD518" s="14">
        <f t="shared" si="2968"/>
        <v>0.46282013928681631</v>
      </c>
      <c r="DE518" s="14">
        <f t="shared" si="2968"/>
        <v>0.46282141705992719</v>
      </c>
      <c r="DF518" s="14">
        <f t="shared" si="2968"/>
        <v>0.46282218372717304</v>
      </c>
      <c r="DG518" s="14">
        <f t="shared" si="2968"/>
        <v>0.46282269484007832</v>
      </c>
      <c r="DH518" s="14">
        <f t="shared" si="2968"/>
        <v>0.46282305992141454</v>
      </c>
      <c r="DI518" s="14">
        <f t="shared" si="2968"/>
        <v>0.462823333732794</v>
      </c>
      <c r="DJ518" s="14">
        <f t="shared" si="2968"/>
        <v>0.4628235466974237</v>
      </c>
      <c r="DK518" s="14">
        <f t="shared" si="2968"/>
        <v>0.46282371706926834</v>
      </c>
      <c r="DL518" s="14">
        <f t="shared" si="2968"/>
        <v>0.46282385646450697</v>
      </c>
      <c r="DM518" s="14">
        <f t="shared" si="2968"/>
        <v>0.46282397262726988</v>
      </c>
      <c r="DN518" s="14">
        <f t="shared" si="2968"/>
        <v>0</v>
      </c>
      <c r="DO518" s="14">
        <f t="shared" si="2968"/>
        <v>0</v>
      </c>
      <c r="DP518" s="14">
        <f t="shared" si="2968"/>
        <v>0</v>
      </c>
      <c r="DQ518" s="14"/>
      <c r="DR518" s="14"/>
      <c r="DS518" s="14"/>
      <c r="DT518" s="14"/>
      <c r="DU518" s="14"/>
      <c r="DV518" s="14"/>
      <c r="DW518" s="14"/>
      <c r="DX518" s="14"/>
      <c r="DY518" s="14"/>
      <c r="DZ518" s="14"/>
      <c r="EA518" s="14">
        <f>EA475/EA484</f>
        <v>0.10763940798325608</v>
      </c>
      <c r="EB518" s="14">
        <f>EB475/EB484</f>
        <v>0.46282397262726988</v>
      </c>
      <c r="EC518" s="14"/>
      <c r="ED518" s="429"/>
      <c r="EE518" s="14">
        <f>EE475/EE484</f>
        <v>0</v>
      </c>
      <c r="EF518" s="14">
        <f>EF475/EF484</f>
        <v>0</v>
      </c>
      <c r="EG518" s="14">
        <f>EG475/EG484</f>
        <v>0.22400001466666675</v>
      </c>
      <c r="EK518" s="24"/>
      <c r="EL518" s="47"/>
      <c r="EM518" s="47"/>
      <c r="EN518" s="47"/>
    </row>
    <row r="519" spans="1:149">
      <c r="A519" s="6" t="s">
        <v>23</v>
      </c>
      <c r="B519" s="2" t="s">
        <v>27</v>
      </c>
      <c r="C519" s="3" t="s">
        <v>77</v>
      </c>
      <c r="E519" s="3" t="str">
        <f>C477</f>
        <v>BOnlHrs</v>
      </c>
      <c r="F519" s="4" t="s">
        <v>31</v>
      </c>
      <c r="G519" s="28" t="str">
        <f>C476</f>
        <v>BTotHrs</v>
      </c>
      <c r="H519" s="28"/>
      <c r="I519" s="28"/>
      <c r="J519" s="62">
        <f t="shared" ref="J519:AJ519" si="2969">J477/J476</f>
        <v>0.1</v>
      </c>
      <c r="K519" s="62">
        <f t="shared" si="2969"/>
        <v>0.1</v>
      </c>
      <c r="L519" s="62">
        <f t="shared" si="2969"/>
        <v>0.1</v>
      </c>
      <c r="M519" s="62">
        <f t="shared" si="2969"/>
        <v>0.1</v>
      </c>
      <c r="N519" s="62">
        <f t="shared" si="2969"/>
        <v>0.1</v>
      </c>
      <c r="O519" s="62">
        <f t="shared" si="2969"/>
        <v>0.1</v>
      </c>
      <c r="P519" s="62">
        <f t="shared" si="2969"/>
        <v>9.9999999999999992E-2</v>
      </c>
      <c r="Q519" s="62">
        <f t="shared" si="2969"/>
        <v>0.1</v>
      </c>
      <c r="R519" s="62">
        <f t="shared" si="2969"/>
        <v>0.1</v>
      </c>
      <c r="S519" s="62">
        <f t="shared" si="2969"/>
        <v>0.1</v>
      </c>
      <c r="T519" s="62">
        <f t="shared" si="2969"/>
        <v>0.1</v>
      </c>
      <c r="U519" s="62">
        <f t="shared" si="2969"/>
        <v>0.1</v>
      </c>
      <c r="V519" s="62">
        <f t="shared" si="2969"/>
        <v>0.14917127071823205</v>
      </c>
      <c r="W519" s="62">
        <f t="shared" si="2969"/>
        <v>0.14917118830321088</v>
      </c>
      <c r="X519" s="62">
        <f t="shared" si="2969"/>
        <v>0.1491711608315574</v>
      </c>
      <c r="Y519" s="62">
        <f t="shared" si="2969"/>
        <v>0.14917114709573445</v>
      </c>
      <c r="Z519" s="62">
        <f t="shared" si="2969"/>
        <v>0.14917113885424191</v>
      </c>
      <c r="AA519" s="62">
        <f t="shared" si="2969"/>
        <v>0.14917113335991405</v>
      </c>
      <c r="AB519" s="62">
        <f t="shared" si="2969"/>
        <v>0.1491711294353944</v>
      </c>
      <c r="AC519" s="62">
        <f t="shared" si="2969"/>
        <v>0.14917112649200479</v>
      </c>
      <c r="AD519" s="62">
        <f t="shared" si="2969"/>
        <v>0.14917112420270184</v>
      </c>
      <c r="AE519" s="62">
        <f t="shared" si="2969"/>
        <v>0.14917112237125954</v>
      </c>
      <c r="AF519" s="62">
        <f t="shared" si="2969"/>
        <v>0.14917112087280679</v>
      </c>
      <c r="AG519" s="62">
        <f t="shared" si="2969"/>
        <v>0.14917111962409618</v>
      </c>
      <c r="AH519" s="62">
        <f t="shared" si="2969"/>
        <v>0</v>
      </c>
      <c r="AI519" s="62">
        <f t="shared" si="2969"/>
        <v>0</v>
      </c>
      <c r="AJ519" s="62">
        <f t="shared" si="2969"/>
        <v>0</v>
      </c>
      <c r="AK519" s="412"/>
      <c r="AL519" s="14">
        <f t="shared" ref="AL519:BL519" si="2970">AL477/AL476</f>
        <v>0.1</v>
      </c>
      <c r="AM519" s="14">
        <f t="shared" si="2970"/>
        <v>0.1</v>
      </c>
      <c r="AN519" s="14">
        <f t="shared" si="2970"/>
        <v>9.9999999999999978E-2</v>
      </c>
      <c r="AO519" s="14">
        <f t="shared" si="2970"/>
        <v>0.10000000000000002</v>
      </c>
      <c r="AP519" s="14">
        <f t="shared" si="2970"/>
        <v>0.10000000000000002</v>
      </c>
      <c r="AQ519" s="14">
        <f t="shared" si="2970"/>
        <v>0.1</v>
      </c>
      <c r="AR519" s="14">
        <f t="shared" si="2970"/>
        <v>9.9999999999999936E-2</v>
      </c>
      <c r="AS519" s="14">
        <f t="shared" si="2970"/>
        <v>0.10000000000000009</v>
      </c>
      <c r="AT519" s="14">
        <f t="shared" si="2970"/>
        <v>9.9999999999999936E-2</v>
      </c>
      <c r="AU519" s="14">
        <f t="shared" si="2970"/>
        <v>0.10000000000000009</v>
      </c>
      <c r="AV519" s="14">
        <f t="shared" si="2970"/>
        <v>9.9999999999999936E-2</v>
      </c>
      <c r="AW519" s="14">
        <f t="shared" si="2970"/>
        <v>0.10000000000000006</v>
      </c>
      <c r="AX519" s="14">
        <f t="shared" si="2970"/>
        <v>0.14917127071823205</v>
      </c>
      <c r="AY519" s="14">
        <f t="shared" si="2970"/>
        <v>0.14917110588828081</v>
      </c>
      <c r="AZ519" s="14">
        <f t="shared" si="2970"/>
        <v>0.14917110588828075</v>
      </c>
      <c r="BA519" s="14">
        <f t="shared" si="2970"/>
        <v>0.14917110588828084</v>
      </c>
      <c r="BB519" s="14">
        <f t="shared" si="2970"/>
        <v>0.14917110588828084</v>
      </c>
      <c r="BC519" s="14">
        <f t="shared" si="2970"/>
        <v>0.14917110588828084</v>
      </c>
      <c r="BD519" s="14">
        <f t="shared" si="2970"/>
        <v>0.14917110588828084</v>
      </c>
      <c r="BE519" s="14">
        <f t="shared" si="2970"/>
        <v>0.14917110588828084</v>
      </c>
      <c r="BF519" s="14">
        <f t="shared" si="2970"/>
        <v>0.14917110588828084</v>
      </c>
      <c r="BG519" s="14">
        <f t="shared" si="2970"/>
        <v>0.14917110588828084</v>
      </c>
      <c r="BH519" s="14">
        <f t="shared" si="2970"/>
        <v>0.14917110588828084</v>
      </c>
      <c r="BI519" s="14">
        <f t="shared" si="2970"/>
        <v>0.14917110588828084</v>
      </c>
      <c r="BJ519" s="14">
        <f t="shared" si="2970"/>
        <v>0</v>
      </c>
      <c r="BK519" s="14">
        <f t="shared" si="2970"/>
        <v>0</v>
      </c>
      <c r="BL519" s="14">
        <f t="shared" si="2970"/>
        <v>0</v>
      </c>
      <c r="BM519" s="412"/>
      <c r="BN519" s="14">
        <f t="shared" ref="BN519:CN519" si="2971">BN477/BN476</f>
        <v>0.1</v>
      </c>
      <c r="BO519" s="14">
        <f t="shared" si="2971"/>
        <v>0.1</v>
      </c>
      <c r="BP519" s="14">
        <f t="shared" si="2971"/>
        <v>0.1</v>
      </c>
      <c r="BQ519" s="14">
        <f t="shared" si="2971"/>
        <v>0.1</v>
      </c>
      <c r="BR519" s="14">
        <f t="shared" si="2971"/>
        <v>0.1</v>
      </c>
      <c r="BS519" s="14">
        <f t="shared" si="2971"/>
        <v>0.1</v>
      </c>
      <c r="BT519" s="14">
        <f t="shared" si="2971"/>
        <v>9.9999999999999992E-2</v>
      </c>
      <c r="BU519" s="14">
        <f t="shared" si="2971"/>
        <v>9.9999999999999992E-2</v>
      </c>
      <c r="BV519" s="14">
        <f t="shared" si="2971"/>
        <v>9.9999999999999992E-2</v>
      </c>
      <c r="BW519" s="14">
        <f t="shared" si="2971"/>
        <v>0.10000000000000003</v>
      </c>
      <c r="BX519" s="14">
        <f t="shared" si="2971"/>
        <v>0.10000000000000003</v>
      </c>
      <c r="BY519" s="14">
        <f t="shared" si="2971"/>
        <v>0.10000000000000003</v>
      </c>
      <c r="BZ519" s="14">
        <f t="shared" si="2971"/>
        <v>0.1491711608315574</v>
      </c>
      <c r="CA519" s="14">
        <f t="shared" si="2971"/>
        <v>0.1491711608315574</v>
      </c>
      <c r="CB519" s="14">
        <f t="shared" si="2971"/>
        <v>0.1491711608315574</v>
      </c>
      <c r="CC519" s="14">
        <f t="shared" si="2971"/>
        <v>0.44751331766484242</v>
      </c>
      <c r="CD519" s="14">
        <f t="shared" si="2971"/>
        <v>0.44751331766484242</v>
      </c>
      <c r="CE519" s="14">
        <f t="shared" si="2971"/>
        <v>0.44751331766484242</v>
      </c>
      <c r="CF519" s="14">
        <f t="shared" si="2971"/>
        <v>0.44751331766484242</v>
      </c>
      <c r="CG519" s="14">
        <f t="shared" si="2971"/>
        <v>0.44751331766484242</v>
      </c>
      <c r="CH519" s="14">
        <f t="shared" si="2971"/>
        <v>0.44751331766484242</v>
      </c>
      <c r="CI519" s="14">
        <f t="shared" si="2971"/>
        <v>0.44751331766484254</v>
      </c>
      <c r="CJ519" s="14">
        <f t="shared" si="2971"/>
        <v>0.44751331766484254</v>
      </c>
      <c r="CK519" s="14">
        <f t="shared" si="2971"/>
        <v>0.44751331766484254</v>
      </c>
      <c r="CL519" s="14">
        <f t="shared" si="2971"/>
        <v>0</v>
      </c>
      <c r="CM519" s="14">
        <f t="shared" si="2971"/>
        <v>0</v>
      </c>
      <c r="CN519" s="14">
        <f t="shared" si="2971"/>
        <v>0</v>
      </c>
      <c r="CO519" s="412"/>
      <c r="CP519" s="14">
        <f t="shared" ref="CP519:DP519" si="2972">CP477/CP476</f>
        <v>0.1</v>
      </c>
      <c r="CQ519" s="14">
        <f t="shared" si="2972"/>
        <v>0.1</v>
      </c>
      <c r="CR519" s="14">
        <f t="shared" si="2972"/>
        <v>0.1</v>
      </c>
      <c r="CS519" s="14">
        <f t="shared" si="2972"/>
        <v>0.1</v>
      </c>
      <c r="CT519" s="14">
        <f t="shared" si="2972"/>
        <v>0.1</v>
      </c>
      <c r="CU519" s="14">
        <f t="shared" si="2972"/>
        <v>0.1</v>
      </c>
      <c r="CV519" s="14">
        <f t="shared" si="2972"/>
        <v>9.9999999999999992E-2</v>
      </c>
      <c r="CW519" s="14">
        <f t="shared" si="2972"/>
        <v>0.1</v>
      </c>
      <c r="CX519" s="14">
        <f t="shared" si="2972"/>
        <v>0.1</v>
      </c>
      <c r="CY519" s="14">
        <f t="shared" si="2972"/>
        <v>0.1</v>
      </c>
      <c r="CZ519" s="14">
        <f t="shared" si="2972"/>
        <v>0.1</v>
      </c>
      <c r="DA519" s="14">
        <f t="shared" si="2972"/>
        <v>0.1</v>
      </c>
      <c r="DB519" s="14">
        <f t="shared" si="2972"/>
        <v>0.14917127071823205</v>
      </c>
      <c r="DC519" s="14">
        <f t="shared" si="2972"/>
        <v>0.14917118830321088</v>
      </c>
      <c r="DD519" s="14">
        <f t="shared" si="2972"/>
        <v>0.1491711608315574</v>
      </c>
      <c r="DE519" s="14">
        <f t="shared" si="2972"/>
        <v>0.14917114709573445</v>
      </c>
      <c r="DF519" s="14">
        <f t="shared" si="2972"/>
        <v>0.14917113885424191</v>
      </c>
      <c r="DG519" s="14">
        <f t="shared" si="2972"/>
        <v>0.14917113335991405</v>
      </c>
      <c r="DH519" s="14">
        <f t="shared" si="2972"/>
        <v>0.1491711294353944</v>
      </c>
      <c r="DI519" s="14">
        <f t="shared" si="2972"/>
        <v>0.14917112649200479</v>
      </c>
      <c r="DJ519" s="14">
        <f t="shared" si="2972"/>
        <v>0.14917112420270184</v>
      </c>
      <c r="DK519" s="14">
        <f t="shared" si="2972"/>
        <v>0.14917112237125954</v>
      </c>
      <c r="DL519" s="14">
        <f t="shared" si="2972"/>
        <v>0.14917112087280679</v>
      </c>
      <c r="DM519" s="14">
        <f t="shared" si="2972"/>
        <v>0.14917111962409618</v>
      </c>
      <c r="DN519" s="14">
        <f t="shared" si="2972"/>
        <v>0</v>
      </c>
      <c r="DO519" s="14">
        <f t="shared" si="2972"/>
        <v>0</v>
      </c>
      <c r="DP519" s="14">
        <f t="shared" si="2972"/>
        <v>0</v>
      </c>
      <c r="DQ519" s="14"/>
      <c r="DR519" s="14"/>
      <c r="DS519" s="14"/>
      <c r="DT519" s="14"/>
      <c r="DU519" s="14"/>
      <c r="DV519" s="14"/>
      <c r="DW519" s="14"/>
      <c r="DX519" s="14"/>
      <c r="DY519" s="14"/>
      <c r="DZ519" s="14"/>
      <c r="EA519" s="14">
        <f>EA477/EA476</f>
        <v>0.1</v>
      </c>
      <c r="EB519" s="14">
        <f>EB477/EB476</f>
        <v>0.14917111962409618</v>
      </c>
      <c r="EC519" s="14"/>
      <c r="ED519" s="429"/>
      <c r="EE519" s="14">
        <f>EE477/EE476</f>
        <v>0</v>
      </c>
      <c r="EF519" s="14">
        <f>EF477/EF476</f>
        <v>0</v>
      </c>
      <c r="EG519" s="14">
        <f>EG477/EG476</f>
        <v>4.9180327868852458E-2</v>
      </c>
      <c r="EK519" s="24"/>
      <c r="EL519" s="47"/>
      <c r="EM519" s="47"/>
      <c r="EN519" s="47"/>
    </row>
    <row r="520" spans="1:149">
      <c r="A520" s="6" t="s">
        <v>23</v>
      </c>
      <c r="B520" s="2" t="s">
        <v>28</v>
      </c>
      <c r="C520" s="3" t="s">
        <v>78</v>
      </c>
      <c r="E520" s="3" t="str">
        <f>C482</f>
        <v>BColCash</v>
      </c>
      <c r="F520" s="4" t="s">
        <v>31</v>
      </c>
      <c r="G520" s="28" t="str">
        <f>C483</f>
        <v>BFSFunds</v>
      </c>
      <c r="H520" s="28"/>
      <c r="I520" s="28"/>
      <c r="J520" s="62" t="str">
        <f t="shared" ref="J520:AJ520" si="2973">IF(J483&lt;&gt;0,J482/J483,"")</f>
        <v/>
      </c>
      <c r="K520" s="62" t="str">
        <f t="shared" si="2973"/>
        <v/>
      </c>
      <c r="L520" s="62">
        <f t="shared" si="2973"/>
        <v>0.5</v>
      </c>
      <c r="M520" s="62">
        <f t="shared" si="2973"/>
        <v>0.5</v>
      </c>
      <c r="N520" s="62">
        <f t="shared" si="2973"/>
        <v>0.5</v>
      </c>
      <c r="O520" s="62">
        <f t="shared" si="2973"/>
        <v>0.5</v>
      </c>
      <c r="P520" s="62">
        <f t="shared" si="2973"/>
        <v>0.5</v>
      </c>
      <c r="Q520" s="62">
        <f t="shared" si="2973"/>
        <v>0.5</v>
      </c>
      <c r="R520" s="62">
        <f t="shared" si="2973"/>
        <v>0.5</v>
      </c>
      <c r="S520" s="62">
        <f t="shared" si="2973"/>
        <v>0.5</v>
      </c>
      <c r="T520" s="62">
        <f t="shared" si="2973"/>
        <v>0.5</v>
      </c>
      <c r="U520" s="62">
        <f t="shared" si="2973"/>
        <v>0.5</v>
      </c>
      <c r="V520" s="62" t="str">
        <f t="shared" si="2973"/>
        <v/>
      </c>
      <c r="W520" s="62" t="str">
        <f t="shared" si="2973"/>
        <v/>
      </c>
      <c r="X520" s="62" t="str">
        <f t="shared" si="2973"/>
        <v/>
      </c>
      <c r="Y520" s="62" t="str">
        <f t="shared" si="2973"/>
        <v/>
      </c>
      <c r="Z520" s="62" t="str">
        <f t="shared" si="2973"/>
        <v/>
      </c>
      <c r="AA520" s="62">
        <f t="shared" si="2973"/>
        <v>0.50254373991810397</v>
      </c>
      <c r="AB520" s="62">
        <f t="shared" si="2973"/>
        <v>0.50254373991810397</v>
      </c>
      <c r="AC520" s="62">
        <f t="shared" si="2973"/>
        <v>0.50254373991810397</v>
      </c>
      <c r="AD520" s="62">
        <f t="shared" si="2973"/>
        <v>0.50254373991810397</v>
      </c>
      <c r="AE520" s="62">
        <f t="shared" si="2973"/>
        <v>0.50254373991810397</v>
      </c>
      <c r="AF520" s="62">
        <f t="shared" si="2973"/>
        <v>0.50254373991810397</v>
      </c>
      <c r="AG520" s="62">
        <f t="shared" si="2973"/>
        <v>0.50254373991810397</v>
      </c>
      <c r="AH520" s="62" t="str">
        <f t="shared" si="2973"/>
        <v/>
      </c>
      <c r="AI520" s="62" t="str">
        <f t="shared" si="2973"/>
        <v/>
      </c>
      <c r="AJ520" s="62" t="str">
        <f t="shared" si="2973"/>
        <v/>
      </c>
      <c r="AK520" s="412"/>
      <c r="AL520" s="14"/>
      <c r="AM520" s="14"/>
      <c r="AN520" s="14"/>
      <c r="AO520" s="14"/>
      <c r="AP520" s="14"/>
      <c r="AQ520" s="14"/>
      <c r="AR520" s="14"/>
      <c r="AS520" s="14"/>
      <c r="AT520" s="14"/>
      <c r="AU520" s="14"/>
      <c r="AV520" s="14"/>
      <c r="AW520" s="14"/>
      <c r="AX520" s="14"/>
      <c r="AY520" s="14"/>
      <c r="AZ520" s="14"/>
      <c r="BA520" s="14"/>
      <c r="BB520" s="14"/>
      <c r="BC520" s="14"/>
      <c r="BD520" s="14"/>
      <c r="BE520" s="14"/>
      <c r="BF520" s="14"/>
      <c r="BG520" s="14"/>
      <c r="BH520" s="14"/>
      <c r="BI520" s="14"/>
      <c r="BJ520" s="14"/>
      <c r="BK520" s="14"/>
      <c r="BL520" s="14"/>
      <c r="BM520" s="412"/>
      <c r="BN520" s="14"/>
      <c r="BO520" s="14"/>
      <c r="BP520" s="14"/>
      <c r="BQ520" s="14"/>
      <c r="BR520" s="14"/>
      <c r="BS520" s="14"/>
      <c r="BT520" s="14"/>
      <c r="BU520" s="14"/>
      <c r="BV520" s="14"/>
      <c r="BW520" s="14"/>
      <c r="BX520" s="14"/>
      <c r="BY520" s="14"/>
      <c r="BZ520" s="14"/>
      <c r="CA520" s="14"/>
      <c r="CB520" s="14"/>
      <c r="CC520" s="14"/>
      <c r="CD520" s="14"/>
      <c r="CE520" s="14"/>
      <c r="CF520" s="14"/>
      <c r="CG520" s="14"/>
      <c r="CH520" s="14"/>
      <c r="CI520" s="14"/>
      <c r="CJ520" s="14"/>
      <c r="CK520" s="14"/>
      <c r="CL520" s="14"/>
      <c r="CM520" s="14"/>
      <c r="CN520" s="14"/>
      <c r="CO520" s="412"/>
      <c r="CP520" s="14" t="str">
        <f t="shared" ref="CP520:DP520" si="2974">IF(CP483&lt;&gt;0,CP482/CP483,"")</f>
        <v/>
      </c>
      <c r="CQ520" s="14" t="str">
        <f t="shared" si="2974"/>
        <v/>
      </c>
      <c r="CR520" s="14">
        <f t="shared" si="2974"/>
        <v>0.5</v>
      </c>
      <c r="CS520" s="14">
        <f t="shared" si="2974"/>
        <v>0.5</v>
      </c>
      <c r="CT520" s="14">
        <f t="shared" si="2974"/>
        <v>0.5</v>
      </c>
      <c r="CU520" s="14">
        <f t="shared" si="2974"/>
        <v>0.5</v>
      </c>
      <c r="CV520" s="14">
        <f t="shared" si="2974"/>
        <v>0.5</v>
      </c>
      <c r="CW520" s="14">
        <f t="shared" si="2974"/>
        <v>0.5</v>
      </c>
      <c r="CX520" s="14">
        <f t="shared" si="2974"/>
        <v>0.5</v>
      </c>
      <c r="CY520" s="14">
        <f t="shared" si="2974"/>
        <v>0.5</v>
      </c>
      <c r="CZ520" s="14">
        <f t="shared" si="2974"/>
        <v>0.5</v>
      </c>
      <c r="DA520" s="14">
        <f t="shared" si="2974"/>
        <v>0.5</v>
      </c>
      <c r="DB520" s="14" t="str">
        <f t="shared" si="2974"/>
        <v/>
      </c>
      <c r="DC520" s="14" t="str">
        <f t="shared" si="2974"/>
        <v/>
      </c>
      <c r="DD520" s="14" t="str">
        <f t="shared" si="2974"/>
        <v/>
      </c>
      <c r="DE520" s="14" t="str">
        <f t="shared" si="2974"/>
        <v/>
      </c>
      <c r="DF520" s="14" t="str">
        <f t="shared" si="2974"/>
        <v/>
      </c>
      <c r="DG520" s="14">
        <f t="shared" si="2974"/>
        <v>0.50254373991810397</v>
      </c>
      <c r="DH520" s="14">
        <f t="shared" si="2974"/>
        <v>0.50254373991810397</v>
      </c>
      <c r="DI520" s="14">
        <f t="shared" si="2974"/>
        <v>0.50254373991810397</v>
      </c>
      <c r="DJ520" s="14">
        <f t="shared" si="2974"/>
        <v>0.50254373991810397</v>
      </c>
      <c r="DK520" s="14">
        <f t="shared" si="2974"/>
        <v>0.50254373991810397</v>
      </c>
      <c r="DL520" s="14">
        <f t="shared" si="2974"/>
        <v>0.50254373991810397</v>
      </c>
      <c r="DM520" s="14">
        <f t="shared" si="2974"/>
        <v>0.50254373991810397</v>
      </c>
      <c r="DN520" s="14" t="str">
        <f t="shared" si="2974"/>
        <v/>
      </c>
      <c r="DO520" s="14" t="str">
        <f t="shared" si="2974"/>
        <v/>
      </c>
      <c r="DP520" s="14" t="str">
        <f t="shared" si="2974"/>
        <v/>
      </c>
      <c r="DQ520" s="14"/>
      <c r="DR520" s="14"/>
      <c r="DS520" s="14"/>
      <c r="DT520" s="14"/>
      <c r="DU520" s="14"/>
      <c r="DV520" s="14"/>
      <c r="DW520" s="14"/>
      <c r="DX520" s="14"/>
      <c r="DY520" s="14"/>
      <c r="DZ520" s="14"/>
      <c r="EA520" s="14">
        <f>IF(EA483&lt;&gt;0,EA482/EA483,"")</f>
        <v>0.5</v>
      </c>
      <c r="EB520" s="14">
        <f>IF(EB483&lt;&gt;0,EB482/EB483,"")</f>
        <v>0.50254373991810397</v>
      </c>
      <c r="EC520" s="14"/>
      <c r="ED520" s="429"/>
      <c r="EE520" s="14"/>
      <c r="EF520" s="14"/>
      <c r="EG520" s="14">
        <f>IF(EG483&lt;&gt;0,EG482/EG483,"")</f>
        <v>0.5048209028459274</v>
      </c>
      <c r="EK520" s="24"/>
      <c r="EL520" s="65"/>
      <c r="EM520" s="65"/>
      <c r="EN520" s="47"/>
    </row>
    <row r="521" spans="1:149">
      <c r="A521" s="6" t="s">
        <v>29</v>
      </c>
      <c r="G521" s="28"/>
      <c r="H521" s="28"/>
      <c r="I521" s="28"/>
      <c r="J521" s="64"/>
      <c r="K521" s="64"/>
      <c r="L521" s="64"/>
      <c r="M521" s="64"/>
      <c r="N521" s="64"/>
      <c r="O521" s="64"/>
      <c r="P521" s="64"/>
      <c r="Q521" s="64"/>
      <c r="R521" s="64"/>
      <c r="S521" s="64"/>
      <c r="T521" s="64"/>
      <c r="U521" s="64"/>
      <c r="V521" s="64"/>
      <c r="W521" s="64"/>
      <c r="X521" s="64"/>
      <c r="Y521" s="64"/>
      <c r="Z521" s="64"/>
      <c r="AA521" s="64"/>
      <c r="AB521" s="64"/>
      <c r="AC521" s="64"/>
      <c r="AD521" s="64"/>
      <c r="AE521" s="64"/>
      <c r="AF521" s="64"/>
      <c r="AG521" s="64"/>
      <c r="AH521" s="64"/>
      <c r="AI521" s="64"/>
      <c r="AJ521" s="64"/>
      <c r="ED521" s="429"/>
      <c r="EE521" s="23"/>
      <c r="EF521" s="23"/>
      <c r="EG521" s="23"/>
      <c r="EH521" s="25"/>
      <c r="EI521" s="25"/>
      <c r="EJ521" s="25"/>
      <c r="EK521" s="23"/>
    </row>
    <row r="522" spans="1:149">
      <c r="A522" s="6" t="s">
        <v>23</v>
      </c>
      <c r="B522" s="2" t="s">
        <v>24</v>
      </c>
      <c r="C522" s="3" t="s">
        <v>83</v>
      </c>
      <c r="E522" s="4" t="str">
        <f>C495</f>
        <v>AInBusNew</v>
      </c>
      <c r="F522" s="4" t="s">
        <v>31</v>
      </c>
      <c r="G522" s="28" t="str">
        <f>C494</f>
        <v>AAllNew</v>
      </c>
      <c r="H522" s="28"/>
      <c r="I522" s="28"/>
      <c r="J522" s="62">
        <f t="shared" ref="J522:AJ522" si="2975">IF(J494&lt;&gt;0,J495/J494,"")</f>
        <v>0.14285714285714285</v>
      </c>
      <c r="K522" s="62">
        <f t="shared" si="2975"/>
        <v>0.15789473684210525</v>
      </c>
      <c r="L522" s="62">
        <f t="shared" si="2975"/>
        <v>0.34782608695652173</v>
      </c>
      <c r="M522" s="62">
        <f t="shared" si="2975"/>
        <v>0.4642857142857143</v>
      </c>
      <c r="N522" s="62">
        <f t="shared" si="2975"/>
        <v>0.5</v>
      </c>
      <c r="O522" s="62">
        <f t="shared" si="2975"/>
        <v>0.47916666666666669</v>
      </c>
      <c r="P522" s="62">
        <f t="shared" si="2975"/>
        <v>0.47058823529411764</v>
      </c>
      <c r="Q522" s="62">
        <f t="shared" si="2975"/>
        <v>0.46296296296296297</v>
      </c>
      <c r="R522" s="62">
        <f t="shared" si="2975"/>
        <v>0.42253521126760563</v>
      </c>
      <c r="S522" s="62">
        <f t="shared" si="2975"/>
        <v>0.42253521126760563</v>
      </c>
      <c r="T522" s="62">
        <f t="shared" si="2975"/>
        <v>0.42253521126760563</v>
      </c>
      <c r="U522" s="62">
        <f t="shared" si="2975"/>
        <v>0.45333333333333331</v>
      </c>
      <c r="V522" s="62">
        <f t="shared" si="2975"/>
        <v>0.33333333333333331</v>
      </c>
      <c r="W522" s="62">
        <f t="shared" si="2975"/>
        <v>0.1111111111111111</v>
      </c>
      <c r="X522" s="62">
        <f t="shared" si="2975"/>
        <v>0.1</v>
      </c>
      <c r="Y522" s="62">
        <f t="shared" si="2975"/>
        <v>4.7619047619047616E-2</v>
      </c>
      <c r="Z522" s="62">
        <f t="shared" si="2975"/>
        <v>0.13043478260869565</v>
      </c>
      <c r="AA522" s="62">
        <f t="shared" si="2975"/>
        <v>0.125</v>
      </c>
      <c r="AB522" s="62">
        <f t="shared" si="2975"/>
        <v>0.25925925925925924</v>
      </c>
      <c r="AC522" s="62">
        <f t="shared" si="2975"/>
        <v>0.30555555555555558</v>
      </c>
      <c r="AD522" s="62">
        <f t="shared" si="2975"/>
        <v>0.33333333333333331</v>
      </c>
      <c r="AE522" s="62">
        <f t="shared" si="2975"/>
        <v>0.33333333333333331</v>
      </c>
      <c r="AF522" s="62">
        <f t="shared" si="2975"/>
        <v>0.37735849056603776</v>
      </c>
      <c r="AG522" s="62">
        <f t="shared" si="2975"/>
        <v>0.38983050847457629</v>
      </c>
      <c r="AH522" s="62">
        <f t="shared" si="2975"/>
        <v>0.25</v>
      </c>
      <c r="AI522" s="62">
        <f t="shared" si="2975"/>
        <v>0.33333333333333331</v>
      </c>
      <c r="AJ522" s="62" t="str">
        <f t="shared" si="2975"/>
        <v/>
      </c>
      <c r="AK522" s="412"/>
      <c r="AL522" s="14">
        <f t="shared" ref="AL522:BL522" si="2976">IF(AL494&lt;&gt;0,AL495/AL494,"")</f>
        <v>0.14285714285714285</v>
      </c>
      <c r="AM522" s="14">
        <f t="shared" si="2976"/>
        <v>0.16666666666666666</v>
      </c>
      <c r="AN522" s="14">
        <f t="shared" si="2976"/>
        <v>1.25</v>
      </c>
      <c r="AO522" s="14">
        <f t="shared" si="2976"/>
        <v>1</v>
      </c>
      <c r="AP522" s="14">
        <f t="shared" si="2976"/>
        <v>0.5714285714285714</v>
      </c>
      <c r="AQ522" s="14">
        <f t="shared" si="2976"/>
        <v>0.33333333333333331</v>
      </c>
      <c r="AR522" s="14">
        <f t="shared" si="2976"/>
        <v>0.33333333333333331</v>
      </c>
      <c r="AS522" s="14">
        <f t="shared" si="2976"/>
        <v>0.33333333333333331</v>
      </c>
      <c r="AT522" s="14">
        <f t="shared" si="2976"/>
        <v>0.29411764705882354</v>
      </c>
      <c r="AU522" s="14" t="str">
        <f t="shared" si="2976"/>
        <v/>
      </c>
      <c r="AV522" s="14" t="str">
        <f t="shared" si="2976"/>
        <v/>
      </c>
      <c r="AW522" s="14">
        <f t="shared" si="2976"/>
        <v>1</v>
      </c>
      <c r="AX522" s="14">
        <f t="shared" si="2976"/>
        <v>0.33333333333333331</v>
      </c>
      <c r="AY522" s="14">
        <f t="shared" si="2976"/>
        <v>0</v>
      </c>
      <c r="AZ522" s="14">
        <f t="shared" si="2976"/>
        <v>0.25</v>
      </c>
      <c r="BA522" s="14">
        <f t="shared" si="2976"/>
        <v>0</v>
      </c>
      <c r="BB522" s="14">
        <f t="shared" si="2976"/>
        <v>0.5</v>
      </c>
      <c r="BC522" s="14">
        <f t="shared" si="2976"/>
        <v>0</v>
      </c>
      <c r="BD522" s="14">
        <f t="shared" si="2976"/>
        <v>0.77777777777777779</v>
      </c>
      <c r="BE522" s="14">
        <f t="shared" si="2976"/>
        <v>0.14814814814814814</v>
      </c>
      <c r="BF522" s="14">
        <f t="shared" si="2976"/>
        <v>0.66666666666666663</v>
      </c>
      <c r="BG522" s="14">
        <f t="shared" si="2976"/>
        <v>0.16666666666666666</v>
      </c>
      <c r="BH522" s="14">
        <f t="shared" si="2976"/>
        <v>0.65217391304347827</v>
      </c>
      <c r="BI522" s="14">
        <f t="shared" si="2976"/>
        <v>0.22222222222222221</v>
      </c>
      <c r="BJ522" s="14">
        <f t="shared" si="2976"/>
        <v>0.25</v>
      </c>
      <c r="BK522" s="14">
        <f t="shared" si="2976"/>
        <v>0.5</v>
      </c>
      <c r="BL522" s="14" t="str">
        <f t="shared" si="2976"/>
        <v/>
      </c>
      <c r="BM522" s="412"/>
      <c r="BN522" s="14">
        <f t="shared" ref="BN522:CN522" si="2977">IF(BN494&lt;&gt;0,BN495/BN494,"")</f>
        <v>0.34782608695652173</v>
      </c>
      <c r="BO522" s="14">
        <f t="shared" si="2977"/>
        <v>0.34782608695652173</v>
      </c>
      <c r="BP522" s="14">
        <f t="shared" si="2977"/>
        <v>0.34782608695652173</v>
      </c>
      <c r="BQ522" s="14">
        <f t="shared" si="2977"/>
        <v>0.6</v>
      </c>
      <c r="BR522" s="14">
        <f t="shared" si="2977"/>
        <v>0.6</v>
      </c>
      <c r="BS522" s="14">
        <f t="shared" si="2977"/>
        <v>0.6</v>
      </c>
      <c r="BT522" s="14">
        <f t="shared" si="2977"/>
        <v>0.30434782608695654</v>
      </c>
      <c r="BU522" s="14">
        <f t="shared" si="2977"/>
        <v>0.30434782608695654</v>
      </c>
      <c r="BV522" s="14">
        <f t="shared" si="2977"/>
        <v>0.30434782608695654</v>
      </c>
      <c r="BW522" s="14">
        <f t="shared" si="2977"/>
        <v>0.3</v>
      </c>
      <c r="BX522" s="14">
        <f t="shared" si="2977"/>
        <v>0.29411764705882354</v>
      </c>
      <c r="BY522" s="14">
        <f t="shared" si="2977"/>
        <v>1</v>
      </c>
      <c r="BZ522" s="14">
        <f t="shared" si="2977"/>
        <v>0.33333333333333331</v>
      </c>
      <c r="CA522" s="14">
        <f t="shared" si="2977"/>
        <v>0</v>
      </c>
      <c r="CB522" s="14">
        <f t="shared" si="2977"/>
        <v>0.15384615384615385</v>
      </c>
      <c r="CC522" s="14">
        <f t="shared" si="2977"/>
        <v>0</v>
      </c>
      <c r="CD522" s="14">
        <f t="shared" si="2977"/>
        <v>0.13043478260869565</v>
      </c>
      <c r="CE522" s="14">
        <f t="shared" si="2977"/>
        <v>7.3170731707317069E-2</v>
      </c>
      <c r="CF522" s="14">
        <f t="shared" si="2977"/>
        <v>0.77777777777777779</v>
      </c>
      <c r="CG522" s="14">
        <f t="shared" si="2977"/>
        <v>0.21568627450980393</v>
      </c>
      <c r="CH522" s="14">
        <f t="shared" si="2977"/>
        <v>0.41176470588235292</v>
      </c>
      <c r="CI522" s="14">
        <f t="shared" si="2977"/>
        <v>5.6179775280898875E-2</v>
      </c>
      <c r="CJ522" s="14">
        <f t="shared" si="2977"/>
        <v>0.2247191011235955</v>
      </c>
      <c r="CK522" s="14">
        <f t="shared" si="2977"/>
        <v>0.3146067415730337</v>
      </c>
      <c r="CL522" s="14">
        <f t="shared" si="2977"/>
        <v>0.25</v>
      </c>
      <c r="CM522" s="14">
        <f t="shared" si="2977"/>
        <v>0.33333333333333331</v>
      </c>
      <c r="CN522" s="14" t="str">
        <f t="shared" si="2977"/>
        <v/>
      </c>
      <c r="CO522" s="412"/>
      <c r="CP522" s="14">
        <f t="shared" ref="CP522:DP522" si="2978">IF(CP494&lt;&gt;0,CP495/CP494,"")</f>
        <v>0.14285714285714285</v>
      </c>
      <c r="CQ522" s="14">
        <f t="shared" si="2978"/>
        <v>0.15789473684210525</v>
      </c>
      <c r="CR522" s="14">
        <f t="shared" si="2978"/>
        <v>0.34782608695652173</v>
      </c>
      <c r="CS522" s="14">
        <f t="shared" si="2978"/>
        <v>0.4642857142857143</v>
      </c>
      <c r="CT522" s="14">
        <f t="shared" si="2978"/>
        <v>0.5</v>
      </c>
      <c r="CU522" s="14">
        <f t="shared" si="2978"/>
        <v>0.47916666666666669</v>
      </c>
      <c r="CV522" s="14">
        <f t="shared" si="2978"/>
        <v>0.47058823529411764</v>
      </c>
      <c r="CW522" s="14">
        <f t="shared" si="2978"/>
        <v>0.46296296296296297</v>
      </c>
      <c r="CX522" s="14">
        <f t="shared" si="2978"/>
        <v>0.42253521126760563</v>
      </c>
      <c r="CY522" s="14">
        <f t="shared" si="2978"/>
        <v>0.42253521126760563</v>
      </c>
      <c r="CZ522" s="14">
        <f t="shared" si="2978"/>
        <v>0.42253521126760563</v>
      </c>
      <c r="DA522" s="14">
        <f t="shared" si="2978"/>
        <v>0.45333333333333331</v>
      </c>
      <c r="DB522" s="14">
        <f t="shared" si="2978"/>
        <v>0.33333333333333331</v>
      </c>
      <c r="DC522" s="14">
        <f t="shared" si="2978"/>
        <v>0.1111111111111111</v>
      </c>
      <c r="DD522" s="14">
        <f>IF(DD494&lt;&gt;0,DD495/DD494,"")</f>
        <v>0.15384615384615385</v>
      </c>
      <c r="DE522" s="14">
        <f t="shared" si="2978"/>
        <v>3.7037037037037035E-2</v>
      </c>
      <c r="DF522" s="14">
        <f t="shared" si="2978"/>
        <v>0.14814814814814814</v>
      </c>
      <c r="DG522" s="14">
        <f t="shared" si="2978"/>
        <v>7.3170731707317069E-2</v>
      </c>
      <c r="DH522" s="14">
        <f t="shared" si="2978"/>
        <v>0.30303030303030304</v>
      </c>
      <c r="DI522" s="14">
        <f t="shared" si="2978"/>
        <v>0.20370370370370369</v>
      </c>
      <c r="DJ522" s="14">
        <f t="shared" si="2978"/>
        <v>0.41176470588235292</v>
      </c>
      <c r="DK522" s="14">
        <f t="shared" si="2978"/>
        <v>0.2638888888888889</v>
      </c>
      <c r="DL522" s="14">
        <f t="shared" si="2978"/>
        <v>0.44117647058823528</v>
      </c>
      <c r="DM522" s="14">
        <f t="shared" si="2978"/>
        <v>0.3146067415730337</v>
      </c>
      <c r="DN522" s="14">
        <f t="shared" si="2978"/>
        <v>0.25</v>
      </c>
      <c r="DO522" s="14">
        <f t="shared" si="2978"/>
        <v>0.33333333333333331</v>
      </c>
      <c r="DP522" s="14">
        <f t="shared" si="2978"/>
        <v>0.33333333333333331</v>
      </c>
      <c r="DQ522" s="14"/>
      <c r="DR522" s="14"/>
      <c r="DS522" s="14"/>
      <c r="DT522" s="14"/>
      <c r="DU522" s="14"/>
      <c r="DV522" s="14"/>
      <c r="DW522" s="14"/>
      <c r="DX522" s="14"/>
      <c r="DY522" s="14"/>
      <c r="ED522" s="429"/>
      <c r="EE522" s="23"/>
      <c r="EF522" s="23"/>
      <c r="EG522" s="23"/>
      <c r="EH522" s="109">
        <f>IF(EH494&lt;&gt;0,EH495/EH494,"0%")</f>
        <v>0.5</v>
      </c>
      <c r="EI522" s="109">
        <f>IF(EI494&lt;&gt;0,EI495/EI494,"0%")</f>
        <v>0.33333333333333331</v>
      </c>
      <c r="EJ522" s="14">
        <f>IF(EJ494&lt;&gt;0,EJ495/EJ494,"0%")</f>
        <v>0.33333333333333331</v>
      </c>
      <c r="EK522" s="24"/>
      <c r="EL522" s="47">
        <f t="shared" ref="EL522:EN526" si="2979">+EH522-EE515</f>
        <v>0</v>
      </c>
      <c r="EM522" s="47">
        <f t="shared" si="2979"/>
        <v>-0.16666666666666669</v>
      </c>
      <c r="EN522" s="47">
        <f t="shared" si="2979"/>
        <v>-0.16666666666666669</v>
      </c>
      <c r="EO522" s="46" t="str">
        <f>IF(EH522&lt;0,,IF(EH522&gt;EE515,"È",IF(EH522=EE515,"Æ","Ç")))</f>
        <v>Æ</v>
      </c>
      <c r="EP522" s="46" t="str">
        <f>IF(EI522&lt;0,,IF(EI522&gt;EF515,"È",IF(EI522=EF515,"Æ","Ç")))</f>
        <v>Ç</v>
      </c>
      <c r="EQ522" s="2">
        <f t="shared" ref="EQ522:ES526" si="2980">IF(EH522/EE515&gt;=0.9,1,IF(EH522/EE515&lt;0.75,3,2))</f>
        <v>1</v>
      </c>
      <c r="ER522" s="2">
        <f t="shared" si="2980"/>
        <v>3</v>
      </c>
      <c r="ES522" s="2">
        <f t="shared" si="2980"/>
        <v>3</v>
      </c>
    </row>
    <row r="523" spans="1:149">
      <c r="A523" s="6" t="s">
        <v>23</v>
      </c>
      <c r="B523" s="2" t="s">
        <v>25</v>
      </c>
      <c r="C523" s="3" t="s">
        <v>79</v>
      </c>
      <c r="E523" s="4" t="str">
        <f>C510</f>
        <v>ASEE</v>
      </c>
      <c r="F523" s="4" t="s">
        <v>31</v>
      </c>
      <c r="G523" s="28" t="str">
        <f>C509</f>
        <v>ASUniq</v>
      </c>
      <c r="H523" s="28"/>
      <c r="I523" s="28"/>
      <c r="J523" s="62">
        <f>IF(J509&lt;&gt;0,J510/J509,"")</f>
        <v>0.55000000000000004</v>
      </c>
      <c r="K523" s="62">
        <f>IF(K509&lt;&gt;0,K510/K509,"")</f>
        <v>0.13333333333333333</v>
      </c>
      <c r="L523" s="62">
        <f>IF(L509&lt;&gt;0,L510/L509,"")</f>
        <v>0.2</v>
      </c>
      <c r="M523" s="62">
        <f>IF(M509&lt;&gt;0,M510/M509,"")</f>
        <v>0.25</v>
      </c>
      <c r="N523" s="62">
        <f>IF(N509&lt;&gt;0,N510/N509,"")</f>
        <v>0.13333333333333333</v>
      </c>
      <c r="O523" s="62">
        <f>IF(O509&lt;&gt;"",O510/O509,"")</f>
        <v>0</v>
      </c>
      <c r="P523" s="62">
        <f t="shared" ref="P523:AJ523" si="2981">IF(P509&lt;&gt;"",P510/P509,"")</f>
        <v>0</v>
      </c>
      <c r="Q523" s="62">
        <f t="shared" si="2981"/>
        <v>0</v>
      </c>
      <c r="R523" s="62">
        <f t="shared" si="2981"/>
        <v>0.10526315789473684</v>
      </c>
      <c r="S523" s="62" t="str">
        <f>IF(S509&lt;&gt;0,S510/S509,"")</f>
        <v/>
      </c>
      <c r="T523" s="62" t="str">
        <f>IF(T509&lt;&gt;0,T510/T509,"")</f>
        <v/>
      </c>
      <c r="U523" s="62">
        <f t="shared" si="2981"/>
        <v>0.83333333333333337</v>
      </c>
      <c r="V523" s="62">
        <f t="shared" si="2981"/>
        <v>0.46666666666666667</v>
      </c>
      <c r="W523" s="62">
        <f t="shared" si="2981"/>
        <v>0.1</v>
      </c>
      <c r="X523" s="62">
        <f t="shared" si="2981"/>
        <v>0</v>
      </c>
      <c r="Y523" s="62">
        <f t="shared" si="2981"/>
        <v>0.5</v>
      </c>
      <c r="Z523" s="62">
        <f t="shared" si="2981"/>
        <v>0.8</v>
      </c>
      <c r="AA523" s="62">
        <f t="shared" si="2981"/>
        <v>0</v>
      </c>
      <c r="AB523" s="62">
        <f t="shared" si="2981"/>
        <v>0.16666666666666666</v>
      </c>
      <c r="AC523" s="62">
        <f t="shared" si="2981"/>
        <v>0</v>
      </c>
      <c r="AD523" s="62">
        <f t="shared" si="2981"/>
        <v>0.22222222222222221</v>
      </c>
      <c r="AE523" s="62">
        <f t="shared" si="2981"/>
        <v>0.33333333333333331</v>
      </c>
      <c r="AF523" s="62">
        <f t="shared" si="2981"/>
        <v>0.14285714285714285</v>
      </c>
      <c r="AG523" s="62">
        <f t="shared" si="2981"/>
        <v>0.25</v>
      </c>
      <c r="AH523" s="62">
        <f t="shared" si="2981"/>
        <v>0.25</v>
      </c>
      <c r="AI523" s="62">
        <f t="shared" si="2981"/>
        <v>0.45454545454545453</v>
      </c>
      <c r="AJ523" s="62" t="str">
        <f t="shared" si="2981"/>
        <v/>
      </c>
      <c r="AK523" s="412"/>
      <c r="AL523" s="14">
        <f t="shared" ref="AL523:BL523" si="2982">IF(AL509&lt;&gt;0,AL510/AL509,"")</f>
        <v>0.55000000000000004</v>
      </c>
      <c r="AM523" s="14">
        <f t="shared" si="2982"/>
        <v>0.13333333333333333</v>
      </c>
      <c r="AN523" s="14">
        <f t="shared" si="2982"/>
        <v>0.2</v>
      </c>
      <c r="AO523" s="14">
        <f t="shared" si="2982"/>
        <v>0.25</v>
      </c>
      <c r="AP523" s="14">
        <f t="shared" si="2982"/>
        <v>0.13333333333333333</v>
      </c>
      <c r="AQ523" s="14">
        <f t="shared" si="2982"/>
        <v>0</v>
      </c>
      <c r="AR523" s="14">
        <f t="shared" si="2982"/>
        <v>0</v>
      </c>
      <c r="AS523" s="14">
        <f t="shared" si="2982"/>
        <v>0</v>
      </c>
      <c r="AT523" s="14">
        <f t="shared" si="2982"/>
        <v>0.10526315789473684</v>
      </c>
      <c r="AU523" s="14" t="str">
        <f t="shared" si="2982"/>
        <v/>
      </c>
      <c r="AV523" s="14" t="str">
        <f t="shared" si="2982"/>
        <v/>
      </c>
      <c r="AW523" s="14">
        <f t="shared" si="2982"/>
        <v>0.83333333333333337</v>
      </c>
      <c r="AX523" s="14">
        <f t="shared" si="2982"/>
        <v>0.46666666666666667</v>
      </c>
      <c r="AY523" s="14">
        <f t="shared" si="2982"/>
        <v>0.1</v>
      </c>
      <c r="AZ523" s="14">
        <f t="shared" si="2982"/>
        <v>0</v>
      </c>
      <c r="BA523" s="14">
        <f t="shared" si="2982"/>
        <v>0.5</v>
      </c>
      <c r="BB523" s="14">
        <f t="shared" si="2982"/>
        <v>0.8</v>
      </c>
      <c r="BC523" s="14">
        <f t="shared" si="2982"/>
        <v>0</v>
      </c>
      <c r="BD523" s="14">
        <f t="shared" si="2982"/>
        <v>0.16666666666666666</v>
      </c>
      <c r="BE523" s="14">
        <f t="shared" si="2982"/>
        <v>0</v>
      </c>
      <c r="BF523" s="14">
        <f t="shared" si="2982"/>
        <v>0.22222222222222221</v>
      </c>
      <c r="BG523" s="14">
        <f t="shared" si="2982"/>
        <v>0.33333333333333331</v>
      </c>
      <c r="BH523" s="14">
        <f t="shared" si="2982"/>
        <v>0.14285714285714285</v>
      </c>
      <c r="BI523" s="14">
        <f t="shared" si="2982"/>
        <v>0.25</v>
      </c>
      <c r="BJ523" s="14">
        <f t="shared" si="2982"/>
        <v>0.25</v>
      </c>
      <c r="BK523" s="14">
        <f t="shared" si="2982"/>
        <v>0.45454545454545453</v>
      </c>
      <c r="BL523" s="14" t="e">
        <f t="shared" si="2982"/>
        <v>#VALUE!</v>
      </c>
      <c r="BM523" s="412"/>
      <c r="BN523" s="14">
        <f t="shared" ref="BN523:CN523" si="2983">IF(BN509&lt;&gt;0,BN510/BN509,"")</f>
        <v>0.55000000000000004</v>
      </c>
      <c r="BO523" s="14">
        <f t="shared" si="2983"/>
        <v>0.37142857142857144</v>
      </c>
      <c r="BP523" s="14">
        <f t="shared" si="2983"/>
        <v>0.33333333333333331</v>
      </c>
      <c r="BQ523" s="14">
        <f t="shared" si="2983"/>
        <v>0.25</v>
      </c>
      <c r="BR523" s="14">
        <f t="shared" si="2983"/>
        <v>0.17391304347826086</v>
      </c>
      <c r="BS523" s="14">
        <f t="shared" si="2983"/>
        <v>0.11764705882352941</v>
      </c>
      <c r="BT523" s="14">
        <f t="shared" si="2983"/>
        <v>0</v>
      </c>
      <c r="BU523" s="14">
        <f t="shared" si="2983"/>
        <v>0</v>
      </c>
      <c r="BV523" s="14">
        <f t="shared" si="2983"/>
        <v>7.6923076923076927E-2</v>
      </c>
      <c r="BW523" s="14" t="str">
        <f t="shared" si="2983"/>
        <v/>
      </c>
      <c r="BX523" s="14" t="str">
        <f t="shared" si="2983"/>
        <v/>
      </c>
      <c r="BY523" s="14">
        <f t="shared" si="2983"/>
        <v>0.83333333333333337</v>
      </c>
      <c r="BZ523" s="14">
        <f t="shared" si="2983"/>
        <v>0.46666666666666667</v>
      </c>
      <c r="CA523" s="14">
        <f t="shared" si="2983"/>
        <v>0.32</v>
      </c>
      <c r="CB523" s="14">
        <f t="shared" si="2983"/>
        <v>0.30769230769230771</v>
      </c>
      <c r="CC523" s="14">
        <f t="shared" si="2983"/>
        <v>0.5</v>
      </c>
      <c r="CD523" s="14">
        <f t="shared" si="2983"/>
        <v>0.56521739130434778</v>
      </c>
      <c r="CE523" s="14">
        <f t="shared" si="2983"/>
        <v>0.54166666666666663</v>
      </c>
      <c r="CF523" s="14">
        <f t="shared" si="2983"/>
        <v>0.16666666666666666</v>
      </c>
      <c r="CG523" s="14">
        <f t="shared" si="2983"/>
        <v>5.5555555555555552E-2</v>
      </c>
      <c r="CH523" s="14">
        <f t="shared" si="2983"/>
        <v>0.1111111111111111</v>
      </c>
      <c r="CI523" s="14">
        <f t="shared" si="2983"/>
        <v>0.33333333333333331</v>
      </c>
      <c r="CJ523" s="14">
        <f t="shared" si="2983"/>
        <v>0.2</v>
      </c>
      <c r="CK523" s="14">
        <f t="shared" si="2983"/>
        <v>0.21428571428571427</v>
      </c>
      <c r="CL523" s="14">
        <f t="shared" si="2983"/>
        <v>0.25</v>
      </c>
      <c r="CM523" s="14">
        <f t="shared" si="2983"/>
        <v>0.45454545454545453</v>
      </c>
      <c r="CN523" s="14" t="str">
        <f t="shared" si="2983"/>
        <v/>
      </c>
      <c r="CO523" s="412"/>
      <c r="CP523" s="14">
        <f t="shared" ref="CP523:DP523" si="2984">IF(CP509&lt;&gt;0,CP510/CP509,"")</f>
        <v>0.55000000000000004</v>
      </c>
      <c r="CQ523" s="14">
        <f t="shared" si="2984"/>
        <v>0.37142857142857144</v>
      </c>
      <c r="CR523" s="14">
        <f t="shared" si="2984"/>
        <v>0.33333333333333331</v>
      </c>
      <c r="CS523" s="14">
        <f t="shared" si="2984"/>
        <v>0.32075471698113206</v>
      </c>
      <c r="CT523" s="14">
        <f t="shared" si="2984"/>
        <v>0.27941176470588236</v>
      </c>
      <c r="CU523" s="14">
        <f t="shared" si="2984"/>
        <v>0.24050632911392406</v>
      </c>
      <c r="CV523" s="14">
        <f t="shared" si="2984"/>
        <v>0.2289156626506024</v>
      </c>
      <c r="CW523" s="14">
        <f t="shared" si="2984"/>
        <v>0.22093023255813954</v>
      </c>
      <c r="CX523" s="14">
        <f t="shared" si="2984"/>
        <v>0.2</v>
      </c>
      <c r="CY523" s="14">
        <f t="shared" si="2984"/>
        <v>0.2</v>
      </c>
      <c r="CZ523" s="14">
        <f t="shared" si="2984"/>
        <v>0.2</v>
      </c>
      <c r="DA523" s="14">
        <f t="shared" si="2984"/>
        <v>0.23423423423423423</v>
      </c>
      <c r="DB523" s="14">
        <f t="shared" si="2984"/>
        <v>0.46666666666666667</v>
      </c>
      <c r="DC523" s="14">
        <f t="shared" si="2984"/>
        <v>0.32</v>
      </c>
      <c r="DD523" s="14">
        <f t="shared" si="2984"/>
        <v>0.30769230769230771</v>
      </c>
      <c r="DE523" s="14">
        <f t="shared" si="2984"/>
        <v>0.38636363636363635</v>
      </c>
      <c r="DF523" s="14">
        <f t="shared" si="2984"/>
        <v>0.42857142857142855</v>
      </c>
      <c r="DG523" s="14">
        <f t="shared" si="2984"/>
        <v>0.42</v>
      </c>
      <c r="DH523" s="14">
        <f t="shared" si="2984"/>
        <v>0.39285714285714285</v>
      </c>
      <c r="DI523" s="14">
        <f t="shared" si="2984"/>
        <v>0.3235294117647059</v>
      </c>
      <c r="DJ523" s="14">
        <f t="shared" si="2984"/>
        <v>0.31168831168831168</v>
      </c>
      <c r="DK523" s="14">
        <f t="shared" si="2984"/>
        <v>0.31325301204819278</v>
      </c>
      <c r="DL523" s="14">
        <f t="shared" si="2984"/>
        <v>0.28865979381443296</v>
      </c>
      <c r="DM523" s="14">
        <f t="shared" si="2984"/>
        <v>0.2857142857142857</v>
      </c>
      <c r="DN523" s="14">
        <f t="shared" si="2984"/>
        <v>0.25</v>
      </c>
      <c r="DO523" s="14">
        <f t="shared" si="2984"/>
        <v>0.34782608695652173</v>
      </c>
      <c r="DP523" s="14" t="e">
        <f t="shared" si="2984"/>
        <v>#VALUE!</v>
      </c>
      <c r="DQ523" s="14"/>
      <c r="DR523" s="14"/>
      <c r="DS523" s="14"/>
      <c r="DT523" s="14"/>
      <c r="DU523" s="14"/>
      <c r="DV523" s="14"/>
      <c r="DW523" s="14"/>
      <c r="DX523" s="14"/>
      <c r="DY523" s="14"/>
      <c r="ED523" s="429"/>
      <c r="EE523" s="23"/>
      <c r="EF523" s="23"/>
      <c r="EG523" s="23"/>
      <c r="EH523" s="109">
        <f>IF(EH497&lt;&gt;0,EH497/EH496,"0%")</f>
        <v>0.45454545454545453</v>
      </c>
      <c r="EI523" s="109">
        <f>IF(EI497&lt;&gt;0,EI497/EI496,"0%")</f>
        <v>0.34782608695652173</v>
      </c>
      <c r="EJ523" s="109">
        <f>IF(EJ496&lt;&gt;0,EJ497/EJ496,"0%")</f>
        <v>0.34782608695652173</v>
      </c>
      <c r="EK523" s="24"/>
      <c r="EL523" s="47">
        <f t="shared" si="2979"/>
        <v>0.39454545454545453</v>
      </c>
      <c r="EM523" s="47">
        <f t="shared" si="2979"/>
        <v>0.26782608695652171</v>
      </c>
      <c r="EN523" s="47">
        <f t="shared" si="2979"/>
        <v>0.26782608695652171</v>
      </c>
      <c r="EO523" s="46" t="str">
        <f t="shared" ref="EO523:EP526" si="2985">IF(EH523&lt;0,,IF(EH523&lt;EE516,"È",IF(EH523=EE516,"Æ","Ç")))</f>
        <v>Ç</v>
      </c>
      <c r="EP523" s="46" t="str">
        <f t="shared" si="2985"/>
        <v>Ç</v>
      </c>
      <c r="EQ523" s="2">
        <f t="shared" si="2980"/>
        <v>1</v>
      </c>
      <c r="ER523" s="2">
        <f t="shared" si="2980"/>
        <v>1</v>
      </c>
      <c r="ES523" s="2">
        <f t="shared" si="2980"/>
        <v>1</v>
      </c>
    </row>
    <row r="524" spans="1:149">
      <c r="A524" s="6" t="s">
        <v>23</v>
      </c>
      <c r="B524" s="2" t="s">
        <v>160</v>
      </c>
      <c r="C524" s="3" t="s">
        <v>80</v>
      </c>
      <c r="E524" s="3" t="str">
        <f>C499</f>
        <v>ASatRate</v>
      </c>
      <c r="F524" s="3" t="s">
        <v>32</v>
      </c>
      <c r="G524" s="28" t="str">
        <f>C494</f>
        <v>AAllNew</v>
      </c>
      <c r="H524" s="63" t="s">
        <v>31</v>
      </c>
      <c r="I524" s="28" t="str">
        <f>C498</f>
        <v>ASatResp</v>
      </c>
      <c r="J524" s="62">
        <f t="shared" ref="J524:AJ524" si="2986">IF(J494&lt;&gt;0,J499*J498/J494,"")</f>
        <v>0</v>
      </c>
      <c r="K524" s="62">
        <f t="shared" si="2986"/>
        <v>0</v>
      </c>
      <c r="L524" s="62">
        <f t="shared" si="2986"/>
        <v>4.3478260869565216E-2</v>
      </c>
      <c r="M524" s="62">
        <f t="shared" si="2986"/>
        <v>0</v>
      </c>
      <c r="N524" s="62">
        <f t="shared" si="2986"/>
        <v>2.3809523809523808E-2</v>
      </c>
      <c r="O524" s="62">
        <f t="shared" si="2986"/>
        <v>2.0833333333333332E-2</v>
      </c>
      <c r="P524" s="62">
        <f t="shared" si="2986"/>
        <v>0</v>
      </c>
      <c r="Q524" s="62">
        <f t="shared" si="2986"/>
        <v>0</v>
      </c>
      <c r="R524" s="62">
        <f t="shared" si="2986"/>
        <v>0</v>
      </c>
      <c r="S524" s="62">
        <f t="shared" si="2986"/>
        <v>2.8169014084507043E-2</v>
      </c>
      <c r="T524" s="62">
        <f t="shared" si="2986"/>
        <v>0</v>
      </c>
      <c r="U524" s="62">
        <f t="shared" si="2986"/>
        <v>0</v>
      </c>
      <c r="V524" s="62">
        <f t="shared" si="2986"/>
        <v>0.33333333333333331</v>
      </c>
      <c r="W524" s="62">
        <f t="shared" si="2986"/>
        <v>0</v>
      </c>
      <c r="X524" s="62">
        <f t="shared" si="2986"/>
        <v>0</v>
      </c>
      <c r="Y524" s="62">
        <f t="shared" si="2986"/>
        <v>4.7619047619047616E-2</v>
      </c>
      <c r="Z524" s="62">
        <f t="shared" si="2986"/>
        <v>0</v>
      </c>
      <c r="AA524" s="62">
        <f t="shared" si="2986"/>
        <v>0</v>
      </c>
      <c r="AB524" s="62">
        <f t="shared" si="2986"/>
        <v>0</v>
      </c>
      <c r="AC524" s="62">
        <f t="shared" si="2986"/>
        <v>0</v>
      </c>
      <c r="AD524" s="62">
        <f t="shared" si="2986"/>
        <v>2.3809523809523808E-2</v>
      </c>
      <c r="AE524" s="62">
        <f t="shared" si="2986"/>
        <v>2.2222222222222223E-2</v>
      </c>
      <c r="AF524" s="62">
        <f t="shared" si="2986"/>
        <v>0</v>
      </c>
      <c r="AG524" s="62">
        <f t="shared" si="2986"/>
        <v>5.0847457627118647E-2</v>
      </c>
      <c r="AH524" s="62">
        <f t="shared" si="2986"/>
        <v>0.25</v>
      </c>
      <c r="AI524" s="62">
        <f t="shared" si="2986"/>
        <v>0</v>
      </c>
      <c r="AJ524" s="62" t="str">
        <f t="shared" si="2986"/>
        <v/>
      </c>
      <c r="AK524" s="412"/>
      <c r="AL524" s="14">
        <f t="shared" ref="AL524:BL524" si="2987">IF(AL494&lt;&gt;0,AL499*AL498/AL494,"")</f>
        <v>0</v>
      </c>
      <c r="AM524" s="14">
        <f t="shared" si="2987"/>
        <v>0</v>
      </c>
      <c r="AN524" s="14">
        <f t="shared" si="2987"/>
        <v>0.25</v>
      </c>
      <c r="AO524" s="14">
        <f t="shared" si="2987"/>
        <v>0</v>
      </c>
      <c r="AP524" s="14">
        <f t="shared" si="2987"/>
        <v>7.1428571428571425E-2</v>
      </c>
      <c r="AQ524" s="14">
        <f t="shared" si="2987"/>
        <v>0.16666666666666666</v>
      </c>
      <c r="AR524" s="14">
        <f t="shared" si="2987"/>
        <v>0</v>
      </c>
      <c r="AS524" s="14">
        <f t="shared" si="2987"/>
        <v>0</v>
      </c>
      <c r="AT524" s="14">
        <f t="shared" si="2987"/>
        <v>0</v>
      </c>
      <c r="AU524" s="14" t="str">
        <f t="shared" si="2987"/>
        <v/>
      </c>
      <c r="AV524" s="14" t="str">
        <f t="shared" si="2987"/>
        <v/>
      </c>
      <c r="AW524" s="14">
        <f t="shared" si="2987"/>
        <v>0</v>
      </c>
      <c r="AX524" s="14">
        <f t="shared" si="2987"/>
        <v>0.33333333333333331</v>
      </c>
      <c r="AY524" s="14">
        <f t="shared" si="2987"/>
        <v>0</v>
      </c>
      <c r="AZ524" s="14">
        <f t="shared" si="2987"/>
        <v>0</v>
      </c>
      <c r="BA524" s="14">
        <f t="shared" si="2987"/>
        <v>5.8823529411764705E-2</v>
      </c>
      <c r="BB524" s="14">
        <f t="shared" si="2987"/>
        <v>0</v>
      </c>
      <c r="BC524" s="14">
        <f t="shared" si="2987"/>
        <v>0</v>
      </c>
      <c r="BD524" s="14">
        <f t="shared" si="2987"/>
        <v>0</v>
      </c>
      <c r="BE524" s="14">
        <f t="shared" si="2987"/>
        <v>0</v>
      </c>
      <c r="BF524" s="14">
        <f t="shared" si="2987"/>
        <v>6.6666666666666666E-2</v>
      </c>
      <c r="BG524" s="14">
        <f t="shared" si="2987"/>
        <v>3.3333333333333333E-2</v>
      </c>
      <c r="BH524" s="14">
        <f t="shared" si="2987"/>
        <v>0</v>
      </c>
      <c r="BI524" s="14">
        <f t="shared" si="2987"/>
        <v>8.3333333333333329E-2</v>
      </c>
      <c r="BJ524" s="14">
        <f t="shared" si="2987"/>
        <v>0.25</v>
      </c>
      <c r="BK524" s="14">
        <f t="shared" si="2987"/>
        <v>0</v>
      </c>
      <c r="BL524" s="14" t="str">
        <f t="shared" si="2987"/>
        <v/>
      </c>
      <c r="BM524" s="412"/>
      <c r="BN524" s="14">
        <f t="shared" ref="BN524:CN524" si="2988">IF(BN494&lt;&gt;0,BN499*BN498/BN494,"")</f>
        <v>4.3478260869565216E-2</v>
      </c>
      <c r="BO524" s="14">
        <f t="shared" si="2988"/>
        <v>4.3478260869565216E-2</v>
      </c>
      <c r="BP524" s="14">
        <f t="shared" si="2988"/>
        <v>4.3478260869565216E-2</v>
      </c>
      <c r="BQ524" s="14">
        <f t="shared" si="2988"/>
        <v>0.08</v>
      </c>
      <c r="BR524" s="14">
        <f t="shared" si="2988"/>
        <v>0.08</v>
      </c>
      <c r="BS524" s="14">
        <f t="shared" si="2988"/>
        <v>0.08</v>
      </c>
      <c r="BT524" s="14">
        <f t="shared" si="2988"/>
        <v>0</v>
      </c>
      <c r="BU524" s="14">
        <f t="shared" si="2988"/>
        <v>0</v>
      </c>
      <c r="BV524" s="14">
        <f t="shared" si="2988"/>
        <v>0</v>
      </c>
      <c r="BW524" s="14">
        <f t="shared" si="2988"/>
        <v>0.1</v>
      </c>
      <c r="BX524" s="14">
        <f t="shared" si="2988"/>
        <v>0.11764705882352941</v>
      </c>
      <c r="BY524" s="14">
        <f t="shared" si="2988"/>
        <v>0.5</v>
      </c>
      <c r="BZ524" s="14">
        <f t="shared" si="2988"/>
        <v>0.33333333333333331</v>
      </c>
      <c r="CA524" s="14">
        <f t="shared" si="2988"/>
        <v>0.1111111111111111</v>
      </c>
      <c r="CB524" s="14">
        <f t="shared" si="2988"/>
        <v>7.6923076923076927E-2</v>
      </c>
      <c r="CC524" s="14">
        <f t="shared" si="2988"/>
        <v>5.8823529411764705E-2</v>
      </c>
      <c r="CD524" s="14">
        <f t="shared" si="2988"/>
        <v>4.3478260869565216E-2</v>
      </c>
      <c r="CE524" s="14">
        <f t="shared" si="2988"/>
        <v>2.4390243902439025E-2</v>
      </c>
      <c r="CF524" s="14">
        <f t="shared" si="2988"/>
        <v>0.1111111111111111</v>
      </c>
      <c r="CG524" s="14">
        <f t="shared" si="2988"/>
        <v>1.9607843137254902E-2</v>
      </c>
      <c r="CH524" s="14">
        <f t="shared" si="2988"/>
        <v>1.9607843137254902E-2</v>
      </c>
      <c r="CI524" s="14">
        <f t="shared" si="2988"/>
        <v>4.49438202247191E-2</v>
      </c>
      <c r="CJ524" s="14">
        <f t="shared" si="2988"/>
        <v>4.49438202247191E-2</v>
      </c>
      <c r="CK524" s="14">
        <f t="shared" si="2988"/>
        <v>4.49438202247191E-2</v>
      </c>
      <c r="CL524" s="14">
        <f t="shared" si="2988"/>
        <v>0.25</v>
      </c>
      <c r="CM524" s="14">
        <f t="shared" si="2988"/>
        <v>0</v>
      </c>
      <c r="CN524" s="14" t="str">
        <f t="shared" si="2988"/>
        <v/>
      </c>
      <c r="CO524" s="412"/>
      <c r="CP524" s="14">
        <f t="shared" ref="CP524:DP524" si="2989">IF(CP494&lt;&gt;0,CP499*CP498/CP494,"")</f>
        <v>0</v>
      </c>
      <c r="CQ524" s="14" t="e">
        <f t="shared" si="2989"/>
        <v>#DIV/0!</v>
      </c>
      <c r="CR524" s="14">
        <f t="shared" si="2989"/>
        <v>4.3478260869565216E-2</v>
      </c>
      <c r="CS524" s="14">
        <f t="shared" si="2989"/>
        <v>3.5714285714285712E-2</v>
      </c>
      <c r="CT524" s="14">
        <f t="shared" si="2989"/>
        <v>4.7619047619047616E-2</v>
      </c>
      <c r="CU524" s="14">
        <f t="shared" si="2989"/>
        <v>6.25E-2</v>
      </c>
      <c r="CV524" s="14">
        <f t="shared" si="2989"/>
        <v>5.8823529411764705E-2</v>
      </c>
      <c r="CW524" s="14">
        <f t="shared" si="2989"/>
        <v>5.5555555555555552E-2</v>
      </c>
      <c r="CX524" s="14">
        <f t="shared" si="2989"/>
        <v>4.2253521126760563E-2</v>
      </c>
      <c r="CY524" s="14">
        <f t="shared" si="2989"/>
        <v>7.0422535211267609E-2</v>
      </c>
      <c r="CZ524" s="14">
        <f t="shared" si="2989"/>
        <v>7.0422535211267609E-2</v>
      </c>
      <c r="DA524" s="14">
        <f t="shared" si="2989"/>
        <v>6.6666666666666666E-2</v>
      </c>
      <c r="DB524" s="14">
        <f t="shared" si="2989"/>
        <v>0.33333333333333331</v>
      </c>
      <c r="DC524" s="14">
        <f t="shared" si="2989"/>
        <v>0.1111111111111111</v>
      </c>
      <c r="DD524" s="14">
        <f t="shared" si="2989"/>
        <v>7.6923076923076927E-2</v>
      </c>
      <c r="DE524" s="14">
        <f t="shared" si="2989"/>
        <v>7.407407407407407E-2</v>
      </c>
      <c r="DF524" s="14">
        <f t="shared" si="2989"/>
        <v>7.407407407407407E-2</v>
      </c>
      <c r="DG524" s="14">
        <f t="shared" si="2989"/>
        <v>4.878048780487805E-2</v>
      </c>
      <c r="DH524" s="14">
        <f t="shared" si="2989"/>
        <v>6.0606060606060608E-2</v>
      </c>
      <c r="DI524" s="14">
        <f t="shared" si="2989"/>
        <v>3.7037037037037035E-2</v>
      </c>
      <c r="DJ524" s="14">
        <f t="shared" si="2989"/>
        <v>5.8823529411764705E-2</v>
      </c>
      <c r="DK524" s="14">
        <f t="shared" si="2989"/>
        <v>5.5555555555555552E-2</v>
      </c>
      <c r="DL524" s="14">
        <f t="shared" si="2989"/>
        <v>5.8823529411764705E-2</v>
      </c>
      <c r="DM524" s="14">
        <f t="shared" si="2989"/>
        <v>7.8651685393258425E-2</v>
      </c>
      <c r="DN524" s="14">
        <f t="shared" si="2989"/>
        <v>0.25</v>
      </c>
      <c r="DO524" s="14">
        <f t="shared" si="2989"/>
        <v>0.16666666666666666</v>
      </c>
      <c r="DP524" s="14">
        <f t="shared" si="2989"/>
        <v>0.16666666666666666</v>
      </c>
      <c r="DQ524" s="14"/>
      <c r="DR524" s="14"/>
      <c r="DS524" s="14"/>
      <c r="DT524" s="14"/>
      <c r="DU524" s="14"/>
      <c r="DV524" s="14"/>
      <c r="DW524" s="14"/>
      <c r="DX524" s="14"/>
      <c r="DY524" s="14"/>
      <c r="ED524" s="429"/>
      <c r="EE524" s="23"/>
      <c r="EF524" s="23"/>
      <c r="EG524" s="23"/>
      <c r="EH524" s="109" t="str">
        <f>IF(EH498&lt;&gt;0,EH499*EH498/EH498,"0%")</f>
        <v>0%</v>
      </c>
      <c r="EI524" s="109" t="str">
        <f>IF(EI498&lt;&gt;0,EI499*EI498/EI498,"0%")</f>
        <v>0%</v>
      </c>
      <c r="EJ524" s="14">
        <f>IF(EJ498&lt;&gt;0,EJ499*EJ498/EJ498,"0%")</f>
        <v>1</v>
      </c>
      <c r="EK524" s="24"/>
      <c r="EL524" s="47" t="e">
        <f t="shared" si="2979"/>
        <v>#DIV/0!</v>
      </c>
      <c r="EM524" s="47" t="e">
        <f t="shared" si="2979"/>
        <v>#DIV/0!</v>
      </c>
      <c r="EN524" s="47">
        <f t="shared" si="2979"/>
        <v>4.9999999999999822E-2</v>
      </c>
      <c r="EO524" s="46" t="e">
        <f t="shared" si="2985"/>
        <v>#DIV/0!</v>
      </c>
      <c r="EP524" s="46" t="e">
        <f t="shared" si="2985"/>
        <v>#DIV/0!</v>
      </c>
      <c r="EQ524" s="2" t="e">
        <f t="shared" si="2980"/>
        <v>#DIV/0!</v>
      </c>
      <c r="ER524" s="2" t="e">
        <f t="shared" si="2980"/>
        <v>#DIV/0!</v>
      </c>
      <c r="ES524" s="2">
        <f t="shared" si="2980"/>
        <v>1</v>
      </c>
    </row>
    <row r="525" spans="1:149">
      <c r="A525" s="6" t="s">
        <v>23</v>
      </c>
      <c r="B525" s="2" t="s">
        <v>26</v>
      </c>
      <c r="C525" s="3" t="s">
        <v>85</v>
      </c>
      <c r="E525" s="3" t="str">
        <f>C500</f>
        <v>ASpec1</v>
      </c>
      <c r="F525" s="4" t="s">
        <v>31</v>
      </c>
      <c r="G525" s="28" t="str">
        <f>C509</f>
        <v>ASUniq</v>
      </c>
      <c r="H525" s="28"/>
      <c r="I525" s="28"/>
      <c r="J525" s="62">
        <f>IF(J509&lt;&gt;0,J500/J509,"")</f>
        <v>0</v>
      </c>
      <c r="K525" s="62">
        <f>IF(K509&lt;&gt;0,K500/K509,"")</f>
        <v>0</v>
      </c>
      <c r="L525" s="62">
        <f>IF(L509&lt;&gt;0,L500/L509,"")</f>
        <v>0</v>
      </c>
      <c r="M525" s="62">
        <f>IF(M509&lt;&gt;0,M500/M509,"")</f>
        <v>0</v>
      </c>
      <c r="N525" s="62">
        <f>IF(N509&lt;&gt;0,N500/N509,"")</f>
        <v>0</v>
      </c>
      <c r="O525" s="62">
        <f>IF(O509&lt;&gt;"",O500/O509,"")</f>
        <v>0</v>
      </c>
      <c r="P525" s="62">
        <f t="shared" ref="P525:AJ525" si="2990">IF(P509&lt;&gt;"",P500/P509,"")</f>
        <v>0</v>
      </c>
      <c r="Q525" s="62">
        <f t="shared" si="2990"/>
        <v>1.6666666666666667</v>
      </c>
      <c r="R525" s="62">
        <f t="shared" si="2990"/>
        <v>0.89473684210526316</v>
      </c>
      <c r="S525" s="62" t="str">
        <f>IF(S509&lt;&gt;0,S500/S509,"")</f>
        <v/>
      </c>
      <c r="T525" s="62" t="str">
        <f>IF(T509&lt;&gt;0,T500/T509,"")</f>
        <v/>
      </c>
      <c r="U525" s="62">
        <f t="shared" si="2990"/>
        <v>3.1666666666666665</v>
      </c>
      <c r="V525" s="62">
        <f t="shared" si="2990"/>
        <v>0.2</v>
      </c>
      <c r="W525" s="62">
        <f t="shared" si="2990"/>
        <v>0.4</v>
      </c>
      <c r="X525" s="62">
        <f t="shared" si="2990"/>
        <v>9</v>
      </c>
      <c r="Y525" s="62">
        <f t="shared" si="2990"/>
        <v>0.5</v>
      </c>
      <c r="Z525" s="62">
        <f t="shared" si="2990"/>
        <v>2.8</v>
      </c>
      <c r="AA525" s="62">
        <f t="shared" si="2990"/>
        <v>14</v>
      </c>
      <c r="AB525" s="62">
        <f t="shared" si="2990"/>
        <v>2.8333333333333335</v>
      </c>
      <c r="AC525" s="62">
        <f t="shared" si="2990"/>
        <v>1.5833333333333333</v>
      </c>
      <c r="AD525" s="62">
        <f t="shared" si="2990"/>
        <v>2.2222222222222223</v>
      </c>
      <c r="AE525" s="62">
        <f t="shared" si="2990"/>
        <v>3.5</v>
      </c>
      <c r="AF525" s="62">
        <f t="shared" si="2990"/>
        <v>2.0714285714285716</v>
      </c>
      <c r="AG525" s="62">
        <f t="shared" si="2990"/>
        <v>6.125</v>
      </c>
      <c r="AH525" s="62">
        <f t="shared" si="2990"/>
        <v>0</v>
      </c>
      <c r="AI525" s="62">
        <f t="shared" si="2990"/>
        <v>9.0909090909090912E-2</v>
      </c>
      <c r="AJ525" s="62" t="str">
        <f t="shared" si="2990"/>
        <v/>
      </c>
      <c r="AK525" s="412"/>
      <c r="AL525" s="14">
        <f t="shared" ref="AL525:BL525" si="2991">IF(AL509&lt;&gt;0,AL500/AL509,"")</f>
        <v>0</v>
      </c>
      <c r="AM525" s="14">
        <f t="shared" si="2991"/>
        <v>0</v>
      </c>
      <c r="AN525" s="14">
        <f t="shared" si="2991"/>
        <v>0</v>
      </c>
      <c r="AO525" s="14">
        <f t="shared" si="2991"/>
        <v>0</v>
      </c>
      <c r="AP525" s="14">
        <f t="shared" si="2991"/>
        <v>0</v>
      </c>
      <c r="AQ525" s="14">
        <f t="shared" si="2991"/>
        <v>0</v>
      </c>
      <c r="AR525" s="14">
        <f t="shared" si="2991"/>
        <v>0</v>
      </c>
      <c r="AS525" s="14">
        <f t="shared" si="2991"/>
        <v>1.6666666666666667</v>
      </c>
      <c r="AT525" s="14">
        <f t="shared" si="2991"/>
        <v>0.63157894736842102</v>
      </c>
      <c r="AU525" s="14" t="str">
        <f t="shared" si="2991"/>
        <v/>
      </c>
      <c r="AV525" s="14" t="str">
        <f t="shared" si="2991"/>
        <v/>
      </c>
      <c r="AW525" s="14">
        <f t="shared" si="2991"/>
        <v>0.33333333333333331</v>
      </c>
      <c r="AX525" s="14">
        <f t="shared" si="2991"/>
        <v>0.2</v>
      </c>
      <c r="AY525" s="14">
        <f t="shared" si="2991"/>
        <v>0.1</v>
      </c>
      <c r="AZ525" s="14">
        <f t="shared" si="2991"/>
        <v>5</v>
      </c>
      <c r="BA525" s="14">
        <f t="shared" si="2991"/>
        <v>0</v>
      </c>
      <c r="BB525" s="14">
        <f t="shared" si="2991"/>
        <v>1</v>
      </c>
      <c r="BC525" s="14">
        <f t="shared" si="2991"/>
        <v>0</v>
      </c>
      <c r="BD525" s="14">
        <f t="shared" si="2991"/>
        <v>0.5</v>
      </c>
      <c r="BE525" s="14">
        <f t="shared" si="2991"/>
        <v>0.16666666666666666</v>
      </c>
      <c r="BF525" s="14">
        <f t="shared" si="2991"/>
        <v>0.1111111111111111</v>
      </c>
      <c r="BG525" s="14">
        <f t="shared" si="2991"/>
        <v>0.16666666666666666</v>
      </c>
      <c r="BH525" s="14">
        <f t="shared" si="2991"/>
        <v>0.5714285714285714</v>
      </c>
      <c r="BI525" s="14">
        <f t="shared" si="2991"/>
        <v>2.5</v>
      </c>
      <c r="BJ525" s="14">
        <f t="shared" si="2991"/>
        <v>0</v>
      </c>
      <c r="BK525" s="14">
        <f t="shared" si="2991"/>
        <v>9.0909090909090912E-2</v>
      </c>
      <c r="BL525" s="14" t="e">
        <f t="shared" si="2991"/>
        <v>#VALUE!</v>
      </c>
      <c r="BM525" s="412"/>
      <c r="BN525" s="14">
        <f t="shared" ref="BN525:CN525" si="2992">IF(BN509&lt;&gt;0,BN500/BN509,"")</f>
        <v>0</v>
      </c>
      <c r="BO525" s="14">
        <f t="shared" si="2992"/>
        <v>0</v>
      </c>
      <c r="BP525" s="14">
        <f t="shared" si="2992"/>
        <v>0</v>
      </c>
      <c r="BQ525" s="14">
        <f t="shared" si="2992"/>
        <v>0</v>
      </c>
      <c r="BR525" s="14">
        <f t="shared" si="2992"/>
        <v>0</v>
      </c>
      <c r="BS525" s="14">
        <f t="shared" si="2992"/>
        <v>0</v>
      </c>
      <c r="BT525" s="14">
        <f t="shared" si="2992"/>
        <v>4.25</v>
      </c>
      <c r="BU525" s="14">
        <f t="shared" si="2992"/>
        <v>2.4285714285714284</v>
      </c>
      <c r="BV525" s="14">
        <f t="shared" si="2992"/>
        <v>0.65384615384615385</v>
      </c>
      <c r="BW525" s="14" t="str">
        <f t="shared" si="2992"/>
        <v/>
      </c>
      <c r="BX525" s="14" t="str">
        <f t="shared" si="2992"/>
        <v/>
      </c>
      <c r="BY525" s="14">
        <f t="shared" si="2992"/>
        <v>0.33333333333333331</v>
      </c>
      <c r="BZ525" s="14">
        <f t="shared" si="2992"/>
        <v>0.2</v>
      </c>
      <c r="CA525" s="14">
        <f t="shared" si="2992"/>
        <v>0.16</v>
      </c>
      <c r="CB525" s="14">
        <f t="shared" si="2992"/>
        <v>0.34615384615384615</v>
      </c>
      <c r="CC525" s="14">
        <f t="shared" si="2992"/>
        <v>0</v>
      </c>
      <c r="CD525" s="14">
        <f t="shared" si="2992"/>
        <v>0.21739130434782608</v>
      </c>
      <c r="CE525" s="14">
        <f t="shared" si="2992"/>
        <v>0.20833333333333334</v>
      </c>
      <c r="CF525" s="14">
        <f t="shared" si="2992"/>
        <v>0.5</v>
      </c>
      <c r="CG525" s="14">
        <f t="shared" si="2992"/>
        <v>0.27777777777777779</v>
      </c>
      <c r="CH525" s="14">
        <f t="shared" si="2992"/>
        <v>0.22222222222222221</v>
      </c>
      <c r="CI525" s="14">
        <f t="shared" si="2992"/>
        <v>0.16666666666666666</v>
      </c>
      <c r="CJ525" s="14">
        <f t="shared" si="2992"/>
        <v>0.45</v>
      </c>
      <c r="CK525" s="14">
        <f t="shared" si="2992"/>
        <v>1.0357142857142858</v>
      </c>
      <c r="CL525" s="14">
        <f t="shared" si="2992"/>
        <v>0</v>
      </c>
      <c r="CM525" s="14">
        <f t="shared" si="2992"/>
        <v>9.0909090909090912E-2</v>
      </c>
      <c r="CN525" s="14" t="str">
        <f t="shared" si="2992"/>
        <v/>
      </c>
      <c r="CO525" s="412"/>
      <c r="CP525" s="14">
        <f t="shared" ref="CP525:DP525" si="2993">IF(CP509&lt;&gt;0,CP500/CP509,"")</f>
        <v>0</v>
      </c>
      <c r="CQ525" s="14">
        <f t="shared" si="2993"/>
        <v>0</v>
      </c>
      <c r="CR525" s="14">
        <f t="shared" si="2993"/>
        <v>0</v>
      </c>
      <c r="CS525" s="14">
        <f t="shared" si="2993"/>
        <v>0</v>
      </c>
      <c r="CT525" s="14">
        <f t="shared" si="2993"/>
        <v>0</v>
      </c>
      <c r="CU525" s="14">
        <f t="shared" si="2993"/>
        <v>0</v>
      </c>
      <c r="CV525" s="14">
        <f t="shared" si="2993"/>
        <v>0</v>
      </c>
      <c r="CW525" s="14">
        <f t="shared" si="2993"/>
        <v>5.8139534883720929E-2</v>
      </c>
      <c r="CX525" s="14">
        <f t="shared" si="2993"/>
        <v>0.16190476190476191</v>
      </c>
      <c r="CY525" s="14">
        <f t="shared" si="2993"/>
        <v>0.16190476190476191</v>
      </c>
      <c r="CZ525" s="14">
        <f t="shared" si="2993"/>
        <v>0.16190476190476191</v>
      </c>
      <c r="DA525" s="14">
        <f t="shared" si="2993"/>
        <v>0.17117117117117117</v>
      </c>
      <c r="DB525" s="14">
        <f t="shared" si="2993"/>
        <v>0.2</v>
      </c>
      <c r="DC525" s="14">
        <f t="shared" si="2993"/>
        <v>0.16</v>
      </c>
      <c r="DD525" s="14">
        <f t="shared" si="2993"/>
        <v>0.34615384615384615</v>
      </c>
      <c r="DE525" s="14">
        <f t="shared" si="2993"/>
        <v>0.20454545454545456</v>
      </c>
      <c r="DF525" s="14">
        <f t="shared" si="2993"/>
        <v>0.2857142857142857</v>
      </c>
      <c r="DG525" s="14">
        <f t="shared" si="2993"/>
        <v>0.28000000000000003</v>
      </c>
      <c r="DH525" s="14">
        <f t="shared" si="2993"/>
        <v>0.30357142857142855</v>
      </c>
      <c r="DI525" s="14">
        <f t="shared" si="2993"/>
        <v>0.27941176470588236</v>
      </c>
      <c r="DJ525" s="14">
        <f t="shared" si="2993"/>
        <v>0.25974025974025972</v>
      </c>
      <c r="DK525" s="14">
        <f t="shared" si="2993"/>
        <v>0.25301204819277107</v>
      </c>
      <c r="DL525" s="14">
        <f t="shared" si="2993"/>
        <v>0.29896907216494845</v>
      </c>
      <c r="DM525" s="14">
        <f t="shared" si="2993"/>
        <v>0.46666666666666667</v>
      </c>
      <c r="DN525" s="14">
        <f t="shared" si="2993"/>
        <v>0</v>
      </c>
      <c r="DO525" s="14">
        <f t="shared" si="2993"/>
        <v>4.3478260869565216E-2</v>
      </c>
      <c r="DP525" s="14" t="e">
        <f t="shared" si="2993"/>
        <v>#VALUE!</v>
      </c>
      <c r="DQ525" s="14"/>
      <c r="DR525" s="14"/>
      <c r="DS525" s="14"/>
      <c r="DT525" s="14"/>
      <c r="DU525" s="14"/>
      <c r="DV525" s="14"/>
      <c r="DW525" s="14"/>
      <c r="DX525" s="14"/>
      <c r="DY525" s="14"/>
      <c r="ED525" s="429"/>
      <c r="EE525" s="23"/>
      <c r="EF525" s="23"/>
      <c r="EG525" s="23"/>
      <c r="EH525" s="14">
        <f>IF(EH496&lt;&gt;0,EH500/EH496,"0%")</f>
        <v>9.0909090909090912E-2</v>
      </c>
      <c r="EI525" s="14">
        <f>IF(EI496&lt;&gt;0,EI500/EI496,"0%")</f>
        <v>4.3478260869565216E-2</v>
      </c>
      <c r="EJ525" s="14">
        <f>IF(EJ496&lt;&gt;0,EJ500/EJ496,"0%")</f>
        <v>4.3478260869565216E-2</v>
      </c>
      <c r="EK525" s="24"/>
      <c r="EL525" s="47">
        <f t="shared" si="2979"/>
        <v>9.0909090909090912E-2</v>
      </c>
      <c r="EM525" s="47">
        <f t="shared" si="2979"/>
        <v>4.3478260869565216E-2</v>
      </c>
      <c r="EN525" s="47">
        <f t="shared" si="2979"/>
        <v>-0.18052175379710153</v>
      </c>
      <c r="EO525" s="46" t="str">
        <f t="shared" si="2985"/>
        <v>Ç</v>
      </c>
      <c r="EP525" s="46" t="str">
        <f t="shared" si="2985"/>
        <v>Ç</v>
      </c>
      <c r="EQ525" s="2" t="e">
        <f t="shared" si="2980"/>
        <v>#DIV/0!</v>
      </c>
      <c r="ER525" s="2" t="e">
        <f t="shared" si="2980"/>
        <v>#DIV/0!</v>
      </c>
      <c r="ES525" s="2">
        <f t="shared" si="2980"/>
        <v>3</v>
      </c>
    </row>
    <row r="526" spans="1:149">
      <c r="A526" s="6" t="s">
        <v>23</v>
      </c>
      <c r="B526" s="2" t="s">
        <v>27</v>
      </c>
      <c r="C526" s="3" t="s">
        <v>81</v>
      </c>
      <c r="E526" s="3" t="str">
        <f>C502</f>
        <v>AOnlHrs</v>
      </c>
      <c r="F526" s="4" t="s">
        <v>31</v>
      </c>
      <c r="G526" s="28" t="str">
        <f>C501</f>
        <v>ATotHrs</v>
      </c>
      <c r="H526" s="28"/>
      <c r="I526" s="28"/>
      <c r="J526" s="62">
        <f t="shared" ref="J526:AJ526" si="2994">IF(J501&lt;&gt;0,J502/J501,"")</f>
        <v>9.5323741007194235E-2</v>
      </c>
      <c r="K526" s="62">
        <f t="shared" si="2994"/>
        <v>7.7216396568160151E-2</v>
      </c>
      <c r="L526" s="62">
        <f t="shared" si="2994"/>
        <v>6.3458856345885634E-2</v>
      </c>
      <c r="M526" s="62">
        <f t="shared" si="2994"/>
        <v>5.1425661914460283E-2</v>
      </c>
      <c r="N526" s="62">
        <f t="shared" si="2994"/>
        <v>3.6740632957439068E-2</v>
      </c>
      <c r="O526" s="62">
        <f t="shared" si="2994"/>
        <v>3.5588329592818213E-2</v>
      </c>
      <c r="P526" s="62">
        <f t="shared" si="2994"/>
        <v>3.2602423542989034E-2</v>
      </c>
      <c r="Q526" s="62">
        <f t="shared" si="2994"/>
        <v>9.3906093906093918E-2</v>
      </c>
      <c r="R526" s="62">
        <f t="shared" si="2994"/>
        <v>8.3682844018374281E-2</v>
      </c>
      <c r="S526" s="62">
        <f t="shared" si="2994"/>
        <v>8.3682844018374281E-2</v>
      </c>
      <c r="T526" s="62">
        <f t="shared" si="2994"/>
        <v>8.3682844018374281E-2</v>
      </c>
      <c r="U526" s="62">
        <f t="shared" si="2994"/>
        <v>7.5634696755994352E-2</v>
      </c>
      <c r="V526" s="62">
        <f t="shared" si="2994"/>
        <v>9.3023255813953487E-2</v>
      </c>
      <c r="W526" s="62">
        <f t="shared" si="2994"/>
        <v>7.407407407407407E-2</v>
      </c>
      <c r="X526" s="62">
        <f t="shared" si="2994"/>
        <v>7.1942446043165464E-2</v>
      </c>
      <c r="Y526" s="62">
        <f t="shared" si="2994"/>
        <v>0.22917744438696325</v>
      </c>
      <c r="Z526" s="62">
        <f t="shared" si="2994"/>
        <v>0.19816951850378031</v>
      </c>
      <c r="AA526" s="62">
        <f t="shared" si="2994"/>
        <v>0.19583169484860399</v>
      </c>
      <c r="AB526" s="62">
        <f t="shared" si="2994"/>
        <v>0.17303683113273105</v>
      </c>
      <c r="AC526" s="62">
        <f t="shared" si="2994"/>
        <v>0.15523690773067331</v>
      </c>
      <c r="AD526" s="62">
        <f t="shared" si="2994"/>
        <v>0.12582112177867608</v>
      </c>
      <c r="AE526" s="62">
        <f t="shared" si="2994"/>
        <v>0.13664884963978619</v>
      </c>
      <c r="AF526" s="62">
        <f t="shared" si="2994"/>
        <v>0.12086330935251798</v>
      </c>
      <c r="AG526" s="62">
        <f t="shared" si="2994"/>
        <v>0.10017035775127768</v>
      </c>
      <c r="AH526" s="62">
        <f t="shared" si="2994"/>
        <v>0</v>
      </c>
      <c r="AI526" s="62">
        <f t="shared" si="2994"/>
        <v>0</v>
      </c>
      <c r="AJ526" s="62">
        <f t="shared" si="2994"/>
        <v>0</v>
      </c>
      <c r="AK526" s="412"/>
      <c r="AL526" s="14">
        <f t="shared" ref="AL526:BL526" si="2995">IF(AL501&lt;&gt;0,AL502/AL501,"")</f>
        <v>9.5323741007194235E-2</v>
      </c>
      <c r="AM526" s="14">
        <f t="shared" si="2995"/>
        <v>5.6795131845841777E-2</v>
      </c>
      <c r="AN526" s="14">
        <f t="shared" si="2995"/>
        <v>2.5974025974025976E-2</v>
      </c>
      <c r="AO526" s="14">
        <f t="shared" si="2995"/>
        <v>1.8867924528301886E-2</v>
      </c>
      <c r="AP526" s="14">
        <f t="shared" si="2995"/>
        <v>0</v>
      </c>
      <c r="AQ526" s="14">
        <f t="shared" si="2995"/>
        <v>2.7027027027027029E-2</v>
      </c>
      <c r="AR526" s="14">
        <f t="shared" si="2995"/>
        <v>5.7636887608069395E-3</v>
      </c>
      <c r="AS526" s="14">
        <f t="shared" si="2995"/>
        <v>0.48884758364312308</v>
      </c>
      <c r="AT526" s="14">
        <f t="shared" si="2995"/>
        <v>4.2871385842472548E-2</v>
      </c>
      <c r="AU526" s="14" t="str">
        <f t="shared" si="2995"/>
        <v/>
      </c>
      <c r="AV526" s="14" t="str">
        <f t="shared" si="2995"/>
        <v/>
      </c>
      <c r="AW526" s="14">
        <f t="shared" si="2995"/>
        <v>1.5037593984962393E-2</v>
      </c>
      <c r="AX526" s="14">
        <f t="shared" si="2995"/>
        <v>9.3023255813953487E-2</v>
      </c>
      <c r="AY526" s="14">
        <f t="shared" si="2995"/>
        <v>4.0816326530612242E-2</v>
      </c>
      <c r="AZ526" s="14">
        <f t="shared" si="2995"/>
        <v>0</v>
      </c>
      <c r="BA526" s="14">
        <f t="shared" si="2995"/>
        <v>0.31744749596122773</v>
      </c>
      <c r="BB526" s="14">
        <f t="shared" si="2995"/>
        <v>9.4827586206896547E-2</v>
      </c>
      <c r="BC526" s="14">
        <f t="shared" si="2995"/>
        <v>0</v>
      </c>
      <c r="BD526" s="14">
        <f t="shared" si="2995"/>
        <v>0</v>
      </c>
      <c r="BE526" s="14">
        <f t="shared" si="2995"/>
        <v>0</v>
      </c>
      <c r="BF526" s="14">
        <f t="shared" si="2995"/>
        <v>0</v>
      </c>
      <c r="BG526" s="14">
        <f t="shared" si="2995"/>
        <v>0.2608695652173913</v>
      </c>
      <c r="BH526" s="14">
        <f t="shared" si="2995"/>
        <v>0</v>
      </c>
      <c r="BI526" s="14">
        <f t="shared" si="2995"/>
        <v>0</v>
      </c>
      <c r="BJ526" s="14">
        <f t="shared" si="2995"/>
        <v>0</v>
      </c>
      <c r="BK526" s="14">
        <f t="shared" si="2995"/>
        <v>0</v>
      </c>
      <c r="BL526" s="14">
        <f t="shared" si="2995"/>
        <v>0</v>
      </c>
      <c r="BM526" s="412"/>
      <c r="BN526" s="14">
        <f t="shared" ref="BN526:CN526" si="2996">IF(BN501&lt;&gt;0,BN502/BN501,"")</f>
        <v>6.3458856345885634E-2</v>
      </c>
      <c r="BO526" s="14">
        <f t="shared" si="2996"/>
        <v>6.3458856345885634E-2</v>
      </c>
      <c r="BP526" s="14">
        <f t="shared" si="2996"/>
        <v>6.3458856345885634E-2</v>
      </c>
      <c r="BQ526" s="14">
        <f t="shared" si="2996"/>
        <v>1.1869436201780418E-2</v>
      </c>
      <c r="BR526" s="14">
        <f t="shared" si="2996"/>
        <v>1.1869436201780418E-2</v>
      </c>
      <c r="BS526" s="14">
        <f t="shared" si="2996"/>
        <v>1.1869436201780418E-2</v>
      </c>
      <c r="BT526" s="14">
        <f t="shared" si="2996"/>
        <v>0.16313559322033896</v>
      </c>
      <c r="BU526" s="14">
        <f t="shared" si="2996"/>
        <v>0.16313559322033896</v>
      </c>
      <c r="BV526" s="14">
        <f t="shared" si="2996"/>
        <v>0.16313559322033896</v>
      </c>
      <c r="BW526" s="14">
        <f t="shared" si="2996"/>
        <v>0.19857235561323819</v>
      </c>
      <c r="BX526" s="14">
        <f t="shared" si="2996"/>
        <v>4.2871385842472548E-2</v>
      </c>
      <c r="BY526" s="14">
        <f t="shared" si="2996"/>
        <v>1.5037593984962393E-2</v>
      </c>
      <c r="BZ526" s="14">
        <f t="shared" si="2996"/>
        <v>9.3023255813953487E-2</v>
      </c>
      <c r="CA526" s="14">
        <f t="shared" si="2996"/>
        <v>7.407407407407407E-2</v>
      </c>
      <c r="CB526" s="14">
        <f t="shared" si="2996"/>
        <v>7.1942446043165464E-2</v>
      </c>
      <c r="CC526" s="14">
        <f t="shared" si="2996"/>
        <v>0.31744749596122773</v>
      </c>
      <c r="CD526" s="14">
        <f t="shared" si="2996"/>
        <v>0.24642464246424639</v>
      </c>
      <c r="CE526" s="14">
        <f t="shared" si="2996"/>
        <v>0.2424242424242424</v>
      </c>
      <c r="CF526" s="14">
        <f t="shared" si="2996"/>
        <v>0</v>
      </c>
      <c r="CG526" s="14">
        <f t="shared" si="2996"/>
        <v>0</v>
      </c>
      <c r="CH526" s="14">
        <f t="shared" si="2996"/>
        <v>0</v>
      </c>
      <c r="CI526" s="14">
        <f t="shared" si="2996"/>
        <v>0.2608695652173913</v>
      </c>
      <c r="CJ526" s="14">
        <f t="shared" si="2996"/>
        <v>9.9228224917309829E-2</v>
      </c>
      <c r="CK526" s="14">
        <f t="shared" si="2996"/>
        <v>4.7071129707112976E-2</v>
      </c>
      <c r="CL526" s="14">
        <f t="shared" si="2996"/>
        <v>0</v>
      </c>
      <c r="CM526" s="14">
        <f t="shared" si="2996"/>
        <v>0</v>
      </c>
      <c r="CN526" s="14" t="str">
        <f t="shared" si="2996"/>
        <v/>
      </c>
      <c r="CO526" s="412"/>
      <c r="CP526" s="14">
        <f t="shared" ref="CP526:DP526" si="2997">IF(CP501&lt;&gt;0,CP502/CP501,"")</f>
        <v>9.5323741007194235E-2</v>
      </c>
      <c r="CQ526" s="14">
        <f t="shared" si="2997"/>
        <v>7.7216396568160151E-2</v>
      </c>
      <c r="CR526" s="14">
        <f t="shared" si="2997"/>
        <v>6.3458856345885634E-2</v>
      </c>
      <c r="CS526" s="14">
        <f t="shared" si="2997"/>
        <v>5.1425661914460283E-2</v>
      </c>
      <c r="CT526" s="14">
        <f t="shared" si="2997"/>
        <v>3.6740632957439068E-2</v>
      </c>
      <c r="CU526" s="14">
        <f t="shared" si="2997"/>
        <v>3.5588329592818213E-2</v>
      </c>
      <c r="CV526" s="14">
        <f t="shared" si="2997"/>
        <v>3.2602423542989034E-2</v>
      </c>
      <c r="CW526" s="14">
        <f t="shared" si="2997"/>
        <v>9.3906093906093918E-2</v>
      </c>
      <c r="CX526" s="14">
        <f t="shared" si="2997"/>
        <v>8.3682844018374281E-2</v>
      </c>
      <c r="CY526" s="14">
        <f t="shared" si="2997"/>
        <v>8.3682844018374281E-2</v>
      </c>
      <c r="CZ526" s="14">
        <f t="shared" si="2997"/>
        <v>8.3682844018374281E-2</v>
      </c>
      <c r="DA526" s="14">
        <f t="shared" si="2997"/>
        <v>7.5634696755994352E-2</v>
      </c>
      <c r="DB526" s="14">
        <f t="shared" si="2997"/>
        <v>9.3023255813953487E-2</v>
      </c>
      <c r="DC526" s="14">
        <f t="shared" si="2997"/>
        <v>7.407407407407407E-2</v>
      </c>
      <c r="DD526" s="14">
        <f t="shared" si="2997"/>
        <v>7.1942446043165464E-2</v>
      </c>
      <c r="DE526" s="14">
        <f t="shared" si="2997"/>
        <v>0.22917744438696325</v>
      </c>
      <c r="DF526" s="14">
        <f t="shared" si="2997"/>
        <v>0.19816951850378031</v>
      </c>
      <c r="DG526" s="14">
        <f t="shared" si="2997"/>
        <v>0.19583169484860399</v>
      </c>
      <c r="DH526" s="14">
        <f t="shared" si="2997"/>
        <v>0.17303683113273105</v>
      </c>
      <c r="DI526" s="14">
        <f t="shared" si="2997"/>
        <v>0.15523690773067331</v>
      </c>
      <c r="DJ526" s="14">
        <f t="shared" si="2997"/>
        <v>0.12582112177867608</v>
      </c>
      <c r="DK526" s="14">
        <f t="shared" si="2997"/>
        <v>0.13664884963978619</v>
      </c>
      <c r="DL526" s="14">
        <f t="shared" si="2997"/>
        <v>0.12086330935251798</v>
      </c>
      <c r="DM526" s="14">
        <f t="shared" si="2997"/>
        <v>0.10017035775127768</v>
      </c>
      <c r="DN526" s="14">
        <f t="shared" si="2997"/>
        <v>0</v>
      </c>
      <c r="DO526" s="14">
        <f t="shared" si="2997"/>
        <v>0</v>
      </c>
      <c r="DP526" s="14">
        <f t="shared" si="2997"/>
        <v>0</v>
      </c>
      <c r="DQ526" s="14"/>
      <c r="DR526" s="14"/>
      <c r="DS526" s="14"/>
      <c r="DT526" s="14"/>
      <c r="DU526" s="14"/>
      <c r="DV526" s="14"/>
      <c r="DW526" s="14"/>
      <c r="DX526" s="14"/>
      <c r="DY526" s="14"/>
      <c r="ED526" s="429"/>
      <c r="EE526" s="23"/>
      <c r="EF526" s="23"/>
      <c r="EG526" s="23"/>
      <c r="EH526" s="109">
        <f>IF(EH501&lt;&gt;0,EH502/EH501,"0%")</f>
        <v>0</v>
      </c>
      <c r="EI526" s="109">
        <f>IF(EI501&lt;&gt;0,EI502/EI501,"0%")</f>
        <v>0</v>
      </c>
      <c r="EJ526" s="14" t="str">
        <f>IF(EJ502&lt;&gt;0,EJ502/EJ501,"0%")</f>
        <v>0%</v>
      </c>
      <c r="EK526" s="24"/>
      <c r="EL526" s="47">
        <f t="shared" si="2979"/>
        <v>0</v>
      </c>
      <c r="EM526" s="47">
        <f t="shared" si="2979"/>
        <v>0</v>
      </c>
      <c r="EN526" s="47">
        <f t="shared" si="2979"/>
        <v>-4.9180327868852458E-2</v>
      </c>
      <c r="EO526" s="46" t="str">
        <f t="shared" si="2985"/>
        <v>Æ</v>
      </c>
      <c r="EP526" s="46" t="str">
        <f t="shared" si="2985"/>
        <v>Æ</v>
      </c>
      <c r="EQ526" s="2" t="e">
        <f t="shared" si="2980"/>
        <v>#DIV/0!</v>
      </c>
      <c r="ER526" s="2" t="e">
        <f t="shared" si="2980"/>
        <v>#DIV/0!</v>
      </c>
      <c r="ES526" s="2">
        <f t="shared" si="2980"/>
        <v>3</v>
      </c>
    </row>
    <row r="527" spans="1:149">
      <c r="A527" s="6" t="s">
        <v>23</v>
      </c>
      <c r="B527" s="2" t="s">
        <v>28</v>
      </c>
      <c r="C527" s="3" t="s">
        <v>82</v>
      </c>
      <c r="E527" s="3" t="str">
        <f>C507</f>
        <v>AColCash</v>
      </c>
      <c r="F527" s="4" t="s">
        <v>31</v>
      </c>
      <c r="G527" s="28" t="str">
        <f>C508</f>
        <v>AFSFunds</v>
      </c>
      <c r="H527" s="28"/>
      <c r="I527" s="28"/>
      <c r="J527" s="62" t="str">
        <f t="shared" ref="J527:AJ527" si="2998">IF(J508&lt;&gt;0,J507/J508,"")</f>
        <v/>
      </c>
      <c r="K527" s="62" t="str">
        <f t="shared" si="2998"/>
        <v/>
      </c>
      <c r="L527" s="62" t="str">
        <f t="shared" si="2998"/>
        <v/>
      </c>
      <c r="M527" s="62" t="str">
        <f t="shared" si="2998"/>
        <v/>
      </c>
      <c r="N527" s="62" t="str">
        <f t="shared" si="2998"/>
        <v/>
      </c>
      <c r="O527" s="62">
        <f t="shared" si="2998"/>
        <v>0.70579764244811583</v>
      </c>
      <c r="P527" s="62">
        <f t="shared" si="2998"/>
        <v>0.69351195888933526</v>
      </c>
      <c r="Q527" s="62">
        <f t="shared" si="2998"/>
        <v>0.69351195888933526</v>
      </c>
      <c r="R527" s="62">
        <f t="shared" si="2998"/>
        <v>0.69351195888933526</v>
      </c>
      <c r="S527" s="62">
        <f t="shared" si="2998"/>
        <v>0.69349517848079856</v>
      </c>
      <c r="T527" s="62">
        <f t="shared" si="2998"/>
        <v>0.69349517848079856</v>
      </c>
      <c r="U527" s="62">
        <f t="shared" si="2998"/>
        <v>0.69349517848079856</v>
      </c>
      <c r="V527" s="62" t="str">
        <f t="shared" si="2998"/>
        <v/>
      </c>
      <c r="W527" s="62" t="str">
        <f t="shared" si="2998"/>
        <v/>
      </c>
      <c r="X527" s="62" t="str">
        <f t="shared" si="2998"/>
        <v/>
      </c>
      <c r="Y527" s="62" t="str">
        <f t="shared" si="2998"/>
        <v/>
      </c>
      <c r="Z527" s="62" t="str">
        <f t="shared" si="2998"/>
        <v/>
      </c>
      <c r="AA527" s="62" t="str">
        <f t="shared" si="2998"/>
        <v/>
      </c>
      <c r="AB527" s="62">
        <f t="shared" si="2998"/>
        <v>0.63570250369120007</v>
      </c>
      <c r="AC527" s="62" t="str">
        <f t="shared" si="2998"/>
        <v/>
      </c>
      <c r="AD527" s="62" t="str">
        <f t="shared" si="2998"/>
        <v/>
      </c>
      <c r="AE527" s="62" t="str">
        <f t="shared" si="2998"/>
        <v/>
      </c>
      <c r="AF527" s="62" t="str">
        <f t="shared" si="2998"/>
        <v/>
      </c>
      <c r="AG527" s="62" t="str">
        <f t="shared" si="2998"/>
        <v/>
      </c>
      <c r="AH527" s="62">
        <f t="shared" si="2998"/>
        <v>1.1825401570366485</v>
      </c>
      <c r="AI527" s="62" t="str">
        <f t="shared" si="2998"/>
        <v/>
      </c>
      <c r="AJ527" s="62" t="str">
        <f t="shared" si="2998"/>
        <v/>
      </c>
      <c r="AK527" s="412"/>
      <c r="AL527" s="14"/>
      <c r="AM527" s="14"/>
      <c r="AN527" s="14"/>
      <c r="AO527" s="14"/>
      <c r="AP527" s="14"/>
      <c r="AQ527" s="14"/>
      <c r="AR527" s="14"/>
      <c r="AS527" s="14"/>
      <c r="AT527" s="14"/>
      <c r="AU527" s="14"/>
      <c r="AV527" s="14"/>
      <c r="AW527" s="14"/>
      <c r="AX527" s="14"/>
      <c r="AY527" s="14"/>
      <c r="AZ527" s="14"/>
      <c r="BA527" s="14"/>
      <c r="BB527" s="14"/>
      <c r="BC527" s="14"/>
      <c r="BD527" s="14"/>
      <c r="BE527" s="14"/>
      <c r="BF527" s="14"/>
      <c r="BG527" s="14"/>
      <c r="BH527" s="14"/>
      <c r="BI527" s="14"/>
      <c r="BJ527" s="14"/>
      <c r="BK527" s="14"/>
      <c r="BL527" s="14"/>
      <c r="BM527" s="412"/>
      <c r="BN527" s="14"/>
      <c r="BO527" s="14"/>
      <c r="BP527" s="14"/>
      <c r="BQ527" s="14"/>
      <c r="BR527" s="14"/>
      <c r="BS527" s="14"/>
      <c r="BT527" s="14"/>
      <c r="BU527" s="14"/>
      <c r="BV527" s="14"/>
      <c r="BW527" s="14"/>
      <c r="BX527" s="14"/>
      <c r="BY527" s="14"/>
      <c r="BZ527" s="14"/>
      <c r="CA527" s="14"/>
      <c r="CB527" s="14"/>
      <c r="CC527" s="14"/>
      <c r="CD527" s="14"/>
      <c r="CE527" s="14"/>
      <c r="CF527" s="14"/>
      <c r="CG527" s="14"/>
      <c r="CH527" s="14"/>
      <c r="CI527" s="14"/>
      <c r="CJ527" s="14"/>
      <c r="CK527" s="14"/>
      <c r="CL527" s="14"/>
      <c r="CM527" s="14"/>
      <c r="CN527" s="14"/>
      <c r="CO527" s="412"/>
      <c r="CP527" s="14" t="str">
        <f t="shared" ref="CP527:DP527" si="2999">IF(CP508&lt;&gt;0,CP507/CP508,"")</f>
        <v/>
      </c>
      <c r="CQ527" s="14" t="str">
        <f t="shared" si="2999"/>
        <v/>
      </c>
      <c r="CR527" s="14" t="str">
        <f t="shared" si="2999"/>
        <v/>
      </c>
      <c r="CS527" s="14" t="str">
        <f t="shared" si="2999"/>
        <v/>
      </c>
      <c r="CT527" s="14" t="str">
        <f t="shared" si="2999"/>
        <v/>
      </c>
      <c r="CU527" s="14">
        <f t="shared" si="2999"/>
        <v>0.70579764244811583</v>
      </c>
      <c r="CV527" s="14">
        <f t="shared" si="2999"/>
        <v>0.69351195888933526</v>
      </c>
      <c r="CW527" s="14">
        <f t="shared" si="2999"/>
        <v>0.69351195888933526</v>
      </c>
      <c r="CX527" s="14">
        <f t="shared" si="2999"/>
        <v>0.69351195888933526</v>
      </c>
      <c r="CY527" s="14">
        <f t="shared" si="2999"/>
        <v>0.69349517848079856</v>
      </c>
      <c r="CZ527" s="14">
        <f t="shared" si="2999"/>
        <v>0.69349517848079856</v>
      </c>
      <c r="DA527" s="14">
        <f t="shared" si="2999"/>
        <v>0.69349517848079856</v>
      </c>
      <c r="DB527" s="14" t="str">
        <f t="shared" si="2999"/>
        <v/>
      </c>
      <c r="DC527" s="14" t="str">
        <f t="shared" si="2999"/>
        <v/>
      </c>
      <c r="DD527" s="14" t="str">
        <f t="shared" si="2999"/>
        <v/>
      </c>
      <c r="DE527" s="14" t="str">
        <f t="shared" si="2999"/>
        <v/>
      </c>
      <c r="DF527" s="14" t="str">
        <f t="shared" si="2999"/>
        <v/>
      </c>
      <c r="DG527" s="14" t="str">
        <f t="shared" si="2999"/>
        <v/>
      </c>
      <c r="DH527" s="14">
        <f t="shared" si="2999"/>
        <v>0.63570250369120007</v>
      </c>
      <c r="DI527" s="14" t="str">
        <f t="shared" si="2999"/>
        <v/>
      </c>
      <c r="DJ527" s="14" t="str">
        <f t="shared" si="2999"/>
        <v/>
      </c>
      <c r="DK527" s="14" t="str">
        <f t="shared" si="2999"/>
        <v/>
      </c>
      <c r="DL527" s="14" t="str">
        <f t="shared" si="2999"/>
        <v/>
      </c>
      <c r="DM527" s="14" t="str">
        <f t="shared" si="2999"/>
        <v/>
      </c>
      <c r="DN527" s="14">
        <f t="shared" si="2999"/>
        <v>1.1825401570366485</v>
      </c>
      <c r="DO527" s="14" t="str">
        <f t="shared" si="2999"/>
        <v/>
      </c>
      <c r="DP527" s="14" t="str">
        <f t="shared" si="2999"/>
        <v/>
      </c>
      <c r="DQ527" s="14"/>
      <c r="DR527" s="14"/>
      <c r="DS527" s="14"/>
      <c r="DT527" s="14"/>
      <c r="DU527" s="14"/>
      <c r="DV527" s="14"/>
      <c r="DW527" s="14"/>
      <c r="DX527" s="14"/>
      <c r="DY527" s="14"/>
      <c r="ED527" s="429"/>
      <c r="EE527" s="23"/>
      <c r="EF527" s="23"/>
      <c r="EG527" s="23"/>
      <c r="EH527" s="24">
        <v>0</v>
      </c>
      <c r="EI527" s="24">
        <v>0</v>
      </c>
      <c r="EJ527" s="14" t="str">
        <f>IF(EJ508&lt;&gt;0,EJ507/EJ508,"0%")</f>
        <v>0%</v>
      </c>
      <c r="EK527" s="24"/>
      <c r="EL527" s="24" t="s">
        <v>97</v>
      </c>
      <c r="EM527" s="24" t="s">
        <v>97</v>
      </c>
      <c r="EN527" s="47">
        <f>IF(EJ527="","",+EJ527-EG520)</f>
        <v>-0.5048209028459274</v>
      </c>
      <c r="EO527" s="100" t="s">
        <v>97</v>
      </c>
      <c r="EP527" s="100" t="s">
        <v>97</v>
      </c>
      <c r="EQ527" s="24" t="s">
        <v>97</v>
      </c>
      <c r="ER527" s="24" t="s">
        <v>97</v>
      </c>
      <c r="ES527" s="2">
        <f>IF(EJ527/EG520&gt;=0.9,1,IF(EJ527/EG520&lt;0.75,3,2))</f>
        <v>3</v>
      </c>
    </row>
    <row r="529" spans="1:149" ht="13.5" customHeight="1" thickBot="1">
      <c r="A529" s="6" t="s">
        <v>179</v>
      </c>
      <c r="C529" s="3" t="s">
        <v>195</v>
      </c>
      <c r="E529" s="107">
        <f>I529</f>
        <v>40391</v>
      </c>
      <c r="G529" s="132" t="s">
        <v>161</v>
      </c>
      <c r="I529" s="107">
        <f>$I$1</f>
        <v>40391</v>
      </c>
      <c r="J529" s="669" t="s">
        <v>95</v>
      </c>
      <c r="K529" s="669"/>
      <c r="L529" s="669"/>
      <c r="M529" s="669"/>
      <c r="N529" s="669"/>
      <c r="O529" s="669"/>
      <c r="P529" s="669"/>
      <c r="Q529" s="669"/>
      <c r="R529" s="669"/>
      <c r="S529" s="669"/>
      <c r="T529" s="669"/>
      <c r="U529" s="669"/>
      <c r="V529" s="669"/>
      <c r="W529" s="669"/>
      <c r="X529" s="669"/>
      <c r="Y529" s="669"/>
      <c r="Z529" s="669"/>
      <c r="AA529" s="669"/>
      <c r="AB529" s="669"/>
      <c r="AC529" s="669"/>
      <c r="AD529" s="669"/>
      <c r="AE529" s="669"/>
      <c r="AF529" s="669"/>
      <c r="AG529" s="669"/>
      <c r="AH529" s="669"/>
      <c r="AI529" s="669"/>
      <c r="AJ529" s="669"/>
      <c r="AL529" s="669" t="s">
        <v>115</v>
      </c>
      <c r="AM529" s="669"/>
      <c r="AN529" s="669"/>
      <c r="AO529" s="669"/>
      <c r="AP529" s="669"/>
      <c r="AQ529" s="669"/>
      <c r="AR529" s="669"/>
      <c r="AS529" s="669"/>
      <c r="AT529" s="669"/>
      <c r="AU529" s="669"/>
      <c r="AV529" s="669"/>
      <c r="AW529" s="669"/>
      <c r="AX529" s="669"/>
      <c r="AY529" s="669"/>
      <c r="AZ529" s="669"/>
      <c r="BA529" s="669"/>
      <c r="BB529" s="669"/>
      <c r="BC529" s="669"/>
      <c r="BD529" s="669"/>
      <c r="BE529" s="669"/>
      <c r="BF529" s="669"/>
      <c r="BG529" s="669"/>
      <c r="BH529" s="669"/>
      <c r="BI529" s="669"/>
      <c r="BJ529" s="669"/>
      <c r="BK529" s="669"/>
      <c r="BL529" s="669"/>
      <c r="BN529" s="669" t="s">
        <v>116</v>
      </c>
      <c r="BO529" s="669"/>
      <c r="BP529" s="669"/>
      <c r="BQ529" s="669"/>
      <c r="BR529" s="669"/>
      <c r="BS529" s="669"/>
      <c r="BT529" s="669"/>
      <c r="BU529" s="669"/>
      <c r="BV529" s="669"/>
      <c r="BW529" s="669"/>
      <c r="BX529" s="669"/>
      <c r="BY529" s="669"/>
      <c r="BZ529" s="669"/>
      <c r="CA529" s="669"/>
      <c r="CB529" s="669"/>
      <c r="CC529" s="669"/>
      <c r="CD529" s="669"/>
      <c r="CE529" s="669"/>
      <c r="CF529" s="669"/>
      <c r="CG529" s="669"/>
      <c r="CH529" s="669"/>
      <c r="CI529" s="669"/>
      <c r="CJ529" s="669"/>
      <c r="CK529" s="669"/>
      <c r="CL529" s="669"/>
      <c r="CM529" s="669"/>
      <c r="CN529" s="669"/>
      <c r="CP529" s="669" t="s">
        <v>117</v>
      </c>
      <c r="CQ529" s="669"/>
      <c r="CR529" s="669"/>
      <c r="CS529" s="669"/>
      <c r="CT529" s="669"/>
      <c r="CU529" s="669"/>
      <c r="CV529" s="669"/>
      <c r="CW529" s="669"/>
      <c r="CX529" s="669"/>
      <c r="CY529" s="669"/>
      <c r="CZ529" s="669"/>
      <c r="DA529" s="669"/>
      <c r="DB529" s="669"/>
      <c r="DC529" s="669"/>
      <c r="DD529" s="669"/>
      <c r="DE529" s="669"/>
      <c r="DF529" s="669"/>
      <c r="DG529" s="669"/>
      <c r="DH529" s="669"/>
      <c r="DI529" s="669"/>
      <c r="DJ529" s="669"/>
      <c r="DK529" s="669"/>
      <c r="DL529" s="669"/>
      <c r="DM529" s="669"/>
      <c r="DN529" s="669"/>
      <c r="DO529" s="669"/>
      <c r="DP529" s="669"/>
      <c r="DQ529" s="578"/>
      <c r="DR529" s="578"/>
      <c r="DS529" s="578"/>
      <c r="DT529" s="578"/>
      <c r="DU529" s="578"/>
      <c r="DV529" s="578"/>
      <c r="DW529" s="578"/>
      <c r="DX529" s="578"/>
      <c r="DY529" s="578"/>
      <c r="DZ529" s="670" t="s">
        <v>118</v>
      </c>
      <c r="EA529" s="671"/>
      <c r="EB529" s="672"/>
      <c r="EC529" s="579"/>
      <c r="ED529" s="427"/>
      <c r="EE529" s="669" t="s">
        <v>112</v>
      </c>
      <c r="EF529" s="669"/>
      <c r="EG529" s="669"/>
      <c r="EH529" s="669" t="s">
        <v>111</v>
      </c>
      <c r="EI529" s="669"/>
      <c r="EJ529" s="669"/>
      <c r="EK529" s="45">
        <f>IF(MONTH(I529)&gt;9,MONTH(I529)-9,MONTH(I529)+3)</f>
        <v>11</v>
      </c>
      <c r="EL529" s="673" t="s">
        <v>119</v>
      </c>
      <c r="EM529" s="674"/>
      <c r="EN529" s="674"/>
      <c r="EO529" s="674"/>
      <c r="EP529" s="674"/>
      <c r="EQ529" s="674"/>
      <c r="ER529" s="674"/>
      <c r="ES529" s="674"/>
    </row>
    <row r="530" spans="1:149" s="1" customFormat="1" ht="26.25" thickBot="1">
      <c r="A530" s="665" t="s">
        <v>19</v>
      </c>
      <c r="B530" s="665"/>
      <c r="C530" s="8" t="s">
        <v>34</v>
      </c>
      <c r="D530" s="9"/>
      <c r="E530" s="10" t="s">
        <v>93</v>
      </c>
      <c r="G530" s="17" t="s">
        <v>90</v>
      </c>
      <c r="I530" s="1" t="s">
        <v>96</v>
      </c>
      <c r="J530" s="13">
        <v>39630</v>
      </c>
      <c r="K530" s="13">
        <v>39661</v>
      </c>
      <c r="L530" s="13">
        <v>39692</v>
      </c>
      <c r="M530" s="13">
        <v>39722</v>
      </c>
      <c r="N530" s="13">
        <v>39753</v>
      </c>
      <c r="O530" s="13">
        <v>39783</v>
      </c>
      <c r="P530" s="13">
        <v>39814</v>
      </c>
      <c r="Q530" s="13">
        <v>39845</v>
      </c>
      <c r="R530" s="13">
        <v>39873</v>
      </c>
      <c r="S530" s="13">
        <v>39904</v>
      </c>
      <c r="T530" s="13">
        <v>39934</v>
      </c>
      <c r="U530" s="13">
        <v>39965</v>
      </c>
      <c r="V530" s="13">
        <v>39995</v>
      </c>
      <c r="W530" s="13">
        <v>40026</v>
      </c>
      <c r="X530" s="13">
        <v>40057</v>
      </c>
      <c r="Y530" s="13">
        <v>40087</v>
      </c>
      <c r="Z530" s="13">
        <v>40118</v>
      </c>
      <c r="AA530" s="13">
        <v>40148</v>
      </c>
      <c r="AB530" s="13">
        <v>40179</v>
      </c>
      <c r="AC530" s="13">
        <v>40210</v>
      </c>
      <c r="AD530" s="13">
        <v>40238</v>
      </c>
      <c r="AE530" s="13">
        <v>40269</v>
      </c>
      <c r="AF530" s="13">
        <v>40299</v>
      </c>
      <c r="AG530" s="13">
        <v>40330</v>
      </c>
      <c r="AH530" s="13">
        <v>40360</v>
      </c>
      <c r="AI530" s="13">
        <v>40391</v>
      </c>
      <c r="AJ530" s="13">
        <v>40422</v>
      </c>
      <c r="AK530" s="406"/>
      <c r="AL530" s="13">
        <v>39630</v>
      </c>
      <c r="AM530" s="13">
        <v>39661</v>
      </c>
      <c r="AN530" s="13">
        <v>39692</v>
      </c>
      <c r="AO530" s="13">
        <v>39722</v>
      </c>
      <c r="AP530" s="13">
        <v>39753</v>
      </c>
      <c r="AQ530" s="13">
        <v>39783</v>
      </c>
      <c r="AR530" s="13">
        <v>39814</v>
      </c>
      <c r="AS530" s="13">
        <v>39845</v>
      </c>
      <c r="AT530" s="13">
        <v>39873</v>
      </c>
      <c r="AU530" s="13">
        <v>39904</v>
      </c>
      <c r="AV530" s="13">
        <v>39934</v>
      </c>
      <c r="AW530" s="13">
        <v>39965</v>
      </c>
      <c r="AX530" s="13">
        <v>39995</v>
      </c>
      <c r="AY530" s="13">
        <v>40026</v>
      </c>
      <c r="AZ530" s="13">
        <v>40057</v>
      </c>
      <c r="BA530" s="13">
        <v>40087</v>
      </c>
      <c r="BB530" s="13">
        <v>40118</v>
      </c>
      <c r="BC530" s="13">
        <v>40148</v>
      </c>
      <c r="BD530" s="13">
        <v>40179</v>
      </c>
      <c r="BE530" s="13">
        <v>40210</v>
      </c>
      <c r="BF530" s="13">
        <v>40238</v>
      </c>
      <c r="BG530" s="13">
        <v>40269</v>
      </c>
      <c r="BH530" s="13">
        <v>40299</v>
      </c>
      <c r="BI530" s="13">
        <v>40330</v>
      </c>
      <c r="BJ530" s="13">
        <v>40360</v>
      </c>
      <c r="BK530" s="13">
        <v>40391</v>
      </c>
      <c r="BL530" s="13">
        <v>40422</v>
      </c>
      <c r="BM530" s="406"/>
      <c r="BN530" s="13">
        <v>39630</v>
      </c>
      <c r="BO530" s="13">
        <v>39661</v>
      </c>
      <c r="BP530" s="13">
        <v>39692</v>
      </c>
      <c r="BQ530" s="13">
        <v>39722</v>
      </c>
      <c r="BR530" s="13">
        <v>39753</v>
      </c>
      <c r="BS530" s="13">
        <v>39783</v>
      </c>
      <c r="BT530" s="13">
        <v>39814</v>
      </c>
      <c r="BU530" s="13">
        <v>39845</v>
      </c>
      <c r="BV530" s="13">
        <v>39873</v>
      </c>
      <c r="BW530" s="13">
        <v>39904</v>
      </c>
      <c r="BX530" s="13">
        <v>39934</v>
      </c>
      <c r="BY530" s="13">
        <v>39965</v>
      </c>
      <c r="BZ530" s="13">
        <v>39995</v>
      </c>
      <c r="CA530" s="13">
        <v>40026</v>
      </c>
      <c r="CB530" s="13">
        <v>40057</v>
      </c>
      <c r="CC530" s="13">
        <v>40087</v>
      </c>
      <c r="CD530" s="13">
        <v>40118</v>
      </c>
      <c r="CE530" s="13">
        <v>40148</v>
      </c>
      <c r="CF530" s="13">
        <v>40179</v>
      </c>
      <c r="CG530" s="13">
        <v>40210</v>
      </c>
      <c r="CH530" s="13">
        <v>40238</v>
      </c>
      <c r="CI530" s="13">
        <v>40269</v>
      </c>
      <c r="CJ530" s="13">
        <v>40299</v>
      </c>
      <c r="CK530" s="13">
        <v>40330</v>
      </c>
      <c r="CL530" s="13">
        <v>40360</v>
      </c>
      <c r="CM530" s="13">
        <v>40391</v>
      </c>
      <c r="CN530" s="13">
        <v>40422</v>
      </c>
      <c r="CO530" s="420"/>
      <c r="CP530" s="13">
        <v>39630</v>
      </c>
      <c r="CQ530" s="13">
        <v>39661</v>
      </c>
      <c r="CR530" s="13">
        <v>39692</v>
      </c>
      <c r="CS530" s="13">
        <v>39722</v>
      </c>
      <c r="CT530" s="13">
        <v>39753</v>
      </c>
      <c r="CU530" s="13">
        <v>39783</v>
      </c>
      <c r="CV530" s="13">
        <v>39814</v>
      </c>
      <c r="CW530" s="13">
        <v>39845</v>
      </c>
      <c r="CX530" s="13">
        <v>39873</v>
      </c>
      <c r="CY530" s="13">
        <v>39904</v>
      </c>
      <c r="CZ530" s="13">
        <v>39934</v>
      </c>
      <c r="DA530" s="13">
        <v>39965</v>
      </c>
      <c r="DB530" s="13">
        <v>39995</v>
      </c>
      <c r="DC530" s="13">
        <v>40026</v>
      </c>
      <c r="DD530" s="13">
        <v>40057</v>
      </c>
      <c r="DE530" s="13">
        <v>40087</v>
      </c>
      <c r="DF530" s="13">
        <v>40118</v>
      </c>
      <c r="DG530" s="13">
        <v>40148</v>
      </c>
      <c r="DH530" s="13">
        <v>40179</v>
      </c>
      <c r="DI530" s="13">
        <v>40210</v>
      </c>
      <c r="DJ530" s="13">
        <v>40238</v>
      </c>
      <c r="DK530" s="13">
        <v>40269</v>
      </c>
      <c r="DL530" s="13">
        <v>40299</v>
      </c>
      <c r="DM530" s="13">
        <v>40330</v>
      </c>
      <c r="DN530" s="13">
        <v>40360</v>
      </c>
      <c r="DO530" s="13">
        <v>40391</v>
      </c>
      <c r="DP530" s="13">
        <v>40422</v>
      </c>
      <c r="DQ530" s="580"/>
      <c r="DR530" s="580"/>
      <c r="DS530" s="580"/>
      <c r="DT530" s="580"/>
      <c r="DU530" s="580"/>
      <c r="DV530" s="580"/>
      <c r="DW530" s="580"/>
      <c r="DX530" s="580"/>
      <c r="DY530" s="580"/>
      <c r="DZ530" s="1">
        <v>2008</v>
      </c>
      <c r="EA530" s="135">
        <v>2009</v>
      </c>
      <c r="EB530" s="135">
        <v>2010</v>
      </c>
      <c r="EC530" s="577"/>
      <c r="ED530" s="428"/>
      <c r="EE530" s="115" t="s">
        <v>89</v>
      </c>
      <c r="EF530" s="115" t="s">
        <v>110</v>
      </c>
      <c r="EG530" s="115" t="s">
        <v>128</v>
      </c>
      <c r="EH530" s="115" t="s">
        <v>89</v>
      </c>
      <c r="EI530" s="115" t="s">
        <v>110</v>
      </c>
      <c r="EJ530" s="115" t="s">
        <v>91</v>
      </c>
      <c r="EK530" s="45">
        <f>IF(MONTH(I529)&gt;6,MONTH(I529)-6,MONTH(I529)+6)</f>
        <v>2</v>
      </c>
      <c r="EL530" s="115" t="s">
        <v>124</v>
      </c>
      <c r="EM530" s="115" t="s">
        <v>125</v>
      </c>
      <c r="EN530" s="115" t="s">
        <v>126</v>
      </c>
      <c r="EO530" s="115" t="s">
        <v>122</v>
      </c>
      <c r="EP530" s="115" t="s">
        <v>123</v>
      </c>
      <c r="EQ530" s="115" t="s">
        <v>120</v>
      </c>
      <c r="ER530" s="115" t="s">
        <v>127</v>
      </c>
      <c r="ES530" s="115" t="s">
        <v>121</v>
      </c>
    </row>
    <row r="531" spans="1:149" s="37" customFormat="1">
      <c r="A531" s="36" t="s">
        <v>20</v>
      </c>
      <c r="B531" s="36"/>
      <c r="J531" s="38"/>
      <c r="K531" s="38"/>
      <c r="L531" s="10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407"/>
      <c r="AL531" s="38"/>
      <c r="AM531" s="38"/>
      <c r="AN531" s="38"/>
      <c r="AO531" s="38"/>
      <c r="AP531" s="38"/>
      <c r="AQ531" s="38"/>
      <c r="AR531" s="38"/>
      <c r="AS531" s="38"/>
      <c r="AT531" s="38"/>
      <c r="AU531" s="38"/>
      <c r="AV531" s="38"/>
      <c r="AW531" s="38"/>
      <c r="AX531" s="38"/>
      <c r="AY531" s="38"/>
      <c r="AZ531" s="38"/>
      <c r="BA531" s="38"/>
      <c r="BB531" s="38"/>
      <c r="BC531" s="38"/>
      <c r="BD531" s="38"/>
      <c r="BE531" s="38"/>
      <c r="BF531" s="38"/>
      <c r="BG531" s="38"/>
      <c r="BH531" s="38"/>
      <c r="BI531" s="38"/>
      <c r="BJ531" s="38"/>
      <c r="BK531" s="38"/>
      <c r="BL531" s="38"/>
      <c r="BM531" s="407"/>
      <c r="BN531" s="39"/>
      <c r="BO531" s="39"/>
      <c r="BP531" s="39"/>
      <c r="BQ531" s="39"/>
      <c r="BR531" s="39"/>
      <c r="BS531" s="39"/>
      <c r="BT531" s="39"/>
      <c r="BU531" s="39"/>
      <c r="BV531" s="39"/>
      <c r="BW531" s="39"/>
      <c r="BX531" s="39"/>
      <c r="BY531" s="39"/>
      <c r="BZ531" s="39"/>
      <c r="CA531" s="39"/>
      <c r="CB531" s="39"/>
      <c r="CC531" s="39"/>
      <c r="CD531" s="39"/>
      <c r="CE531" s="39"/>
      <c r="CF531" s="39"/>
      <c r="CG531" s="39"/>
      <c r="CH531" s="39"/>
      <c r="CI531" s="39"/>
      <c r="CJ531" s="39"/>
      <c r="CK531" s="39"/>
      <c r="CL531" s="39"/>
      <c r="CM531" s="39"/>
      <c r="CN531" s="39"/>
      <c r="CO531" s="407"/>
      <c r="CP531" s="38"/>
      <c r="CQ531" s="38"/>
      <c r="CR531" s="38"/>
      <c r="CS531" s="38"/>
      <c r="CT531" s="38"/>
      <c r="CU531" s="38"/>
      <c r="CV531" s="38"/>
      <c r="CW531" s="38"/>
      <c r="CX531" s="38"/>
      <c r="CY531" s="38"/>
      <c r="CZ531" s="38"/>
      <c r="DA531" s="38"/>
      <c r="DB531" s="38"/>
      <c r="DC531" s="38"/>
      <c r="DD531" s="38"/>
      <c r="DE531" s="38"/>
      <c r="DF531" s="38"/>
      <c r="DG531" s="38"/>
      <c r="DH531" s="38"/>
      <c r="DI531" s="38"/>
      <c r="DJ531" s="38"/>
      <c r="DK531" s="38"/>
      <c r="DL531" s="38"/>
      <c r="DM531" s="38"/>
      <c r="DN531" s="38"/>
      <c r="DO531" s="38"/>
      <c r="DP531" s="38"/>
      <c r="DQ531" s="38"/>
      <c r="DR531" s="38"/>
      <c r="DS531" s="38"/>
      <c r="DT531" s="38"/>
      <c r="DU531" s="38"/>
      <c r="DV531" s="38"/>
      <c r="DW531" s="38"/>
      <c r="DX531" s="38"/>
      <c r="DY531" s="38"/>
      <c r="ED531" s="408"/>
      <c r="EE531" s="40"/>
      <c r="EI531" s="110" t="s">
        <v>155</v>
      </c>
      <c r="EJ531" s="110">
        <f>IF(I529&lt;M530,2008,IF(AND(I529&gt;=M530,I529&lt;=X530),2009,2010))</f>
        <v>2010</v>
      </c>
      <c r="EK531" s="40"/>
    </row>
    <row r="532" spans="1:149" s="1" customFormat="1">
      <c r="A532" s="134" t="s">
        <v>22</v>
      </c>
      <c r="B532" s="2" t="s">
        <v>0</v>
      </c>
      <c r="C532" s="3" t="s">
        <v>35</v>
      </c>
      <c r="D532" s="3"/>
      <c r="E532" s="3" t="s">
        <v>16</v>
      </c>
      <c r="G532" s="1" t="s">
        <v>91</v>
      </c>
      <c r="I532" s="191">
        <v>82.53</v>
      </c>
      <c r="J532" s="199">
        <v>91.7</v>
      </c>
      <c r="K532" s="199">
        <v>100.87</v>
      </c>
      <c r="L532" s="199">
        <v>110.04</v>
      </c>
      <c r="M532" s="193">
        <v>55.166666666666664</v>
      </c>
      <c r="N532" s="192">
        <v>110.33333336666666</v>
      </c>
      <c r="O532" s="192">
        <v>165.50000006666667</v>
      </c>
      <c r="P532" s="192">
        <v>220.66666676666668</v>
      </c>
      <c r="Q532" s="192">
        <v>275.83333346666666</v>
      </c>
      <c r="R532" s="192">
        <v>331.00000016666667</v>
      </c>
      <c r="S532" s="192">
        <v>386.16666686666667</v>
      </c>
      <c r="T532" s="192">
        <v>441.33333356666668</v>
      </c>
      <c r="U532" s="192">
        <v>496.50000026666669</v>
      </c>
      <c r="V532" s="192">
        <v>551.66666696666664</v>
      </c>
      <c r="W532" s="192">
        <v>606.83333366666659</v>
      </c>
      <c r="X532" s="192">
        <v>662.00000036666654</v>
      </c>
      <c r="Y532" s="219">
        <v>46.915999999999997</v>
      </c>
      <c r="Z532" s="246">
        <f>Y532+46.916</f>
        <v>93.831999999999994</v>
      </c>
      <c r="AA532" s="376">
        <f t="shared" ref="AA532:AJ532" si="3000">Z532+46.916</f>
        <v>140.74799999999999</v>
      </c>
      <c r="AB532" s="376">
        <f t="shared" si="3000"/>
        <v>187.66399999999999</v>
      </c>
      <c r="AC532" s="376">
        <f t="shared" si="3000"/>
        <v>234.57999999999998</v>
      </c>
      <c r="AD532" s="376">
        <f t="shared" si="3000"/>
        <v>281.49599999999998</v>
      </c>
      <c r="AE532" s="376">
        <f t="shared" si="3000"/>
        <v>328.41199999999998</v>
      </c>
      <c r="AF532" s="376">
        <f t="shared" si="3000"/>
        <v>375.32799999999997</v>
      </c>
      <c r="AG532" s="376">
        <f t="shared" si="3000"/>
        <v>422.24399999999997</v>
      </c>
      <c r="AH532" s="376">
        <f t="shared" si="3000"/>
        <v>469.15999999999997</v>
      </c>
      <c r="AI532" s="376">
        <f t="shared" si="3000"/>
        <v>516.07600000000002</v>
      </c>
      <c r="AJ532" s="189">
        <f t="shared" si="3000"/>
        <v>562.99199999999996</v>
      </c>
      <c r="AK532" s="408"/>
      <c r="AL532" s="48">
        <f>J532-I532</f>
        <v>9.1700000000000017</v>
      </c>
      <c r="AM532" s="48">
        <f t="shared" ref="AM532:AM538" si="3001">K532-J532</f>
        <v>9.1700000000000017</v>
      </c>
      <c r="AN532" s="48">
        <f t="shared" ref="AN532:AN538" si="3002">L532-K532</f>
        <v>9.1700000000000017</v>
      </c>
      <c r="AO532" s="48">
        <f>M532</f>
        <v>55.166666666666664</v>
      </c>
      <c r="AP532" s="48">
        <f t="shared" ref="AP532:AP538" si="3003">N532-M532</f>
        <v>55.1666667</v>
      </c>
      <c r="AQ532" s="48">
        <f t="shared" ref="AQ532:AQ538" si="3004">O532-N532</f>
        <v>55.166666700000007</v>
      </c>
      <c r="AR532" s="48">
        <f t="shared" ref="AR532:AR538" si="3005">P532-O532</f>
        <v>55.166666700000007</v>
      </c>
      <c r="AS532" s="48">
        <f t="shared" ref="AS532:AS538" si="3006">Q532-P532</f>
        <v>55.166666699999979</v>
      </c>
      <c r="AT532" s="48">
        <f t="shared" ref="AT532:AT538" si="3007">R532-Q532</f>
        <v>55.166666700000007</v>
      </c>
      <c r="AU532" s="48">
        <f t="shared" ref="AU532:AU538" si="3008">S532-R532</f>
        <v>55.166666700000007</v>
      </c>
      <c r="AV532" s="48">
        <f t="shared" ref="AV532:AV538" si="3009">T532-S532</f>
        <v>55.166666700000007</v>
      </c>
      <c r="AW532" s="48">
        <f t="shared" ref="AW532:AW538" si="3010">U532-T532</f>
        <v>55.166666700000007</v>
      </c>
      <c r="AX532" s="48">
        <f>V532-U532</f>
        <v>55.166666699999951</v>
      </c>
      <c r="AY532" s="48">
        <f t="shared" ref="AY532:AY538" si="3011">W532-V532</f>
        <v>55.166666699999951</v>
      </c>
      <c r="AZ532" s="48">
        <f t="shared" ref="AZ532:AZ538" si="3012">X532-W532</f>
        <v>55.166666699999951</v>
      </c>
      <c r="BA532" s="48">
        <f>Y532</f>
        <v>46.915999999999997</v>
      </c>
      <c r="BB532" s="48">
        <f t="shared" ref="BB532:BB538" si="3013">Z532-Y532</f>
        <v>46.915999999999997</v>
      </c>
      <c r="BC532" s="48">
        <f t="shared" ref="BC532:BC538" si="3014">AA532-Z532</f>
        <v>46.915999999999997</v>
      </c>
      <c r="BD532" s="48">
        <f t="shared" ref="BD532:BD538" si="3015">AB532-AA532</f>
        <v>46.915999999999997</v>
      </c>
      <c r="BE532" s="48">
        <f t="shared" ref="BE532:BE538" si="3016">AC532-AB532</f>
        <v>46.915999999999997</v>
      </c>
      <c r="BF532" s="48">
        <f t="shared" ref="BF532:BF538" si="3017">AD532-AC532</f>
        <v>46.915999999999997</v>
      </c>
      <c r="BG532" s="48">
        <f t="shared" ref="BG532:BG538" si="3018">AE532-AD532</f>
        <v>46.915999999999997</v>
      </c>
      <c r="BH532" s="48">
        <f t="shared" ref="BH532:BH538" si="3019">AF532-AE532</f>
        <v>46.915999999999997</v>
      </c>
      <c r="BI532" s="48">
        <f t="shared" ref="BI532:BI538" si="3020">AG532-AF532</f>
        <v>46.915999999999997</v>
      </c>
      <c r="BJ532" s="48">
        <f t="shared" ref="BJ532:BL535" si="3021">AH532-AG532</f>
        <v>46.915999999999997</v>
      </c>
      <c r="BK532" s="48">
        <f t="shared" si="3021"/>
        <v>46.916000000000054</v>
      </c>
      <c r="BL532" s="48">
        <f t="shared" si="3021"/>
        <v>46.91599999999994</v>
      </c>
      <c r="BM532" s="408"/>
      <c r="BN532" s="48">
        <f>BP532</f>
        <v>27.510000000000005</v>
      </c>
      <c r="BO532" s="48">
        <f>BP532</f>
        <v>27.510000000000005</v>
      </c>
      <c r="BP532" s="48">
        <f>SUM(AL532:AN532)</f>
        <v>27.510000000000005</v>
      </c>
      <c r="BQ532" s="48">
        <f>BS532</f>
        <v>165.50000006666667</v>
      </c>
      <c r="BR532" s="48">
        <f>BS532</f>
        <v>165.50000006666667</v>
      </c>
      <c r="BS532" s="48">
        <f>SUM(AO532:AQ532)</f>
        <v>165.50000006666667</v>
      </c>
      <c r="BT532" s="48">
        <f>BV532</f>
        <v>165.50000009999999</v>
      </c>
      <c r="BU532" s="48">
        <f>BV532</f>
        <v>165.50000009999999</v>
      </c>
      <c r="BV532" s="48">
        <f>SUM(AR532:AT532)</f>
        <v>165.50000009999999</v>
      </c>
      <c r="BW532" s="48">
        <f>BY532</f>
        <v>165.50000010000002</v>
      </c>
      <c r="BX532" s="48">
        <f>BY532</f>
        <v>165.50000010000002</v>
      </c>
      <c r="BY532" s="48">
        <f>SUM(AU532:AW532)</f>
        <v>165.50000010000002</v>
      </c>
      <c r="BZ532" s="48">
        <f>CB532</f>
        <v>165.50000009999985</v>
      </c>
      <c r="CA532" s="48">
        <f>CB532</f>
        <v>165.50000009999985</v>
      </c>
      <c r="CB532" s="48">
        <f>SUM(AX532:AZ532)</f>
        <v>165.50000009999985</v>
      </c>
      <c r="CC532" s="48">
        <f>CE532</f>
        <v>140.74799999999999</v>
      </c>
      <c r="CD532" s="48">
        <f>CE532</f>
        <v>140.74799999999999</v>
      </c>
      <c r="CE532" s="48">
        <f>SUM(BA532:BC532)</f>
        <v>140.74799999999999</v>
      </c>
      <c r="CF532" s="48">
        <f>CH532</f>
        <v>140.74799999999999</v>
      </c>
      <c r="CG532" s="48">
        <f>CH532</f>
        <v>140.74799999999999</v>
      </c>
      <c r="CH532" s="48">
        <f>SUM(BD532:BF532)</f>
        <v>140.74799999999999</v>
      </c>
      <c r="CI532" s="48">
        <f>CK532</f>
        <v>140.74799999999999</v>
      </c>
      <c r="CJ532" s="48">
        <f>CK532</f>
        <v>140.74799999999999</v>
      </c>
      <c r="CK532" s="48">
        <f>SUM(BG532:BI532)</f>
        <v>140.74799999999999</v>
      </c>
      <c r="CL532" s="48">
        <f>CN532</f>
        <v>140.74799999999999</v>
      </c>
      <c r="CM532" s="48">
        <f>CN532</f>
        <v>140.74799999999999</v>
      </c>
      <c r="CN532" s="48">
        <f t="shared" ref="CN532:CN539" si="3022">SUM(BJ532:BL532)</f>
        <v>140.74799999999999</v>
      </c>
      <c r="CO532" s="406"/>
      <c r="CP532" s="48">
        <f t="shared" ref="CP532:CR536" si="3023">I532+AL532</f>
        <v>91.7</v>
      </c>
      <c r="CQ532" s="48">
        <f t="shared" si="3023"/>
        <v>100.87</v>
      </c>
      <c r="CR532" s="48">
        <f t="shared" si="3023"/>
        <v>110.04</v>
      </c>
      <c r="CS532" s="48">
        <f>AO532</f>
        <v>55.166666666666664</v>
      </c>
      <c r="CT532" s="48">
        <f t="shared" ref="CT532:DD536" si="3024">M532+AP532</f>
        <v>110.33333336666666</v>
      </c>
      <c r="CU532" s="48">
        <f t="shared" si="3024"/>
        <v>165.50000006666667</v>
      </c>
      <c r="CV532" s="48">
        <f t="shared" si="3024"/>
        <v>220.66666676666668</v>
      </c>
      <c r="CW532" s="48">
        <f t="shared" si="3024"/>
        <v>275.83333346666666</v>
      </c>
      <c r="CX532" s="48">
        <f t="shared" si="3024"/>
        <v>331.00000016666667</v>
      </c>
      <c r="CY532" s="48">
        <f t="shared" si="3024"/>
        <v>386.16666686666667</v>
      </c>
      <c r="CZ532" s="48">
        <f t="shared" si="3024"/>
        <v>441.33333356666668</v>
      </c>
      <c r="DA532" s="48">
        <f t="shared" si="3024"/>
        <v>496.50000026666669</v>
      </c>
      <c r="DB532" s="48">
        <f t="shared" si="3024"/>
        <v>551.66666696666664</v>
      </c>
      <c r="DC532" s="48">
        <f t="shared" si="3024"/>
        <v>606.83333366666659</v>
      </c>
      <c r="DD532" s="48">
        <f t="shared" si="3024"/>
        <v>662.00000036666654</v>
      </c>
      <c r="DE532" s="48">
        <f>+BA532</f>
        <v>46.915999999999997</v>
      </c>
      <c r="DF532" s="48">
        <f t="shared" ref="DF532:DP535" si="3025">Y532+BB532</f>
        <v>93.831999999999994</v>
      </c>
      <c r="DG532" s="48">
        <f t="shared" si="3025"/>
        <v>140.74799999999999</v>
      </c>
      <c r="DH532" s="48">
        <f t="shared" si="3025"/>
        <v>187.66399999999999</v>
      </c>
      <c r="DI532" s="48">
        <f t="shared" si="3025"/>
        <v>234.57999999999998</v>
      </c>
      <c r="DJ532" s="48">
        <f t="shared" si="3025"/>
        <v>281.49599999999998</v>
      </c>
      <c r="DK532" s="48">
        <f t="shared" si="3025"/>
        <v>328.41199999999998</v>
      </c>
      <c r="DL532" s="48">
        <f t="shared" si="3025"/>
        <v>375.32799999999997</v>
      </c>
      <c r="DM532" s="48">
        <f t="shared" si="3025"/>
        <v>422.24399999999997</v>
      </c>
      <c r="DN532" s="48">
        <f t="shared" si="3025"/>
        <v>469.15999999999997</v>
      </c>
      <c r="DO532" s="48">
        <f t="shared" si="3025"/>
        <v>516.07600000000002</v>
      </c>
      <c r="DP532" s="48">
        <f t="shared" si="3025"/>
        <v>562.99199999999996</v>
      </c>
      <c r="DQ532" s="48"/>
      <c r="DR532" s="48"/>
      <c r="DS532" s="48"/>
      <c r="DT532" s="48"/>
      <c r="DU532" s="48"/>
      <c r="DV532" s="48"/>
      <c r="DW532" s="48"/>
      <c r="DX532" s="48"/>
      <c r="DY532" s="48"/>
      <c r="DZ532" s="1">
        <f>'Input &amp; Calc'!L532</f>
        <v>110.04</v>
      </c>
      <c r="EA532" s="49">
        <f>DD532</f>
        <v>662.00000036666654</v>
      </c>
      <c r="EB532" s="50">
        <f>DP532</f>
        <v>562.99199999999996</v>
      </c>
      <c r="EC532" s="50"/>
      <c r="ED532" s="408"/>
      <c r="EE532" s="51">
        <f t="shared" ref="EE532:EE547" si="3026">HLOOKUP($I$1,Month,ROW()-1)</f>
        <v>46.916000000000054</v>
      </c>
      <c r="EF532" s="51">
        <f t="shared" ref="EF532:EF547" si="3027">HLOOKUP($I$1,Qtr,ROW()-1)</f>
        <v>140.74799999999999</v>
      </c>
      <c r="EG532" s="51">
        <f>HLOOKUP($EJ$3,Budget,ROW()-1)</f>
        <v>562.99199999999996</v>
      </c>
      <c r="EH532" s="40"/>
      <c r="EI532" s="110" t="s">
        <v>154</v>
      </c>
      <c r="EJ532" s="110">
        <f>IF(AND(I529&gt;=J530,I529&lt;=U530),2009,2010)</f>
        <v>2010</v>
      </c>
      <c r="EK532" s="675" t="s">
        <v>129</v>
      </c>
      <c r="EL532" s="37"/>
      <c r="EM532" s="37"/>
      <c r="EN532" s="37"/>
      <c r="EO532" s="49"/>
      <c r="EP532" s="49"/>
      <c r="EQ532" s="49"/>
    </row>
    <row r="533" spans="1:149" s="1" customFormat="1">
      <c r="A533" s="134" t="s">
        <v>22</v>
      </c>
      <c r="B533" s="2" t="s">
        <v>1</v>
      </c>
      <c r="C533" s="3" t="s">
        <v>36</v>
      </c>
      <c r="D533" s="3"/>
      <c r="E533" s="3" t="s">
        <v>16</v>
      </c>
      <c r="G533" s="1" t="s">
        <v>91</v>
      </c>
      <c r="I533" s="191">
        <v>15.03</v>
      </c>
      <c r="J533" s="194">
        <v>16.696670000000001</v>
      </c>
      <c r="K533" s="194">
        <v>18.363340000000001</v>
      </c>
      <c r="L533" s="194">
        <v>20.030010000000001</v>
      </c>
      <c r="M533" s="193">
        <v>8.3333333333333339</v>
      </c>
      <c r="N533" s="192">
        <v>16.666666663333334</v>
      </c>
      <c r="O533" s="192">
        <v>24.999999993333333</v>
      </c>
      <c r="P533" s="192">
        <v>33.333333323333335</v>
      </c>
      <c r="Q533" s="192">
        <v>41.666666653333337</v>
      </c>
      <c r="R533" s="192">
        <v>49.999999983333339</v>
      </c>
      <c r="S533" s="192">
        <v>58.333333313333341</v>
      </c>
      <c r="T533" s="192">
        <v>66.666666643333343</v>
      </c>
      <c r="U533" s="192">
        <v>74.999999973333345</v>
      </c>
      <c r="V533" s="192">
        <v>83.333333303333347</v>
      </c>
      <c r="W533" s="192">
        <v>91.66666663333335</v>
      </c>
      <c r="X533" s="192">
        <v>99.999999963333352</v>
      </c>
      <c r="Y533" s="219">
        <v>6.5</v>
      </c>
      <c r="Z533" s="246">
        <f>Y533+6.5</f>
        <v>13</v>
      </c>
      <c r="AA533" s="376">
        <f t="shared" ref="AA533:AJ533" si="3028">Z533+6.5</f>
        <v>19.5</v>
      </c>
      <c r="AB533" s="376">
        <f t="shared" si="3028"/>
        <v>26</v>
      </c>
      <c r="AC533" s="376">
        <f t="shared" si="3028"/>
        <v>32.5</v>
      </c>
      <c r="AD533" s="376">
        <f t="shared" si="3028"/>
        <v>39</v>
      </c>
      <c r="AE533" s="376">
        <f t="shared" si="3028"/>
        <v>45.5</v>
      </c>
      <c r="AF533" s="376">
        <f t="shared" si="3028"/>
        <v>52</v>
      </c>
      <c r="AG533" s="376">
        <f t="shared" si="3028"/>
        <v>58.5</v>
      </c>
      <c r="AH533" s="376">
        <f t="shared" si="3028"/>
        <v>65</v>
      </c>
      <c r="AI533" s="376">
        <f t="shared" si="3028"/>
        <v>71.5</v>
      </c>
      <c r="AJ533" s="376">
        <f t="shared" si="3028"/>
        <v>78</v>
      </c>
      <c r="AK533" s="408"/>
      <c r="AL533" s="48">
        <f>J533-I533</f>
        <v>1.6666700000000017</v>
      </c>
      <c r="AM533" s="48">
        <f t="shared" si="3001"/>
        <v>1.6666699999999999</v>
      </c>
      <c r="AN533" s="48">
        <f t="shared" si="3002"/>
        <v>1.6666699999999999</v>
      </c>
      <c r="AO533" s="48">
        <f>M533</f>
        <v>8.3333333333333339</v>
      </c>
      <c r="AP533" s="48">
        <f t="shared" si="3003"/>
        <v>8.3333333300000003</v>
      </c>
      <c r="AQ533" s="48">
        <f t="shared" si="3004"/>
        <v>8.3333333299999985</v>
      </c>
      <c r="AR533" s="48">
        <f t="shared" si="3005"/>
        <v>8.3333333300000021</v>
      </c>
      <c r="AS533" s="48">
        <f t="shared" si="3006"/>
        <v>8.3333333300000021</v>
      </c>
      <c r="AT533" s="48">
        <f t="shared" si="3007"/>
        <v>8.3333333300000021</v>
      </c>
      <c r="AU533" s="48">
        <f t="shared" si="3008"/>
        <v>8.3333333300000021</v>
      </c>
      <c r="AV533" s="48">
        <f t="shared" si="3009"/>
        <v>8.3333333300000021</v>
      </c>
      <c r="AW533" s="48">
        <f t="shared" si="3010"/>
        <v>8.3333333300000021</v>
      </c>
      <c r="AX533" s="48">
        <f>V533-U533</f>
        <v>8.3333333300000021</v>
      </c>
      <c r="AY533" s="48">
        <f t="shared" si="3011"/>
        <v>8.3333333300000021</v>
      </c>
      <c r="AZ533" s="48">
        <f t="shared" si="3012"/>
        <v>8.3333333300000021</v>
      </c>
      <c r="BA533" s="48">
        <f>Y533</f>
        <v>6.5</v>
      </c>
      <c r="BB533" s="48">
        <f t="shared" si="3013"/>
        <v>6.5</v>
      </c>
      <c r="BC533" s="48">
        <f t="shared" si="3014"/>
        <v>6.5</v>
      </c>
      <c r="BD533" s="48">
        <f t="shared" si="3015"/>
        <v>6.5</v>
      </c>
      <c r="BE533" s="48">
        <f t="shared" si="3016"/>
        <v>6.5</v>
      </c>
      <c r="BF533" s="48">
        <f t="shared" si="3017"/>
        <v>6.5</v>
      </c>
      <c r="BG533" s="48">
        <f t="shared" si="3018"/>
        <v>6.5</v>
      </c>
      <c r="BH533" s="48">
        <f t="shared" si="3019"/>
        <v>6.5</v>
      </c>
      <c r="BI533" s="48">
        <f t="shared" si="3020"/>
        <v>6.5</v>
      </c>
      <c r="BJ533" s="48">
        <f t="shared" si="3021"/>
        <v>6.5</v>
      </c>
      <c r="BK533" s="48">
        <f t="shared" si="3021"/>
        <v>6.5</v>
      </c>
      <c r="BL533" s="48">
        <f t="shared" si="3021"/>
        <v>6.5</v>
      </c>
      <c r="BM533" s="408"/>
      <c r="BN533" s="48">
        <f t="shared" ref="BN533:BN547" si="3029">BP533</f>
        <v>5.0000100000000014</v>
      </c>
      <c r="BO533" s="48">
        <f t="shared" ref="BO533:BO547" si="3030">BP533</f>
        <v>5.0000100000000014</v>
      </c>
      <c r="BP533" s="48">
        <f t="shared" ref="BP533:BP539" si="3031">SUM(AL533:AN533)</f>
        <v>5.0000100000000014</v>
      </c>
      <c r="BQ533" s="48">
        <f t="shared" ref="BQ533:BQ547" si="3032">BS533</f>
        <v>24.999999993333333</v>
      </c>
      <c r="BR533" s="48">
        <f t="shared" ref="BR533:BR547" si="3033">BS533</f>
        <v>24.999999993333333</v>
      </c>
      <c r="BS533" s="48">
        <f t="shared" ref="BS533:BS539" si="3034">SUM(AO533:AQ533)</f>
        <v>24.999999993333333</v>
      </c>
      <c r="BT533" s="48">
        <f t="shared" ref="BT533:BT547" si="3035">BV533</f>
        <v>24.999999990000006</v>
      </c>
      <c r="BU533" s="48">
        <f t="shared" ref="BU533:BU547" si="3036">BV533</f>
        <v>24.999999990000006</v>
      </c>
      <c r="BV533" s="48">
        <f t="shared" ref="BV533:BV539" si="3037">SUM(AR533:AT533)</f>
        <v>24.999999990000006</v>
      </c>
      <c r="BW533" s="48">
        <f t="shared" ref="BW533:BW547" si="3038">BY533</f>
        <v>24.999999990000006</v>
      </c>
      <c r="BX533" s="48">
        <f t="shared" ref="BX533:BX547" si="3039">BY533</f>
        <v>24.999999990000006</v>
      </c>
      <c r="BY533" s="48">
        <f t="shared" ref="BY533:BY539" si="3040">SUM(AU533:AW533)</f>
        <v>24.999999990000006</v>
      </c>
      <c r="BZ533" s="48">
        <f t="shared" ref="BZ533:BZ547" si="3041">CB533</f>
        <v>24.999999990000006</v>
      </c>
      <c r="CA533" s="48">
        <f t="shared" ref="CA533:CA547" si="3042">CB533</f>
        <v>24.999999990000006</v>
      </c>
      <c r="CB533" s="48">
        <f>SUM(AX533:AZ533)</f>
        <v>24.999999990000006</v>
      </c>
      <c r="CC533" s="48">
        <f t="shared" ref="CC533:CC547" si="3043">CE533</f>
        <v>19.5</v>
      </c>
      <c r="CD533" s="48">
        <f t="shared" ref="CD533:CD547" si="3044">CE533</f>
        <v>19.5</v>
      </c>
      <c r="CE533" s="48">
        <f t="shared" ref="CE533:CE538" si="3045">SUM(BA533:BC533)</f>
        <v>19.5</v>
      </c>
      <c r="CF533" s="48">
        <f t="shared" ref="CF533:CF543" si="3046">CH533</f>
        <v>19.5</v>
      </c>
      <c r="CG533" s="48">
        <f t="shared" ref="CG533:CG543" si="3047">CH533</f>
        <v>19.5</v>
      </c>
      <c r="CH533" s="48">
        <f t="shared" ref="CH533:CH538" si="3048">SUM(BD533:BF533)</f>
        <v>19.5</v>
      </c>
      <c r="CI533" s="48">
        <f t="shared" ref="CI533:CI543" si="3049">CK533</f>
        <v>19.5</v>
      </c>
      <c r="CJ533" s="48">
        <f t="shared" ref="CJ533:CJ543" si="3050">CK533</f>
        <v>19.5</v>
      </c>
      <c r="CK533" s="48">
        <f t="shared" ref="CK533:CK538" si="3051">SUM(BG533:BI533)</f>
        <v>19.5</v>
      </c>
      <c r="CL533" s="48">
        <f t="shared" ref="CL533:CL543" si="3052">CN533</f>
        <v>19.5</v>
      </c>
      <c r="CM533" s="48">
        <f t="shared" ref="CM533:CM543" si="3053">CN533</f>
        <v>19.5</v>
      </c>
      <c r="CN533" s="48">
        <f t="shared" si="3022"/>
        <v>19.5</v>
      </c>
      <c r="CO533" s="406"/>
      <c r="CP533" s="48">
        <f t="shared" si="3023"/>
        <v>16.696670000000001</v>
      </c>
      <c r="CQ533" s="48">
        <f t="shared" si="3023"/>
        <v>18.363340000000001</v>
      </c>
      <c r="CR533" s="48">
        <f t="shared" si="3023"/>
        <v>20.030010000000001</v>
      </c>
      <c r="CS533" s="48">
        <f>AO533</f>
        <v>8.3333333333333339</v>
      </c>
      <c r="CT533" s="48">
        <f t="shared" si="3024"/>
        <v>16.666666663333334</v>
      </c>
      <c r="CU533" s="48">
        <f t="shared" si="3024"/>
        <v>24.999999993333333</v>
      </c>
      <c r="CV533" s="48">
        <f t="shared" si="3024"/>
        <v>33.333333323333335</v>
      </c>
      <c r="CW533" s="48">
        <f t="shared" si="3024"/>
        <v>41.666666653333337</v>
      </c>
      <c r="CX533" s="48">
        <f t="shared" si="3024"/>
        <v>49.999999983333339</v>
      </c>
      <c r="CY533" s="48">
        <f t="shared" si="3024"/>
        <v>58.333333313333341</v>
      </c>
      <c r="CZ533" s="48">
        <f t="shared" si="3024"/>
        <v>66.666666643333343</v>
      </c>
      <c r="DA533" s="48">
        <f t="shared" si="3024"/>
        <v>74.999999973333345</v>
      </c>
      <c r="DB533" s="48">
        <f t="shared" si="3024"/>
        <v>83.333333303333347</v>
      </c>
      <c r="DC533" s="48">
        <f t="shared" si="3024"/>
        <v>91.66666663333335</v>
      </c>
      <c r="DD533" s="48">
        <f t="shared" si="3024"/>
        <v>99.999999963333352</v>
      </c>
      <c r="DE533" s="48">
        <f>+BA533</f>
        <v>6.5</v>
      </c>
      <c r="DF533" s="48">
        <f t="shared" si="3025"/>
        <v>13</v>
      </c>
      <c r="DG533" s="48">
        <f t="shared" si="3025"/>
        <v>19.5</v>
      </c>
      <c r="DH533" s="48">
        <f t="shared" si="3025"/>
        <v>26</v>
      </c>
      <c r="DI533" s="48">
        <f t="shared" si="3025"/>
        <v>32.5</v>
      </c>
      <c r="DJ533" s="48">
        <f t="shared" si="3025"/>
        <v>39</v>
      </c>
      <c r="DK533" s="48">
        <f t="shared" si="3025"/>
        <v>45.5</v>
      </c>
      <c r="DL533" s="48">
        <f t="shared" si="3025"/>
        <v>52</v>
      </c>
      <c r="DM533" s="48">
        <f t="shared" si="3025"/>
        <v>58.5</v>
      </c>
      <c r="DN533" s="48">
        <f t="shared" si="3025"/>
        <v>65</v>
      </c>
      <c r="DO533" s="48">
        <f t="shared" si="3025"/>
        <v>71.5</v>
      </c>
      <c r="DP533" s="48">
        <f t="shared" si="3025"/>
        <v>78</v>
      </c>
      <c r="DQ533" s="48"/>
      <c r="DR533" s="48"/>
      <c r="DS533" s="48"/>
      <c r="DT533" s="48"/>
      <c r="DU533" s="48"/>
      <c r="DV533" s="48"/>
      <c r="DW533" s="48"/>
      <c r="DX533" s="48"/>
      <c r="DY533" s="48"/>
      <c r="DZ533" s="1">
        <f>'Input &amp; Calc'!L533</f>
        <v>20.030010000000001</v>
      </c>
      <c r="EA533" s="49">
        <f>DD533</f>
        <v>99.999999963333352</v>
      </c>
      <c r="EB533" s="50">
        <f>DP533</f>
        <v>78</v>
      </c>
      <c r="EC533" s="50"/>
      <c r="ED533" s="408"/>
      <c r="EE533" s="51">
        <f t="shared" si="3026"/>
        <v>6.5</v>
      </c>
      <c r="EF533" s="51">
        <f t="shared" si="3027"/>
        <v>19.5</v>
      </c>
      <c r="EG533" s="51">
        <f>HLOOKUP($EJ$3,Budget,ROW()-1)</f>
        <v>78</v>
      </c>
      <c r="EH533" s="40"/>
      <c r="EI533" s="111" t="s">
        <v>157</v>
      </c>
      <c r="EJ533" s="113">
        <f>HLOOKUP($I$1,YTD,47)</f>
        <v>70</v>
      </c>
      <c r="EK533" s="675"/>
      <c r="EL533" s="37"/>
      <c r="EM533" s="37"/>
      <c r="EN533" s="37"/>
      <c r="EO533" s="49"/>
      <c r="EP533" s="49"/>
      <c r="EQ533" s="49"/>
    </row>
    <row r="534" spans="1:149" s="1" customFormat="1">
      <c r="A534" s="134" t="s">
        <v>22</v>
      </c>
      <c r="B534" s="2" t="s">
        <v>2</v>
      </c>
      <c r="C534" s="3" t="s">
        <v>37</v>
      </c>
      <c r="D534" s="3"/>
      <c r="E534" s="3" t="s">
        <v>16</v>
      </c>
      <c r="G534" s="1" t="s">
        <v>91</v>
      </c>
      <c r="I534" s="201">
        <v>29.97</v>
      </c>
      <c r="J534" s="194">
        <v>33.299999999999997</v>
      </c>
      <c r="K534" s="194">
        <v>36.629999999999995</v>
      </c>
      <c r="L534" s="194">
        <v>39.959999999999994</v>
      </c>
      <c r="M534" s="193">
        <v>5.083333333333333</v>
      </c>
      <c r="N534" s="192">
        <v>10.166666663333334</v>
      </c>
      <c r="O534" s="192">
        <v>15.249999993333335</v>
      </c>
      <c r="P534" s="192">
        <v>20.333333323333335</v>
      </c>
      <c r="Q534" s="192">
        <v>25.416666653333337</v>
      </c>
      <c r="R534" s="192">
        <v>30.499999983333339</v>
      </c>
      <c r="S534" s="192">
        <v>35.583333313333341</v>
      </c>
      <c r="T534" s="192">
        <v>40.666666643333343</v>
      </c>
      <c r="U534" s="192">
        <v>45.749999973333345</v>
      </c>
      <c r="V534" s="192">
        <v>50.833333303333347</v>
      </c>
      <c r="W534" s="192">
        <v>55.91666663333335</v>
      </c>
      <c r="X534" s="192">
        <v>60.999999963333352</v>
      </c>
      <c r="Y534" s="219">
        <f>ROUND(Z534/2,0)</f>
        <v>5</v>
      </c>
      <c r="Z534" s="246">
        <f t="shared" ref="Z534:AH534" si="3054">AA534-(AB534-AA534)</f>
        <v>9</v>
      </c>
      <c r="AA534" s="246">
        <f t="shared" si="3054"/>
        <v>15</v>
      </c>
      <c r="AB534" s="246">
        <f t="shared" si="3054"/>
        <v>21</v>
      </c>
      <c r="AC534" s="246">
        <f t="shared" si="3054"/>
        <v>27</v>
      </c>
      <c r="AD534" s="246">
        <f t="shared" si="3054"/>
        <v>33</v>
      </c>
      <c r="AE534" s="246">
        <f t="shared" si="3054"/>
        <v>39</v>
      </c>
      <c r="AF534" s="246">
        <f t="shared" si="3054"/>
        <v>45</v>
      </c>
      <c r="AG534" s="246">
        <f t="shared" si="3054"/>
        <v>51</v>
      </c>
      <c r="AH534" s="246">
        <f t="shared" si="3054"/>
        <v>57</v>
      </c>
      <c r="AI534" s="246">
        <f>-ROUND(AJ534/12,0)+AJ534</f>
        <v>63</v>
      </c>
      <c r="AJ534" s="246">
        <v>69</v>
      </c>
      <c r="AK534" s="408"/>
      <c r="AL534" s="48">
        <f>J534-I534</f>
        <v>3.3299999999999983</v>
      </c>
      <c r="AM534" s="48">
        <f t="shared" si="3001"/>
        <v>3.3299999999999983</v>
      </c>
      <c r="AN534" s="48">
        <f t="shared" si="3002"/>
        <v>3.3299999999999983</v>
      </c>
      <c r="AO534" s="48">
        <f>M534</f>
        <v>5.083333333333333</v>
      </c>
      <c r="AP534" s="48">
        <f t="shared" si="3003"/>
        <v>5.0833333300000012</v>
      </c>
      <c r="AQ534" s="48">
        <f t="shared" si="3004"/>
        <v>5.0833333300000003</v>
      </c>
      <c r="AR534" s="48">
        <f t="shared" si="3005"/>
        <v>5.0833333300000003</v>
      </c>
      <c r="AS534" s="48">
        <f t="shared" si="3006"/>
        <v>5.0833333300000021</v>
      </c>
      <c r="AT534" s="48">
        <f t="shared" si="3007"/>
        <v>5.0833333300000021</v>
      </c>
      <c r="AU534" s="48">
        <f t="shared" si="3008"/>
        <v>5.0833333300000021</v>
      </c>
      <c r="AV534" s="48">
        <f t="shared" si="3009"/>
        <v>5.0833333300000021</v>
      </c>
      <c r="AW534" s="48">
        <f t="shared" si="3010"/>
        <v>5.0833333300000021</v>
      </c>
      <c r="AX534" s="48">
        <f>V534-U534</f>
        <v>5.0833333300000021</v>
      </c>
      <c r="AY534" s="48">
        <f t="shared" si="3011"/>
        <v>5.0833333300000021</v>
      </c>
      <c r="AZ534" s="48">
        <f t="shared" si="3012"/>
        <v>5.0833333300000021</v>
      </c>
      <c r="BA534" s="48">
        <f>Y534</f>
        <v>5</v>
      </c>
      <c r="BB534" s="48">
        <f t="shared" si="3013"/>
        <v>4</v>
      </c>
      <c r="BC534" s="48">
        <f t="shared" si="3014"/>
        <v>6</v>
      </c>
      <c r="BD534" s="48">
        <f t="shared" si="3015"/>
        <v>6</v>
      </c>
      <c r="BE534" s="48">
        <f t="shared" si="3016"/>
        <v>6</v>
      </c>
      <c r="BF534" s="48">
        <f t="shared" si="3017"/>
        <v>6</v>
      </c>
      <c r="BG534" s="48">
        <f t="shared" si="3018"/>
        <v>6</v>
      </c>
      <c r="BH534" s="48">
        <f t="shared" si="3019"/>
        <v>6</v>
      </c>
      <c r="BI534" s="48">
        <f t="shared" si="3020"/>
        <v>6</v>
      </c>
      <c r="BJ534" s="48">
        <f t="shared" si="3021"/>
        <v>6</v>
      </c>
      <c r="BK534" s="48">
        <f t="shared" si="3021"/>
        <v>6</v>
      </c>
      <c r="BL534" s="48">
        <f t="shared" si="3021"/>
        <v>6</v>
      </c>
      <c r="BM534" s="408"/>
      <c r="BN534" s="48">
        <f t="shared" si="3029"/>
        <v>9.9899999999999949</v>
      </c>
      <c r="BO534" s="48">
        <f t="shared" si="3030"/>
        <v>9.9899999999999949</v>
      </c>
      <c r="BP534" s="48">
        <f t="shared" si="3031"/>
        <v>9.9899999999999949</v>
      </c>
      <c r="BQ534" s="48">
        <f t="shared" si="3032"/>
        <v>15.249999993333335</v>
      </c>
      <c r="BR534" s="48">
        <f t="shared" si="3033"/>
        <v>15.249999993333335</v>
      </c>
      <c r="BS534" s="48">
        <f t="shared" si="3034"/>
        <v>15.249999993333335</v>
      </c>
      <c r="BT534" s="48">
        <f t="shared" si="3035"/>
        <v>15.249999990000005</v>
      </c>
      <c r="BU534" s="48">
        <f t="shared" si="3036"/>
        <v>15.249999990000005</v>
      </c>
      <c r="BV534" s="48">
        <f t="shared" si="3037"/>
        <v>15.249999990000005</v>
      </c>
      <c r="BW534" s="48">
        <f t="shared" si="3038"/>
        <v>15.249999990000006</v>
      </c>
      <c r="BX534" s="48">
        <f t="shared" si="3039"/>
        <v>15.249999990000006</v>
      </c>
      <c r="BY534" s="48">
        <f t="shared" si="3040"/>
        <v>15.249999990000006</v>
      </c>
      <c r="BZ534" s="48">
        <f t="shared" si="3041"/>
        <v>15.249999990000006</v>
      </c>
      <c r="CA534" s="48">
        <f t="shared" si="3042"/>
        <v>15.249999990000006</v>
      </c>
      <c r="CB534" s="48">
        <f>SUM(AX534:AZ534)</f>
        <v>15.249999990000006</v>
      </c>
      <c r="CC534" s="48">
        <f t="shared" si="3043"/>
        <v>15</v>
      </c>
      <c r="CD534" s="48">
        <f t="shared" si="3044"/>
        <v>15</v>
      </c>
      <c r="CE534" s="48">
        <f t="shared" si="3045"/>
        <v>15</v>
      </c>
      <c r="CF534" s="48">
        <f t="shared" si="3046"/>
        <v>18</v>
      </c>
      <c r="CG534" s="48">
        <f t="shared" si="3047"/>
        <v>18</v>
      </c>
      <c r="CH534" s="48">
        <f t="shared" si="3048"/>
        <v>18</v>
      </c>
      <c r="CI534" s="48">
        <f t="shared" si="3049"/>
        <v>18</v>
      </c>
      <c r="CJ534" s="48">
        <f t="shared" si="3050"/>
        <v>18</v>
      </c>
      <c r="CK534" s="48">
        <f t="shared" si="3051"/>
        <v>18</v>
      </c>
      <c r="CL534" s="48">
        <f t="shared" si="3052"/>
        <v>18</v>
      </c>
      <c r="CM534" s="48">
        <f t="shared" si="3053"/>
        <v>18</v>
      </c>
      <c r="CN534" s="48">
        <f t="shared" si="3022"/>
        <v>18</v>
      </c>
      <c r="CO534" s="406"/>
      <c r="CP534" s="48">
        <f t="shared" si="3023"/>
        <v>33.299999999999997</v>
      </c>
      <c r="CQ534" s="48">
        <f t="shared" si="3023"/>
        <v>36.629999999999995</v>
      </c>
      <c r="CR534" s="48">
        <f t="shared" si="3023"/>
        <v>39.959999999999994</v>
      </c>
      <c r="CS534" s="48">
        <f>AO534</f>
        <v>5.083333333333333</v>
      </c>
      <c r="CT534" s="48">
        <f t="shared" si="3024"/>
        <v>10.166666663333334</v>
      </c>
      <c r="CU534" s="48">
        <f t="shared" si="3024"/>
        <v>15.249999993333335</v>
      </c>
      <c r="CV534" s="48">
        <f t="shared" si="3024"/>
        <v>20.333333323333335</v>
      </c>
      <c r="CW534" s="48">
        <f t="shared" si="3024"/>
        <v>25.416666653333337</v>
      </c>
      <c r="CX534" s="48">
        <f t="shared" si="3024"/>
        <v>30.499999983333339</v>
      </c>
      <c r="CY534" s="48">
        <f t="shared" si="3024"/>
        <v>35.583333313333341</v>
      </c>
      <c r="CZ534" s="48">
        <f t="shared" si="3024"/>
        <v>40.666666643333343</v>
      </c>
      <c r="DA534" s="48">
        <f t="shared" si="3024"/>
        <v>45.749999973333345</v>
      </c>
      <c r="DB534" s="48">
        <f t="shared" si="3024"/>
        <v>50.833333303333347</v>
      </c>
      <c r="DC534" s="48">
        <f t="shared" si="3024"/>
        <v>55.91666663333335</v>
      </c>
      <c r="DD534" s="48">
        <f t="shared" si="3024"/>
        <v>60.999999963333352</v>
      </c>
      <c r="DE534" s="48">
        <f>+BA534</f>
        <v>5</v>
      </c>
      <c r="DF534" s="48">
        <f t="shared" si="3025"/>
        <v>9</v>
      </c>
      <c r="DG534" s="48">
        <f t="shared" si="3025"/>
        <v>15</v>
      </c>
      <c r="DH534" s="48">
        <f t="shared" si="3025"/>
        <v>21</v>
      </c>
      <c r="DI534" s="48">
        <f t="shared" si="3025"/>
        <v>27</v>
      </c>
      <c r="DJ534" s="48">
        <f t="shared" si="3025"/>
        <v>33</v>
      </c>
      <c r="DK534" s="48">
        <f t="shared" si="3025"/>
        <v>39</v>
      </c>
      <c r="DL534" s="48">
        <f t="shared" si="3025"/>
        <v>45</v>
      </c>
      <c r="DM534" s="48">
        <f t="shared" si="3025"/>
        <v>51</v>
      </c>
      <c r="DN534" s="48">
        <f t="shared" si="3025"/>
        <v>57</v>
      </c>
      <c r="DO534" s="48">
        <f t="shared" si="3025"/>
        <v>63</v>
      </c>
      <c r="DP534" s="48">
        <f t="shared" si="3025"/>
        <v>69</v>
      </c>
      <c r="DQ534" s="48"/>
      <c r="DR534" s="48"/>
      <c r="DS534" s="48"/>
      <c r="DT534" s="48"/>
      <c r="DU534" s="48"/>
      <c r="DV534" s="48"/>
      <c r="DW534" s="48"/>
      <c r="DX534" s="48"/>
      <c r="DY534" s="48"/>
      <c r="DZ534" s="1">
        <f>'Input &amp; Calc'!L534</f>
        <v>39.959999999999994</v>
      </c>
      <c r="EA534" s="49">
        <f>DD534</f>
        <v>60.999999963333352</v>
      </c>
      <c r="EB534" s="50">
        <f>DP534</f>
        <v>69</v>
      </c>
      <c r="EC534" s="50"/>
      <c r="ED534" s="408"/>
      <c r="EE534" s="51">
        <f t="shared" si="3026"/>
        <v>6</v>
      </c>
      <c r="EF534" s="51">
        <f t="shared" si="3027"/>
        <v>18</v>
      </c>
      <c r="EG534" s="51">
        <f>HLOOKUP($EJ$3,Budget,ROW()-1)</f>
        <v>69</v>
      </c>
      <c r="EH534" s="40"/>
      <c r="EI534" s="112" t="s">
        <v>156</v>
      </c>
      <c r="EJ534" s="113">
        <f>HLOOKUP($I$1,YTD,48)</f>
        <v>0</v>
      </c>
      <c r="EK534" s="675"/>
      <c r="EL534" s="37"/>
      <c r="EM534" s="37"/>
      <c r="EN534" s="37"/>
      <c r="EO534" s="49"/>
      <c r="EP534" s="49"/>
      <c r="EQ534" s="49"/>
    </row>
    <row r="535" spans="1:149" s="1" customFormat="1">
      <c r="A535" s="134" t="s">
        <v>22</v>
      </c>
      <c r="B535" s="2" t="s">
        <v>3</v>
      </c>
      <c r="C535" s="3" t="s">
        <v>38</v>
      </c>
      <c r="D535" s="3"/>
      <c r="E535" s="3" t="s">
        <v>16</v>
      </c>
      <c r="G535" s="1" t="s">
        <v>91</v>
      </c>
      <c r="I535" s="201">
        <v>26.28</v>
      </c>
      <c r="J535" s="199">
        <v>29.200000000000003</v>
      </c>
      <c r="K535" s="199">
        <v>32.120000000000005</v>
      </c>
      <c r="L535" s="199">
        <v>35.040000000000006</v>
      </c>
      <c r="M535" s="193">
        <v>1.6666666666666667</v>
      </c>
      <c r="N535" s="192">
        <v>3.3333333366666666</v>
      </c>
      <c r="O535" s="192">
        <v>5.0000000066666663</v>
      </c>
      <c r="P535" s="192">
        <v>6.666666676666666</v>
      </c>
      <c r="Q535" s="192">
        <v>8.3333333466666666</v>
      </c>
      <c r="R535" s="192">
        <v>10.000000016666666</v>
      </c>
      <c r="S535" s="192">
        <v>11.666666686666666</v>
      </c>
      <c r="T535" s="192">
        <v>13.333333356666666</v>
      </c>
      <c r="U535" s="192">
        <v>15.000000026666665</v>
      </c>
      <c r="V535" s="192">
        <v>16.666666696666667</v>
      </c>
      <c r="W535" s="192">
        <v>18.333333366666668</v>
      </c>
      <c r="X535" s="192">
        <v>20.00000003666667</v>
      </c>
      <c r="Y535" s="219">
        <v>2.9159999999999999</v>
      </c>
      <c r="Z535" s="246">
        <f>Y535+2.916</f>
        <v>5.8319999999999999</v>
      </c>
      <c r="AA535" s="376">
        <f t="shared" ref="AA535:AJ535" si="3055">Z535+2.916</f>
        <v>8.7479999999999993</v>
      </c>
      <c r="AB535" s="376">
        <f t="shared" si="3055"/>
        <v>11.664</v>
      </c>
      <c r="AC535" s="376">
        <f t="shared" si="3055"/>
        <v>14.58</v>
      </c>
      <c r="AD535" s="376">
        <f t="shared" si="3055"/>
        <v>17.495999999999999</v>
      </c>
      <c r="AE535" s="376">
        <f t="shared" si="3055"/>
        <v>20.411999999999999</v>
      </c>
      <c r="AF535" s="376">
        <f t="shared" si="3055"/>
        <v>23.327999999999999</v>
      </c>
      <c r="AG535" s="376">
        <f t="shared" si="3055"/>
        <v>26.244</v>
      </c>
      <c r="AH535" s="376">
        <f t="shared" si="3055"/>
        <v>29.16</v>
      </c>
      <c r="AI535" s="376">
        <f t="shared" si="3055"/>
        <v>32.076000000000001</v>
      </c>
      <c r="AJ535" s="189">
        <f t="shared" si="3055"/>
        <v>34.991999999999997</v>
      </c>
      <c r="AK535" s="408"/>
      <c r="AL535" s="48">
        <f>J535-I535</f>
        <v>2.9200000000000017</v>
      </c>
      <c r="AM535" s="48">
        <f t="shared" si="3001"/>
        <v>2.9200000000000017</v>
      </c>
      <c r="AN535" s="48">
        <f t="shared" si="3002"/>
        <v>2.9200000000000017</v>
      </c>
      <c r="AO535" s="48">
        <f>M535</f>
        <v>1.6666666666666667</v>
      </c>
      <c r="AP535" s="48">
        <f t="shared" si="3003"/>
        <v>1.6666666699999999</v>
      </c>
      <c r="AQ535" s="48">
        <f t="shared" si="3004"/>
        <v>1.6666666699999997</v>
      </c>
      <c r="AR535" s="48">
        <f t="shared" si="3005"/>
        <v>1.6666666699999997</v>
      </c>
      <c r="AS535" s="48">
        <f t="shared" si="3006"/>
        <v>1.6666666700000006</v>
      </c>
      <c r="AT535" s="48">
        <f t="shared" si="3007"/>
        <v>1.6666666699999997</v>
      </c>
      <c r="AU535" s="48">
        <f t="shared" si="3008"/>
        <v>1.6666666699999997</v>
      </c>
      <c r="AV535" s="48">
        <f t="shared" si="3009"/>
        <v>1.6666666699999997</v>
      </c>
      <c r="AW535" s="48">
        <f t="shared" si="3010"/>
        <v>1.6666666699999997</v>
      </c>
      <c r="AX535" s="48">
        <f>V535-U535</f>
        <v>1.6666666700000015</v>
      </c>
      <c r="AY535" s="48">
        <f t="shared" si="3011"/>
        <v>1.6666666700000015</v>
      </c>
      <c r="AZ535" s="48">
        <f t="shared" si="3012"/>
        <v>1.6666666700000015</v>
      </c>
      <c r="BA535" s="48">
        <f>Y535</f>
        <v>2.9159999999999999</v>
      </c>
      <c r="BB535" s="48">
        <f t="shared" si="3013"/>
        <v>2.9159999999999999</v>
      </c>
      <c r="BC535" s="48">
        <f t="shared" si="3014"/>
        <v>2.9159999999999995</v>
      </c>
      <c r="BD535" s="48">
        <f t="shared" si="3015"/>
        <v>2.9160000000000004</v>
      </c>
      <c r="BE535" s="48">
        <f t="shared" si="3016"/>
        <v>2.9160000000000004</v>
      </c>
      <c r="BF535" s="48">
        <f t="shared" si="3017"/>
        <v>2.9159999999999986</v>
      </c>
      <c r="BG535" s="48">
        <f t="shared" si="3018"/>
        <v>2.9160000000000004</v>
      </c>
      <c r="BH535" s="48">
        <f t="shared" si="3019"/>
        <v>2.9160000000000004</v>
      </c>
      <c r="BI535" s="48">
        <f t="shared" si="3020"/>
        <v>2.9160000000000004</v>
      </c>
      <c r="BJ535" s="48">
        <f t="shared" si="3021"/>
        <v>2.9160000000000004</v>
      </c>
      <c r="BK535" s="48">
        <f t="shared" si="3021"/>
        <v>2.9160000000000004</v>
      </c>
      <c r="BL535" s="48">
        <f t="shared" si="3021"/>
        <v>2.9159999999999968</v>
      </c>
      <c r="BM535" s="408"/>
      <c r="BN535" s="48">
        <f t="shared" si="3029"/>
        <v>8.7600000000000051</v>
      </c>
      <c r="BO535" s="48">
        <f t="shared" si="3030"/>
        <v>8.7600000000000051</v>
      </c>
      <c r="BP535" s="48">
        <f t="shared" si="3031"/>
        <v>8.7600000000000051</v>
      </c>
      <c r="BQ535" s="48">
        <f t="shared" si="3032"/>
        <v>5.0000000066666663</v>
      </c>
      <c r="BR535" s="48">
        <f t="shared" si="3033"/>
        <v>5.0000000066666663</v>
      </c>
      <c r="BS535" s="48">
        <f t="shared" si="3034"/>
        <v>5.0000000066666663</v>
      </c>
      <c r="BT535" s="48">
        <f t="shared" si="3035"/>
        <v>5.0000000099999999</v>
      </c>
      <c r="BU535" s="48">
        <f t="shared" si="3036"/>
        <v>5.0000000099999999</v>
      </c>
      <c r="BV535" s="48">
        <f t="shared" si="3037"/>
        <v>5.0000000099999999</v>
      </c>
      <c r="BW535" s="48">
        <f t="shared" si="3038"/>
        <v>5.0000000099999991</v>
      </c>
      <c r="BX535" s="48">
        <f t="shared" si="3039"/>
        <v>5.0000000099999991</v>
      </c>
      <c r="BY535" s="48">
        <f t="shared" si="3040"/>
        <v>5.0000000099999991</v>
      </c>
      <c r="BZ535" s="48">
        <f t="shared" si="3041"/>
        <v>5.0000000100000044</v>
      </c>
      <c r="CA535" s="48">
        <f t="shared" si="3042"/>
        <v>5.0000000100000044</v>
      </c>
      <c r="CB535" s="48">
        <f>SUM(AX535:AZ535)</f>
        <v>5.0000000100000044</v>
      </c>
      <c r="CC535" s="48">
        <f t="shared" si="3043"/>
        <v>8.7479999999999993</v>
      </c>
      <c r="CD535" s="48">
        <f t="shared" si="3044"/>
        <v>8.7479999999999993</v>
      </c>
      <c r="CE535" s="48">
        <f t="shared" si="3045"/>
        <v>8.7479999999999993</v>
      </c>
      <c r="CF535" s="48">
        <f t="shared" si="3046"/>
        <v>8.7479999999999993</v>
      </c>
      <c r="CG535" s="48">
        <f t="shared" si="3047"/>
        <v>8.7479999999999993</v>
      </c>
      <c r="CH535" s="48">
        <f t="shared" si="3048"/>
        <v>8.7479999999999993</v>
      </c>
      <c r="CI535" s="48">
        <f t="shared" si="3049"/>
        <v>8.7480000000000011</v>
      </c>
      <c r="CJ535" s="48">
        <f t="shared" si="3050"/>
        <v>8.7480000000000011</v>
      </c>
      <c r="CK535" s="48">
        <f t="shared" si="3051"/>
        <v>8.7480000000000011</v>
      </c>
      <c r="CL535" s="48">
        <f t="shared" si="3052"/>
        <v>8.7479999999999976</v>
      </c>
      <c r="CM535" s="48">
        <f t="shared" si="3053"/>
        <v>8.7479999999999976</v>
      </c>
      <c r="CN535" s="48">
        <f t="shared" si="3022"/>
        <v>8.7479999999999976</v>
      </c>
      <c r="CO535" s="406"/>
      <c r="CP535" s="48">
        <f t="shared" si="3023"/>
        <v>29.200000000000003</v>
      </c>
      <c r="CQ535" s="48">
        <f t="shared" si="3023"/>
        <v>32.120000000000005</v>
      </c>
      <c r="CR535" s="48">
        <f t="shared" si="3023"/>
        <v>35.040000000000006</v>
      </c>
      <c r="CS535" s="48">
        <f>AO535</f>
        <v>1.6666666666666667</v>
      </c>
      <c r="CT535" s="48">
        <f t="shared" si="3024"/>
        <v>3.3333333366666666</v>
      </c>
      <c r="CU535" s="48">
        <f t="shared" si="3024"/>
        <v>5.0000000066666663</v>
      </c>
      <c r="CV535" s="48">
        <f t="shared" si="3024"/>
        <v>6.666666676666666</v>
      </c>
      <c r="CW535" s="48">
        <f t="shared" si="3024"/>
        <v>8.3333333466666666</v>
      </c>
      <c r="CX535" s="48">
        <f t="shared" si="3024"/>
        <v>10.000000016666666</v>
      </c>
      <c r="CY535" s="48">
        <f t="shared" si="3024"/>
        <v>11.666666686666666</v>
      </c>
      <c r="CZ535" s="48">
        <f t="shared" si="3024"/>
        <v>13.333333356666666</v>
      </c>
      <c r="DA535" s="48">
        <f t="shared" si="3024"/>
        <v>15.000000026666665</v>
      </c>
      <c r="DB535" s="48">
        <f t="shared" si="3024"/>
        <v>16.666666696666667</v>
      </c>
      <c r="DC535" s="48">
        <f t="shared" si="3024"/>
        <v>18.333333366666668</v>
      </c>
      <c r="DD535" s="48">
        <f t="shared" si="3024"/>
        <v>20.00000003666667</v>
      </c>
      <c r="DE535" s="48">
        <f>+BA535</f>
        <v>2.9159999999999999</v>
      </c>
      <c r="DF535" s="48">
        <f t="shared" si="3025"/>
        <v>5.8319999999999999</v>
      </c>
      <c r="DG535" s="48">
        <f t="shared" si="3025"/>
        <v>8.7479999999999993</v>
      </c>
      <c r="DH535" s="48">
        <f t="shared" si="3025"/>
        <v>11.664</v>
      </c>
      <c r="DI535" s="48">
        <f t="shared" si="3025"/>
        <v>14.58</v>
      </c>
      <c r="DJ535" s="48">
        <f t="shared" si="3025"/>
        <v>17.495999999999999</v>
      </c>
      <c r="DK535" s="48">
        <f t="shared" si="3025"/>
        <v>20.411999999999999</v>
      </c>
      <c r="DL535" s="48">
        <f t="shared" si="3025"/>
        <v>23.327999999999999</v>
      </c>
      <c r="DM535" s="48">
        <f t="shared" si="3025"/>
        <v>26.244</v>
      </c>
      <c r="DN535" s="48">
        <f t="shared" si="3025"/>
        <v>29.16</v>
      </c>
      <c r="DO535" s="48">
        <f t="shared" si="3025"/>
        <v>32.076000000000001</v>
      </c>
      <c r="DP535" s="48">
        <f t="shared" si="3025"/>
        <v>34.991999999999997</v>
      </c>
      <c r="DQ535" s="48"/>
      <c r="DR535" s="48"/>
      <c r="DS535" s="48"/>
      <c r="DT535" s="48"/>
      <c r="DU535" s="48"/>
      <c r="DV535" s="48"/>
      <c r="DW535" s="48"/>
      <c r="DX535" s="48"/>
      <c r="DY535" s="48"/>
      <c r="DZ535" s="1">
        <f>'Input &amp; Calc'!L535</f>
        <v>35.040000000000006</v>
      </c>
      <c r="EA535" s="49">
        <f>DD535</f>
        <v>20.00000003666667</v>
      </c>
      <c r="EB535" s="50">
        <f>DP535</f>
        <v>34.991999999999997</v>
      </c>
      <c r="EC535" s="50"/>
      <c r="ED535" s="408"/>
      <c r="EE535" s="51">
        <f t="shared" si="3026"/>
        <v>2.9160000000000004</v>
      </c>
      <c r="EF535" s="51">
        <f t="shared" si="3027"/>
        <v>8.7479999999999976</v>
      </c>
      <c r="EG535" s="51">
        <f>HLOOKUP($EJ$3,Budget,ROW()-1)</f>
        <v>34.991999999999997</v>
      </c>
      <c r="EH535" s="40"/>
      <c r="EI535" s="114" t="s">
        <v>158</v>
      </c>
      <c r="EJ535" s="133">
        <f>I529</f>
        <v>40391</v>
      </c>
      <c r="EK535" s="675"/>
      <c r="EL535" s="37"/>
      <c r="EM535" s="37"/>
      <c r="EN535" s="37"/>
      <c r="EO535" s="49"/>
      <c r="EP535" s="49"/>
      <c r="EQ535" s="49"/>
    </row>
    <row r="536" spans="1:149" s="1" customFormat="1" ht="13.5" thickBot="1">
      <c r="A536" s="134" t="s">
        <v>22</v>
      </c>
      <c r="B536" s="2" t="s">
        <v>94</v>
      </c>
      <c r="C536" s="3" t="s">
        <v>39</v>
      </c>
      <c r="D536" s="3"/>
      <c r="E536" s="3" t="s">
        <v>16</v>
      </c>
      <c r="G536" s="1" t="s">
        <v>91</v>
      </c>
      <c r="I536" s="198">
        <v>1.21875003</v>
      </c>
      <c r="J536" s="198">
        <v>1.3541666999999999</v>
      </c>
      <c r="K536" s="198">
        <v>1.4895833699999999</v>
      </c>
      <c r="L536" s="198">
        <v>1.6250000399999998</v>
      </c>
      <c r="M536" s="200">
        <v>0.66666666666666663</v>
      </c>
      <c r="N536" s="198">
        <v>1.3333333666666665</v>
      </c>
      <c r="O536" s="198">
        <v>2.0000000666666664</v>
      </c>
      <c r="P536" s="198">
        <v>2.6666667666666664</v>
      </c>
      <c r="Q536" s="198">
        <v>3.3333334666666663</v>
      </c>
      <c r="R536" s="198">
        <v>4.0000001666666662</v>
      </c>
      <c r="S536" s="198">
        <v>4.6666668666666666</v>
      </c>
      <c r="T536" s="198">
        <v>5.333333566666667</v>
      </c>
      <c r="U536" s="198">
        <v>6.0000002666666674</v>
      </c>
      <c r="V536" s="198">
        <v>6.6666669666666678</v>
      </c>
      <c r="W536" s="198">
        <v>7.3333336666666682</v>
      </c>
      <c r="X536" s="198">
        <v>8.0000003666666686</v>
      </c>
      <c r="Y536" s="221">
        <f>6.65/12</f>
        <v>0.5541666666666667</v>
      </c>
      <c r="Z536" s="246">
        <f>Y536+0.554167</f>
        <v>1.1083336666666668</v>
      </c>
      <c r="AA536" s="376">
        <f t="shared" ref="AA536:AJ536" si="3056">Z536+0.554167</f>
        <v>1.6625006666666668</v>
      </c>
      <c r="AB536" s="376">
        <f t="shared" si="3056"/>
        <v>2.2166676666666669</v>
      </c>
      <c r="AC536" s="376">
        <f t="shared" si="3056"/>
        <v>2.770834666666667</v>
      </c>
      <c r="AD536" s="376">
        <f t="shared" si="3056"/>
        <v>3.3250016666666671</v>
      </c>
      <c r="AE536" s="376">
        <f t="shared" si="3056"/>
        <v>3.8791686666666672</v>
      </c>
      <c r="AF536" s="376">
        <f t="shared" si="3056"/>
        <v>4.4333356666666672</v>
      </c>
      <c r="AG536" s="376">
        <f t="shared" si="3056"/>
        <v>4.9875026666666669</v>
      </c>
      <c r="AH536" s="376">
        <f t="shared" si="3056"/>
        <v>5.5416696666666665</v>
      </c>
      <c r="AI536" s="376">
        <f t="shared" si="3056"/>
        <v>6.0958366666666661</v>
      </c>
      <c r="AJ536" s="254">
        <f t="shared" si="3056"/>
        <v>6.6500036666666658</v>
      </c>
      <c r="AK536" s="416"/>
      <c r="AL536" s="118">
        <f>J536-I536</f>
        <v>0.13541666999999991</v>
      </c>
      <c r="AM536" s="118">
        <f t="shared" si="3001"/>
        <v>0.13541666999999991</v>
      </c>
      <c r="AN536" s="118">
        <f t="shared" si="3002"/>
        <v>0.13541666999999991</v>
      </c>
      <c r="AO536" s="119">
        <f>M536</f>
        <v>0.66666666666666663</v>
      </c>
      <c r="AP536" s="118">
        <f t="shared" si="3003"/>
        <v>0.66666669999999983</v>
      </c>
      <c r="AQ536" s="118">
        <f t="shared" si="3004"/>
        <v>0.66666669999999995</v>
      </c>
      <c r="AR536" s="118">
        <f t="shared" si="3005"/>
        <v>0.66666669999999995</v>
      </c>
      <c r="AS536" s="118">
        <f t="shared" si="3006"/>
        <v>0.66666669999999995</v>
      </c>
      <c r="AT536" s="118">
        <f t="shared" si="3007"/>
        <v>0.66666669999999995</v>
      </c>
      <c r="AU536" s="118">
        <f t="shared" si="3008"/>
        <v>0.66666670000000039</v>
      </c>
      <c r="AV536" s="118">
        <f t="shared" si="3009"/>
        <v>0.66666670000000039</v>
      </c>
      <c r="AW536" s="118">
        <f t="shared" si="3010"/>
        <v>0.66666670000000039</v>
      </c>
      <c r="AX536" s="118">
        <f>6.538/12</f>
        <v>0.54483333333333339</v>
      </c>
      <c r="AY536" s="118">
        <f t="shared" ref="AY536:BI536" si="3057">6.538/12</f>
        <v>0.54483333333333339</v>
      </c>
      <c r="AZ536" s="118">
        <f t="shared" si="3057"/>
        <v>0.54483333333333339</v>
      </c>
      <c r="BA536" s="118">
        <f t="shared" si="3057"/>
        <v>0.54483333333333339</v>
      </c>
      <c r="BB536" s="118">
        <f t="shared" si="3057"/>
        <v>0.54483333333333339</v>
      </c>
      <c r="BC536" s="118">
        <f t="shared" si="3057"/>
        <v>0.54483333333333339</v>
      </c>
      <c r="BD536" s="118">
        <f t="shared" si="3057"/>
        <v>0.54483333333333339</v>
      </c>
      <c r="BE536" s="118">
        <f t="shared" si="3057"/>
        <v>0.54483333333333339</v>
      </c>
      <c r="BF536" s="118">
        <f t="shared" si="3057"/>
        <v>0.54483333333333339</v>
      </c>
      <c r="BG536" s="118">
        <f t="shared" si="3057"/>
        <v>0.54483333333333339</v>
      </c>
      <c r="BH536" s="118">
        <f t="shared" si="3057"/>
        <v>0.54483333333333339</v>
      </c>
      <c r="BI536" s="118">
        <f t="shared" si="3057"/>
        <v>0.54483333333333339</v>
      </c>
      <c r="BJ536" s="118">
        <f>BI536+0.554</f>
        <v>1.0988333333333333</v>
      </c>
      <c r="BK536" s="118">
        <f>BJ536+0.554</f>
        <v>1.6528333333333334</v>
      </c>
      <c r="BL536" s="400">
        <f>BK536+0.554</f>
        <v>2.2068333333333334</v>
      </c>
      <c r="BM536" s="409"/>
      <c r="BN536" s="119">
        <f t="shared" si="3029"/>
        <v>0.40625000999999972</v>
      </c>
      <c r="BO536" s="119">
        <f t="shared" si="3030"/>
        <v>0.40625000999999972</v>
      </c>
      <c r="BP536" s="119">
        <f t="shared" si="3031"/>
        <v>0.40625000999999972</v>
      </c>
      <c r="BQ536" s="119">
        <f t="shared" si="3032"/>
        <v>2.0000000666666664</v>
      </c>
      <c r="BR536" s="119">
        <f t="shared" si="3033"/>
        <v>2.0000000666666664</v>
      </c>
      <c r="BS536" s="119">
        <f t="shared" si="3034"/>
        <v>2.0000000666666664</v>
      </c>
      <c r="BT536" s="119">
        <f t="shared" si="3035"/>
        <v>2.0000000999999998</v>
      </c>
      <c r="BU536" s="119">
        <f t="shared" si="3036"/>
        <v>2.0000000999999998</v>
      </c>
      <c r="BV536" s="119">
        <f t="shared" si="3037"/>
        <v>2.0000000999999998</v>
      </c>
      <c r="BW536" s="119">
        <f t="shared" si="3038"/>
        <v>2.0000001000000012</v>
      </c>
      <c r="BX536" s="119">
        <f t="shared" si="3039"/>
        <v>2.0000001000000012</v>
      </c>
      <c r="BY536" s="119">
        <f t="shared" si="3040"/>
        <v>2.0000001000000012</v>
      </c>
      <c r="BZ536" s="119">
        <f t="shared" si="3041"/>
        <v>1.6345000000000001</v>
      </c>
      <c r="CA536" s="119">
        <f t="shared" si="3042"/>
        <v>1.6345000000000001</v>
      </c>
      <c r="CB536" s="119">
        <f>SUM(AX536:AZ536)</f>
        <v>1.6345000000000001</v>
      </c>
      <c r="CC536" s="118">
        <f>CE536</f>
        <v>1.6345000000000001</v>
      </c>
      <c r="CD536" s="118">
        <f>CE536</f>
        <v>1.6345000000000001</v>
      </c>
      <c r="CE536" s="119">
        <f t="shared" si="3045"/>
        <v>1.6345000000000001</v>
      </c>
      <c r="CF536" s="119">
        <f t="shared" si="3046"/>
        <v>1.6345000000000001</v>
      </c>
      <c r="CG536" s="119">
        <f t="shared" si="3047"/>
        <v>1.6345000000000001</v>
      </c>
      <c r="CH536" s="119">
        <f t="shared" si="3048"/>
        <v>1.6345000000000001</v>
      </c>
      <c r="CI536" s="119">
        <f t="shared" si="3049"/>
        <v>1.6345000000000001</v>
      </c>
      <c r="CJ536" s="119">
        <f t="shared" si="3050"/>
        <v>1.6345000000000001</v>
      </c>
      <c r="CK536" s="119">
        <f t="shared" si="3051"/>
        <v>1.6345000000000001</v>
      </c>
      <c r="CL536" s="119">
        <f t="shared" si="3052"/>
        <v>4.9585000000000008</v>
      </c>
      <c r="CM536" s="119">
        <f t="shared" si="3053"/>
        <v>4.9585000000000008</v>
      </c>
      <c r="CN536" s="48">
        <f t="shared" si="3022"/>
        <v>4.9585000000000008</v>
      </c>
      <c r="CO536" s="421"/>
      <c r="CP536" s="118">
        <f t="shared" si="3023"/>
        <v>1.3541666999999999</v>
      </c>
      <c r="CQ536" s="118">
        <f t="shared" si="3023"/>
        <v>1.4895833699999999</v>
      </c>
      <c r="CR536" s="118">
        <f t="shared" si="3023"/>
        <v>1.6250000399999998</v>
      </c>
      <c r="CS536" s="118">
        <f>AO536</f>
        <v>0.66666666666666663</v>
      </c>
      <c r="CT536" s="118">
        <f t="shared" si="3024"/>
        <v>1.3333333666666665</v>
      </c>
      <c r="CU536" s="118">
        <f t="shared" si="3024"/>
        <v>2.0000000666666664</v>
      </c>
      <c r="CV536" s="118">
        <f t="shared" si="3024"/>
        <v>2.6666667666666664</v>
      </c>
      <c r="CW536" s="118">
        <f t="shared" si="3024"/>
        <v>3.3333334666666663</v>
      </c>
      <c r="CX536" s="118">
        <f t="shared" si="3024"/>
        <v>4.0000001666666662</v>
      </c>
      <c r="CY536" s="118">
        <f t="shared" si="3024"/>
        <v>4.6666668666666666</v>
      </c>
      <c r="CZ536" s="118">
        <f t="shared" si="3024"/>
        <v>5.333333566666667</v>
      </c>
      <c r="DA536" s="118">
        <f t="shared" si="3024"/>
        <v>6.0000002666666674</v>
      </c>
      <c r="DB536" s="118">
        <f>V536</f>
        <v>6.6666669666666678</v>
      </c>
      <c r="DC536" s="118">
        <f t="shared" ref="DC536:DP536" si="3058">W536</f>
        <v>7.3333336666666682</v>
      </c>
      <c r="DD536" s="118">
        <f t="shared" si="3058"/>
        <v>8.0000003666666686</v>
      </c>
      <c r="DE536" s="118">
        <f t="shared" si="3058"/>
        <v>0.5541666666666667</v>
      </c>
      <c r="DF536" s="118">
        <f t="shared" si="3058"/>
        <v>1.1083336666666668</v>
      </c>
      <c r="DG536" s="118">
        <f t="shared" si="3058"/>
        <v>1.6625006666666668</v>
      </c>
      <c r="DH536" s="118">
        <f t="shared" si="3058"/>
        <v>2.2166676666666669</v>
      </c>
      <c r="DI536" s="118">
        <f t="shared" si="3058"/>
        <v>2.770834666666667</v>
      </c>
      <c r="DJ536" s="118">
        <f t="shared" si="3058"/>
        <v>3.3250016666666671</v>
      </c>
      <c r="DK536" s="118">
        <f t="shared" si="3058"/>
        <v>3.8791686666666672</v>
      </c>
      <c r="DL536" s="118">
        <f t="shared" si="3058"/>
        <v>4.4333356666666672</v>
      </c>
      <c r="DM536" s="118">
        <f t="shared" si="3058"/>
        <v>4.9875026666666669</v>
      </c>
      <c r="DN536" s="118">
        <f t="shared" si="3058"/>
        <v>5.5416696666666665</v>
      </c>
      <c r="DO536" s="118">
        <f t="shared" si="3058"/>
        <v>6.0958366666666661</v>
      </c>
      <c r="DP536" s="118">
        <f t="shared" si="3058"/>
        <v>6.6500036666666658</v>
      </c>
      <c r="DQ536" s="118"/>
      <c r="DR536" s="118"/>
      <c r="DS536" s="118"/>
      <c r="DT536" s="118"/>
      <c r="DU536" s="118"/>
      <c r="DV536" s="118"/>
      <c r="DW536" s="118"/>
      <c r="DX536" s="118"/>
      <c r="DY536" s="118"/>
      <c r="DZ536" s="121">
        <f>'Input &amp; Calc'!L536</f>
        <v>1.6250000399999998</v>
      </c>
      <c r="EA536" s="122">
        <f>DD536</f>
        <v>8.0000003666666686</v>
      </c>
      <c r="EB536" s="120">
        <f>DP536</f>
        <v>6.6500036666666658</v>
      </c>
      <c r="EC536" s="120"/>
      <c r="ED536" s="409"/>
      <c r="EE536" s="118">
        <f t="shared" si="3026"/>
        <v>1.6528333333333334</v>
      </c>
      <c r="EF536" s="118">
        <f t="shared" si="3027"/>
        <v>4.9585000000000008</v>
      </c>
      <c r="EG536" s="118">
        <f>HLOOKUP($EJ$3,Budget,ROW()-1)</f>
        <v>6.6500036666666658</v>
      </c>
      <c r="EH536" s="40"/>
      <c r="EK536" s="675"/>
      <c r="EL536" s="37"/>
      <c r="EM536" s="37"/>
      <c r="EN536" s="37"/>
      <c r="EO536" s="49"/>
      <c r="EP536" s="49"/>
      <c r="EQ536" s="49"/>
    </row>
    <row r="537" spans="1:149">
      <c r="A537" s="6" t="s">
        <v>23</v>
      </c>
      <c r="B537" s="2" t="s">
        <v>5</v>
      </c>
      <c r="C537" s="3" t="s">
        <v>42</v>
      </c>
      <c r="E537" s="3" t="s">
        <v>16</v>
      </c>
      <c r="G537" s="3" t="s">
        <v>91</v>
      </c>
      <c r="I537" s="195">
        <f>446/12</f>
        <v>37.166666666666664</v>
      </c>
      <c r="J537" s="192">
        <v>25</v>
      </c>
      <c r="K537" s="192">
        <v>50</v>
      </c>
      <c r="L537" s="192">
        <v>75</v>
      </c>
      <c r="M537" s="192">
        <v>100</v>
      </c>
      <c r="N537" s="192">
        <v>125</v>
      </c>
      <c r="O537" s="192">
        <v>150</v>
      </c>
      <c r="P537" s="192">
        <v>175</v>
      </c>
      <c r="Q537" s="192">
        <v>200</v>
      </c>
      <c r="R537" s="192">
        <v>225</v>
      </c>
      <c r="S537" s="192">
        <v>250</v>
      </c>
      <c r="T537" s="192">
        <v>275</v>
      </c>
      <c r="U537" s="192">
        <v>300</v>
      </c>
      <c r="V537" s="219">
        <f>ROUND(W537/2,0)</f>
        <v>25</v>
      </c>
      <c r="W537" s="246">
        <f t="shared" ref="W537:AE537" si="3059">X537-(Y537-X537)</f>
        <v>50</v>
      </c>
      <c r="X537" s="246">
        <f t="shared" si="3059"/>
        <v>75</v>
      </c>
      <c r="Y537" s="246">
        <f t="shared" si="3059"/>
        <v>100</v>
      </c>
      <c r="Z537" s="246">
        <f t="shared" si="3059"/>
        <v>125</v>
      </c>
      <c r="AA537" s="246">
        <f t="shared" si="3059"/>
        <v>150</v>
      </c>
      <c r="AB537" s="246">
        <f t="shared" si="3059"/>
        <v>175</v>
      </c>
      <c r="AC537" s="246">
        <f t="shared" si="3059"/>
        <v>200</v>
      </c>
      <c r="AD537" s="246">
        <f t="shared" si="3059"/>
        <v>225</v>
      </c>
      <c r="AE537" s="246">
        <f t="shared" si="3059"/>
        <v>250</v>
      </c>
      <c r="AF537" s="246">
        <f>-ROUND(AG537/12,0)+AG537</f>
        <v>275</v>
      </c>
      <c r="AG537" s="246">
        <v>300</v>
      </c>
      <c r="AH537" s="31">
        <f>446/12</f>
        <v>37.166666666666664</v>
      </c>
      <c r="AI537" s="19">
        <f>AH537+AH537</f>
        <v>74.333333333333329</v>
      </c>
      <c r="AJ537" s="19"/>
      <c r="AK537" s="408"/>
      <c r="AL537" s="40">
        <f>J537</f>
        <v>25</v>
      </c>
      <c r="AM537" s="40">
        <f t="shared" si="3001"/>
        <v>25</v>
      </c>
      <c r="AN537" s="40">
        <f t="shared" si="3002"/>
        <v>25</v>
      </c>
      <c r="AO537" s="40">
        <f>M537-L537</f>
        <v>25</v>
      </c>
      <c r="AP537" s="40">
        <f t="shared" si="3003"/>
        <v>25</v>
      </c>
      <c r="AQ537" s="40">
        <f t="shared" si="3004"/>
        <v>25</v>
      </c>
      <c r="AR537" s="40">
        <f t="shared" si="3005"/>
        <v>25</v>
      </c>
      <c r="AS537" s="40">
        <f t="shared" si="3006"/>
        <v>25</v>
      </c>
      <c r="AT537" s="40">
        <f t="shared" si="3007"/>
        <v>25</v>
      </c>
      <c r="AU537" s="40">
        <f t="shared" si="3008"/>
        <v>25</v>
      </c>
      <c r="AV537" s="40">
        <f t="shared" si="3009"/>
        <v>25</v>
      </c>
      <c r="AW537" s="40">
        <f t="shared" si="3010"/>
        <v>25</v>
      </c>
      <c r="AX537" s="40">
        <f>V537</f>
        <v>25</v>
      </c>
      <c r="AY537" s="40">
        <f t="shared" si="3011"/>
        <v>25</v>
      </c>
      <c r="AZ537" s="40">
        <f t="shared" si="3012"/>
        <v>25</v>
      </c>
      <c r="BA537" s="40">
        <f>Y537-X537</f>
        <v>25</v>
      </c>
      <c r="BB537" s="40">
        <f t="shared" si="3013"/>
        <v>25</v>
      </c>
      <c r="BC537" s="40">
        <f t="shared" si="3014"/>
        <v>25</v>
      </c>
      <c r="BD537" s="40">
        <f t="shared" si="3015"/>
        <v>25</v>
      </c>
      <c r="BE537" s="40">
        <f t="shared" si="3016"/>
        <v>25</v>
      </c>
      <c r="BF537" s="40">
        <f t="shared" si="3017"/>
        <v>25</v>
      </c>
      <c r="BG537" s="40">
        <f t="shared" si="3018"/>
        <v>25</v>
      </c>
      <c r="BH537" s="40">
        <f t="shared" si="3019"/>
        <v>25</v>
      </c>
      <c r="BI537" s="40">
        <f t="shared" si="3020"/>
        <v>25</v>
      </c>
      <c r="BJ537" s="40">
        <f>AH537</f>
        <v>37.166666666666664</v>
      </c>
      <c r="BK537" s="40">
        <f>AI537-AH537</f>
        <v>37.166666666666664</v>
      </c>
      <c r="BL537" s="40">
        <f>AJ537-AI537</f>
        <v>-74.333333333333329</v>
      </c>
      <c r="BM537" s="408"/>
      <c r="BN537" s="48">
        <f t="shared" si="3029"/>
        <v>75</v>
      </c>
      <c r="BO537" s="48">
        <f t="shared" si="3030"/>
        <v>75</v>
      </c>
      <c r="BP537" s="48">
        <f t="shared" si="3031"/>
        <v>75</v>
      </c>
      <c r="BQ537" s="48">
        <f t="shared" si="3032"/>
        <v>75</v>
      </c>
      <c r="BR537" s="48">
        <f t="shared" si="3033"/>
        <v>75</v>
      </c>
      <c r="BS537" s="48">
        <f t="shared" si="3034"/>
        <v>75</v>
      </c>
      <c r="BT537" s="48">
        <f t="shared" si="3035"/>
        <v>75</v>
      </c>
      <c r="BU537" s="48">
        <f t="shared" si="3036"/>
        <v>75</v>
      </c>
      <c r="BV537" s="48">
        <f t="shared" si="3037"/>
        <v>75</v>
      </c>
      <c r="BW537" s="48">
        <f t="shared" si="3038"/>
        <v>75</v>
      </c>
      <c r="BX537" s="48">
        <f t="shared" si="3039"/>
        <v>75</v>
      </c>
      <c r="BY537" s="48">
        <f t="shared" si="3040"/>
        <v>75</v>
      </c>
      <c r="BZ537" s="48">
        <f t="shared" si="3041"/>
        <v>75</v>
      </c>
      <c r="CA537" s="48">
        <f t="shared" si="3042"/>
        <v>75</v>
      </c>
      <c r="CB537" s="48">
        <f>X537</f>
        <v>75</v>
      </c>
      <c r="CC537" s="48">
        <f t="shared" si="3043"/>
        <v>75</v>
      </c>
      <c r="CD537" s="48">
        <f t="shared" si="3044"/>
        <v>75</v>
      </c>
      <c r="CE537" s="48">
        <f t="shared" si="3045"/>
        <v>75</v>
      </c>
      <c r="CF537" s="48">
        <f t="shared" si="3046"/>
        <v>75</v>
      </c>
      <c r="CG537" s="48">
        <f t="shared" si="3047"/>
        <v>75</v>
      </c>
      <c r="CH537" s="48">
        <f t="shared" si="3048"/>
        <v>75</v>
      </c>
      <c r="CI537" s="48">
        <f t="shared" si="3049"/>
        <v>75</v>
      </c>
      <c r="CJ537" s="48">
        <f t="shared" si="3050"/>
        <v>75</v>
      </c>
      <c r="CK537" s="48">
        <f t="shared" si="3051"/>
        <v>75</v>
      </c>
      <c r="CL537" s="48">
        <f t="shared" si="3052"/>
        <v>111.5</v>
      </c>
      <c r="CM537" s="48">
        <f t="shared" si="3053"/>
        <v>111.5</v>
      </c>
      <c r="CN537" s="48">
        <f>446/4</f>
        <v>111.5</v>
      </c>
      <c r="CO537" s="406"/>
      <c r="CP537" s="48">
        <f>+AL537</f>
        <v>25</v>
      </c>
      <c r="CQ537" s="48">
        <f t="shared" ref="CQ537:DA537" si="3060">+CP537+AM537</f>
        <v>50</v>
      </c>
      <c r="CR537" s="48">
        <f t="shared" si="3060"/>
        <v>75</v>
      </c>
      <c r="CS537" s="48">
        <f t="shared" si="3060"/>
        <v>100</v>
      </c>
      <c r="CT537" s="48">
        <f t="shared" si="3060"/>
        <v>125</v>
      </c>
      <c r="CU537" s="48">
        <f t="shared" si="3060"/>
        <v>150</v>
      </c>
      <c r="CV537" s="48">
        <f t="shared" si="3060"/>
        <v>175</v>
      </c>
      <c r="CW537" s="48">
        <f t="shared" si="3060"/>
        <v>200</v>
      </c>
      <c r="CX537" s="48">
        <f t="shared" si="3060"/>
        <v>225</v>
      </c>
      <c r="CY537" s="48">
        <f t="shared" si="3060"/>
        <v>250</v>
      </c>
      <c r="CZ537" s="48">
        <f t="shared" si="3060"/>
        <v>275</v>
      </c>
      <c r="DA537" s="48">
        <f t="shared" si="3060"/>
        <v>300</v>
      </c>
      <c r="DB537" s="48">
        <f>AX537</f>
        <v>25</v>
      </c>
      <c r="DC537" s="48">
        <f t="shared" ref="DC537:DM537" si="3061">+DB537+AY537</f>
        <v>50</v>
      </c>
      <c r="DD537" s="48">
        <f t="shared" si="3061"/>
        <v>75</v>
      </c>
      <c r="DE537" s="48">
        <f t="shared" si="3061"/>
        <v>100</v>
      </c>
      <c r="DF537" s="48">
        <f t="shared" si="3061"/>
        <v>125</v>
      </c>
      <c r="DG537" s="48">
        <f t="shared" si="3061"/>
        <v>150</v>
      </c>
      <c r="DH537" s="48">
        <f t="shared" si="3061"/>
        <v>175</v>
      </c>
      <c r="DI537" s="48">
        <f t="shared" si="3061"/>
        <v>200</v>
      </c>
      <c r="DJ537" s="48">
        <f t="shared" si="3061"/>
        <v>225</v>
      </c>
      <c r="DK537" s="48">
        <f t="shared" si="3061"/>
        <v>250</v>
      </c>
      <c r="DL537" s="48">
        <f t="shared" si="3061"/>
        <v>275</v>
      </c>
      <c r="DM537" s="48">
        <f t="shared" si="3061"/>
        <v>300</v>
      </c>
      <c r="DN537" s="48">
        <f>+BJ537</f>
        <v>37.166666666666664</v>
      </c>
      <c r="DO537" s="48">
        <f>+DN537+BK537</f>
        <v>74.333333333333329</v>
      </c>
      <c r="DP537" s="48">
        <f>+DO537+BL537</f>
        <v>0</v>
      </c>
      <c r="DQ537" s="48"/>
      <c r="DR537" s="48"/>
      <c r="DS537" s="48"/>
      <c r="DT537" s="48"/>
      <c r="DU537" s="48"/>
      <c r="DV537" s="48"/>
      <c r="DW537" s="48"/>
      <c r="DX537" s="48"/>
      <c r="DY537" s="48"/>
      <c r="EA537" s="52">
        <f t="shared" ref="EA537:EA551" si="3062">DA537</f>
        <v>300</v>
      </c>
      <c r="EB537" s="52">
        <f t="shared" ref="EB537:EB550" si="3063">DM537</f>
        <v>300</v>
      </c>
      <c r="EC537" s="52"/>
      <c r="ED537" s="429"/>
      <c r="EE537" s="51">
        <f t="shared" si="3026"/>
        <v>37.166666666666664</v>
      </c>
      <c r="EF537" s="51">
        <f t="shared" si="3027"/>
        <v>111.5</v>
      </c>
      <c r="EG537" s="51">
        <v>446</v>
      </c>
      <c r="EH537" s="54"/>
      <c r="EI537" s="54"/>
      <c r="EJ537" s="54"/>
      <c r="EK537" s="675"/>
      <c r="EL537" s="53"/>
      <c r="EM537" s="53"/>
      <c r="EN537" s="53"/>
      <c r="EO537" s="49"/>
      <c r="EP537" s="49"/>
      <c r="EQ537" s="49"/>
    </row>
    <row r="538" spans="1:149">
      <c r="A538" s="6" t="s">
        <v>23</v>
      </c>
      <c r="B538" s="2" t="s">
        <v>4</v>
      </c>
      <c r="C538" s="3" t="s">
        <v>43</v>
      </c>
      <c r="E538" s="3" t="s">
        <v>16</v>
      </c>
      <c r="F538" s="44"/>
      <c r="G538" s="3" t="s">
        <v>91</v>
      </c>
      <c r="I538" s="195">
        <f>167/12</f>
        <v>13.916666666666666</v>
      </c>
      <c r="J538" s="192">
        <v>10</v>
      </c>
      <c r="K538" s="192">
        <v>20</v>
      </c>
      <c r="L538" s="192">
        <v>30</v>
      </c>
      <c r="M538" s="192">
        <v>40</v>
      </c>
      <c r="N538" s="192">
        <v>50</v>
      </c>
      <c r="O538" s="192">
        <v>60</v>
      </c>
      <c r="P538" s="192">
        <v>70</v>
      </c>
      <c r="Q538" s="192">
        <v>80</v>
      </c>
      <c r="R538" s="192">
        <v>90</v>
      </c>
      <c r="S538" s="192">
        <v>100</v>
      </c>
      <c r="T538" s="192">
        <v>110</v>
      </c>
      <c r="U538" s="192">
        <v>120</v>
      </c>
      <c r="V538" s="219">
        <f>120/12</f>
        <v>10</v>
      </c>
      <c r="W538" s="246">
        <f>V538+10</f>
        <v>20</v>
      </c>
      <c r="X538" s="376">
        <f t="shared" ref="X538:AG538" si="3064">W538+10</f>
        <v>30</v>
      </c>
      <c r="Y538" s="376">
        <f t="shared" si="3064"/>
        <v>40</v>
      </c>
      <c r="Z538" s="376">
        <f t="shared" si="3064"/>
        <v>50</v>
      </c>
      <c r="AA538" s="376">
        <f t="shared" si="3064"/>
        <v>60</v>
      </c>
      <c r="AB538" s="376">
        <f t="shared" si="3064"/>
        <v>70</v>
      </c>
      <c r="AC538" s="376">
        <f t="shared" si="3064"/>
        <v>80</v>
      </c>
      <c r="AD538" s="376">
        <f t="shared" si="3064"/>
        <v>90</v>
      </c>
      <c r="AE538" s="376">
        <f t="shared" si="3064"/>
        <v>100</v>
      </c>
      <c r="AF538" s="376">
        <f t="shared" si="3064"/>
        <v>110</v>
      </c>
      <c r="AG538" s="376">
        <f t="shared" si="3064"/>
        <v>120</v>
      </c>
      <c r="AH538" s="31">
        <f>167/12</f>
        <v>13.916666666666666</v>
      </c>
      <c r="AI538" s="376">
        <f>AH538+AH538</f>
        <v>27.833333333333332</v>
      </c>
      <c r="AJ538" s="19"/>
      <c r="AK538" s="408"/>
      <c r="AL538" s="40">
        <f>J538</f>
        <v>10</v>
      </c>
      <c r="AM538" s="40">
        <f t="shared" si="3001"/>
        <v>10</v>
      </c>
      <c r="AN538" s="40">
        <f t="shared" si="3002"/>
        <v>10</v>
      </c>
      <c r="AO538" s="40">
        <f>M538-L538</f>
        <v>10</v>
      </c>
      <c r="AP538" s="40">
        <f t="shared" si="3003"/>
        <v>10</v>
      </c>
      <c r="AQ538" s="40">
        <f t="shared" si="3004"/>
        <v>10</v>
      </c>
      <c r="AR538" s="40">
        <f t="shared" si="3005"/>
        <v>10</v>
      </c>
      <c r="AS538" s="40">
        <f t="shared" si="3006"/>
        <v>10</v>
      </c>
      <c r="AT538" s="40">
        <f t="shared" si="3007"/>
        <v>10</v>
      </c>
      <c r="AU538" s="40">
        <f t="shared" si="3008"/>
        <v>10</v>
      </c>
      <c r="AV538" s="40">
        <f t="shared" si="3009"/>
        <v>10</v>
      </c>
      <c r="AW538" s="40">
        <f t="shared" si="3010"/>
        <v>10</v>
      </c>
      <c r="AX538" s="40">
        <f>V538</f>
        <v>10</v>
      </c>
      <c r="AY538" s="40">
        <f t="shared" si="3011"/>
        <v>10</v>
      </c>
      <c r="AZ538" s="40">
        <f t="shared" si="3012"/>
        <v>10</v>
      </c>
      <c r="BA538" s="40">
        <f>Y538-X538</f>
        <v>10</v>
      </c>
      <c r="BB538" s="40">
        <f t="shared" si="3013"/>
        <v>10</v>
      </c>
      <c r="BC538" s="40">
        <f t="shared" si="3014"/>
        <v>10</v>
      </c>
      <c r="BD538" s="40">
        <f t="shared" si="3015"/>
        <v>10</v>
      </c>
      <c r="BE538" s="40">
        <f t="shared" si="3016"/>
        <v>10</v>
      </c>
      <c r="BF538" s="40">
        <f t="shared" si="3017"/>
        <v>10</v>
      </c>
      <c r="BG538" s="40">
        <f t="shared" si="3018"/>
        <v>10</v>
      </c>
      <c r="BH538" s="40">
        <f t="shared" si="3019"/>
        <v>10</v>
      </c>
      <c r="BI538" s="40">
        <f t="shared" si="3020"/>
        <v>10</v>
      </c>
      <c r="BJ538" s="40">
        <f>AH538</f>
        <v>13.916666666666666</v>
      </c>
      <c r="BK538" s="40">
        <f>AI538-AH538</f>
        <v>13.916666666666666</v>
      </c>
      <c r="BL538" s="40">
        <f>AJ538-AI538</f>
        <v>-27.833333333333332</v>
      </c>
      <c r="BM538" s="408"/>
      <c r="BN538" s="48">
        <f t="shared" si="3029"/>
        <v>30</v>
      </c>
      <c r="BO538" s="48">
        <f t="shared" si="3030"/>
        <v>30</v>
      </c>
      <c r="BP538" s="48">
        <f t="shared" si="3031"/>
        <v>30</v>
      </c>
      <c r="BQ538" s="48">
        <f t="shared" si="3032"/>
        <v>30</v>
      </c>
      <c r="BR538" s="48">
        <f t="shared" si="3033"/>
        <v>30</v>
      </c>
      <c r="BS538" s="48">
        <f t="shared" si="3034"/>
        <v>30</v>
      </c>
      <c r="BT538" s="48">
        <f t="shared" si="3035"/>
        <v>30</v>
      </c>
      <c r="BU538" s="48">
        <f t="shared" si="3036"/>
        <v>30</v>
      </c>
      <c r="BV538" s="48">
        <f t="shared" si="3037"/>
        <v>30</v>
      </c>
      <c r="BW538" s="48">
        <f t="shared" si="3038"/>
        <v>30</v>
      </c>
      <c r="BX538" s="48">
        <f t="shared" si="3039"/>
        <v>30</v>
      </c>
      <c r="BY538" s="48">
        <f t="shared" si="3040"/>
        <v>30</v>
      </c>
      <c r="BZ538" s="48">
        <f t="shared" si="3041"/>
        <v>30</v>
      </c>
      <c r="CA538" s="48">
        <f t="shared" si="3042"/>
        <v>30</v>
      </c>
      <c r="CB538" s="48">
        <f t="shared" ref="CB538:CB545" si="3065">X538</f>
        <v>30</v>
      </c>
      <c r="CC538" s="48">
        <f t="shared" si="3043"/>
        <v>30</v>
      </c>
      <c r="CD538" s="48">
        <f t="shared" si="3044"/>
        <v>30</v>
      </c>
      <c r="CE538" s="48">
        <f t="shared" si="3045"/>
        <v>30</v>
      </c>
      <c r="CF538" s="48">
        <f t="shared" si="3046"/>
        <v>30</v>
      </c>
      <c r="CG538" s="48">
        <f t="shared" si="3047"/>
        <v>30</v>
      </c>
      <c r="CH538" s="48">
        <f t="shared" si="3048"/>
        <v>30</v>
      </c>
      <c r="CI538" s="48">
        <f t="shared" si="3049"/>
        <v>30</v>
      </c>
      <c r="CJ538" s="48">
        <f t="shared" si="3050"/>
        <v>30</v>
      </c>
      <c r="CK538" s="48">
        <f t="shared" si="3051"/>
        <v>30</v>
      </c>
      <c r="CL538" s="48">
        <f t="shared" si="3052"/>
        <v>41.75</v>
      </c>
      <c r="CM538" s="48">
        <f t="shared" si="3053"/>
        <v>41.75</v>
      </c>
      <c r="CN538" s="48">
        <f>167/4</f>
        <v>41.75</v>
      </c>
      <c r="CO538" s="406"/>
      <c r="CP538" s="48">
        <f t="shared" ref="CP538:DA538" si="3066">I538+AL538</f>
        <v>23.916666666666664</v>
      </c>
      <c r="CQ538" s="48">
        <f t="shared" si="3066"/>
        <v>20</v>
      </c>
      <c r="CR538" s="48">
        <f t="shared" si="3066"/>
        <v>30</v>
      </c>
      <c r="CS538" s="48">
        <f t="shared" si="3066"/>
        <v>40</v>
      </c>
      <c r="CT538" s="48">
        <f t="shared" si="3066"/>
        <v>50</v>
      </c>
      <c r="CU538" s="48">
        <f t="shared" si="3066"/>
        <v>60</v>
      </c>
      <c r="CV538" s="48">
        <f t="shared" si="3066"/>
        <v>70</v>
      </c>
      <c r="CW538" s="48">
        <f t="shared" si="3066"/>
        <v>80</v>
      </c>
      <c r="CX538" s="48">
        <f t="shared" si="3066"/>
        <v>90</v>
      </c>
      <c r="CY538" s="48">
        <f t="shared" si="3066"/>
        <v>100</v>
      </c>
      <c r="CZ538" s="48">
        <f t="shared" si="3066"/>
        <v>110</v>
      </c>
      <c r="DA538" s="48">
        <f t="shared" si="3066"/>
        <v>120</v>
      </c>
      <c r="DB538" s="48">
        <f>AX538</f>
        <v>10</v>
      </c>
      <c r="DC538" s="48">
        <f t="shared" ref="DC538:DM538" si="3067">V538+AY538</f>
        <v>20</v>
      </c>
      <c r="DD538" s="48">
        <f t="shared" si="3067"/>
        <v>30</v>
      </c>
      <c r="DE538" s="48">
        <f t="shared" si="3067"/>
        <v>40</v>
      </c>
      <c r="DF538" s="48">
        <f t="shared" si="3067"/>
        <v>50</v>
      </c>
      <c r="DG538" s="48">
        <f t="shared" si="3067"/>
        <v>60</v>
      </c>
      <c r="DH538" s="48">
        <f t="shared" si="3067"/>
        <v>70</v>
      </c>
      <c r="DI538" s="48">
        <f t="shared" si="3067"/>
        <v>80</v>
      </c>
      <c r="DJ538" s="48">
        <f t="shared" si="3067"/>
        <v>90</v>
      </c>
      <c r="DK538" s="48">
        <f t="shared" si="3067"/>
        <v>100</v>
      </c>
      <c r="DL538" s="48">
        <f t="shared" si="3067"/>
        <v>110</v>
      </c>
      <c r="DM538" s="48">
        <f t="shared" si="3067"/>
        <v>120</v>
      </c>
      <c r="DN538" s="48">
        <f>BJ538</f>
        <v>13.916666666666666</v>
      </c>
      <c r="DO538" s="48">
        <f>AH538+BK538</f>
        <v>27.833333333333332</v>
      </c>
      <c r="DP538" s="48">
        <f>AI538+BL538</f>
        <v>0</v>
      </c>
      <c r="DQ538" s="48"/>
      <c r="DR538" s="48"/>
      <c r="DS538" s="48"/>
      <c r="DT538" s="48"/>
      <c r="DU538" s="48"/>
      <c r="DV538" s="48"/>
      <c r="DW538" s="48"/>
      <c r="DX538" s="48"/>
      <c r="DY538" s="48"/>
      <c r="EA538" s="52">
        <f t="shared" si="3062"/>
        <v>120</v>
      </c>
      <c r="EB538" s="52">
        <f t="shared" si="3063"/>
        <v>120</v>
      </c>
      <c r="EC538" s="52"/>
      <c r="ED538" s="429"/>
      <c r="EE538" s="51">
        <f t="shared" si="3026"/>
        <v>13.916666666666666</v>
      </c>
      <c r="EF538" s="51">
        <f t="shared" si="3027"/>
        <v>41.75</v>
      </c>
      <c r="EG538" s="51">
        <v>167</v>
      </c>
      <c r="EH538" s="54"/>
      <c r="EI538" s="54"/>
      <c r="EJ538" s="126"/>
      <c r="EK538" s="675"/>
      <c r="EL538" s="53"/>
      <c r="EM538" s="53"/>
      <c r="EN538" s="53"/>
      <c r="EO538" s="49"/>
      <c r="EP538" s="49"/>
      <c r="EQ538" s="49"/>
    </row>
    <row r="539" spans="1:149">
      <c r="A539" s="6" t="s">
        <v>23</v>
      </c>
      <c r="B539" s="2" t="s">
        <v>6</v>
      </c>
      <c r="C539" s="3" t="s">
        <v>44</v>
      </c>
      <c r="E539" s="3" t="s">
        <v>16</v>
      </c>
      <c r="G539" s="3" t="s">
        <v>89</v>
      </c>
      <c r="I539" s="195"/>
      <c r="J539" s="192">
        <v>6.25</v>
      </c>
      <c r="K539" s="192">
        <f>J539</f>
        <v>6.25</v>
      </c>
      <c r="L539" s="246">
        <f t="shared" ref="L539:U539" si="3068">K539</f>
        <v>6.25</v>
      </c>
      <c r="M539" s="246">
        <f t="shared" si="3068"/>
        <v>6.25</v>
      </c>
      <c r="N539" s="246">
        <f t="shared" si="3068"/>
        <v>6.25</v>
      </c>
      <c r="O539" s="246">
        <f t="shared" si="3068"/>
        <v>6.25</v>
      </c>
      <c r="P539" s="246">
        <f t="shared" si="3068"/>
        <v>6.25</v>
      </c>
      <c r="Q539" s="246">
        <f t="shared" si="3068"/>
        <v>6.25</v>
      </c>
      <c r="R539" s="246">
        <f t="shared" si="3068"/>
        <v>6.25</v>
      </c>
      <c r="S539" s="246">
        <f t="shared" si="3068"/>
        <v>6.25</v>
      </c>
      <c r="T539" s="246">
        <f t="shared" si="3068"/>
        <v>6.25</v>
      </c>
      <c r="U539" s="246">
        <f t="shared" si="3068"/>
        <v>6.25</v>
      </c>
      <c r="V539" s="246">
        <v>3.75</v>
      </c>
      <c r="W539" s="246">
        <f>V539+3.75</f>
        <v>7.5</v>
      </c>
      <c r="X539" s="376">
        <f t="shared" ref="X539:AG539" si="3069">W539+3.75</f>
        <v>11.25</v>
      </c>
      <c r="Y539" s="376">
        <f t="shared" si="3069"/>
        <v>15</v>
      </c>
      <c r="Z539" s="376">
        <f t="shared" si="3069"/>
        <v>18.75</v>
      </c>
      <c r="AA539" s="376">
        <f t="shared" si="3069"/>
        <v>22.5</v>
      </c>
      <c r="AB539" s="376">
        <f t="shared" si="3069"/>
        <v>26.25</v>
      </c>
      <c r="AC539" s="376">
        <f t="shared" si="3069"/>
        <v>30</v>
      </c>
      <c r="AD539" s="376">
        <f t="shared" si="3069"/>
        <v>33.75</v>
      </c>
      <c r="AE539" s="376">
        <f t="shared" si="3069"/>
        <v>37.5</v>
      </c>
      <c r="AF539" s="376">
        <f t="shared" si="3069"/>
        <v>41.25</v>
      </c>
      <c r="AG539" s="376">
        <f t="shared" si="3069"/>
        <v>45</v>
      </c>
      <c r="AH539" s="31"/>
      <c r="AI539" s="19"/>
      <c r="AJ539" s="19"/>
      <c r="AK539" s="408"/>
      <c r="AL539" s="40">
        <f>J539</f>
        <v>6.25</v>
      </c>
      <c r="AM539" s="40">
        <f t="shared" ref="AM539:AW539" si="3070">K539</f>
        <v>6.25</v>
      </c>
      <c r="AN539" s="40">
        <f t="shared" si="3070"/>
        <v>6.25</v>
      </c>
      <c r="AO539" s="40">
        <f t="shared" si="3070"/>
        <v>6.25</v>
      </c>
      <c r="AP539" s="40">
        <f t="shared" si="3070"/>
        <v>6.25</v>
      </c>
      <c r="AQ539" s="40">
        <f t="shared" si="3070"/>
        <v>6.25</v>
      </c>
      <c r="AR539" s="40">
        <f t="shared" si="3070"/>
        <v>6.25</v>
      </c>
      <c r="AS539" s="40">
        <f t="shared" si="3070"/>
        <v>6.25</v>
      </c>
      <c r="AT539" s="40">
        <f t="shared" si="3070"/>
        <v>6.25</v>
      </c>
      <c r="AU539" s="40">
        <f t="shared" si="3070"/>
        <v>6.25</v>
      </c>
      <c r="AV539" s="40">
        <f t="shared" si="3070"/>
        <v>6.25</v>
      </c>
      <c r="AW539" s="40">
        <f t="shared" si="3070"/>
        <v>6.25</v>
      </c>
      <c r="AX539" s="40">
        <f>V539</f>
        <v>3.75</v>
      </c>
      <c r="AY539" s="40">
        <f>W539-SUM($AX539:AX539)</f>
        <v>3.75</v>
      </c>
      <c r="AZ539" s="40">
        <f>X539-SUM($AX539:AY539)</f>
        <v>3.75</v>
      </c>
      <c r="BA539" s="40">
        <f>Y539-SUM($AX539:AZ539)</f>
        <v>3.75</v>
      </c>
      <c r="BB539" s="40">
        <f>Z539-SUM($AX539:BA539)</f>
        <v>3.75</v>
      </c>
      <c r="BC539" s="40">
        <f>AA539-SUM($AX539:BB539)</f>
        <v>3.75</v>
      </c>
      <c r="BD539" s="40">
        <f>AB539-SUM($AX539:BC539)</f>
        <v>3.75</v>
      </c>
      <c r="BE539" s="40">
        <f>AC539-SUM($AX539:BD539)</f>
        <v>3.75</v>
      </c>
      <c r="BF539" s="40">
        <f>AD539-SUM($AX539:BE539)</f>
        <v>3.75</v>
      </c>
      <c r="BG539" s="40">
        <f>AE539-SUM($AX539:BF539)</f>
        <v>3.75</v>
      </c>
      <c r="BH539" s="40">
        <f>AF539-SUM($AX539:BG539)</f>
        <v>3.75</v>
      </c>
      <c r="BI539" s="40">
        <f>AG539-SUM($AX539:BH539)</f>
        <v>3.75</v>
      </c>
      <c r="BJ539" s="40">
        <v>0</v>
      </c>
      <c r="BK539" s="40">
        <v>0</v>
      </c>
      <c r="BL539" s="40">
        <v>0</v>
      </c>
      <c r="BM539" s="408"/>
      <c r="BN539" s="48">
        <f t="shared" si="3029"/>
        <v>18.75</v>
      </c>
      <c r="BO539" s="48">
        <f t="shared" si="3030"/>
        <v>18.75</v>
      </c>
      <c r="BP539" s="48">
        <f t="shared" si="3031"/>
        <v>18.75</v>
      </c>
      <c r="BQ539" s="48">
        <f t="shared" si="3032"/>
        <v>18.75</v>
      </c>
      <c r="BR539" s="48">
        <f t="shared" si="3033"/>
        <v>18.75</v>
      </c>
      <c r="BS539" s="48">
        <f t="shared" si="3034"/>
        <v>18.75</v>
      </c>
      <c r="BT539" s="48">
        <f t="shared" si="3035"/>
        <v>18.75</v>
      </c>
      <c r="BU539" s="48">
        <f t="shared" si="3036"/>
        <v>18.75</v>
      </c>
      <c r="BV539" s="48">
        <f t="shared" si="3037"/>
        <v>18.75</v>
      </c>
      <c r="BW539" s="48">
        <f t="shared" si="3038"/>
        <v>18.75</v>
      </c>
      <c r="BX539" s="48">
        <f t="shared" si="3039"/>
        <v>18.75</v>
      </c>
      <c r="BY539" s="48">
        <f t="shared" si="3040"/>
        <v>18.75</v>
      </c>
      <c r="BZ539" s="48">
        <f t="shared" si="3041"/>
        <v>11.25</v>
      </c>
      <c r="CA539" s="48">
        <f t="shared" si="3042"/>
        <v>11.25</v>
      </c>
      <c r="CB539" s="48">
        <f t="shared" si="3065"/>
        <v>11.25</v>
      </c>
      <c r="CC539" s="48">
        <f t="shared" si="3043"/>
        <v>11.25</v>
      </c>
      <c r="CD539" s="48">
        <f t="shared" si="3044"/>
        <v>11.25</v>
      </c>
      <c r="CE539" s="48">
        <f>SUM(BA539:BC539)</f>
        <v>11.25</v>
      </c>
      <c r="CF539" s="48">
        <f t="shared" si="3046"/>
        <v>11.25</v>
      </c>
      <c r="CG539" s="48">
        <f t="shared" si="3047"/>
        <v>11.25</v>
      </c>
      <c r="CH539" s="48">
        <f>SUM(BD539:BF539)</f>
        <v>11.25</v>
      </c>
      <c r="CI539" s="48">
        <f t="shared" si="3049"/>
        <v>11.25</v>
      </c>
      <c r="CJ539" s="48">
        <f t="shared" si="3050"/>
        <v>11.25</v>
      </c>
      <c r="CK539" s="48">
        <f>SUM(BG539:BI539)</f>
        <v>11.25</v>
      </c>
      <c r="CL539" s="48">
        <f t="shared" si="3052"/>
        <v>0</v>
      </c>
      <c r="CM539" s="48">
        <f t="shared" si="3053"/>
        <v>0</v>
      </c>
      <c r="CN539" s="48">
        <f t="shared" si="3022"/>
        <v>0</v>
      </c>
      <c r="CO539" s="406"/>
      <c r="CP539" s="48">
        <f>AL539</f>
        <v>6.25</v>
      </c>
      <c r="CQ539" s="48">
        <f t="shared" ref="CQ539:DA539" si="3071">CP539+AM539</f>
        <v>12.5</v>
      </c>
      <c r="CR539" s="48">
        <f t="shared" si="3071"/>
        <v>18.75</v>
      </c>
      <c r="CS539" s="48">
        <f t="shared" si="3071"/>
        <v>25</v>
      </c>
      <c r="CT539" s="48">
        <f t="shared" si="3071"/>
        <v>31.25</v>
      </c>
      <c r="CU539" s="48">
        <f t="shared" si="3071"/>
        <v>37.5</v>
      </c>
      <c r="CV539" s="48">
        <f t="shared" si="3071"/>
        <v>43.75</v>
      </c>
      <c r="CW539" s="48">
        <f t="shared" si="3071"/>
        <v>50</v>
      </c>
      <c r="CX539" s="48">
        <f t="shared" si="3071"/>
        <v>56.25</v>
      </c>
      <c r="CY539" s="48">
        <f t="shared" si="3071"/>
        <v>62.5</v>
      </c>
      <c r="CZ539" s="48">
        <f t="shared" si="3071"/>
        <v>68.75</v>
      </c>
      <c r="DA539" s="48">
        <f t="shared" si="3071"/>
        <v>75</v>
      </c>
      <c r="DB539" s="276">
        <f>AX539</f>
        <v>3.75</v>
      </c>
      <c r="DC539" s="276">
        <f t="shared" ref="DC539:DM539" si="3072">DB539+AY539</f>
        <v>7.5</v>
      </c>
      <c r="DD539" s="276">
        <f t="shared" si="3072"/>
        <v>11.25</v>
      </c>
      <c r="DE539" s="276">
        <f t="shared" si="3072"/>
        <v>15</v>
      </c>
      <c r="DF539" s="276">
        <f t="shared" si="3072"/>
        <v>18.75</v>
      </c>
      <c r="DG539" s="276">
        <f t="shared" si="3072"/>
        <v>22.5</v>
      </c>
      <c r="DH539" s="276">
        <f t="shared" si="3072"/>
        <v>26.25</v>
      </c>
      <c r="DI539" s="276">
        <f t="shared" si="3072"/>
        <v>30</v>
      </c>
      <c r="DJ539" s="276">
        <f t="shared" si="3072"/>
        <v>33.75</v>
      </c>
      <c r="DK539" s="276">
        <f t="shared" si="3072"/>
        <v>37.5</v>
      </c>
      <c r="DL539" s="276">
        <f t="shared" si="3072"/>
        <v>41.25</v>
      </c>
      <c r="DM539" s="276">
        <f t="shared" si="3072"/>
        <v>45</v>
      </c>
      <c r="DN539" s="48">
        <f>BJ539</f>
        <v>0</v>
      </c>
      <c r="DO539" s="48">
        <f>DN539+BK539</f>
        <v>0</v>
      </c>
      <c r="DP539" s="48">
        <f>DO539+BL539</f>
        <v>0</v>
      </c>
      <c r="DQ539" s="48"/>
      <c r="DR539" s="48"/>
      <c r="DS539" s="48"/>
      <c r="DT539" s="48"/>
      <c r="DU539" s="48"/>
      <c r="DV539" s="48"/>
      <c r="DW539" s="48"/>
      <c r="DX539" s="48"/>
      <c r="DY539" s="48"/>
      <c r="EA539" s="52">
        <f t="shared" si="3062"/>
        <v>75</v>
      </c>
      <c r="EB539" s="52">
        <f t="shared" si="3063"/>
        <v>45</v>
      </c>
      <c r="EC539" s="52"/>
      <c r="ED539" s="429"/>
      <c r="EE539" s="51">
        <f t="shared" si="3026"/>
        <v>0</v>
      </c>
      <c r="EF539" s="51">
        <f t="shared" si="3027"/>
        <v>0</v>
      </c>
      <c r="EG539" s="51">
        <f t="shared" ref="EG539:EG547" si="3073">HLOOKUP($EJ$4,Budget,ROW()-1)</f>
        <v>45</v>
      </c>
      <c r="EH539" s="54"/>
      <c r="EI539" s="54"/>
      <c r="EJ539" s="54"/>
      <c r="EK539" s="675"/>
      <c r="EL539" s="53"/>
      <c r="EM539" s="53"/>
      <c r="EN539" s="53"/>
      <c r="EO539" s="49"/>
      <c r="EP539" s="49"/>
      <c r="EQ539" s="49"/>
    </row>
    <row r="540" spans="1:149" s="14" customFormat="1">
      <c r="A540" s="15" t="s">
        <v>23</v>
      </c>
      <c r="B540" s="14" t="s">
        <v>7</v>
      </c>
      <c r="C540" s="16" t="s">
        <v>45</v>
      </c>
      <c r="D540" s="16"/>
      <c r="E540" s="16" t="s">
        <v>16</v>
      </c>
      <c r="F540" s="16"/>
      <c r="G540" s="16" t="s">
        <v>89</v>
      </c>
      <c r="H540" s="16"/>
      <c r="I540" s="196">
        <v>0.95</v>
      </c>
      <c r="J540" s="197">
        <v>0.95</v>
      </c>
      <c r="K540" s="197">
        <v>0.95</v>
      </c>
      <c r="L540" s="197">
        <v>0.95</v>
      </c>
      <c r="M540" s="197">
        <v>0.95</v>
      </c>
      <c r="N540" s="197">
        <v>0.95</v>
      </c>
      <c r="O540" s="197">
        <v>0.95</v>
      </c>
      <c r="P540" s="197">
        <v>0.95</v>
      </c>
      <c r="Q540" s="197">
        <v>0.95</v>
      </c>
      <c r="R540" s="197">
        <v>0.95</v>
      </c>
      <c r="S540" s="197">
        <v>0.95</v>
      </c>
      <c r="T540" s="197">
        <v>0.95</v>
      </c>
      <c r="U540" s="197">
        <v>0.95</v>
      </c>
      <c r="V540" s="220">
        <f>$AG540</f>
        <v>0.95</v>
      </c>
      <c r="W540" s="250">
        <f t="shared" ref="W540:AF540" si="3074">$AG540</f>
        <v>0.95</v>
      </c>
      <c r="X540" s="250">
        <f t="shared" si="3074"/>
        <v>0.95</v>
      </c>
      <c r="Y540" s="250">
        <f t="shared" si="3074"/>
        <v>0.95</v>
      </c>
      <c r="Z540" s="250">
        <f t="shared" si="3074"/>
        <v>0.95</v>
      </c>
      <c r="AA540" s="250">
        <f t="shared" si="3074"/>
        <v>0.95</v>
      </c>
      <c r="AB540" s="250">
        <f t="shared" si="3074"/>
        <v>0.95</v>
      </c>
      <c r="AC540" s="250">
        <f t="shared" si="3074"/>
        <v>0.95</v>
      </c>
      <c r="AD540" s="250">
        <f t="shared" si="3074"/>
        <v>0.95</v>
      </c>
      <c r="AE540" s="250">
        <f t="shared" si="3074"/>
        <v>0.95</v>
      </c>
      <c r="AF540" s="250">
        <f t="shared" si="3074"/>
        <v>0.95</v>
      </c>
      <c r="AG540" s="250">
        <v>0.95</v>
      </c>
      <c r="AH540" s="33">
        <v>0.95</v>
      </c>
      <c r="AI540" s="220">
        <v>0.95</v>
      </c>
      <c r="AJ540" s="220">
        <v>0.95</v>
      </c>
      <c r="AK540" s="412"/>
      <c r="AL540" s="55">
        <f>J540</f>
        <v>0.95</v>
      </c>
      <c r="AM540" s="55">
        <f t="shared" ref="AM540:AW540" si="3075">K540</f>
        <v>0.95</v>
      </c>
      <c r="AN540" s="55">
        <f t="shared" si="3075"/>
        <v>0.95</v>
      </c>
      <c r="AO540" s="55">
        <f t="shared" si="3075"/>
        <v>0.95</v>
      </c>
      <c r="AP540" s="55">
        <f t="shared" si="3075"/>
        <v>0.95</v>
      </c>
      <c r="AQ540" s="55">
        <f t="shared" si="3075"/>
        <v>0.95</v>
      </c>
      <c r="AR540" s="55">
        <f t="shared" si="3075"/>
        <v>0.95</v>
      </c>
      <c r="AS540" s="55">
        <f t="shared" si="3075"/>
        <v>0.95</v>
      </c>
      <c r="AT540" s="55">
        <f t="shared" si="3075"/>
        <v>0.95</v>
      </c>
      <c r="AU540" s="55">
        <f t="shared" si="3075"/>
        <v>0.95</v>
      </c>
      <c r="AV540" s="55">
        <f t="shared" si="3075"/>
        <v>0.95</v>
      </c>
      <c r="AW540" s="55">
        <f t="shared" si="3075"/>
        <v>0.95</v>
      </c>
      <c r="AX540" s="55">
        <f>V540</f>
        <v>0.95</v>
      </c>
      <c r="AY540" s="55">
        <f t="shared" ref="AY540:BI540" si="3076">W540</f>
        <v>0.95</v>
      </c>
      <c r="AZ540" s="55">
        <f t="shared" si="3076"/>
        <v>0.95</v>
      </c>
      <c r="BA540" s="55">
        <f t="shared" si="3076"/>
        <v>0.95</v>
      </c>
      <c r="BB540" s="55">
        <f t="shared" si="3076"/>
        <v>0.95</v>
      </c>
      <c r="BC540" s="55">
        <f t="shared" si="3076"/>
        <v>0.95</v>
      </c>
      <c r="BD540" s="55">
        <f t="shared" si="3076"/>
        <v>0.95</v>
      </c>
      <c r="BE540" s="55">
        <f t="shared" si="3076"/>
        <v>0.95</v>
      </c>
      <c r="BF540" s="55">
        <f t="shared" si="3076"/>
        <v>0.95</v>
      </c>
      <c r="BG540" s="55">
        <f t="shared" si="3076"/>
        <v>0.95</v>
      </c>
      <c r="BH540" s="55">
        <f t="shared" si="3076"/>
        <v>0.95</v>
      </c>
      <c r="BI540" s="55">
        <f t="shared" si="3076"/>
        <v>0.95</v>
      </c>
      <c r="BJ540" s="55">
        <f>AH540</f>
        <v>0.95</v>
      </c>
      <c r="BK540" s="55">
        <f>AI540</f>
        <v>0.95</v>
      </c>
      <c r="BL540" s="55">
        <f>AJ540</f>
        <v>0.95</v>
      </c>
      <c r="BM540" s="410"/>
      <c r="BN540" s="56">
        <f t="shared" si="3029"/>
        <v>0.95</v>
      </c>
      <c r="BO540" s="56">
        <f t="shared" si="3030"/>
        <v>0.95</v>
      </c>
      <c r="BP540" s="56">
        <f>(AL540*AL539+AM540*AM539+AN540*AN539)/BP539</f>
        <v>0.95</v>
      </c>
      <c r="BQ540" s="56">
        <f t="shared" si="3032"/>
        <v>0.95</v>
      </c>
      <c r="BR540" s="56">
        <f t="shared" si="3033"/>
        <v>0.95</v>
      </c>
      <c r="BS540" s="56">
        <f>(AO540*AO539+AP540*AP539+AQ540*AQ539)/BS539</f>
        <v>0.95</v>
      </c>
      <c r="BT540" s="56">
        <f t="shared" si="3035"/>
        <v>0.95</v>
      </c>
      <c r="BU540" s="56">
        <f t="shared" si="3036"/>
        <v>0.95</v>
      </c>
      <c r="BV540" s="56">
        <f>(AR540*AR539+AS540*AS539+AT540*AT539)/BV539</f>
        <v>0.95</v>
      </c>
      <c r="BW540" s="56">
        <f t="shared" si="3038"/>
        <v>0.95</v>
      </c>
      <c r="BX540" s="56">
        <f t="shared" si="3039"/>
        <v>0.95</v>
      </c>
      <c r="BY540" s="56">
        <f>(AU540*AU539+AV540*AV539+AW540*AW539)/BY539</f>
        <v>0.95</v>
      </c>
      <c r="BZ540" s="56">
        <f t="shared" si="3041"/>
        <v>0.95</v>
      </c>
      <c r="CA540" s="56">
        <f t="shared" si="3042"/>
        <v>0.95</v>
      </c>
      <c r="CB540" s="48">
        <f t="shared" si="3065"/>
        <v>0.95</v>
      </c>
      <c r="CC540" s="56">
        <f t="shared" si="3043"/>
        <v>2.8499999999999996</v>
      </c>
      <c r="CD540" s="56">
        <f t="shared" si="3044"/>
        <v>2.8499999999999996</v>
      </c>
      <c r="CE540" s="48">
        <f>SUM(BA540:BC540)</f>
        <v>2.8499999999999996</v>
      </c>
      <c r="CF540" s="56">
        <f t="shared" si="3046"/>
        <v>2.8499999999999996</v>
      </c>
      <c r="CG540" s="56">
        <f t="shared" si="3047"/>
        <v>2.8499999999999996</v>
      </c>
      <c r="CH540" s="48">
        <f>SUM(BD540:BF540)</f>
        <v>2.8499999999999996</v>
      </c>
      <c r="CI540" s="56">
        <f t="shared" si="3049"/>
        <v>2.8499999999999996</v>
      </c>
      <c r="CJ540" s="56">
        <f t="shared" si="3050"/>
        <v>2.8499999999999996</v>
      </c>
      <c r="CK540" s="48">
        <f>SUM(BG540:BI540)</f>
        <v>2.8499999999999996</v>
      </c>
      <c r="CL540" s="56">
        <v>0.95</v>
      </c>
      <c r="CM540" s="56">
        <v>0.95</v>
      </c>
      <c r="CN540" s="56">
        <v>0.95</v>
      </c>
      <c r="CO540" s="422"/>
      <c r="CP540" s="56">
        <f t="shared" ref="CP540:DA540" si="3077">CP553/CP539</f>
        <v>0.95</v>
      </c>
      <c r="CQ540" s="56">
        <f t="shared" si="3077"/>
        <v>0.95</v>
      </c>
      <c r="CR540" s="56">
        <f t="shared" si="3077"/>
        <v>0.95</v>
      </c>
      <c r="CS540" s="56">
        <f t="shared" si="3077"/>
        <v>0.95</v>
      </c>
      <c r="CT540" s="56">
        <f t="shared" si="3077"/>
        <v>0.95</v>
      </c>
      <c r="CU540" s="56">
        <f t="shared" si="3077"/>
        <v>0.95</v>
      </c>
      <c r="CV540" s="56">
        <f t="shared" si="3077"/>
        <v>0.95</v>
      </c>
      <c r="CW540" s="56">
        <f t="shared" si="3077"/>
        <v>0.95</v>
      </c>
      <c r="CX540" s="56">
        <f t="shared" si="3077"/>
        <v>0.95</v>
      </c>
      <c r="CY540" s="56">
        <f t="shared" si="3077"/>
        <v>0.95</v>
      </c>
      <c r="CZ540" s="56">
        <f t="shared" si="3077"/>
        <v>0.95</v>
      </c>
      <c r="DA540" s="56">
        <f t="shared" si="3077"/>
        <v>0.95</v>
      </c>
      <c r="DB540" s="56">
        <f t="shared" ref="DB540:DP540" si="3078">DA540</f>
        <v>0.95</v>
      </c>
      <c r="DC540" s="56">
        <f t="shared" si="3078"/>
        <v>0.95</v>
      </c>
      <c r="DD540" s="56">
        <f t="shared" si="3078"/>
        <v>0.95</v>
      </c>
      <c r="DE540" s="56">
        <f t="shared" si="3078"/>
        <v>0.95</v>
      </c>
      <c r="DF540" s="56">
        <f t="shared" si="3078"/>
        <v>0.95</v>
      </c>
      <c r="DG540" s="56">
        <f t="shared" si="3078"/>
        <v>0.95</v>
      </c>
      <c r="DH540" s="56">
        <f t="shared" si="3078"/>
        <v>0.95</v>
      </c>
      <c r="DI540" s="56">
        <f t="shared" si="3078"/>
        <v>0.95</v>
      </c>
      <c r="DJ540" s="56">
        <f t="shared" si="3078"/>
        <v>0.95</v>
      </c>
      <c r="DK540" s="56">
        <f t="shared" si="3078"/>
        <v>0.95</v>
      </c>
      <c r="DL540" s="56">
        <f t="shared" si="3078"/>
        <v>0.95</v>
      </c>
      <c r="DM540" s="56">
        <f t="shared" si="3078"/>
        <v>0.95</v>
      </c>
      <c r="DN540" s="56">
        <f t="shared" si="3078"/>
        <v>0.95</v>
      </c>
      <c r="DO540" s="56">
        <f t="shared" si="3078"/>
        <v>0.95</v>
      </c>
      <c r="DP540" s="56">
        <f t="shared" si="3078"/>
        <v>0.95</v>
      </c>
      <c r="DQ540" s="56"/>
      <c r="DR540" s="56"/>
      <c r="DS540" s="56"/>
      <c r="DT540" s="56"/>
      <c r="DU540" s="56"/>
      <c r="DV540" s="56"/>
      <c r="DW540" s="56"/>
      <c r="DX540" s="56"/>
      <c r="DY540" s="56"/>
      <c r="EA540" s="55">
        <f t="shared" si="3062"/>
        <v>0.95</v>
      </c>
      <c r="EB540" s="55">
        <f t="shared" si="3063"/>
        <v>0.95</v>
      </c>
      <c r="EC540" s="55"/>
      <c r="ED540" s="430"/>
      <c r="EE540" s="56">
        <f t="shared" si="3026"/>
        <v>0.95</v>
      </c>
      <c r="EF540" s="56">
        <f t="shared" si="3027"/>
        <v>0.95</v>
      </c>
      <c r="EG540" s="56">
        <f t="shared" si="3073"/>
        <v>0.95</v>
      </c>
      <c r="EH540" s="57"/>
      <c r="EI540" s="57"/>
      <c r="EJ540" s="57"/>
      <c r="EK540" s="675"/>
      <c r="EL540" s="55"/>
      <c r="EM540" s="55"/>
      <c r="EN540" s="55"/>
      <c r="EO540" s="49"/>
      <c r="EP540" s="49"/>
      <c r="EQ540" s="49"/>
    </row>
    <row r="541" spans="1:149">
      <c r="A541" s="6" t="s">
        <v>23</v>
      </c>
      <c r="B541" s="2" t="s">
        <v>8</v>
      </c>
      <c r="C541" s="3" t="s">
        <v>86</v>
      </c>
      <c r="E541" s="3" t="s">
        <v>16</v>
      </c>
      <c r="G541" s="3" t="s">
        <v>91</v>
      </c>
      <c r="I541" s="195"/>
      <c r="J541" s="192">
        <v>3.3333333333333335</v>
      </c>
      <c r="K541" s="192">
        <v>6.6666666633333334</v>
      </c>
      <c r="L541" s="192">
        <v>9.9999999933333328</v>
      </c>
      <c r="M541" s="192">
        <v>13.333333323333333</v>
      </c>
      <c r="N541" s="192">
        <v>16.666666653333333</v>
      </c>
      <c r="O541" s="192">
        <v>19.999999983333332</v>
      </c>
      <c r="P541" s="192">
        <v>23.33333331333333</v>
      </c>
      <c r="Q541" s="192">
        <v>26.666666643333329</v>
      </c>
      <c r="R541" s="192">
        <v>29.999999973333328</v>
      </c>
      <c r="S541" s="192">
        <v>33.333333303333326</v>
      </c>
      <c r="T541" s="192">
        <v>36.666666633333328</v>
      </c>
      <c r="U541" s="192">
        <v>39.99999996333333</v>
      </c>
      <c r="V541" s="219">
        <v>2.9159999999999999</v>
      </c>
      <c r="W541" s="246">
        <f>V541+2.916</f>
        <v>5.8319999999999999</v>
      </c>
      <c r="X541" s="376">
        <f t="shared" ref="X541:AG541" si="3079">W541+2.916</f>
        <v>8.7479999999999993</v>
      </c>
      <c r="Y541" s="376">
        <f t="shared" si="3079"/>
        <v>11.664</v>
      </c>
      <c r="Z541" s="376">
        <f t="shared" si="3079"/>
        <v>14.58</v>
      </c>
      <c r="AA541" s="376">
        <f t="shared" si="3079"/>
        <v>17.495999999999999</v>
      </c>
      <c r="AB541" s="376">
        <f t="shared" si="3079"/>
        <v>20.411999999999999</v>
      </c>
      <c r="AC541" s="376">
        <f t="shared" si="3079"/>
        <v>23.327999999999999</v>
      </c>
      <c r="AD541" s="376">
        <f t="shared" si="3079"/>
        <v>26.244</v>
      </c>
      <c r="AE541" s="376">
        <f t="shared" si="3079"/>
        <v>29.16</v>
      </c>
      <c r="AF541" s="376">
        <f t="shared" si="3079"/>
        <v>32.076000000000001</v>
      </c>
      <c r="AG541" s="189">
        <f t="shared" si="3079"/>
        <v>34.991999999999997</v>
      </c>
      <c r="AH541" s="31"/>
      <c r="AI541" s="19"/>
      <c r="AJ541" s="19"/>
      <c r="AK541" s="408"/>
      <c r="AL541" s="40">
        <f>J541</f>
        <v>3.3333333333333335</v>
      </c>
      <c r="AM541" s="40">
        <f>K541-J541</f>
        <v>3.3333333299999999</v>
      </c>
      <c r="AN541" s="40">
        <f t="shared" ref="AN541:AN547" si="3080">L541-K541</f>
        <v>3.3333333299999994</v>
      </c>
      <c r="AO541" s="40">
        <f t="shared" ref="AO541:AO547" si="3081">M541-L541</f>
        <v>3.3333333300000003</v>
      </c>
      <c r="AP541" s="40">
        <f t="shared" ref="AP541:AP547" si="3082">N541-M541</f>
        <v>3.3333333300000003</v>
      </c>
      <c r="AQ541" s="40">
        <f t="shared" ref="AQ541:AQ547" si="3083">O541-N541</f>
        <v>3.3333333299999985</v>
      </c>
      <c r="AR541" s="40">
        <f t="shared" ref="AR541:AR547" si="3084">P541-O541</f>
        <v>3.3333333299999985</v>
      </c>
      <c r="AS541" s="40">
        <f t="shared" ref="AS541:AS547" si="3085">Q541-P541</f>
        <v>3.3333333299999985</v>
      </c>
      <c r="AT541" s="40">
        <f t="shared" ref="AT541:AT547" si="3086">R541-Q541</f>
        <v>3.3333333299999985</v>
      </c>
      <c r="AU541" s="40">
        <f t="shared" ref="AU541:AU547" si="3087">S541-R541</f>
        <v>3.3333333299999985</v>
      </c>
      <c r="AV541" s="40">
        <f t="shared" ref="AV541:AV547" si="3088">T541-S541</f>
        <v>3.3333333300000021</v>
      </c>
      <c r="AW541" s="40">
        <f t="shared" ref="AW541:AW547" si="3089">U541-T541</f>
        <v>3.3333333300000021</v>
      </c>
      <c r="AX541" s="40">
        <v>2.9159999999999999</v>
      </c>
      <c r="AY541" s="40">
        <v>2.9159999999999999</v>
      </c>
      <c r="AZ541" s="40">
        <v>2.9159999999999999</v>
      </c>
      <c r="BA541" s="40">
        <v>2.9159999999999999</v>
      </c>
      <c r="BB541" s="40">
        <v>2.9159999999999999</v>
      </c>
      <c r="BC541" s="40">
        <v>2.9159999999999999</v>
      </c>
      <c r="BD541" s="40">
        <v>2.9159999999999999</v>
      </c>
      <c r="BE541" s="40">
        <v>2.9159999999999999</v>
      </c>
      <c r="BF541" s="40">
        <v>2.9159999999999999</v>
      </c>
      <c r="BG541" s="40">
        <v>2.9159999999999999</v>
      </c>
      <c r="BH541" s="40">
        <v>2.9159999999999999</v>
      </c>
      <c r="BI541" s="40">
        <v>2.9159999999999999</v>
      </c>
      <c r="BJ541" s="40">
        <f t="shared" ref="BJ541:BJ546" si="3090">AH541</f>
        <v>0</v>
      </c>
      <c r="BK541" s="40">
        <f t="shared" ref="BK541:BK547" si="3091">AI541-AH541</f>
        <v>0</v>
      </c>
      <c r="BL541" s="40">
        <f t="shared" ref="BL541:BL547" si="3092">AJ541-AI541</f>
        <v>0</v>
      </c>
      <c r="BM541" s="408"/>
      <c r="BN541" s="48">
        <f t="shared" si="3029"/>
        <v>9.9999999933333328</v>
      </c>
      <c r="BO541" s="48">
        <f t="shared" si="3030"/>
        <v>9.9999999933333328</v>
      </c>
      <c r="BP541" s="48">
        <f t="shared" ref="BP541:BP546" si="3093">SUM(AL541:AN541)</f>
        <v>9.9999999933333328</v>
      </c>
      <c r="BQ541" s="48">
        <f t="shared" si="3032"/>
        <v>9.9999999899999992</v>
      </c>
      <c r="BR541" s="48">
        <f t="shared" si="3033"/>
        <v>9.9999999899999992</v>
      </c>
      <c r="BS541" s="48">
        <f t="shared" ref="BS541:BS547" si="3094">SUM(AO541:AQ541)</f>
        <v>9.9999999899999992</v>
      </c>
      <c r="BT541" s="48">
        <f t="shared" si="3035"/>
        <v>9.9999999899999956</v>
      </c>
      <c r="BU541" s="48">
        <f t="shared" si="3036"/>
        <v>9.9999999899999956</v>
      </c>
      <c r="BV541" s="48">
        <f t="shared" ref="BV541:BV547" si="3095">SUM(AR541:AT541)</f>
        <v>9.9999999899999956</v>
      </c>
      <c r="BW541" s="48">
        <f t="shared" si="3038"/>
        <v>9.9999999900000027</v>
      </c>
      <c r="BX541" s="48">
        <f t="shared" si="3039"/>
        <v>9.9999999900000027</v>
      </c>
      <c r="BY541" s="48">
        <f t="shared" ref="BY541:BY547" si="3096">SUM(AU541:AW541)</f>
        <v>9.9999999900000027</v>
      </c>
      <c r="BZ541" s="48">
        <f>35/12*3</f>
        <v>8.75</v>
      </c>
      <c r="CA541" s="48">
        <f>35/12*3</f>
        <v>8.75</v>
      </c>
      <c r="CB541" s="48">
        <f t="shared" si="3065"/>
        <v>8.7479999999999993</v>
      </c>
      <c r="CC541" s="48">
        <f>CB541*2</f>
        <v>17.495999999999999</v>
      </c>
      <c r="CD541" s="48">
        <f>CB541*2</f>
        <v>17.495999999999999</v>
      </c>
      <c r="CE541" s="48">
        <f>SUM(BA541:BC541)</f>
        <v>8.7479999999999993</v>
      </c>
      <c r="CF541" s="48">
        <f t="shared" si="3046"/>
        <v>8.7479999999999993</v>
      </c>
      <c r="CG541" s="48">
        <f t="shared" si="3047"/>
        <v>8.7479999999999993</v>
      </c>
      <c r="CH541" s="48">
        <f>SUM(BD541:BF541)</f>
        <v>8.7479999999999993</v>
      </c>
      <c r="CI541" s="48">
        <f t="shared" si="3049"/>
        <v>8.7479999999999993</v>
      </c>
      <c r="CJ541" s="48">
        <f t="shared" si="3050"/>
        <v>8.7479999999999993</v>
      </c>
      <c r="CK541" s="48">
        <f>SUM(BG541:BI541)</f>
        <v>8.7479999999999993</v>
      </c>
      <c r="CL541" s="48">
        <f t="shared" si="3052"/>
        <v>0</v>
      </c>
      <c r="CM541" s="48">
        <f t="shared" si="3053"/>
        <v>0</v>
      </c>
      <c r="CN541" s="48">
        <f>SUM(BJ541:BL541)</f>
        <v>0</v>
      </c>
      <c r="CO541" s="406"/>
      <c r="CP541" s="48">
        <f>AL541</f>
        <v>3.3333333333333335</v>
      </c>
      <c r="CQ541" s="48">
        <f t="shared" ref="CQ541:CQ547" si="3097">CP541+AM541</f>
        <v>6.6666666633333334</v>
      </c>
      <c r="CR541" s="48">
        <f t="shared" ref="CR541:CR547" si="3098">CQ541+AN541</f>
        <v>9.9999999933333328</v>
      </c>
      <c r="CS541" s="48">
        <f t="shared" ref="CS541:CS547" si="3099">CR541+AO541</f>
        <v>13.333333323333333</v>
      </c>
      <c r="CT541" s="48">
        <f t="shared" ref="CT541:CT547" si="3100">CS541+AP541</f>
        <v>16.666666653333333</v>
      </c>
      <c r="CU541" s="48">
        <f t="shared" ref="CU541:CU547" si="3101">CT541+AQ541</f>
        <v>19.999999983333332</v>
      </c>
      <c r="CV541" s="48">
        <f t="shared" ref="CV541:CV547" si="3102">CU541+AR541</f>
        <v>23.33333331333333</v>
      </c>
      <c r="CW541" s="48">
        <f t="shared" ref="CW541:CW547" si="3103">CV541+AS541</f>
        <v>26.666666643333329</v>
      </c>
      <c r="CX541" s="48">
        <f t="shared" ref="CX541:CX547" si="3104">CW541+AT541</f>
        <v>29.999999973333328</v>
      </c>
      <c r="CY541" s="48">
        <f t="shared" ref="CY541:CY547" si="3105">CX541+AU541</f>
        <v>33.333333303333326</v>
      </c>
      <c r="CZ541" s="48">
        <f t="shared" ref="CZ541:CZ547" si="3106">CY541+AV541</f>
        <v>36.666666633333328</v>
      </c>
      <c r="DA541" s="48">
        <f t="shared" ref="DA541:DA547" si="3107">CZ541+AW541</f>
        <v>39.99999996333333</v>
      </c>
      <c r="DB541" s="48">
        <f>35/12</f>
        <v>2.9166666666666665</v>
      </c>
      <c r="DC541" s="48">
        <f>DB541+2.916</f>
        <v>5.8326666666666664</v>
      </c>
      <c r="DD541" s="48">
        <f t="shared" ref="DD541:DM541" si="3108">DC541+2.916</f>
        <v>8.7486666666666668</v>
      </c>
      <c r="DE541" s="48">
        <f t="shared" si="3108"/>
        <v>11.664666666666667</v>
      </c>
      <c r="DF541" s="48">
        <f t="shared" si="3108"/>
        <v>14.580666666666668</v>
      </c>
      <c r="DG541" s="48">
        <f t="shared" si="3108"/>
        <v>17.496666666666666</v>
      </c>
      <c r="DH541" s="48">
        <f t="shared" si="3108"/>
        <v>20.412666666666667</v>
      </c>
      <c r="DI541" s="48">
        <f t="shared" si="3108"/>
        <v>23.328666666666667</v>
      </c>
      <c r="DJ541" s="48">
        <f t="shared" si="3108"/>
        <v>26.244666666666667</v>
      </c>
      <c r="DK541" s="48">
        <f t="shared" si="3108"/>
        <v>29.160666666666668</v>
      </c>
      <c r="DL541" s="48">
        <f t="shared" si="3108"/>
        <v>32.076666666666668</v>
      </c>
      <c r="DM541" s="48">
        <f t="shared" si="3108"/>
        <v>34.992666666666665</v>
      </c>
      <c r="DN541" s="48">
        <f t="shared" ref="DN541:DN546" si="3109">BJ541</f>
        <v>0</v>
      </c>
      <c r="DO541" s="48">
        <f>DN541+BK541</f>
        <v>0</v>
      </c>
      <c r="DP541" s="48">
        <f>DO541+BL541</f>
        <v>0</v>
      </c>
      <c r="DQ541" s="48"/>
      <c r="DR541" s="48"/>
      <c r="DS541" s="48"/>
      <c r="DT541" s="48"/>
      <c r="DU541" s="48"/>
      <c r="DV541" s="48"/>
      <c r="DW541" s="48"/>
      <c r="DX541" s="48"/>
      <c r="DY541" s="48"/>
      <c r="EA541" s="52">
        <f t="shared" si="3062"/>
        <v>39.99999996333333</v>
      </c>
      <c r="EB541" s="52">
        <f t="shared" si="3063"/>
        <v>34.992666666666665</v>
      </c>
      <c r="EC541" s="52"/>
      <c r="ED541" s="429"/>
      <c r="EE541" s="40">
        <f t="shared" si="3026"/>
        <v>0</v>
      </c>
      <c r="EF541" s="40">
        <f t="shared" si="3027"/>
        <v>0</v>
      </c>
      <c r="EG541" s="51">
        <f t="shared" si="3073"/>
        <v>34.992666666666665</v>
      </c>
      <c r="EH541" s="54"/>
      <c r="EI541" s="54"/>
      <c r="EJ541" s="54"/>
      <c r="EK541" s="675"/>
      <c r="EL541" s="53"/>
      <c r="EM541" s="53"/>
      <c r="EN541" s="53"/>
      <c r="EO541" s="49"/>
      <c r="EP541" s="49"/>
      <c r="EQ541" s="49"/>
    </row>
    <row r="542" spans="1:149">
      <c r="A542" s="6" t="s">
        <v>23</v>
      </c>
      <c r="B542" s="2" t="s">
        <v>9</v>
      </c>
      <c r="C542" s="3" t="s">
        <v>46</v>
      </c>
      <c r="E542" s="3" t="s">
        <v>16</v>
      </c>
      <c r="G542" s="3" t="s">
        <v>91</v>
      </c>
      <c r="I542" s="195">
        <f>2704/12</f>
        <v>225.33333333333334</v>
      </c>
      <c r="J542" s="192">
        <v>248.25</v>
      </c>
      <c r="K542" s="192">
        <v>496.5</v>
      </c>
      <c r="L542" s="192">
        <v>744.75</v>
      </c>
      <c r="M542" s="192">
        <v>993</v>
      </c>
      <c r="N542" s="192">
        <v>1241.25</v>
      </c>
      <c r="O542" s="192">
        <v>1489.5</v>
      </c>
      <c r="P542" s="192">
        <v>1737.75</v>
      </c>
      <c r="Q542" s="192">
        <v>1986</v>
      </c>
      <c r="R542" s="192">
        <v>2234.25</v>
      </c>
      <c r="S542" s="192">
        <v>2482.5</v>
      </c>
      <c r="T542" s="192">
        <v>2730.75</v>
      </c>
      <c r="U542" s="192">
        <v>2979</v>
      </c>
      <c r="V542" s="219">
        <v>187.5</v>
      </c>
      <c r="W542" s="246">
        <f>V542+187.5</f>
        <v>375</v>
      </c>
      <c r="X542" s="376">
        <f t="shared" ref="X542:AG542" si="3110">W542+187.5</f>
        <v>562.5</v>
      </c>
      <c r="Y542" s="376">
        <f t="shared" si="3110"/>
        <v>750</v>
      </c>
      <c r="Z542" s="376">
        <f t="shared" si="3110"/>
        <v>937.5</v>
      </c>
      <c r="AA542" s="376">
        <f t="shared" si="3110"/>
        <v>1125</v>
      </c>
      <c r="AB542" s="376">
        <f t="shared" si="3110"/>
        <v>1312.5</v>
      </c>
      <c r="AC542" s="376">
        <f t="shared" si="3110"/>
        <v>1500</v>
      </c>
      <c r="AD542" s="376">
        <f t="shared" si="3110"/>
        <v>1687.5</v>
      </c>
      <c r="AE542" s="376">
        <f t="shared" si="3110"/>
        <v>1875</v>
      </c>
      <c r="AF542" s="376">
        <f t="shared" si="3110"/>
        <v>2062.5</v>
      </c>
      <c r="AG542" s="376">
        <f t="shared" si="3110"/>
        <v>2250</v>
      </c>
      <c r="AH542" s="31">
        <f>1760/12</f>
        <v>146.66666666666666</v>
      </c>
      <c r="AI542" s="19">
        <f>AH542+AH542</f>
        <v>293.33333333333331</v>
      </c>
      <c r="AJ542" s="19">
        <f>+AI542+AH542</f>
        <v>440</v>
      </c>
      <c r="AK542" s="408"/>
      <c r="AL542" s="40">
        <f t="shared" ref="AL542:AL547" si="3111">J542</f>
        <v>248.25</v>
      </c>
      <c r="AM542" s="40">
        <f t="shared" ref="AM542:AM547" si="3112">K542-J542</f>
        <v>248.25</v>
      </c>
      <c r="AN542" s="40">
        <f t="shared" si="3080"/>
        <v>248.25</v>
      </c>
      <c r="AO542" s="40">
        <f t="shared" si="3081"/>
        <v>248.25</v>
      </c>
      <c r="AP542" s="40">
        <f t="shared" si="3082"/>
        <v>248.25</v>
      </c>
      <c r="AQ542" s="40">
        <f t="shared" si="3083"/>
        <v>248.25</v>
      </c>
      <c r="AR542" s="40">
        <f t="shared" si="3084"/>
        <v>248.25</v>
      </c>
      <c r="AS542" s="40">
        <f t="shared" si="3085"/>
        <v>248.25</v>
      </c>
      <c r="AT542" s="40">
        <f t="shared" si="3086"/>
        <v>248.25</v>
      </c>
      <c r="AU542" s="40">
        <f t="shared" si="3087"/>
        <v>248.25</v>
      </c>
      <c r="AV542" s="40">
        <f t="shared" si="3088"/>
        <v>248.25</v>
      </c>
      <c r="AW542" s="40">
        <f t="shared" si="3089"/>
        <v>248.25</v>
      </c>
      <c r="AX542" s="40">
        <f t="shared" ref="AX542:AX547" si="3113">V542</f>
        <v>187.5</v>
      </c>
      <c r="AY542" s="40">
        <f t="shared" ref="AY542:AY547" si="3114">W542-V542</f>
        <v>187.5</v>
      </c>
      <c r="AZ542" s="40">
        <f t="shared" ref="AY542:AZ547" si="3115">X542-W542</f>
        <v>187.5</v>
      </c>
      <c r="BA542" s="40">
        <f t="shared" ref="BA542:BA547" si="3116">Y542-X542</f>
        <v>187.5</v>
      </c>
      <c r="BB542" s="40">
        <f t="shared" ref="BB542:BB547" si="3117">Z542-Y542</f>
        <v>187.5</v>
      </c>
      <c r="BC542" s="40">
        <f t="shared" ref="BC542:BC547" si="3118">AA542-Z542</f>
        <v>187.5</v>
      </c>
      <c r="BD542" s="40">
        <f t="shared" ref="BD542:BD547" si="3119">AB542-AA542</f>
        <v>187.5</v>
      </c>
      <c r="BE542" s="40">
        <f t="shared" ref="BE542:BE547" si="3120">AC542-AB542</f>
        <v>187.5</v>
      </c>
      <c r="BF542" s="40">
        <f t="shared" ref="BF542:BF547" si="3121">AD542-AC542</f>
        <v>187.5</v>
      </c>
      <c r="BG542" s="40">
        <f t="shared" ref="BG542:BG547" si="3122">AE542-AD542</f>
        <v>187.5</v>
      </c>
      <c r="BH542" s="40">
        <f t="shared" ref="BH542:BH547" si="3123">AF542-AE542</f>
        <v>187.5</v>
      </c>
      <c r="BI542" s="40">
        <f t="shared" ref="BI542:BI547" si="3124">AG542-AF542</f>
        <v>187.5</v>
      </c>
      <c r="BJ542" s="40">
        <f t="shared" si="3090"/>
        <v>146.66666666666666</v>
      </c>
      <c r="BK542" s="40">
        <f t="shared" si="3091"/>
        <v>146.66666666666666</v>
      </c>
      <c r="BL542" s="40">
        <f t="shared" si="3092"/>
        <v>146.66666666666669</v>
      </c>
      <c r="BM542" s="408"/>
      <c r="BN542" s="48">
        <f t="shared" si="3029"/>
        <v>744.75</v>
      </c>
      <c r="BO542" s="48">
        <f t="shared" si="3030"/>
        <v>744.75</v>
      </c>
      <c r="BP542" s="48">
        <f t="shared" si="3093"/>
        <v>744.75</v>
      </c>
      <c r="BQ542" s="48">
        <f t="shared" si="3032"/>
        <v>744.75</v>
      </c>
      <c r="BR542" s="48">
        <f t="shared" si="3033"/>
        <v>744.75</v>
      </c>
      <c r="BS542" s="48">
        <f t="shared" si="3094"/>
        <v>744.75</v>
      </c>
      <c r="BT542" s="48">
        <f t="shared" si="3035"/>
        <v>744.75</v>
      </c>
      <c r="BU542" s="48">
        <f t="shared" si="3036"/>
        <v>744.75</v>
      </c>
      <c r="BV542" s="48">
        <f t="shared" si="3095"/>
        <v>744.75</v>
      </c>
      <c r="BW542" s="48">
        <f t="shared" si="3038"/>
        <v>744.75</v>
      </c>
      <c r="BX542" s="48">
        <f t="shared" si="3039"/>
        <v>744.75</v>
      </c>
      <c r="BY542" s="48">
        <f t="shared" si="3096"/>
        <v>744.75</v>
      </c>
      <c r="BZ542" s="48">
        <f t="shared" si="3041"/>
        <v>562.5</v>
      </c>
      <c r="CA542" s="48">
        <f t="shared" si="3042"/>
        <v>562.5</v>
      </c>
      <c r="CB542" s="48">
        <f t="shared" si="3065"/>
        <v>562.5</v>
      </c>
      <c r="CC542" s="48">
        <f t="shared" si="3043"/>
        <v>187.50000000000003</v>
      </c>
      <c r="CD542" s="48">
        <f t="shared" si="3044"/>
        <v>187.50000000000003</v>
      </c>
      <c r="CE542" s="56">
        <f>IF(CE541=0,0,(BA542*BA541+BB542*BB541+BC542*BC541)/CE541)</f>
        <v>187.50000000000003</v>
      </c>
      <c r="CF542" s="48">
        <f t="shared" si="3046"/>
        <v>187.50000000000003</v>
      </c>
      <c r="CG542" s="48">
        <f t="shared" si="3047"/>
        <v>187.50000000000003</v>
      </c>
      <c r="CH542" s="56">
        <f>IF(CH541=0,0,(BD542*BD541+BE542*BE541+BF542*BF541)/CH541)</f>
        <v>187.50000000000003</v>
      </c>
      <c r="CI542" s="48">
        <f t="shared" si="3049"/>
        <v>187.50000000000003</v>
      </c>
      <c r="CJ542" s="48">
        <f t="shared" si="3050"/>
        <v>187.50000000000003</v>
      </c>
      <c r="CK542" s="56">
        <f>IF(CK541=0,0,(BG542*BG541+BH542*BH541+BI542*BI541)/CK541)</f>
        <v>187.50000000000003</v>
      </c>
      <c r="CL542" s="48">
        <f t="shared" si="3052"/>
        <v>676</v>
      </c>
      <c r="CM542" s="48">
        <f t="shared" si="3053"/>
        <v>676</v>
      </c>
      <c r="CN542" s="48">
        <f>2704/4</f>
        <v>676</v>
      </c>
      <c r="CO542" s="406"/>
      <c r="CP542" s="48">
        <f t="shared" ref="CP542:CP547" si="3125">AL542</f>
        <v>248.25</v>
      </c>
      <c r="CQ542" s="48">
        <f t="shared" si="3097"/>
        <v>496.5</v>
      </c>
      <c r="CR542" s="48">
        <f t="shared" si="3098"/>
        <v>744.75</v>
      </c>
      <c r="CS542" s="48">
        <f t="shared" si="3099"/>
        <v>993</v>
      </c>
      <c r="CT542" s="48">
        <f t="shared" si="3100"/>
        <v>1241.25</v>
      </c>
      <c r="CU542" s="48">
        <f t="shared" si="3101"/>
        <v>1489.5</v>
      </c>
      <c r="CV542" s="48">
        <f t="shared" si="3102"/>
        <v>1737.75</v>
      </c>
      <c r="CW542" s="48">
        <f t="shared" si="3103"/>
        <v>1986</v>
      </c>
      <c r="CX542" s="48">
        <f t="shared" si="3104"/>
        <v>2234.25</v>
      </c>
      <c r="CY542" s="48">
        <f t="shared" si="3105"/>
        <v>2482.5</v>
      </c>
      <c r="CZ542" s="48">
        <f t="shared" si="3106"/>
        <v>2730.75</v>
      </c>
      <c r="DA542" s="48">
        <f t="shared" si="3107"/>
        <v>2979</v>
      </c>
      <c r="DB542" s="48">
        <f t="shared" ref="DB542:DB547" si="3126">AX542</f>
        <v>187.5</v>
      </c>
      <c r="DC542" s="48">
        <f t="shared" ref="DC542:DC547" si="3127">DB542+AY542</f>
        <v>375</v>
      </c>
      <c r="DD542" s="48">
        <f t="shared" ref="DD542:DD547" si="3128">DC542+AZ542</f>
        <v>562.5</v>
      </c>
      <c r="DE542" s="48">
        <f t="shared" ref="DE542:DE547" si="3129">DD542+BA542</f>
        <v>750</v>
      </c>
      <c r="DF542" s="48">
        <f t="shared" ref="DF542:DF547" si="3130">DE542+BB542</f>
        <v>937.5</v>
      </c>
      <c r="DG542" s="48">
        <f t="shared" ref="DG542:DG547" si="3131">DF542+BC542</f>
        <v>1125</v>
      </c>
      <c r="DH542" s="48">
        <f t="shared" ref="DH542:DH547" si="3132">DG542+BD542</f>
        <v>1312.5</v>
      </c>
      <c r="DI542" s="48">
        <f t="shared" ref="DI542:DI547" si="3133">DH542+BE542</f>
        <v>1500</v>
      </c>
      <c r="DJ542" s="48">
        <f t="shared" ref="DJ542:DJ547" si="3134">DI542+BF542</f>
        <v>1687.5</v>
      </c>
      <c r="DK542" s="48">
        <f t="shared" ref="DK542:DK547" si="3135">DJ542+BG542</f>
        <v>1875</v>
      </c>
      <c r="DL542" s="48">
        <f t="shared" ref="DL542:DL547" si="3136">DK542+BH542</f>
        <v>2062.5</v>
      </c>
      <c r="DM542" s="48">
        <f t="shared" ref="DM542:DM547" si="3137">DL542+BI542</f>
        <v>2250</v>
      </c>
      <c r="DN542" s="48">
        <f t="shared" si="3109"/>
        <v>146.66666666666666</v>
      </c>
      <c r="DO542" s="48">
        <f t="shared" ref="DO542:DO547" si="3138">DN542+BK542</f>
        <v>293.33333333333331</v>
      </c>
      <c r="DP542" s="48">
        <f t="shared" ref="DP542:DP547" si="3139">DO542+BL542</f>
        <v>440</v>
      </c>
      <c r="DQ542" s="48"/>
      <c r="DR542" s="48"/>
      <c r="DS542" s="48"/>
      <c r="DT542" s="48"/>
      <c r="DU542" s="48"/>
      <c r="DV542" s="48"/>
      <c r="DW542" s="48"/>
      <c r="DX542" s="48"/>
      <c r="DY542" s="48"/>
      <c r="EA542" s="52">
        <f t="shared" si="3062"/>
        <v>2979</v>
      </c>
      <c r="EB542" s="52">
        <f t="shared" si="3063"/>
        <v>2250</v>
      </c>
      <c r="EC542" s="52"/>
      <c r="ED542" s="429"/>
      <c r="EE542" s="40">
        <f t="shared" si="3026"/>
        <v>146.66666666666666</v>
      </c>
      <c r="EF542" s="40">
        <f t="shared" si="3027"/>
        <v>676</v>
      </c>
      <c r="EG542" s="51">
        <v>2704</v>
      </c>
      <c r="EH542" s="54"/>
      <c r="EI542" s="54"/>
      <c r="EJ542" s="54"/>
      <c r="EK542" s="675"/>
      <c r="EL542" s="53"/>
      <c r="EM542" s="53"/>
      <c r="EN542" s="53"/>
      <c r="EO542" s="49"/>
      <c r="EP542" s="49"/>
      <c r="EQ542" s="49"/>
    </row>
    <row r="543" spans="1:149">
      <c r="A543" s="6" t="s">
        <v>23</v>
      </c>
      <c r="B543" s="2" t="s">
        <v>10</v>
      </c>
      <c r="C543" s="3" t="s">
        <v>47</v>
      </c>
      <c r="E543" s="3" t="s">
        <v>16</v>
      </c>
      <c r="G543" s="3" t="s">
        <v>91</v>
      </c>
      <c r="I543" s="195"/>
      <c r="J543" s="192">
        <f>J542*0.06</f>
        <v>14.895</v>
      </c>
      <c r="K543" s="192">
        <f t="shared" ref="K543:U543" si="3140">K542*0.06</f>
        <v>29.79</v>
      </c>
      <c r="L543" s="192">
        <f t="shared" si="3140"/>
        <v>44.684999999999995</v>
      </c>
      <c r="M543" s="192">
        <f t="shared" si="3140"/>
        <v>59.58</v>
      </c>
      <c r="N543" s="192">
        <f t="shared" si="3140"/>
        <v>74.474999999999994</v>
      </c>
      <c r="O543" s="192">
        <f t="shared" si="3140"/>
        <v>89.36999999999999</v>
      </c>
      <c r="P543" s="192">
        <f t="shared" si="3140"/>
        <v>104.265</v>
      </c>
      <c r="Q543" s="192">
        <f t="shared" si="3140"/>
        <v>119.16</v>
      </c>
      <c r="R543" s="192">
        <f t="shared" si="3140"/>
        <v>134.05500000000001</v>
      </c>
      <c r="S543" s="192">
        <f t="shared" si="3140"/>
        <v>148.94999999999999</v>
      </c>
      <c r="T543" s="192">
        <f t="shared" si="3140"/>
        <v>163.845</v>
      </c>
      <c r="U543" s="192">
        <f t="shared" si="3140"/>
        <v>178.73999999999998</v>
      </c>
      <c r="V543" s="219">
        <v>18.75</v>
      </c>
      <c r="W543" s="246">
        <f>V543+18.75</f>
        <v>37.5</v>
      </c>
      <c r="X543" s="376">
        <f t="shared" ref="X543:AG543" si="3141">W543+18.75</f>
        <v>56.25</v>
      </c>
      <c r="Y543" s="376">
        <f t="shared" si="3141"/>
        <v>75</v>
      </c>
      <c r="Z543" s="376">
        <f t="shared" si="3141"/>
        <v>93.75</v>
      </c>
      <c r="AA543" s="376">
        <f t="shared" si="3141"/>
        <v>112.5</v>
      </c>
      <c r="AB543" s="376">
        <f t="shared" si="3141"/>
        <v>131.25</v>
      </c>
      <c r="AC543" s="376">
        <f t="shared" si="3141"/>
        <v>150</v>
      </c>
      <c r="AD543" s="376">
        <f t="shared" si="3141"/>
        <v>168.75</v>
      </c>
      <c r="AE543" s="376">
        <f t="shared" si="3141"/>
        <v>187.5</v>
      </c>
      <c r="AF543" s="376">
        <f t="shared" si="3141"/>
        <v>206.25</v>
      </c>
      <c r="AG543" s="376">
        <f t="shared" si="3141"/>
        <v>225</v>
      </c>
      <c r="AH543" s="31"/>
      <c r="AI543" s="19"/>
      <c r="AJ543" s="19"/>
      <c r="AK543" s="408"/>
      <c r="AL543" s="40">
        <f t="shared" si="3111"/>
        <v>14.895</v>
      </c>
      <c r="AM543" s="40">
        <f t="shared" si="3112"/>
        <v>14.895</v>
      </c>
      <c r="AN543" s="40">
        <f t="shared" si="3080"/>
        <v>14.894999999999996</v>
      </c>
      <c r="AO543" s="40">
        <f t="shared" si="3081"/>
        <v>14.895000000000003</v>
      </c>
      <c r="AP543" s="40">
        <f t="shared" si="3082"/>
        <v>14.894999999999996</v>
      </c>
      <c r="AQ543" s="40">
        <f t="shared" si="3083"/>
        <v>14.894999999999996</v>
      </c>
      <c r="AR543" s="40">
        <f t="shared" si="3084"/>
        <v>14.89500000000001</v>
      </c>
      <c r="AS543" s="40">
        <f t="shared" si="3085"/>
        <v>14.894999999999996</v>
      </c>
      <c r="AT543" s="40">
        <f t="shared" si="3086"/>
        <v>14.89500000000001</v>
      </c>
      <c r="AU543" s="40">
        <f t="shared" si="3087"/>
        <v>14.894999999999982</v>
      </c>
      <c r="AV543" s="40">
        <f t="shared" si="3088"/>
        <v>14.89500000000001</v>
      </c>
      <c r="AW543" s="40">
        <f t="shared" si="3089"/>
        <v>14.894999999999982</v>
      </c>
      <c r="AX543" s="40">
        <f t="shared" si="3113"/>
        <v>18.75</v>
      </c>
      <c r="AY543" s="40">
        <f t="shared" si="3114"/>
        <v>18.75</v>
      </c>
      <c r="AZ543" s="40">
        <f t="shared" si="3115"/>
        <v>18.75</v>
      </c>
      <c r="BA543" s="40">
        <f t="shared" si="3116"/>
        <v>18.75</v>
      </c>
      <c r="BB543" s="40">
        <f t="shared" si="3117"/>
        <v>18.75</v>
      </c>
      <c r="BC543" s="40">
        <f t="shared" si="3118"/>
        <v>18.75</v>
      </c>
      <c r="BD543" s="40">
        <f t="shared" si="3119"/>
        <v>18.75</v>
      </c>
      <c r="BE543" s="40">
        <f t="shared" si="3120"/>
        <v>18.75</v>
      </c>
      <c r="BF543" s="40">
        <f t="shared" si="3121"/>
        <v>18.75</v>
      </c>
      <c r="BG543" s="40">
        <f t="shared" si="3122"/>
        <v>18.75</v>
      </c>
      <c r="BH543" s="40">
        <f t="shared" si="3123"/>
        <v>18.75</v>
      </c>
      <c r="BI543" s="40">
        <f t="shared" si="3124"/>
        <v>18.75</v>
      </c>
      <c r="BJ543" s="40">
        <f t="shared" si="3090"/>
        <v>0</v>
      </c>
      <c r="BK543" s="40">
        <f t="shared" si="3091"/>
        <v>0</v>
      </c>
      <c r="BL543" s="40">
        <f t="shared" si="3092"/>
        <v>0</v>
      </c>
      <c r="BM543" s="408"/>
      <c r="BN543" s="48">
        <f t="shared" si="3029"/>
        <v>44.684999999999995</v>
      </c>
      <c r="BO543" s="48">
        <f t="shared" si="3030"/>
        <v>44.684999999999995</v>
      </c>
      <c r="BP543" s="48">
        <f t="shared" si="3093"/>
        <v>44.684999999999995</v>
      </c>
      <c r="BQ543" s="48">
        <f t="shared" si="3032"/>
        <v>44.684999999999995</v>
      </c>
      <c r="BR543" s="48">
        <f t="shared" si="3033"/>
        <v>44.684999999999995</v>
      </c>
      <c r="BS543" s="48">
        <f t="shared" si="3094"/>
        <v>44.684999999999995</v>
      </c>
      <c r="BT543" s="48">
        <f t="shared" si="3035"/>
        <v>44.685000000000016</v>
      </c>
      <c r="BU543" s="48">
        <f t="shared" si="3036"/>
        <v>44.685000000000016</v>
      </c>
      <c r="BV543" s="48">
        <f t="shared" si="3095"/>
        <v>44.685000000000016</v>
      </c>
      <c r="BW543" s="48">
        <f t="shared" si="3038"/>
        <v>44.684999999999974</v>
      </c>
      <c r="BX543" s="48">
        <f t="shared" si="3039"/>
        <v>44.684999999999974</v>
      </c>
      <c r="BY543" s="48">
        <f t="shared" si="3096"/>
        <v>44.684999999999974</v>
      </c>
      <c r="BZ543" s="48">
        <f t="shared" si="3041"/>
        <v>56.25</v>
      </c>
      <c r="CA543" s="48">
        <f t="shared" si="3042"/>
        <v>56.25</v>
      </c>
      <c r="CB543" s="48">
        <f t="shared" si="3065"/>
        <v>56.25</v>
      </c>
      <c r="CC543" s="48">
        <f t="shared" si="3043"/>
        <v>56.25</v>
      </c>
      <c r="CD543" s="48">
        <f t="shared" si="3044"/>
        <v>56.25</v>
      </c>
      <c r="CE543" s="48">
        <f>SUM(BA543:BC543)</f>
        <v>56.25</v>
      </c>
      <c r="CF543" s="48">
        <f t="shared" si="3046"/>
        <v>56.25</v>
      </c>
      <c r="CG543" s="48">
        <f t="shared" si="3047"/>
        <v>56.25</v>
      </c>
      <c r="CH543" s="48">
        <f>SUM(BD543:BF543)</f>
        <v>56.25</v>
      </c>
      <c r="CI543" s="48">
        <f t="shared" si="3049"/>
        <v>56.25</v>
      </c>
      <c r="CJ543" s="48">
        <f t="shared" si="3050"/>
        <v>56.25</v>
      </c>
      <c r="CK543" s="48">
        <f>SUM(BG543:BI543)</f>
        <v>56.25</v>
      </c>
      <c r="CL543" s="48">
        <f t="shared" si="3052"/>
        <v>0</v>
      </c>
      <c r="CM543" s="48">
        <f t="shared" si="3053"/>
        <v>0</v>
      </c>
      <c r="CN543" s="48">
        <f>SUM(BJ543:BL543)</f>
        <v>0</v>
      </c>
      <c r="CO543" s="406"/>
      <c r="CP543" s="48">
        <f t="shared" si="3125"/>
        <v>14.895</v>
      </c>
      <c r="CQ543" s="48">
        <f t="shared" si="3097"/>
        <v>29.79</v>
      </c>
      <c r="CR543" s="48">
        <f t="shared" si="3098"/>
        <v>44.684999999999995</v>
      </c>
      <c r="CS543" s="48">
        <f t="shared" si="3099"/>
        <v>59.58</v>
      </c>
      <c r="CT543" s="48">
        <f t="shared" si="3100"/>
        <v>74.474999999999994</v>
      </c>
      <c r="CU543" s="48">
        <f t="shared" si="3101"/>
        <v>89.36999999999999</v>
      </c>
      <c r="CV543" s="48">
        <f t="shared" si="3102"/>
        <v>104.265</v>
      </c>
      <c r="CW543" s="48">
        <f t="shared" si="3103"/>
        <v>119.16</v>
      </c>
      <c r="CX543" s="48">
        <f t="shared" si="3104"/>
        <v>134.05500000000001</v>
      </c>
      <c r="CY543" s="48">
        <f t="shared" si="3105"/>
        <v>148.94999999999999</v>
      </c>
      <c r="CZ543" s="48">
        <f t="shared" si="3106"/>
        <v>163.845</v>
      </c>
      <c r="DA543" s="48">
        <f t="shared" si="3107"/>
        <v>178.73999999999998</v>
      </c>
      <c r="DB543" s="48">
        <f t="shared" si="3126"/>
        <v>18.75</v>
      </c>
      <c r="DC543" s="48">
        <f t="shared" si="3127"/>
        <v>37.5</v>
      </c>
      <c r="DD543" s="48">
        <f t="shared" si="3128"/>
        <v>56.25</v>
      </c>
      <c r="DE543" s="48">
        <f t="shared" si="3129"/>
        <v>75</v>
      </c>
      <c r="DF543" s="48">
        <f t="shared" si="3130"/>
        <v>93.75</v>
      </c>
      <c r="DG543" s="48">
        <f t="shared" si="3131"/>
        <v>112.5</v>
      </c>
      <c r="DH543" s="48">
        <f t="shared" si="3132"/>
        <v>131.25</v>
      </c>
      <c r="DI543" s="48">
        <f t="shared" si="3133"/>
        <v>150</v>
      </c>
      <c r="DJ543" s="48">
        <f t="shared" si="3134"/>
        <v>168.75</v>
      </c>
      <c r="DK543" s="48">
        <f t="shared" si="3135"/>
        <v>187.5</v>
      </c>
      <c r="DL543" s="48">
        <f t="shared" si="3136"/>
        <v>206.25</v>
      </c>
      <c r="DM543" s="48">
        <f t="shared" si="3137"/>
        <v>225</v>
      </c>
      <c r="DN543" s="48">
        <f t="shared" si="3109"/>
        <v>0</v>
      </c>
      <c r="DO543" s="48">
        <f t="shared" si="3138"/>
        <v>0</v>
      </c>
      <c r="DP543" s="48">
        <f t="shared" si="3139"/>
        <v>0</v>
      </c>
      <c r="DQ543" s="48"/>
      <c r="DR543" s="48"/>
      <c r="DS543" s="48"/>
      <c r="DT543" s="48"/>
      <c r="DU543" s="48"/>
      <c r="DV543" s="48"/>
      <c r="DW543" s="48"/>
      <c r="DX543" s="48"/>
      <c r="DY543" s="48"/>
      <c r="EA543" s="52">
        <f t="shared" si="3062"/>
        <v>178.73999999999998</v>
      </c>
      <c r="EB543" s="52">
        <f t="shared" si="3063"/>
        <v>225</v>
      </c>
      <c r="EC543" s="52"/>
      <c r="ED543" s="429"/>
      <c r="EE543" s="40">
        <f t="shared" si="3026"/>
        <v>0</v>
      </c>
      <c r="EF543" s="40">
        <f t="shared" si="3027"/>
        <v>0</v>
      </c>
      <c r="EG543" s="51">
        <f t="shared" si="3073"/>
        <v>225</v>
      </c>
      <c r="EH543" s="54"/>
      <c r="EI543" s="54"/>
      <c r="EJ543" s="54"/>
      <c r="EK543" s="675"/>
      <c r="EL543" s="53"/>
      <c r="EM543" s="53"/>
      <c r="EN543" s="53"/>
      <c r="EO543" s="49"/>
      <c r="EP543" s="49"/>
      <c r="EQ543" s="49"/>
    </row>
    <row r="544" spans="1:149">
      <c r="A544" s="6" t="s">
        <v>23</v>
      </c>
      <c r="B544" s="2" t="s">
        <v>11</v>
      </c>
      <c r="C544" s="3" t="s">
        <v>48</v>
      </c>
      <c r="E544" s="3" t="s">
        <v>16</v>
      </c>
      <c r="G544" s="3" t="s">
        <v>91</v>
      </c>
      <c r="I544" s="195"/>
      <c r="J544" s="192">
        <v>25</v>
      </c>
      <c r="K544" s="192">
        <v>50</v>
      </c>
      <c r="L544" s="192">
        <v>75</v>
      </c>
      <c r="M544" s="192">
        <v>100</v>
      </c>
      <c r="N544" s="192">
        <v>125</v>
      </c>
      <c r="O544" s="192">
        <v>150</v>
      </c>
      <c r="P544" s="192">
        <v>175</v>
      </c>
      <c r="Q544" s="192">
        <v>200</v>
      </c>
      <c r="R544" s="192">
        <v>225</v>
      </c>
      <c r="S544" s="192">
        <v>250</v>
      </c>
      <c r="T544" s="192">
        <v>275</v>
      </c>
      <c r="U544" s="192">
        <v>300</v>
      </c>
      <c r="V544" s="219">
        <f>270/12</f>
        <v>22.5</v>
      </c>
      <c r="W544" s="246">
        <f>V544+22.5</f>
        <v>45</v>
      </c>
      <c r="X544" s="376">
        <f t="shared" ref="X544:AG544" si="3142">W544+22.5</f>
        <v>67.5</v>
      </c>
      <c r="Y544" s="376">
        <f t="shared" si="3142"/>
        <v>90</v>
      </c>
      <c r="Z544" s="376">
        <f t="shared" si="3142"/>
        <v>112.5</v>
      </c>
      <c r="AA544" s="376">
        <f t="shared" si="3142"/>
        <v>135</v>
      </c>
      <c r="AB544" s="376">
        <f t="shared" si="3142"/>
        <v>157.5</v>
      </c>
      <c r="AC544" s="376">
        <f t="shared" si="3142"/>
        <v>180</v>
      </c>
      <c r="AD544" s="376">
        <f t="shared" si="3142"/>
        <v>202.5</v>
      </c>
      <c r="AE544" s="376">
        <f t="shared" si="3142"/>
        <v>225</v>
      </c>
      <c r="AF544" s="376">
        <f t="shared" si="3142"/>
        <v>247.5</v>
      </c>
      <c r="AG544" s="376">
        <f t="shared" si="3142"/>
        <v>270</v>
      </c>
      <c r="AH544" s="31"/>
      <c r="AI544" s="19"/>
      <c r="AJ544" s="19"/>
      <c r="AK544" s="408"/>
      <c r="AL544" s="40">
        <f t="shared" si="3111"/>
        <v>25</v>
      </c>
      <c r="AM544" s="40">
        <f t="shared" si="3112"/>
        <v>25</v>
      </c>
      <c r="AN544" s="40">
        <f t="shared" si="3080"/>
        <v>25</v>
      </c>
      <c r="AO544" s="40">
        <f t="shared" si="3081"/>
        <v>25</v>
      </c>
      <c r="AP544" s="40">
        <f t="shared" si="3082"/>
        <v>25</v>
      </c>
      <c r="AQ544" s="40">
        <f t="shared" si="3083"/>
        <v>25</v>
      </c>
      <c r="AR544" s="40">
        <f t="shared" si="3084"/>
        <v>25</v>
      </c>
      <c r="AS544" s="40">
        <f t="shared" si="3085"/>
        <v>25</v>
      </c>
      <c r="AT544" s="40">
        <f t="shared" si="3086"/>
        <v>25</v>
      </c>
      <c r="AU544" s="40">
        <f t="shared" si="3087"/>
        <v>25</v>
      </c>
      <c r="AV544" s="40">
        <f t="shared" si="3088"/>
        <v>25</v>
      </c>
      <c r="AW544" s="40">
        <f t="shared" si="3089"/>
        <v>25</v>
      </c>
      <c r="AX544" s="40">
        <f t="shared" si="3113"/>
        <v>22.5</v>
      </c>
      <c r="AY544" s="40">
        <f t="shared" si="3114"/>
        <v>22.5</v>
      </c>
      <c r="AZ544" s="40">
        <f t="shared" si="3115"/>
        <v>22.5</v>
      </c>
      <c r="BA544" s="40">
        <f t="shared" si="3116"/>
        <v>22.5</v>
      </c>
      <c r="BB544" s="40">
        <f t="shared" si="3117"/>
        <v>22.5</v>
      </c>
      <c r="BC544" s="40">
        <f t="shared" si="3118"/>
        <v>22.5</v>
      </c>
      <c r="BD544" s="40">
        <f t="shared" si="3119"/>
        <v>22.5</v>
      </c>
      <c r="BE544" s="40">
        <f t="shared" si="3120"/>
        <v>22.5</v>
      </c>
      <c r="BF544" s="40">
        <f t="shared" si="3121"/>
        <v>22.5</v>
      </c>
      <c r="BG544" s="40">
        <f t="shared" si="3122"/>
        <v>22.5</v>
      </c>
      <c r="BH544" s="40">
        <f t="shared" si="3123"/>
        <v>22.5</v>
      </c>
      <c r="BI544" s="40">
        <f t="shared" si="3124"/>
        <v>22.5</v>
      </c>
      <c r="BJ544" s="40">
        <f t="shared" si="3090"/>
        <v>0</v>
      </c>
      <c r="BK544" s="40">
        <f t="shared" si="3091"/>
        <v>0</v>
      </c>
      <c r="BL544" s="40">
        <f t="shared" si="3092"/>
        <v>0</v>
      </c>
      <c r="BM544" s="408"/>
      <c r="BN544" s="48">
        <f t="shared" si="3029"/>
        <v>75</v>
      </c>
      <c r="BO544" s="48">
        <f t="shared" si="3030"/>
        <v>75</v>
      </c>
      <c r="BP544" s="48">
        <f t="shared" si="3093"/>
        <v>75</v>
      </c>
      <c r="BQ544" s="48">
        <f t="shared" si="3032"/>
        <v>75</v>
      </c>
      <c r="BR544" s="48">
        <f t="shared" si="3033"/>
        <v>75</v>
      </c>
      <c r="BS544" s="48">
        <f t="shared" si="3094"/>
        <v>75</v>
      </c>
      <c r="BT544" s="48">
        <f t="shared" si="3035"/>
        <v>75</v>
      </c>
      <c r="BU544" s="48">
        <f t="shared" si="3036"/>
        <v>75</v>
      </c>
      <c r="BV544" s="48">
        <f t="shared" si="3095"/>
        <v>75</v>
      </c>
      <c r="BW544" s="48">
        <f t="shared" si="3038"/>
        <v>75</v>
      </c>
      <c r="BX544" s="48">
        <f t="shared" si="3039"/>
        <v>75</v>
      </c>
      <c r="BY544" s="48">
        <f t="shared" si="3096"/>
        <v>75</v>
      </c>
      <c r="BZ544" s="48">
        <f t="shared" si="3041"/>
        <v>67.5</v>
      </c>
      <c r="CA544" s="48">
        <f t="shared" si="3042"/>
        <v>67.5</v>
      </c>
      <c r="CB544" s="48">
        <f t="shared" si="3065"/>
        <v>67.5</v>
      </c>
      <c r="CC544" s="48">
        <f t="shared" si="3043"/>
        <v>135</v>
      </c>
      <c r="CD544" s="48">
        <f t="shared" si="3044"/>
        <v>135</v>
      </c>
      <c r="CE544" s="48">
        <f>AA544</f>
        <v>135</v>
      </c>
      <c r="CF544" s="48">
        <f>CH544</f>
        <v>202.5</v>
      </c>
      <c r="CG544" s="48">
        <f>CH544</f>
        <v>202.5</v>
      </c>
      <c r="CH544" s="48">
        <f>AD544</f>
        <v>202.5</v>
      </c>
      <c r="CI544" s="48">
        <f>CK544</f>
        <v>270</v>
      </c>
      <c r="CJ544" s="48">
        <f>CK544</f>
        <v>270</v>
      </c>
      <c r="CK544" s="48">
        <f>AG544</f>
        <v>270</v>
      </c>
      <c r="CL544" s="48">
        <f>CN544</f>
        <v>0</v>
      </c>
      <c r="CM544" s="48">
        <f>CN544</f>
        <v>0</v>
      </c>
      <c r="CN544" s="48">
        <f>AJ544</f>
        <v>0</v>
      </c>
      <c r="CO544" s="406"/>
      <c r="CP544" s="48">
        <f t="shared" si="3125"/>
        <v>25</v>
      </c>
      <c r="CQ544" s="48">
        <f t="shared" si="3097"/>
        <v>50</v>
      </c>
      <c r="CR544" s="48">
        <f t="shared" si="3098"/>
        <v>75</v>
      </c>
      <c r="CS544" s="48">
        <f t="shared" si="3099"/>
        <v>100</v>
      </c>
      <c r="CT544" s="48">
        <f t="shared" si="3100"/>
        <v>125</v>
      </c>
      <c r="CU544" s="48">
        <f t="shared" si="3101"/>
        <v>150</v>
      </c>
      <c r="CV544" s="48">
        <f t="shared" si="3102"/>
        <v>175</v>
      </c>
      <c r="CW544" s="48">
        <f t="shared" si="3103"/>
        <v>200</v>
      </c>
      <c r="CX544" s="48">
        <f t="shared" si="3104"/>
        <v>225</v>
      </c>
      <c r="CY544" s="48">
        <f t="shared" si="3105"/>
        <v>250</v>
      </c>
      <c r="CZ544" s="48">
        <f t="shared" si="3106"/>
        <v>275</v>
      </c>
      <c r="DA544" s="48">
        <f t="shared" si="3107"/>
        <v>300</v>
      </c>
      <c r="DB544" s="48">
        <f t="shared" si="3126"/>
        <v>22.5</v>
      </c>
      <c r="DC544" s="48">
        <f t="shared" si="3127"/>
        <v>45</v>
      </c>
      <c r="DD544" s="48">
        <f t="shared" si="3128"/>
        <v>67.5</v>
      </c>
      <c r="DE544" s="48">
        <f t="shared" si="3129"/>
        <v>90</v>
      </c>
      <c r="DF544" s="48">
        <f t="shared" si="3130"/>
        <v>112.5</v>
      </c>
      <c r="DG544" s="48">
        <f t="shared" si="3131"/>
        <v>135</v>
      </c>
      <c r="DH544" s="48">
        <f t="shared" si="3132"/>
        <v>157.5</v>
      </c>
      <c r="DI544" s="48">
        <f t="shared" si="3133"/>
        <v>180</v>
      </c>
      <c r="DJ544" s="48">
        <f t="shared" si="3134"/>
        <v>202.5</v>
      </c>
      <c r="DK544" s="48">
        <f t="shared" si="3135"/>
        <v>225</v>
      </c>
      <c r="DL544" s="48">
        <f t="shared" si="3136"/>
        <v>247.5</v>
      </c>
      <c r="DM544" s="48">
        <f t="shared" si="3137"/>
        <v>270</v>
      </c>
      <c r="DN544" s="48">
        <f t="shared" si="3109"/>
        <v>0</v>
      </c>
      <c r="DO544" s="48">
        <f t="shared" si="3138"/>
        <v>0</v>
      </c>
      <c r="DP544" s="48">
        <f t="shared" si="3139"/>
        <v>0</v>
      </c>
      <c r="DQ544" s="48"/>
      <c r="DR544" s="48"/>
      <c r="DS544" s="48"/>
      <c r="DT544" s="48"/>
      <c r="DU544" s="48"/>
      <c r="DV544" s="48"/>
      <c r="DW544" s="48"/>
      <c r="DX544" s="48"/>
      <c r="DY544" s="48"/>
      <c r="EA544" s="52">
        <f t="shared" si="3062"/>
        <v>300</v>
      </c>
      <c r="EB544" s="52">
        <f t="shared" si="3063"/>
        <v>270</v>
      </c>
      <c r="EC544" s="52"/>
      <c r="ED544" s="429"/>
      <c r="EE544" s="40">
        <f t="shared" si="3026"/>
        <v>0</v>
      </c>
      <c r="EF544" s="40">
        <f t="shared" si="3027"/>
        <v>0</v>
      </c>
      <c r="EG544" s="51">
        <f t="shared" si="3073"/>
        <v>270</v>
      </c>
      <c r="EH544" s="54"/>
      <c r="EI544" s="54"/>
      <c r="EJ544" s="54"/>
      <c r="EK544" s="675"/>
      <c r="EL544" s="53"/>
      <c r="EM544" s="53"/>
      <c r="EN544" s="53"/>
      <c r="EO544" s="49"/>
      <c r="EP544" s="49"/>
      <c r="EQ544" s="49"/>
    </row>
    <row r="545" spans="1:149">
      <c r="A545" s="6" t="s">
        <v>23</v>
      </c>
      <c r="B545" s="2" t="s">
        <v>12</v>
      </c>
      <c r="C545" s="3" t="s">
        <v>49</v>
      </c>
      <c r="E545" s="3" t="s">
        <v>16</v>
      </c>
      <c r="G545" s="3" t="s">
        <v>91</v>
      </c>
      <c r="I545" s="195"/>
      <c r="J545" s="192">
        <v>29.166666666666668</v>
      </c>
      <c r="K545" s="192">
        <v>58.333333366666665</v>
      </c>
      <c r="L545" s="192">
        <v>87.500000066666672</v>
      </c>
      <c r="M545" s="192">
        <v>116.66666676666668</v>
      </c>
      <c r="N545" s="192">
        <v>145.83333346666669</v>
      </c>
      <c r="O545" s="192">
        <v>175.00000016666669</v>
      </c>
      <c r="P545" s="192">
        <v>204.1666668666667</v>
      </c>
      <c r="Q545" s="192">
        <v>233.33333356666671</v>
      </c>
      <c r="R545" s="192">
        <v>262.50000026666669</v>
      </c>
      <c r="S545" s="192">
        <v>291.6666669666667</v>
      </c>
      <c r="T545" s="192">
        <v>320.8333336666667</v>
      </c>
      <c r="U545" s="192">
        <v>350.00000036666671</v>
      </c>
      <c r="V545" s="219">
        <f>318/12</f>
        <v>26.5</v>
      </c>
      <c r="W545" s="246">
        <f>V545+26.5</f>
        <v>53</v>
      </c>
      <c r="X545" s="376">
        <f t="shared" ref="X545:AG545" si="3143">W545+26.5</f>
        <v>79.5</v>
      </c>
      <c r="Y545" s="376">
        <f t="shared" si="3143"/>
        <v>106</v>
      </c>
      <c r="Z545" s="376">
        <f t="shared" si="3143"/>
        <v>132.5</v>
      </c>
      <c r="AA545" s="376">
        <f t="shared" si="3143"/>
        <v>159</v>
      </c>
      <c r="AB545" s="376">
        <f t="shared" si="3143"/>
        <v>185.5</v>
      </c>
      <c r="AC545" s="376">
        <f t="shared" si="3143"/>
        <v>212</v>
      </c>
      <c r="AD545" s="376">
        <f t="shared" si="3143"/>
        <v>238.5</v>
      </c>
      <c r="AE545" s="376">
        <f t="shared" si="3143"/>
        <v>265</v>
      </c>
      <c r="AF545" s="376">
        <f t="shared" si="3143"/>
        <v>291.5</v>
      </c>
      <c r="AG545" s="376">
        <f t="shared" si="3143"/>
        <v>318</v>
      </c>
      <c r="AH545" s="31"/>
      <c r="AI545" s="19"/>
      <c r="AJ545" s="19"/>
      <c r="AK545" s="408"/>
      <c r="AL545" s="40">
        <f t="shared" si="3111"/>
        <v>29.166666666666668</v>
      </c>
      <c r="AM545" s="40">
        <f t="shared" si="3112"/>
        <v>29.166666699999997</v>
      </c>
      <c r="AN545" s="40">
        <f t="shared" si="3080"/>
        <v>29.166666700000007</v>
      </c>
      <c r="AO545" s="40">
        <f t="shared" si="3081"/>
        <v>29.166666700000007</v>
      </c>
      <c r="AP545" s="40">
        <f t="shared" si="3082"/>
        <v>29.166666700000007</v>
      </c>
      <c r="AQ545" s="40">
        <f t="shared" si="3083"/>
        <v>29.166666700000007</v>
      </c>
      <c r="AR545" s="40">
        <f t="shared" si="3084"/>
        <v>29.166666700000007</v>
      </c>
      <c r="AS545" s="40">
        <f t="shared" si="3085"/>
        <v>29.166666700000007</v>
      </c>
      <c r="AT545" s="40">
        <f t="shared" si="3086"/>
        <v>29.166666699999979</v>
      </c>
      <c r="AU545" s="40">
        <f t="shared" si="3087"/>
        <v>29.166666700000007</v>
      </c>
      <c r="AV545" s="40">
        <f t="shared" si="3088"/>
        <v>29.166666700000007</v>
      </c>
      <c r="AW545" s="40">
        <f t="shared" si="3089"/>
        <v>29.166666700000007</v>
      </c>
      <c r="AX545" s="40">
        <f t="shared" si="3113"/>
        <v>26.5</v>
      </c>
      <c r="AY545" s="40">
        <f t="shared" si="3114"/>
        <v>26.5</v>
      </c>
      <c r="AZ545" s="40">
        <f t="shared" si="3115"/>
        <v>26.5</v>
      </c>
      <c r="BA545" s="40">
        <f t="shared" si="3116"/>
        <v>26.5</v>
      </c>
      <c r="BB545" s="40">
        <f t="shared" si="3117"/>
        <v>26.5</v>
      </c>
      <c r="BC545" s="40">
        <f t="shared" si="3118"/>
        <v>26.5</v>
      </c>
      <c r="BD545" s="40">
        <f t="shared" si="3119"/>
        <v>26.5</v>
      </c>
      <c r="BE545" s="40">
        <f t="shared" si="3120"/>
        <v>26.5</v>
      </c>
      <c r="BF545" s="40">
        <f t="shared" si="3121"/>
        <v>26.5</v>
      </c>
      <c r="BG545" s="40">
        <f t="shared" si="3122"/>
        <v>26.5</v>
      </c>
      <c r="BH545" s="40">
        <f t="shared" si="3123"/>
        <v>26.5</v>
      </c>
      <c r="BI545" s="40">
        <f t="shared" si="3124"/>
        <v>26.5</v>
      </c>
      <c r="BJ545" s="40">
        <f t="shared" si="3090"/>
        <v>0</v>
      </c>
      <c r="BK545" s="40">
        <f t="shared" si="3091"/>
        <v>0</v>
      </c>
      <c r="BL545" s="40">
        <f t="shared" si="3092"/>
        <v>0</v>
      </c>
      <c r="BM545" s="408"/>
      <c r="BN545" s="48">
        <f t="shared" si="3029"/>
        <v>87.500000066666672</v>
      </c>
      <c r="BO545" s="48">
        <f t="shared" si="3030"/>
        <v>87.500000066666672</v>
      </c>
      <c r="BP545" s="48">
        <f t="shared" si="3093"/>
        <v>87.500000066666672</v>
      </c>
      <c r="BQ545" s="48">
        <f t="shared" si="3032"/>
        <v>87.500000100000022</v>
      </c>
      <c r="BR545" s="48">
        <f t="shared" si="3033"/>
        <v>87.500000100000022</v>
      </c>
      <c r="BS545" s="48">
        <f t="shared" si="3094"/>
        <v>87.500000100000022</v>
      </c>
      <c r="BT545" s="48">
        <f t="shared" si="3035"/>
        <v>87.500000099999994</v>
      </c>
      <c r="BU545" s="48">
        <f t="shared" si="3036"/>
        <v>87.500000099999994</v>
      </c>
      <c r="BV545" s="48">
        <f t="shared" si="3095"/>
        <v>87.500000099999994</v>
      </c>
      <c r="BW545" s="48">
        <f t="shared" si="3038"/>
        <v>87.500000100000022</v>
      </c>
      <c r="BX545" s="48">
        <f t="shared" si="3039"/>
        <v>87.500000100000022</v>
      </c>
      <c r="BY545" s="48">
        <f t="shared" si="3096"/>
        <v>87.500000100000022</v>
      </c>
      <c r="BZ545" s="48">
        <f t="shared" si="3041"/>
        <v>79.5</v>
      </c>
      <c r="CA545" s="48">
        <f t="shared" si="3042"/>
        <v>79.5</v>
      </c>
      <c r="CB545" s="48">
        <f t="shared" si="3065"/>
        <v>79.5</v>
      </c>
      <c r="CC545" s="48">
        <f t="shared" si="3043"/>
        <v>159</v>
      </c>
      <c r="CD545" s="48">
        <f t="shared" si="3044"/>
        <v>159</v>
      </c>
      <c r="CE545" s="48">
        <f>AA545</f>
        <v>159</v>
      </c>
      <c r="CF545" s="48">
        <f>CH545</f>
        <v>238.5</v>
      </c>
      <c r="CG545" s="48">
        <f>CH545</f>
        <v>238.5</v>
      </c>
      <c r="CH545" s="48">
        <f>AD545</f>
        <v>238.5</v>
      </c>
      <c r="CI545" s="48">
        <f>CK545</f>
        <v>318</v>
      </c>
      <c r="CJ545" s="48">
        <f>CK545</f>
        <v>318</v>
      </c>
      <c r="CK545" s="48">
        <f>AG545</f>
        <v>318</v>
      </c>
      <c r="CL545" s="48">
        <f>CN545</f>
        <v>0</v>
      </c>
      <c r="CM545" s="48">
        <f>CN545</f>
        <v>0</v>
      </c>
      <c r="CN545" s="48">
        <f>AJ545</f>
        <v>0</v>
      </c>
      <c r="CO545" s="406"/>
      <c r="CP545" s="48">
        <f t="shared" si="3125"/>
        <v>29.166666666666668</v>
      </c>
      <c r="CQ545" s="48">
        <f t="shared" si="3097"/>
        <v>58.333333366666665</v>
      </c>
      <c r="CR545" s="48">
        <f t="shared" si="3098"/>
        <v>87.500000066666672</v>
      </c>
      <c r="CS545" s="48">
        <f t="shared" si="3099"/>
        <v>116.66666676666668</v>
      </c>
      <c r="CT545" s="48">
        <f t="shared" si="3100"/>
        <v>145.83333346666669</v>
      </c>
      <c r="CU545" s="48">
        <f t="shared" si="3101"/>
        <v>175.00000016666669</v>
      </c>
      <c r="CV545" s="48">
        <f t="shared" si="3102"/>
        <v>204.1666668666667</v>
      </c>
      <c r="CW545" s="48">
        <f t="shared" si="3103"/>
        <v>233.33333356666671</v>
      </c>
      <c r="CX545" s="48">
        <f t="shared" si="3104"/>
        <v>262.50000026666669</v>
      </c>
      <c r="CY545" s="48">
        <f t="shared" si="3105"/>
        <v>291.6666669666667</v>
      </c>
      <c r="CZ545" s="48">
        <f t="shared" si="3106"/>
        <v>320.8333336666667</v>
      </c>
      <c r="DA545" s="48">
        <f t="shared" si="3107"/>
        <v>350.00000036666671</v>
      </c>
      <c r="DB545" s="48">
        <f t="shared" si="3126"/>
        <v>26.5</v>
      </c>
      <c r="DC545" s="48">
        <f t="shared" si="3127"/>
        <v>53</v>
      </c>
      <c r="DD545" s="48">
        <f t="shared" si="3128"/>
        <v>79.5</v>
      </c>
      <c r="DE545" s="48">
        <f t="shared" si="3129"/>
        <v>106</v>
      </c>
      <c r="DF545" s="48">
        <f t="shared" si="3130"/>
        <v>132.5</v>
      </c>
      <c r="DG545" s="48">
        <f t="shared" si="3131"/>
        <v>159</v>
      </c>
      <c r="DH545" s="48">
        <f t="shared" si="3132"/>
        <v>185.5</v>
      </c>
      <c r="DI545" s="48">
        <f t="shared" si="3133"/>
        <v>212</v>
      </c>
      <c r="DJ545" s="48">
        <f t="shared" si="3134"/>
        <v>238.5</v>
      </c>
      <c r="DK545" s="48">
        <f t="shared" si="3135"/>
        <v>265</v>
      </c>
      <c r="DL545" s="48">
        <f t="shared" si="3136"/>
        <v>291.5</v>
      </c>
      <c r="DM545" s="48">
        <f t="shared" si="3137"/>
        <v>318</v>
      </c>
      <c r="DN545" s="48">
        <f t="shared" si="3109"/>
        <v>0</v>
      </c>
      <c r="DO545" s="48">
        <f t="shared" si="3138"/>
        <v>0</v>
      </c>
      <c r="DP545" s="48">
        <f t="shared" si="3139"/>
        <v>0</v>
      </c>
      <c r="DQ545" s="48"/>
      <c r="DR545" s="48"/>
      <c r="DS545" s="48"/>
      <c r="DT545" s="48"/>
      <c r="DU545" s="48"/>
      <c r="DV545" s="48"/>
      <c r="DW545" s="48"/>
      <c r="DX545" s="48"/>
      <c r="DY545" s="48"/>
      <c r="EA545" s="52">
        <f t="shared" si="3062"/>
        <v>350.00000036666671</v>
      </c>
      <c r="EB545" s="52">
        <f t="shared" si="3063"/>
        <v>318</v>
      </c>
      <c r="EC545" s="52"/>
      <c r="ED545" s="429"/>
      <c r="EE545" s="40">
        <f t="shared" si="3026"/>
        <v>0</v>
      </c>
      <c r="EF545" s="40">
        <f t="shared" si="3027"/>
        <v>0</v>
      </c>
      <c r="EG545" s="51">
        <f t="shared" si="3073"/>
        <v>318</v>
      </c>
      <c r="EH545" s="54"/>
      <c r="EI545" s="54"/>
      <c r="EJ545" s="54"/>
      <c r="EK545" s="675"/>
      <c r="EL545" s="53"/>
      <c r="EM545" s="53"/>
      <c r="EN545" s="53"/>
      <c r="EO545" s="49"/>
      <c r="EP545" s="49"/>
      <c r="EQ545" s="49"/>
    </row>
    <row r="546" spans="1:149">
      <c r="A546" s="6" t="s">
        <v>23</v>
      </c>
      <c r="B546" s="2" t="s">
        <v>143</v>
      </c>
      <c r="C546" s="3" t="s">
        <v>50</v>
      </c>
      <c r="E546" s="3" t="s">
        <v>16</v>
      </c>
      <c r="G546" s="3" t="s">
        <v>91</v>
      </c>
      <c r="I546" s="195"/>
      <c r="J546" s="192">
        <v>0</v>
      </c>
      <c r="K546" s="192">
        <v>0</v>
      </c>
      <c r="L546" s="192">
        <v>2</v>
      </c>
      <c r="M546" s="192">
        <v>2</v>
      </c>
      <c r="N546" s="192">
        <v>2</v>
      </c>
      <c r="O546" s="192">
        <v>2</v>
      </c>
      <c r="P546" s="192">
        <v>4</v>
      </c>
      <c r="Q546" s="192">
        <v>4</v>
      </c>
      <c r="R546" s="192">
        <v>4</v>
      </c>
      <c r="S546" s="192">
        <v>4</v>
      </c>
      <c r="T546" s="192">
        <v>6</v>
      </c>
      <c r="U546" s="192">
        <v>6</v>
      </c>
      <c r="V546" s="219">
        <v>0</v>
      </c>
      <c r="W546" s="246">
        <v>4</v>
      </c>
      <c r="X546" s="246">
        <v>4</v>
      </c>
      <c r="Y546" s="246">
        <f>X546</f>
        <v>4</v>
      </c>
      <c r="Z546" s="246">
        <f>Y546</f>
        <v>4</v>
      </c>
      <c r="AA546" s="246">
        <f>Z546</f>
        <v>4</v>
      </c>
      <c r="AB546" s="246">
        <v>8</v>
      </c>
      <c r="AC546" s="246">
        <f t="shared" ref="AC546:AE547" si="3144">AB546</f>
        <v>8</v>
      </c>
      <c r="AD546" s="246">
        <f t="shared" si="3144"/>
        <v>8</v>
      </c>
      <c r="AE546" s="246">
        <f t="shared" si="3144"/>
        <v>8</v>
      </c>
      <c r="AF546" s="246">
        <v>12</v>
      </c>
      <c r="AG546" s="246">
        <v>12</v>
      </c>
      <c r="AH546" s="31"/>
      <c r="AI546" s="19"/>
      <c r="AJ546" s="19"/>
      <c r="AK546" s="408"/>
      <c r="AL546" s="40">
        <f t="shared" si="3111"/>
        <v>0</v>
      </c>
      <c r="AM546" s="40">
        <f t="shared" si="3112"/>
        <v>0</v>
      </c>
      <c r="AN546" s="40">
        <f t="shared" si="3080"/>
        <v>2</v>
      </c>
      <c r="AO546" s="40">
        <f t="shared" si="3081"/>
        <v>0</v>
      </c>
      <c r="AP546" s="40">
        <f t="shared" si="3082"/>
        <v>0</v>
      </c>
      <c r="AQ546" s="40">
        <f t="shared" si="3083"/>
        <v>0</v>
      </c>
      <c r="AR546" s="40">
        <f t="shared" si="3084"/>
        <v>2</v>
      </c>
      <c r="AS546" s="40">
        <f t="shared" si="3085"/>
        <v>0</v>
      </c>
      <c r="AT546" s="40">
        <f t="shared" si="3086"/>
        <v>0</v>
      </c>
      <c r="AU546" s="40">
        <f t="shared" si="3087"/>
        <v>0</v>
      </c>
      <c r="AV546" s="40">
        <f t="shared" si="3088"/>
        <v>2</v>
      </c>
      <c r="AW546" s="40">
        <f t="shared" si="3089"/>
        <v>0</v>
      </c>
      <c r="AX546" s="40">
        <f t="shared" si="3113"/>
        <v>0</v>
      </c>
      <c r="AY546" s="40">
        <f t="shared" si="3115"/>
        <v>4</v>
      </c>
      <c r="AZ546" s="40">
        <f t="shared" si="3115"/>
        <v>0</v>
      </c>
      <c r="BA546" s="40">
        <f t="shared" si="3116"/>
        <v>0</v>
      </c>
      <c r="BB546" s="40">
        <f t="shared" si="3117"/>
        <v>0</v>
      </c>
      <c r="BC546" s="40">
        <f t="shared" si="3118"/>
        <v>0</v>
      </c>
      <c r="BD546" s="40">
        <f t="shared" si="3119"/>
        <v>4</v>
      </c>
      <c r="BE546" s="40">
        <f t="shared" si="3120"/>
        <v>0</v>
      </c>
      <c r="BF546" s="40">
        <f t="shared" si="3121"/>
        <v>0</v>
      </c>
      <c r="BG546" s="40">
        <f t="shared" si="3122"/>
        <v>0</v>
      </c>
      <c r="BH546" s="40">
        <f t="shared" si="3123"/>
        <v>4</v>
      </c>
      <c r="BI546" s="40">
        <f t="shared" si="3124"/>
        <v>0</v>
      </c>
      <c r="BJ546" s="40">
        <f t="shared" si="3090"/>
        <v>0</v>
      </c>
      <c r="BK546" s="40">
        <f t="shared" si="3091"/>
        <v>0</v>
      </c>
      <c r="BL546" s="40">
        <f t="shared" si="3092"/>
        <v>0</v>
      </c>
      <c r="BM546" s="408"/>
      <c r="BN546" s="48">
        <f t="shared" si="3029"/>
        <v>2</v>
      </c>
      <c r="BO546" s="48">
        <f t="shared" si="3030"/>
        <v>2</v>
      </c>
      <c r="BP546" s="48">
        <f t="shared" si="3093"/>
        <v>2</v>
      </c>
      <c r="BQ546" s="48">
        <f t="shared" si="3032"/>
        <v>0</v>
      </c>
      <c r="BR546" s="48">
        <f t="shared" si="3033"/>
        <v>0</v>
      </c>
      <c r="BS546" s="48">
        <f t="shared" si="3094"/>
        <v>0</v>
      </c>
      <c r="BT546" s="48">
        <f t="shared" si="3035"/>
        <v>2</v>
      </c>
      <c r="BU546" s="48">
        <f t="shared" si="3036"/>
        <v>2</v>
      </c>
      <c r="BV546" s="48">
        <f t="shared" si="3095"/>
        <v>2</v>
      </c>
      <c r="BW546" s="48">
        <f t="shared" si="3038"/>
        <v>2</v>
      </c>
      <c r="BX546" s="48">
        <f t="shared" si="3039"/>
        <v>2</v>
      </c>
      <c r="BY546" s="48">
        <f t="shared" si="3096"/>
        <v>2</v>
      </c>
      <c r="BZ546" s="48">
        <f t="shared" si="3041"/>
        <v>4</v>
      </c>
      <c r="CA546" s="48">
        <f t="shared" si="3042"/>
        <v>4</v>
      </c>
      <c r="CB546" s="48">
        <f>SUM(AX546:AZ546)</f>
        <v>4</v>
      </c>
      <c r="CC546" s="48">
        <f t="shared" si="3043"/>
        <v>0</v>
      </c>
      <c r="CD546" s="48">
        <f t="shared" si="3044"/>
        <v>0</v>
      </c>
      <c r="CE546" s="48">
        <f>SUM(BA546:BC546)</f>
        <v>0</v>
      </c>
      <c r="CF546" s="48">
        <f>CH546</f>
        <v>4</v>
      </c>
      <c r="CG546" s="48">
        <f>CH546</f>
        <v>4</v>
      </c>
      <c r="CH546" s="48">
        <f>SUM(BD546:BF546)</f>
        <v>4</v>
      </c>
      <c r="CI546" s="48">
        <f>CK546</f>
        <v>4</v>
      </c>
      <c r="CJ546" s="48">
        <f>CK546</f>
        <v>4</v>
      </c>
      <c r="CK546" s="48">
        <f>SUM(BG546:BI546)</f>
        <v>4</v>
      </c>
      <c r="CL546" s="48">
        <f>CN546</f>
        <v>0</v>
      </c>
      <c r="CM546" s="48">
        <f>CN546</f>
        <v>0</v>
      </c>
      <c r="CN546" s="48">
        <f>SUM(BJ546:BL546)</f>
        <v>0</v>
      </c>
      <c r="CO546" s="406"/>
      <c r="CP546" s="48">
        <f t="shared" si="3125"/>
        <v>0</v>
      </c>
      <c r="CQ546" s="48">
        <f t="shared" si="3097"/>
        <v>0</v>
      </c>
      <c r="CR546" s="48">
        <f t="shared" si="3098"/>
        <v>2</v>
      </c>
      <c r="CS546" s="48">
        <f t="shared" si="3099"/>
        <v>2</v>
      </c>
      <c r="CT546" s="48">
        <f t="shared" si="3100"/>
        <v>2</v>
      </c>
      <c r="CU546" s="48">
        <f t="shared" si="3101"/>
        <v>2</v>
      </c>
      <c r="CV546" s="48">
        <f t="shared" si="3102"/>
        <v>4</v>
      </c>
      <c r="CW546" s="48">
        <f t="shared" si="3103"/>
        <v>4</v>
      </c>
      <c r="CX546" s="48">
        <f t="shared" si="3104"/>
        <v>4</v>
      </c>
      <c r="CY546" s="48">
        <f t="shared" si="3105"/>
        <v>4</v>
      </c>
      <c r="CZ546" s="48">
        <f t="shared" si="3106"/>
        <v>6</v>
      </c>
      <c r="DA546" s="48">
        <f t="shared" si="3107"/>
        <v>6</v>
      </c>
      <c r="DB546" s="48">
        <f t="shared" si="3126"/>
        <v>0</v>
      </c>
      <c r="DC546" s="48">
        <f t="shared" si="3127"/>
        <v>4</v>
      </c>
      <c r="DD546" s="48">
        <f t="shared" si="3128"/>
        <v>4</v>
      </c>
      <c r="DE546" s="48">
        <f t="shared" si="3129"/>
        <v>4</v>
      </c>
      <c r="DF546" s="48">
        <f t="shared" si="3130"/>
        <v>4</v>
      </c>
      <c r="DG546" s="48">
        <f t="shared" si="3131"/>
        <v>4</v>
      </c>
      <c r="DH546" s="48">
        <f t="shared" si="3132"/>
        <v>8</v>
      </c>
      <c r="DI546" s="48">
        <f t="shared" si="3133"/>
        <v>8</v>
      </c>
      <c r="DJ546" s="48">
        <f t="shared" si="3134"/>
        <v>8</v>
      </c>
      <c r="DK546" s="48">
        <f t="shared" si="3135"/>
        <v>8</v>
      </c>
      <c r="DL546" s="48">
        <f t="shared" si="3136"/>
        <v>12</v>
      </c>
      <c r="DM546" s="48">
        <f t="shared" si="3137"/>
        <v>12</v>
      </c>
      <c r="DN546" s="48">
        <f t="shared" si="3109"/>
        <v>0</v>
      </c>
      <c r="DO546" s="48">
        <f t="shared" si="3138"/>
        <v>0</v>
      </c>
      <c r="DP546" s="48">
        <f t="shared" si="3139"/>
        <v>0</v>
      </c>
      <c r="DQ546" s="48"/>
      <c r="DR546" s="48"/>
      <c r="DS546" s="48"/>
      <c r="DT546" s="48"/>
      <c r="DU546" s="48"/>
      <c r="DV546" s="48"/>
      <c r="DW546" s="48"/>
      <c r="DX546" s="48"/>
      <c r="DY546" s="48"/>
      <c r="EA546" s="52">
        <f t="shared" si="3062"/>
        <v>6</v>
      </c>
      <c r="EB546" s="52">
        <f t="shared" si="3063"/>
        <v>12</v>
      </c>
      <c r="EC546" s="52"/>
      <c r="ED546" s="429"/>
      <c r="EE546" s="40">
        <f t="shared" si="3026"/>
        <v>0</v>
      </c>
      <c r="EF546" s="40">
        <f t="shared" si="3027"/>
        <v>0</v>
      </c>
      <c r="EG546" s="51">
        <f t="shared" si="3073"/>
        <v>12</v>
      </c>
      <c r="EH546" s="54"/>
      <c r="EI546" s="54"/>
      <c r="EJ546" s="54"/>
      <c r="EK546" s="675"/>
      <c r="EL546" s="53"/>
      <c r="EM546" s="53"/>
      <c r="EN546" s="53"/>
      <c r="EO546" s="49"/>
      <c r="EP546" s="49"/>
      <c r="EQ546" s="49"/>
    </row>
    <row r="547" spans="1:149">
      <c r="A547" s="6" t="s">
        <v>23</v>
      </c>
      <c r="B547" s="324" t="s">
        <v>202</v>
      </c>
      <c r="C547" s="3" t="s">
        <v>51</v>
      </c>
      <c r="E547" s="3" t="s">
        <v>15</v>
      </c>
      <c r="G547" s="3" t="s">
        <v>91</v>
      </c>
      <c r="I547" s="195"/>
      <c r="J547" s="192">
        <v>0</v>
      </c>
      <c r="K547" s="192">
        <v>0</v>
      </c>
      <c r="L547" s="192">
        <v>0</v>
      </c>
      <c r="M547" s="192">
        <v>0</v>
      </c>
      <c r="N547" s="192">
        <v>0</v>
      </c>
      <c r="O547" s="192">
        <v>2</v>
      </c>
      <c r="P547" s="192">
        <v>2</v>
      </c>
      <c r="Q547" s="192">
        <v>2</v>
      </c>
      <c r="R547" s="192">
        <v>2</v>
      </c>
      <c r="S547" s="192">
        <v>2</v>
      </c>
      <c r="T547" s="192">
        <v>2</v>
      </c>
      <c r="U547" s="192">
        <v>4</v>
      </c>
      <c r="V547" s="219">
        <v>0</v>
      </c>
      <c r="W547" s="246">
        <v>0</v>
      </c>
      <c r="X547" s="246">
        <v>0</v>
      </c>
      <c r="Y547" s="246">
        <f>X547</f>
        <v>0</v>
      </c>
      <c r="Z547" s="246">
        <v>0</v>
      </c>
      <c r="AA547" s="246">
        <v>0</v>
      </c>
      <c r="AB547" s="246">
        <v>2</v>
      </c>
      <c r="AC547" s="246">
        <f t="shared" si="3144"/>
        <v>2</v>
      </c>
      <c r="AD547" s="246">
        <f t="shared" si="3144"/>
        <v>2</v>
      </c>
      <c r="AE547" s="246">
        <f t="shared" si="3144"/>
        <v>2</v>
      </c>
      <c r="AF547" s="246">
        <f>AE547</f>
        <v>2</v>
      </c>
      <c r="AG547" s="246">
        <v>4</v>
      </c>
      <c r="AH547" s="31"/>
      <c r="AI547" s="19"/>
      <c r="AJ547" s="19"/>
      <c r="AK547" s="408"/>
      <c r="AL547" s="40">
        <f t="shared" si="3111"/>
        <v>0</v>
      </c>
      <c r="AM547" s="40">
        <f t="shared" si="3112"/>
        <v>0</v>
      </c>
      <c r="AN547" s="40">
        <f t="shared" si="3080"/>
        <v>0</v>
      </c>
      <c r="AO547" s="40">
        <f t="shared" si="3081"/>
        <v>0</v>
      </c>
      <c r="AP547" s="40">
        <f t="shared" si="3082"/>
        <v>0</v>
      </c>
      <c r="AQ547" s="40">
        <f t="shared" si="3083"/>
        <v>2</v>
      </c>
      <c r="AR547" s="40">
        <f t="shared" si="3084"/>
        <v>0</v>
      </c>
      <c r="AS547" s="40">
        <f t="shared" si="3085"/>
        <v>0</v>
      </c>
      <c r="AT547" s="40">
        <f t="shared" si="3086"/>
        <v>0</v>
      </c>
      <c r="AU547" s="40">
        <f t="shared" si="3087"/>
        <v>0</v>
      </c>
      <c r="AV547" s="40">
        <f t="shared" si="3088"/>
        <v>0</v>
      </c>
      <c r="AW547" s="40">
        <f t="shared" si="3089"/>
        <v>2</v>
      </c>
      <c r="AX547" s="40">
        <f t="shared" si="3113"/>
        <v>0</v>
      </c>
      <c r="AY547" s="40">
        <f t="shared" si="3114"/>
        <v>0</v>
      </c>
      <c r="AZ547" s="40">
        <f t="shared" si="3115"/>
        <v>0</v>
      </c>
      <c r="BA547" s="40">
        <f t="shared" si="3116"/>
        <v>0</v>
      </c>
      <c r="BB547" s="40">
        <f t="shared" si="3117"/>
        <v>0</v>
      </c>
      <c r="BC547" s="40">
        <f t="shared" si="3118"/>
        <v>0</v>
      </c>
      <c r="BD547" s="40">
        <f t="shared" si="3119"/>
        <v>2</v>
      </c>
      <c r="BE547" s="40">
        <f t="shared" si="3120"/>
        <v>0</v>
      </c>
      <c r="BF547" s="40">
        <f t="shared" si="3121"/>
        <v>0</v>
      </c>
      <c r="BG547" s="40">
        <f t="shared" si="3122"/>
        <v>0</v>
      </c>
      <c r="BH547" s="40">
        <f t="shared" si="3123"/>
        <v>0</v>
      </c>
      <c r="BI547" s="40">
        <f t="shared" si="3124"/>
        <v>2</v>
      </c>
      <c r="BJ547" s="40">
        <f>AH547-AG547</f>
        <v>-4</v>
      </c>
      <c r="BK547" s="40">
        <f t="shared" si="3091"/>
        <v>0</v>
      </c>
      <c r="BL547" s="40">
        <f t="shared" si="3092"/>
        <v>0</v>
      </c>
      <c r="BM547" s="408"/>
      <c r="BN547" s="48">
        <f t="shared" si="3029"/>
        <v>0</v>
      </c>
      <c r="BO547" s="48">
        <f t="shared" si="3030"/>
        <v>0</v>
      </c>
      <c r="BP547" s="48">
        <f>SUM(AL547:AN547)</f>
        <v>0</v>
      </c>
      <c r="BQ547" s="48">
        <f t="shared" si="3032"/>
        <v>2</v>
      </c>
      <c r="BR547" s="48">
        <f t="shared" si="3033"/>
        <v>2</v>
      </c>
      <c r="BS547" s="48">
        <f t="shared" si="3094"/>
        <v>2</v>
      </c>
      <c r="BT547" s="48">
        <f t="shared" si="3035"/>
        <v>0</v>
      </c>
      <c r="BU547" s="48">
        <f t="shared" si="3036"/>
        <v>0</v>
      </c>
      <c r="BV547" s="48">
        <f t="shared" si="3095"/>
        <v>0</v>
      </c>
      <c r="BW547" s="48">
        <f t="shared" si="3038"/>
        <v>2</v>
      </c>
      <c r="BX547" s="48">
        <f t="shared" si="3039"/>
        <v>2</v>
      </c>
      <c r="BY547" s="48">
        <f t="shared" si="3096"/>
        <v>2</v>
      </c>
      <c r="BZ547" s="48">
        <f t="shared" si="3041"/>
        <v>0</v>
      </c>
      <c r="CA547" s="48">
        <f t="shared" si="3042"/>
        <v>0</v>
      </c>
      <c r="CB547" s="48">
        <f>SUM(AX547:AZ547)</f>
        <v>0</v>
      </c>
      <c r="CC547" s="48">
        <f t="shared" si="3043"/>
        <v>0</v>
      </c>
      <c r="CD547" s="48">
        <f t="shared" si="3044"/>
        <v>0</v>
      </c>
      <c r="CE547" s="48">
        <f>SUM(BA547:BC547)</f>
        <v>0</v>
      </c>
      <c r="CF547" s="48">
        <f>CH547</f>
        <v>2</v>
      </c>
      <c r="CG547" s="48">
        <f>CH547</f>
        <v>2</v>
      </c>
      <c r="CH547" s="48">
        <f>SUM(BD547:BF547)</f>
        <v>2</v>
      </c>
      <c r="CI547" s="48">
        <f>CK547</f>
        <v>2</v>
      </c>
      <c r="CJ547" s="48">
        <f>CK547</f>
        <v>2</v>
      </c>
      <c r="CK547" s="48">
        <f>SUM(BG547:BI547)</f>
        <v>2</v>
      </c>
      <c r="CL547" s="48">
        <f>CN547</f>
        <v>-4</v>
      </c>
      <c r="CM547" s="48">
        <f>CN547</f>
        <v>-4</v>
      </c>
      <c r="CN547" s="48">
        <f>SUM(BJ547:BL547)</f>
        <v>-4</v>
      </c>
      <c r="CO547" s="406"/>
      <c r="CP547" s="48">
        <f t="shared" si="3125"/>
        <v>0</v>
      </c>
      <c r="CQ547" s="48">
        <f t="shared" si="3097"/>
        <v>0</v>
      </c>
      <c r="CR547" s="48">
        <f t="shared" si="3098"/>
        <v>0</v>
      </c>
      <c r="CS547" s="48">
        <f t="shared" si="3099"/>
        <v>0</v>
      </c>
      <c r="CT547" s="48">
        <f t="shared" si="3100"/>
        <v>0</v>
      </c>
      <c r="CU547" s="48">
        <f t="shared" si="3101"/>
        <v>2</v>
      </c>
      <c r="CV547" s="48">
        <f t="shared" si="3102"/>
        <v>2</v>
      </c>
      <c r="CW547" s="48">
        <f t="shared" si="3103"/>
        <v>2</v>
      </c>
      <c r="CX547" s="48">
        <f t="shared" si="3104"/>
        <v>2</v>
      </c>
      <c r="CY547" s="48">
        <f t="shared" si="3105"/>
        <v>2</v>
      </c>
      <c r="CZ547" s="48">
        <f t="shared" si="3106"/>
        <v>2</v>
      </c>
      <c r="DA547" s="48">
        <f t="shared" si="3107"/>
        <v>4</v>
      </c>
      <c r="DB547" s="48">
        <f t="shared" si="3126"/>
        <v>0</v>
      </c>
      <c r="DC547" s="48">
        <f t="shared" si="3127"/>
        <v>0</v>
      </c>
      <c r="DD547" s="48">
        <f t="shared" si="3128"/>
        <v>0</v>
      </c>
      <c r="DE547" s="48">
        <f t="shared" si="3129"/>
        <v>0</v>
      </c>
      <c r="DF547" s="48">
        <f t="shared" si="3130"/>
        <v>0</v>
      </c>
      <c r="DG547" s="48">
        <f t="shared" si="3131"/>
        <v>0</v>
      </c>
      <c r="DH547" s="48">
        <f t="shared" si="3132"/>
        <v>2</v>
      </c>
      <c r="DI547" s="48">
        <f t="shared" si="3133"/>
        <v>2</v>
      </c>
      <c r="DJ547" s="48">
        <f t="shared" si="3134"/>
        <v>2</v>
      </c>
      <c r="DK547" s="48">
        <f t="shared" si="3135"/>
        <v>2</v>
      </c>
      <c r="DL547" s="48">
        <f t="shared" si="3136"/>
        <v>2</v>
      </c>
      <c r="DM547" s="48">
        <f t="shared" si="3137"/>
        <v>4</v>
      </c>
      <c r="DN547" s="48">
        <f>DM547+BJ547</f>
        <v>0</v>
      </c>
      <c r="DO547" s="48">
        <f t="shared" si="3138"/>
        <v>0</v>
      </c>
      <c r="DP547" s="48">
        <f t="shared" si="3139"/>
        <v>0</v>
      </c>
      <c r="DQ547" s="48"/>
      <c r="DR547" s="48"/>
      <c r="DS547" s="48"/>
      <c r="DT547" s="48"/>
      <c r="DU547" s="48"/>
      <c r="DV547" s="48"/>
      <c r="DW547" s="48"/>
      <c r="DX547" s="48"/>
      <c r="DY547" s="48"/>
      <c r="EA547" s="52">
        <f t="shared" si="3062"/>
        <v>4</v>
      </c>
      <c r="EB547" s="52">
        <f t="shared" si="3063"/>
        <v>4</v>
      </c>
      <c r="EC547" s="52"/>
      <c r="ED547" s="429"/>
      <c r="EE547" s="40">
        <f t="shared" si="3026"/>
        <v>0</v>
      </c>
      <c r="EF547" s="40">
        <f t="shared" si="3027"/>
        <v>-4</v>
      </c>
      <c r="EG547" s="51">
        <f t="shared" si="3073"/>
        <v>4</v>
      </c>
      <c r="EH547" s="54"/>
      <c r="EI547" s="54"/>
      <c r="EJ547" s="54"/>
      <c r="EK547" s="675"/>
      <c r="EL547" s="53"/>
      <c r="EM547" s="53"/>
      <c r="EN547" s="53"/>
      <c r="EO547" s="49"/>
      <c r="EP547" s="49"/>
      <c r="EQ547" s="49"/>
    </row>
    <row r="548" spans="1:149">
      <c r="A548" s="6" t="s">
        <v>23</v>
      </c>
      <c r="B548" s="2" t="s">
        <v>13</v>
      </c>
      <c r="C548" s="3" t="s">
        <v>52</v>
      </c>
      <c r="E548" s="3" t="s">
        <v>15</v>
      </c>
      <c r="G548" s="3" t="s">
        <v>91</v>
      </c>
      <c r="I548" s="195"/>
      <c r="J548" s="192"/>
      <c r="K548" s="192"/>
      <c r="L548" s="192">
        <v>32250</v>
      </c>
      <c r="M548" s="192">
        <v>32250</v>
      </c>
      <c r="N548" s="192">
        <v>32250</v>
      </c>
      <c r="O548" s="192">
        <v>64500</v>
      </c>
      <c r="P548" s="192">
        <v>64500</v>
      </c>
      <c r="Q548" s="192">
        <v>64500</v>
      </c>
      <c r="R548" s="192">
        <v>97750</v>
      </c>
      <c r="S548" s="192">
        <v>97750</v>
      </c>
      <c r="T548" s="192">
        <v>97750</v>
      </c>
      <c r="U548" s="192">
        <v>129000</v>
      </c>
      <c r="V548" s="219">
        <v>0</v>
      </c>
      <c r="W548" s="246">
        <v>0</v>
      </c>
      <c r="X548" s="246">
        <v>0</v>
      </c>
      <c r="Y548" s="246">
        <f>X548</f>
        <v>0</v>
      </c>
      <c r="Z548" s="246">
        <v>0</v>
      </c>
      <c r="AA548" s="246">
        <f>ROUND(AG548/2,)</f>
        <v>67500</v>
      </c>
      <c r="AB548" s="246">
        <f t="shared" ref="AB548:AF549" si="3145">+AA548</f>
        <v>67500</v>
      </c>
      <c r="AC548" s="246">
        <f t="shared" si="3145"/>
        <v>67500</v>
      </c>
      <c r="AD548" s="246">
        <f t="shared" si="3145"/>
        <v>67500</v>
      </c>
      <c r="AE548" s="246">
        <f t="shared" si="3145"/>
        <v>67500</v>
      </c>
      <c r="AF548" s="246">
        <f t="shared" si="3145"/>
        <v>67500</v>
      </c>
      <c r="AG548" s="246">
        <v>135000</v>
      </c>
      <c r="AH548" s="31"/>
      <c r="AI548" s="19"/>
      <c r="AJ548" s="19"/>
      <c r="AK548" s="408"/>
      <c r="AL548" s="40" t="s">
        <v>97</v>
      </c>
      <c r="AM548" s="40" t="s">
        <v>97</v>
      </c>
      <c r="AN548" s="40" t="s">
        <v>97</v>
      </c>
      <c r="AO548" s="40" t="s">
        <v>97</v>
      </c>
      <c r="AP548" s="40" t="s">
        <v>97</v>
      </c>
      <c r="AQ548" s="40" t="s">
        <v>97</v>
      </c>
      <c r="AR548" s="40" t="s">
        <v>97</v>
      </c>
      <c r="AS548" s="40" t="s">
        <v>97</v>
      </c>
      <c r="AT548" s="40" t="s">
        <v>97</v>
      </c>
      <c r="AU548" s="40" t="s">
        <v>97</v>
      </c>
      <c r="AV548" s="40" t="s">
        <v>97</v>
      </c>
      <c r="AW548" s="40" t="s">
        <v>97</v>
      </c>
      <c r="AX548" s="40" t="s">
        <v>97</v>
      </c>
      <c r="AY548" s="40" t="s">
        <v>97</v>
      </c>
      <c r="AZ548" s="40" t="s">
        <v>97</v>
      </c>
      <c r="BA548" s="40" t="s">
        <v>97</v>
      </c>
      <c r="BB548" s="40" t="s">
        <v>97</v>
      </c>
      <c r="BC548" s="40" t="s">
        <v>97</v>
      </c>
      <c r="BD548" s="40" t="s">
        <v>97</v>
      </c>
      <c r="BE548" s="40" t="s">
        <v>97</v>
      </c>
      <c r="BF548" s="40" t="s">
        <v>97</v>
      </c>
      <c r="BG548" s="40" t="s">
        <v>97</v>
      </c>
      <c r="BH548" s="40" t="s">
        <v>97</v>
      </c>
      <c r="BI548" s="40" t="s">
        <v>97</v>
      </c>
      <c r="BJ548" s="40" t="s">
        <v>97</v>
      </c>
      <c r="BK548" s="40" t="s">
        <v>97</v>
      </c>
      <c r="BL548" s="40" t="s">
        <v>97</v>
      </c>
      <c r="BM548" s="408"/>
      <c r="BN548" s="40" t="s">
        <v>97</v>
      </c>
      <c r="BO548" s="40" t="s">
        <v>97</v>
      </c>
      <c r="BP548" s="40" t="s">
        <v>97</v>
      </c>
      <c r="BQ548" s="40" t="s">
        <v>97</v>
      </c>
      <c r="BR548" s="40" t="s">
        <v>97</v>
      </c>
      <c r="BS548" s="40" t="s">
        <v>97</v>
      </c>
      <c r="BT548" s="40" t="s">
        <v>97</v>
      </c>
      <c r="BU548" s="40" t="s">
        <v>97</v>
      </c>
      <c r="BV548" s="40" t="s">
        <v>97</v>
      </c>
      <c r="BW548" s="40" t="s">
        <v>97</v>
      </c>
      <c r="BX548" s="40" t="s">
        <v>97</v>
      </c>
      <c r="BY548" s="40" t="s">
        <v>97</v>
      </c>
      <c r="BZ548" s="40" t="s">
        <v>97</v>
      </c>
      <c r="CA548" s="40" t="s">
        <v>97</v>
      </c>
      <c r="CB548" s="40" t="s">
        <v>97</v>
      </c>
      <c r="CC548" s="40" t="s">
        <v>97</v>
      </c>
      <c r="CD548" s="40" t="s">
        <v>97</v>
      </c>
      <c r="CE548" s="40" t="s">
        <v>97</v>
      </c>
      <c r="CF548" s="40" t="s">
        <v>97</v>
      </c>
      <c r="CG548" s="40" t="s">
        <v>97</v>
      </c>
      <c r="CH548" s="40" t="s">
        <v>97</v>
      </c>
      <c r="CI548" s="40" t="s">
        <v>97</v>
      </c>
      <c r="CJ548" s="40" t="s">
        <v>97</v>
      </c>
      <c r="CK548" s="40" t="s">
        <v>97</v>
      </c>
      <c r="CL548" s="40" t="s">
        <v>97</v>
      </c>
      <c r="CM548" s="40" t="s">
        <v>97</v>
      </c>
      <c r="CN548" s="40" t="s">
        <v>97</v>
      </c>
      <c r="CO548" s="406"/>
      <c r="CP548" s="48">
        <f t="shared" ref="CP548:CY549" si="3146">J548</f>
        <v>0</v>
      </c>
      <c r="CQ548" s="48">
        <f t="shared" si="3146"/>
        <v>0</v>
      </c>
      <c r="CR548" s="48">
        <f t="shared" si="3146"/>
        <v>32250</v>
      </c>
      <c r="CS548" s="48">
        <f t="shared" si="3146"/>
        <v>32250</v>
      </c>
      <c r="CT548" s="48">
        <f t="shared" si="3146"/>
        <v>32250</v>
      </c>
      <c r="CU548" s="48">
        <f t="shared" si="3146"/>
        <v>64500</v>
      </c>
      <c r="CV548" s="48">
        <f t="shared" si="3146"/>
        <v>64500</v>
      </c>
      <c r="CW548" s="48">
        <f t="shared" si="3146"/>
        <v>64500</v>
      </c>
      <c r="CX548" s="48">
        <f t="shared" si="3146"/>
        <v>97750</v>
      </c>
      <c r="CY548" s="48">
        <f t="shared" si="3146"/>
        <v>97750</v>
      </c>
      <c r="CZ548" s="48">
        <f t="shared" ref="CZ548:DI549" si="3147">T548</f>
        <v>97750</v>
      </c>
      <c r="DA548" s="48">
        <f t="shared" si="3147"/>
        <v>129000</v>
      </c>
      <c r="DB548" s="48">
        <f t="shared" si="3147"/>
        <v>0</v>
      </c>
      <c r="DC548" s="48">
        <f t="shared" si="3147"/>
        <v>0</v>
      </c>
      <c r="DD548" s="48">
        <f t="shared" si="3147"/>
        <v>0</v>
      </c>
      <c r="DE548" s="48">
        <f t="shared" si="3147"/>
        <v>0</v>
      </c>
      <c r="DF548" s="48">
        <f t="shared" si="3147"/>
        <v>0</v>
      </c>
      <c r="DG548" s="48">
        <f t="shared" si="3147"/>
        <v>67500</v>
      </c>
      <c r="DH548" s="48">
        <f t="shared" si="3147"/>
        <v>67500</v>
      </c>
      <c r="DI548" s="48">
        <f t="shared" si="3147"/>
        <v>67500</v>
      </c>
      <c r="DJ548" s="48">
        <f t="shared" ref="DJ548:DP549" si="3148">AD548</f>
        <v>67500</v>
      </c>
      <c r="DK548" s="48">
        <f t="shared" si="3148"/>
        <v>67500</v>
      </c>
      <c r="DL548" s="48">
        <f t="shared" si="3148"/>
        <v>67500</v>
      </c>
      <c r="DM548" s="48">
        <f t="shared" si="3148"/>
        <v>135000</v>
      </c>
      <c r="DN548" s="48">
        <f t="shared" si="3148"/>
        <v>0</v>
      </c>
      <c r="DO548" s="48">
        <f t="shared" si="3148"/>
        <v>0</v>
      </c>
      <c r="DP548" s="48">
        <f t="shared" si="3148"/>
        <v>0</v>
      </c>
      <c r="DQ548" s="48"/>
      <c r="DR548" s="48"/>
      <c r="DS548" s="48"/>
      <c r="DT548" s="48"/>
      <c r="DU548" s="48"/>
      <c r="DV548" s="48"/>
      <c r="DW548" s="48"/>
      <c r="DX548" s="48"/>
      <c r="DY548" s="48"/>
      <c r="EA548" s="52">
        <f t="shared" si="3062"/>
        <v>129000</v>
      </c>
      <c r="EB548" s="52">
        <f t="shared" si="3063"/>
        <v>135000</v>
      </c>
      <c r="EC548" s="52"/>
      <c r="ED548" s="429"/>
      <c r="EE548" s="40" t="str">
        <f>HLOOKUP($I$1,Month,19)</f>
        <v>N/A</v>
      </c>
      <c r="EF548" s="40" t="str">
        <f>HLOOKUP($I$1,Qtr,19)</f>
        <v>N/A</v>
      </c>
      <c r="EG548" s="51">
        <f>HLOOKUP($EJ$4,Budget,19)</f>
        <v>41153</v>
      </c>
      <c r="EH548" s="54"/>
      <c r="EI548" s="54"/>
      <c r="EJ548" s="54"/>
      <c r="EK548" s="675"/>
      <c r="EL548" s="53"/>
      <c r="EM548" s="53"/>
      <c r="EN548" s="53"/>
      <c r="EO548" s="49"/>
      <c r="EP548" s="49"/>
      <c r="EQ548" s="49"/>
    </row>
    <row r="549" spans="1:149" ht="13.5" thickBot="1">
      <c r="A549" s="6" t="s">
        <v>23</v>
      </c>
      <c r="B549" s="2" t="s">
        <v>14</v>
      </c>
      <c r="C549" s="3" t="s">
        <v>53</v>
      </c>
      <c r="E549" s="3" t="s">
        <v>15</v>
      </c>
      <c r="G549" s="3" t="s">
        <v>91</v>
      </c>
      <c r="I549" s="195"/>
      <c r="J549" s="192"/>
      <c r="K549" s="192"/>
      <c r="L549" s="192">
        <v>22250</v>
      </c>
      <c r="M549" s="192">
        <v>22250</v>
      </c>
      <c r="N549" s="192">
        <v>22250</v>
      </c>
      <c r="O549" s="192">
        <v>44500</v>
      </c>
      <c r="P549" s="192">
        <v>44500</v>
      </c>
      <c r="Q549" s="192">
        <v>44500</v>
      </c>
      <c r="R549" s="192">
        <v>66750</v>
      </c>
      <c r="S549" s="192">
        <v>66750</v>
      </c>
      <c r="T549" s="192">
        <v>66750</v>
      </c>
      <c r="U549" s="192">
        <v>89000</v>
      </c>
      <c r="V549" s="221">
        <v>0</v>
      </c>
      <c r="W549" s="246">
        <v>0</v>
      </c>
      <c r="X549" s="246">
        <v>0</v>
      </c>
      <c r="Y549" s="246">
        <f>X549</f>
        <v>0</v>
      </c>
      <c r="Z549" s="246">
        <v>0</v>
      </c>
      <c r="AA549" s="246">
        <f>ROUND(AG549/2,0)</f>
        <v>44500</v>
      </c>
      <c r="AB549" s="246">
        <f t="shared" si="3145"/>
        <v>44500</v>
      </c>
      <c r="AC549" s="246">
        <f t="shared" si="3145"/>
        <v>44500</v>
      </c>
      <c r="AD549" s="246">
        <f t="shared" si="3145"/>
        <v>44500</v>
      </c>
      <c r="AE549" s="246">
        <f t="shared" si="3145"/>
        <v>44500</v>
      </c>
      <c r="AF549" s="246">
        <f t="shared" si="3145"/>
        <v>44500</v>
      </c>
      <c r="AG549" s="246">
        <v>89000</v>
      </c>
      <c r="AH549" s="34"/>
      <c r="AI549" s="19"/>
      <c r="AJ549" s="19"/>
      <c r="AK549" s="408"/>
      <c r="AL549" s="40" t="s">
        <v>97</v>
      </c>
      <c r="AM549" s="40" t="s">
        <v>97</v>
      </c>
      <c r="AN549" s="40" t="s">
        <v>97</v>
      </c>
      <c r="AO549" s="40" t="s">
        <v>97</v>
      </c>
      <c r="AP549" s="40" t="s">
        <v>97</v>
      </c>
      <c r="AQ549" s="40" t="s">
        <v>97</v>
      </c>
      <c r="AR549" s="40" t="s">
        <v>97</v>
      </c>
      <c r="AS549" s="40" t="s">
        <v>97</v>
      </c>
      <c r="AT549" s="40" t="s">
        <v>97</v>
      </c>
      <c r="AU549" s="40" t="s">
        <v>97</v>
      </c>
      <c r="AV549" s="40" t="s">
        <v>97</v>
      </c>
      <c r="AW549" s="40" t="s">
        <v>97</v>
      </c>
      <c r="AX549" s="40" t="s">
        <v>97</v>
      </c>
      <c r="AY549" s="40" t="s">
        <v>97</v>
      </c>
      <c r="AZ549" s="40" t="s">
        <v>97</v>
      </c>
      <c r="BA549" s="40" t="s">
        <v>97</v>
      </c>
      <c r="BB549" s="40" t="s">
        <v>97</v>
      </c>
      <c r="BC549" s="40" t="s">
        <v>97</v>
      </c>
      <c r="BD549" s="40" t="s">
        <v>97</v>
      </c>
      <c r="BE549" s="40" t="s">
        <v>97</v>
      </c>
      <c r="BF549" s="40" t="s">
        <v>97</v>
      </c>
      <c r="BG549" s="40" t="s">
        <v>97</v>
      </c>
      <c r="BH549" s="40" t="s">
        <v>97</v>
      </c>
      <c r="BI549" s="40" t="s">
        <v>97</v>
      </c>
      <c r="BJ549" s="40" t="s">
        <v>97</v>
      </c>
      <c r="BK549" s="40" t="s">
        <v>97</v>
      </c>
      <c r="BL549" s="40" t="s">
        <v>97</v>
      </c>
      <c r="BM549" s="408"/>
      <c r="BN549" s="40" t="s">
        <v>97</v>
      </c>
      <c r="BO549" s="40" t="s">
        <v>97</v>
      </c>
      <c r="BP549" s="40" t="s">
        <v>97</v>
      </c>
      <c r="BQ549" s="40" t="s">
        <v>97</v>
      </c>
      <c r="BR549" s="40" t="s">
        <v>97</v>
      </c>
      <c r="BS549" s="40" t="s">
        <v>97</v>
      </c>
      <c r="BT549" s="40" t="s">
        <v>97</v>
      </c>
      <c r="BU549" s="40" t="s">
        <v>97</v>
      </c>
      <c r="BV549" s="40" t="s">
        <v>97</v>
      </c>
      <c r="BW549" s="40" t="s">
        <v>97</v>
      </c>
      <c r="BX549" s="40" t="s">
        <v>97</v>
      </c>
      <c r="BY549" s="40" t="s">
        <v>97</v>
      </c>
      <c r="BZ549" s="40" t="s">
        <v>97</v>
      </c>
      <c r="CA549" s="40" t="s">
        <v>97</v>
      </c>
      <c r="CB549" s="40" t="s">
        <v>97</v>
      </c>
      <c r="CC549" s="40" t="s">
        <v>97</v>
      </c>
      <c r="CD549" s="40" t="s">
        <v>97</v>
      </c>
      <c r="CE549" s="40" t="s">
        <v>97</v>
      </c>
      <c r="CF549" s="40" t="s">
        <v>97</v>
      </c>
      <c r="CG549" s="40" t="s">
        <v>97</v>
      </c>
      <c r="CH549" s="40" t="s">
        <v>97</v>
      </c>
      <c r="CI549" s="40" t="s">
        <v>97</v>
      </c>
      <c r="CJ549" s="40" t="s">
        <v>97</v>
      </c>
      <c r="CK549" s="40" t="s">
        <v>97</v>
      </c>
      <c r="CL549" s="40" t="s">
        <v>97</v>
      </c>
      <c r="CM549" s="40" t="s">
        <v>97</v>
      </c>
      <c r="CN549" s="40" t="s">
        <v>97</v>
      </c>
      <c r="CO549" s="406"/>
      <c r="CP549" s="48">
        <f t="shared" si="3146"/>
        <v>0</v>
      </c>
      <c r="CQ549" s="48">
        <f t="shared" si="3146"/>
        <v>0</v>
      </c>
      <c r="CR549" s="48">
        <f t="shared" si="3146"/>
        <v>22250</v>
      </c>
      <c r="CS549" s="48">
        <f t="shared" si="3146"/>
        <v>22250</v>
      </c>
      <c r="CT549" s="48">
        <f t="shared" si="3146"/>
        <v>22250</v>
      </c>
      <c r="CU549" s="48">
        <f t="shared" si="3146"/>
        <v>44500</v>
      </c>
      <c r="CV549" s="48">
        <f t="shared" si="3146"/>
        <v>44500</v>
      </c>
      <c r="CW549" s="48">
        <f t="shared" si="3146"/>
        <v>44500</v>
      </c>
      <c r="CX549" s="48">
        <f t="shared" si="3146"/>
        <v>66750</v>
      </c>
      <c r="CY549" s="48">
        <f t="shared" si="3146"/>
        <v>66750</v>
      </c>
      <c r="CZ549" s="48">
        <f t="shared" si="3147"/>
        <v>66750</v>
      </c>
      <c r="DA549" s="48">
        <f t="shared" si="3147"/>
        <v>89000</v>
      </c>
      <c r="DB549" s="48">
        <f t="shared" si="3147"/>
        <v>0</v>
      </c>
      <c r="DC549" s="48">
        <f t="shared" si="3147"/>
        <v>0</v>
      </c>
      <c r="DD549" s="48">
        <f t="shared" si="3147"/>
        <v>0</v>
      </c>
      <c r="DE549" s="48">
        <f t="shared" si="3147"/>
        <v>0</v>
      </c>
      <c r="DF549" s="48">
        <f t="shared" si="3147"/>
        <v>0</v>
      </c>
      <c r="DG549" s="48">
        <f t="shared" si="3147"/>
        <v>44500</v>
      </c>
      <c r="DH549" s="48">
        <f t="shared" si="3147"/>
        <v>44500</v>
      </c>
      <c r="DI549" s="48">
        <f t="shared" si="3147"/>
        <v>44500</v>
      </c>
      <c r="DJ549" s="48">
        <f t="shared" si="3148"/>
        <v>44500</v>
      </c>
      <c r="DK549" s="48">
        <f t="shared" si="3148"/>
        <v>44500</v>
      </c>
      <c r="DL549" s="48">
        <f t="shared" si="3148"/>
        <v>44500</v>
      </c>
      <c r="DM549" s="48">
        <f t="shared" si="3148"/>
        <v>89000</v>
      </c>
      <c r="DN549" s="48">
        <f t="shared" si="3148"/>
        <v>0</v>
      </c>
      <c r="DO549" s="48">
        <f t="shared" si="3148"/>
        <v>0</v>
      </c>
      <c r="DP549" s="48">
        <f t="shared" si="3148"/>
        <v>0</v>
      </c>
      <c r="DQ549" s="48"/>
      <c r="DR549" s="48"/>
      <c r="DS549" s="48"/>
      <c r="DT549" s="48"/>
      <c r="DU549" s="48"/>
      <c r="DV549" s="48"/>
      <c r="DW549" s="48"/>
      <c r="DX549" s="48"/>
      <c r="DY549" s="48"/>
      <c r="EA549" s="52">
        <f t="shared" si="3062"/>
        <v>89000</v>
      </c>
      <c r="EB549" s="52">
        <f t="shared" si="3063"/>
        <v>89000</v>
      </c>
      <c r="EC549" s="52"/>
      <c r="ED549" s="429"/>
      <c r="EE549" s="40" t="str">
        <f>HLOOKUP($I$1,Month,20)</f>
        <v>N/A</v>
      </c>
      <c r="EF549" s="40" t="str">
        <f>HLOOKUP($I$1,Qtr,20)</f>
        <v>N/A</v>
      </c>
      <c r="EG549" s="51">
        <f>HLOOKUP($EJ$4,Budget,20)</f>
        <v>81520</v>
      </c>
      <c r="EH549" s="54"/>
      <c r="EI549" s="54"/>
      <c r="EJ549" s="54"/>
      <c r="EK549" s="675"/>
      <c r="EL549" s="53"/>
      <c r="EM549" s="53"/>
      <c r="EN549" s="53"/>
      <c r="EO549" s="49"/>
      <c r="EP549" s="49"/>
      <c r="EQ549" s="49"/>
    </row>
    <row r="550" spans="1:149">
      <c r="A550" s="6" t="s">
        <v>23</v>
      </c>
      <c r="B550" s="2" t="s">
        <v>0</v>
      </c>
      <c r="C550" s="3" t="s">
        <v>40</v>
      </c>
      <c r="G550" s="43" t="s">
        <v>113</v>
      </c>
      <c r="H550" s="28"/>
      <c r="I550" s="29">
        <f>460/12</f>
        <v>38.333333333333336</v>
      </c>
      <c r="J550" s="225">
        <f t="shared" ref="J550:AG550" si="3149">460/12</f>
        <v>38.333333333333336</v>
      </c>
      <c r="K550" s="225">
        <f t="shared" si="3149"/>
        <v>38.333333333333336</v>
      </c>
      <c r="L550" s="225">
        <f t="shared" si="3149"/>
        <v>38.333333333333336</v>
      </c>
      <c r="M550" s="225">
        <f t="shared" si="3149"/>
        <v>38.333333333333336</v>
      </c>
      <c r="N550" s="225">
        <f t="shared" si="3149"/>
        <v>38.333333333333336</v>
      </c>
      <c r="O550" s="225">
        <f t="shared" si="3149"/>
        <v>38.333333333333336</v>
      </c>
      <c r="P550" s="225">
        <f t="shared" si="3149"/>
        <v>38.333333333333336</v>
      </c>
      <c r="Q550" s="225">
        <f t="shared" si="3149"/>
        <v>38.333333333333336</v>
      </c>
      <c r="R550" s="225">
        <f t="shared" si="3149"/>
        <v>38.333333333333336</v>
      </c>
      <c r="S550" s="225">
        <f t="shared" si="3149"/>
        <v>38.333333333333336</v>
      </c>
      <c r="T550" s="225">
        <f t="shared" si="3149"/>
        <v>38.333333333333336</v>
      </c>
      <c r="U550" s="225">
        <f t="shared" si="3149"/>
        <v>38.333333333333336</v>
      </c>
      <c r="V550" s="225">
        <f t="shared" si="3149"/>
        <v>38.333333333333336</v>
      </c>
      <c r="W550" s="225">
        <f t="shared" si="3149"/>
        <v>38.333333333333336</v>
      </c>
      <c r="X550" s="225">
        <f t="shared" si="3149"/>
        <v>38.333333333333336</v>
      </c>
      <c r="Y550" s="225">
        <f t="shared" si="3149"/>
        <v>38.333333333333336</v>
      </c>
      <c r="Z550" s="225">
        <f t="shared" si="3149"/>
        <v>38.333333333333336</v>
      </c>
      <c r="AA550" s="225">
        <f t="shared" si="3149"/>
        <v>38.333333333333336</v>
      </c>
      <c r="AB550" s="225">
        <f t="shared" si="3149"/>
        <v>38.333333333333336</v>
      </c>
      <c r="AC550" s="225">
        <f t="shared" si="3149"/>
        <v>38.333333333333336</v>
      </c>
      <c r="AD550" s="225">
        <f t="shared" si="3149"/>
        <v>38.333333333333336</v>
      </c>
      <c r="AE550" s="225">
        <f t="shared" si="3149"/>
        <v>38.333333333333336</v>
      </c>
      <c r="AF550" s="225">
        <f t="shared" si="3149"/>
        <v>38.333333333333336</v>
      </c>
      <c r="AG550" s="225">
        <f t="shared" si="3149"/>
        <v>38.333333333333336</v>
      </c>
      <c r="AH550" s="30">
        <f>460/12</f>
        <v>38.333333333333336</v>
      </c>
      <c r="AI550" s="226">
        <f>AH550+AH550</f>
        <v>76.666666666666671</v>
      </c>
      <c r="AJ550" s="226"/>
      <c r="AK550" s="408"/>
      <c r="AL550" s="48">
        <f t="shared" ref="AL550:AU552" si="3150">J550</f>
        <v>38.333333333333336</v>
      </c>
      <c r="AM550" s="48">
        <f t="shared" si="3150"/>
        <v>38.333333333333336</v>
      </c>
      <c r="AN550" s="48">
        <f t="shared" si="3150"/>
        <v>38.333333333333336</v>
      </c>
      <c r="AO550" s="48">
        <f t="shared" si="3150"/>
        <v>38.333333333333336</v>
      </c>
      <c r="AP550" s="48">
        <f t="shared" si="3150"/>
        <v>38.333333333333336</v>
      </c>
      <c r="AQ550" s="48">
        <f t="shared" si="3150"/>
        <v>38.333333333333336</v>
      </c>
      <c r="AR550" s="48">
        <f t="shared" si="3150"/>
        <v>38.333333333333336</v>
      </c>
      <c r="AS550" s="48">
        <f t="shared" si="3150"/>
        <v>38.333333333333336</v>
      </c>
      <c r="AT550" s="48">
        <f t="shared" si="3150"/>
        <v>38.333333333333336</v>
      </c>
      <c r="AU550" s="48">
        <f t="shared" si="3150"/>
        <v>38.333333333333336</v>
      </c>
      <c r="AV550" s="48">
        <f t="shared" ref="AV550:BE552" si="3151">T550</f>
        <v>38.333333333333336</v>
      </c>
      <c r="AW550" s="48">
        <f t="shared" si="3151"/>
        <v>38.333333333333336</v>
      </c>
      <c r="AX550" s="48">
        <v>46.915999999999997</v>
      </c>
      <c r="AY550" s="48">
        <v>46.915999999999997</v>
      </c>
      <c r="AZ550" s="48">
        <v>46.915999999999997</v>
      </c>
      <c r="BA550" s="48">
        <v>46.915999999999997</v>
      </c>
      <c r="BB550" s="48">
        <v>46.915999999999997</v>
      </c>
      <c r="BC550" s="48">
        <v>46.915999999999997</v>
      </c>
      <c r="BD550" s="48">
        <v>46.915999999999997</v>
      </c>
      <c r="BE550" s="48">
        <v>46.915999999999997</v>
      </c>
      <c r="BF550" s="48">
        <v>46.915999999999997</v>
      </c>
      <c r="BG550" s="48">
        <v>46.915999999999997</v>
      </c>
      <c r="BH550" s="48">
        <v>46.915999999999997</v>
      </c>
      <c r="BI550" s="48">
        <v>46.915999999999997</v>
      </c>
      <c r="BJ550" s="48">
        <f t="shared" ref="BF550:BL552" si="3152">AH550</f>
        <v>38.333333333333336</v>
      </c>
      <c r="BK550" s="48">
        <f t="shared" si="3152"/>
        <v>76.666666666666671</v>
      </c>
      <c r="BL550" s="48">
        <f t="shared" si="3152"/>
        <v>0</v>
      </c>
      <c r="BM550" s="408"/>
      <c r="BN550" s="48">
        <f>+AL550</f>
        <v>38.333333333333336</v>
      </c>
      <c r="BO550" s="48">
        <f>+BN550+AM550</f>
        <v>76.666666666666671</v>
      </c>
      <c r="BP550" s="48">
        <f>+BO550+AN550</f>
        <v>115</v>
      </c>
      <c r="BQ550" s="48">
        <f>AO550</f>
        <v>38.333333333333336</v>
      </c>
      <c r="BR550" s="48">
        <f>+BQ550+AP550</f>
        <v>76.666666666666671</v>
      </c>
      <c r="BS550" s="48">
        <f>+BR550+AQ550</f>
        <v>115</v>
      </c>
      <c r="BT550" s="48">
        <f>AR550</f>
        <v>38.333333333333336</v>
      </c>
      <c r="BU550" s="48">
        <f>+BT550+AS550</f>
        <v>76.666666666666671</v>
      </c>
      <c r="BV550" s="48">
        <f>+BU550+AT550</f>
        <v>115</v>
      </c>
      <c r="BW550" s="48">
        <f>AU550</f>
        <v>38.333333333333336</v>
      </c>
      <c r="BX550" s="48">
        <f>+BW550+AV550</f>
        <v>76.666666666666671</v>
      </c>
      <c r="BY550" s="48">
        <v>140.749</v>
      </c>
      <c r="BZ550" s="48">
        <v>140.749</v>
      </c>
      <c r="CA550" s="48">
        <v>140.749</v>
      </c>
      <c r="CB550" s="48">
        <v>140.749</v>
      </c>
      <c r="CC550" s="48">
        <v>281.49799999999999</v>
      </c>
      <c r="CD550" s="48">
        <v>281.49799999999999</v>
      </c>
      <c r="CE550" s="48">
        <v>281.49799999999999</v>
      </c>
      <c r="CF550" s="48">
        <v>422.24700000000001</v>
      </c>
      <c r="CG550" s="48">
        <v>422.24700000000001</v>
      </c>
      <c r="CH550" s="48">
        <v>422.24700000000001</v>
      </c>
      <c r="CI550" s="48">
        <v>563</v>
      </c>
      <c r="CJ550" s="48">
        <v>563</v>
      </c>
      <c r="CK550" s="48">
        <v>563</v>
      </c>
      <c r="CL550" s="48">
        <f>CN550</f>
        <v>115</v>
      </c>
      <c r="CM550" s="48">
        <f>CN550</f>
        <v>115</v>
      </c>
      <c r="CN550" s="48">
        <f>460/4</f>
        <v>115</v>
      </c>
      <c r="CO550" s="406"/>
      <c r="CP550" s="40">
        <f>AL550</f>
        <v>38.333333333333336</v>
      </c>
      <c r="CQ550" s="40">
        <f t="shared" ref="CQ550:DA551" si="3153">CP550+AM550</f>
        <v>76.666666666666671</v>
      </c>
      <c r="CR550" s="40">
        <f t="shared" si="3153"/>
        <v>115</v>
      </c>
      <c r="CS550" s="40">
        <f t="shared" si="3153"/>
        <v>153.33333333333334</v>
      </c>
      <c r="CT550" s="40">
        <f t="shared" si="3153"/>
        <v>191.66666666666669</v>
      </c>
      <c r="CU550" s="40">
        <f t="shared" si="3153"/>
        <v>230.00000000000003</v>
      </c>
      <c r="CV550" s="40">
        <f t="shared" si="3153"/>
        <v>268.33333333333337</v>
      </c>
      <c r="CW550" s="40">
        <f t="shared" si="3153"/>
        <v>306.66666666666669</v>
      </c>
      <c r="CX550" s="40">
        <f t="shared" si="3153"/>
        <v>345</v>
      </c>
      <c r="CY550" s="40">
        <f t="shared" si="3153"/>
        <v>383.33333333333331</v>
      </c>
      <c r="CZ550" s="40">
        <f t="shared" si="3153"/>
        <v>421.66666666666663</v>
      </c>
      <c r="DA550" s="40">
        <f t="shared" si="3153"/>
        <v>459.99999999999994</v>
      </c>
      <c r="DB550" s="40">
        <f>AX550</f>
        <v>46.915999999999997</v>
      </c>
      <c r="DC550" s="396">
        <f>DB550+46.916</f>
        <v>93.831999999999994</v>
      </c>
      <c r="DD550" s="396">
        <f t="shared" ref="DD550:DM550" si="3154">DC550+46.916</f>
        <v>140.74799999999999</v>
      </c>
      <c r="DE550" s="396">
        <f t="shared" si="3154"/>
        <v>187.66399999999999</v>
      </c>
      <c r="DF550" s="396">
        <f t="shared" si="3154"/>
        <v>234.57999999999998</v>
      </c>
      <c r="DG550" s="396">
        <f t="shared" si="3154"/>
        <v>281.49599999999998</v>
      </c>
      <c r="DH550" s="396">
        <f t="shared" si="3154"/>
        <v>328.41199999999998</v>
      </c>
      <c r="DI550" s="396">
        <f t="shared" si="3154"/>
        <v>375.32799999999997</v>
      </c>
      <c r="DJ550" s="396">
        <f t="shared" si="3154"/>
        <v>422.24399999999997</v>
      </c>
      <c r="DK550" s="396">
        <f t="shared" si="3154"/>
        <v>469.15999999999997</v>
      </c>
      <c r="DL550" s="396">
        <f t="shared" si="3154"/>
        <v>516.07600000000002</v>
      </c>
      <c r="DM550" s="396">
        <f t="shared" si="3154"/>
        <v>562.99199999999996</v>
      </c>
      <c r="DN550" s="40">
        <f>BJ550</f>
        <v>38.333333333333336</v>
      </c>
      <c r="DO550" s="40">
        <f>DN550+BK550</f>
        <v>115</v>
      </c>
      <c r="DP550" s="40">
        <f>DO550+BL550</f>
        <v>115</v>
      </c>
      <c r="DQ550" s="40"/>
      <c r="DR550" s="40"/>
      <c r="DS550" s="40"/>
      <c r="DT550" s="40"/>
      <c r="DU550" s="40"/>
      <c r="DV550" s="40"/>
      <c r="DW550" s="40"/>
      <c r="DX550" s="40"/>
      <c r="DY550" s="40"/>
      <c r="EA550" s="58">
        <f t="shared" si="3062"/>
        <v>459.99999999999994</v>
      </c>
      <c r="EB550" s="58">
        <f t="shared" si="3063"/>
        <v>562.99199999999996</v>
      </c>
      <c r="EC550" s="58"/>
      <c r="ED550" s="429"/>
      <c r="EE550" s="40">
        <f>HLOOKUP($I$1,Month,ROW()-1)</f>
        <v>76.666666666666671</v>
      </c>
      <c r="EF550" s="40">
        <f>HLOOKUP($I$1,Qtr,ROW()-1)</f>
        <v>115</v>
      </c>
      <c r="EG550" s="40">
        <v>460</v>
      </c>
      <c r="EH550" s="54"/>
      <c r="EI550" s="54"/>
      <c r="EJ550" s="54"/>
      <c r="EK550" s="675"/>
      <c r="EL550" s="53"/>
      <c r="EM550" s="53"/>
      <c r="EN550" s="53"/>
      <c r="EO550" s="49"/>
      <c r="EP550" s="49"/>
      <c r="EQ550" s="49"/>
    </row>
    <row r="551" spans="1:149">
      <c r="A551" s="6" t="s">
        <v>23</v>
      </c>
      <c r="B551" s="2" t="s">
        <v>1</v>
      </c>
      <c r="C551" s="3" t="s">
        <v>41</v>
      </c>
      <c r="G551" s="43" t="s">
        <v>113</v>
      </c>
      <c r="H551" s="28"/>
      <c r="I551" s="29"/>
      <c r="J551" s="30">
        <v>8</v>
      </c>
      <c r="K551" s="30">
        <v>8</v>
      </c>
      <c r="L551" s="30">
        <v>8</v>
      </c>
      <c r="M551" s="30">
        <f>+M533</f>
        <v>8.3333333333333339</v>
      </c>
      <c r="N551" s="30">
        <f t="shared" ref="N551:X551" si="3155">+N533-M533</f>
        <v>8.3333333300000003</v>
      </c>
      <c r="O551" s="30">
        <f t="shared" si="3155"/>
        <v>8.3333333299999985</v>
      </c>
      <c r="P551" s="30">
        <f t="shared" si="3155"/>
        <v>8.3333333300000021</v>
      </c>
      <c r="Q551" s="30">
        <f t="shared" si="3155"/>
        <v>8.3333333300000021</v>
      </c>
      <c r="R551" s="30">
        <f t="shared" si="3155"/>
        <v>8.3333333300000021</v>
      </c>
      <c r="S551" s="30">
        <f t="shared" si="3155"/>
        <v>8.3333333300000021</v>
      </c>
      <c r="T551" s="30">
        <f t="shared" si="3155"/>
        <v>8.3333333300000021</v>
      </c>
      <c r="U551" s="30">
        <f t="shared" si="3155"/>
        <v>8.3333333300000021</v>
      </c>
      <c r="V551" s="30">
        <f t="shared" si="3155"/>
        <v>8.3333333300000021</v>
      </c>
      <c r="W551" s="30">
        <f t="shared" si="3155"/>
        <v>8.3333333300000021</v>
      </c>
      <c r="X551" s="30">
        <f t="shared" si="3155"/>
        <v>8.3333333300000021</v>
      </c>
      <c r="Y551" s="30">
        <f>+Y533</f>
        <v>6.5</v>
      </c>
      <c r="Z551" s="30">
        <f t="shared" ref="Z551:AJ551" si="3156">+Z533-Y533</f>
        <v>6.5</v>
      </c>
      <c r="AA551" s="30">
        <f t="shared" si="3156"/>
        <v>6.5</v>
      </c>
      <c r="AB551" s="30">
        <f t="shared" si="3156"/>
        <v>6.5</v>
      </c>
      <c r="AC551" s="30">
        <f t="shared" si="3156"/>
        <v>6.5</v>
      </c>
      <c r="AD551" s="30">
        <f t="shared" si="3156"/>
        <v>6.5</v>
      </c>
      <c r="AE551" s="30">
        <f t="shared" si="3156"/>
        <v>6.5</v>
      </c>
      <c r="AF551" s="30">
        <f t="shared" si="3156"/>
        <v>6.5</v>
      </c>
      <c r="AG551" s="30">
        <f t="shared" si="3156"/>
        <v>6.5</v>
      </c>
      <c r="AH551" s="30">
        <f t="shared" si="3156"/>
        <v>6.5</v>
      </c>
      <c r="AI551" s="30">
        <f t="shared" si="3156"/>
        <v>6.5</v>
      </c>
      <c r="AJ551" s="30">
        <f t="shared" si="3156"/>
        <v>6.5</v>
      </c>
      <c r="AK551" s="408"/>
      <c r="AL551" s="48">
        <f t="shared" si="3150"/>
        <v>8</v>
      </c>
      <c r="AM551" s="48">
        <f t="shared" si="3150"/>
        <v>8</v>
      </c>
      <c r="AN551" s="48">
        <f t="shared" si="3150"/>
        <v>8</v>
      </c>
      <c r="AO551" s="48">
        <f t="shared" si="3150"/>
        <v>8.3333333333333339</v>
      </c>
      <c r="AP551" s="48">
        <f t="shared" si="3150"/>
        <v>8.3333333300000003</v>
      </c>
      <c r="AQ551" s="48">
        <f t="shared" si="3150"/>
        <v>8.3333333299999985</v>
      </c>
      <c r="AR551" s="48">
        <f t="shared" si="3150"/>
        <v>8.3333333300000021</v>
      </c>
      <c r="AS551" s="48">
        <f t="shared" si="3150"/>
        <v>8.3333333300000021</v>
      </c>
      <c r="AT551" s="48">
        <f t="shared" si="3150"/>
        <v>8.3333333300000021</v>
      </c>
      <c r="AU551" s="48">
        <f t="shared" si="3150"/>
        <v>8.3333333300000021</v>
      </c>
      <c r="AV551" s="48">
        <f t="shared" si="3151"/>
        <v>8.3333333300000021</v>
      </c>
      <c r="AW551" s="48">
        <f t="shared" si="3151"/>
        <v>8.3333333300000021</v>
      </c>
      <c r="AX551" s="48">
        <f t="shared" si="3151"/>
        <v>8.3333333300000021</v>
      </c>
      <c r="AY551" s="48">
        <f t="shared" si="3151"/>
        <v>8.3333333300000021</v>
      </c>
      <c r="AZ551" s="48">
        <f t="shared" si="3151"/>
        <v>8.3333333300000021</v>
      </c>
      <c r="BA551" s="48">
        <f t="shared" si="3151"/>
        <v>6.5</v>
      </c>
      <c r="BB551" s="48">
        <f t="shared" si="3151"/>
        <v>6.5</v>
      </c>
      <c r="BC551" s="48">
        <f t="shared" si="3151"/>
        <v>6.5</v>
      </c>
      <c r="BD551" s="48">
        <f t="shared" si="3151"/>
        <v>6.5</v>
      </c>
      <c r="BE551" s="48">
        <f t="shared" si="3151"/>
        <v>6.5</v>
      </c>
      <c r="BF551" s="48">
        <f t="shared" si="3152"/>
        <v>6.5</v>
      </c>
      <c r="BG551" s="48">
        <f t="shared" si="3152"/>
        <v>6.5</v>
      </c>
      <c r="BH551" s="48">
        <f t="shared" si="3152"/>
        <v>6.5</v>
      </c>
      <c r="BI551" s="48">
        <f t="shared" si="3152"/>
        <v>6.5</v>
      </c>
      <c r="BJ551" s="48">
        <f t="shared" si="3152"/>
        <v>6.5</v>
      </c>
      <c r="BK551" s="48">
        <f t="shared" si="3152"/>
        <v>6.5</v>
      </c>
      <c r="BL551" s="48">
        <f t="shared" si="3152"/>
        <v>6.5</v>
      </c>
      <c r="BM551" s="408"/>
      <c r="BN551" s="48">
        <f>+AL551</f>
        <v>8</v>
      </c>
      <c r="BO551" s="48">
        <f>+BN551+AM551</f>
        <v>16</v>
      </c>
      <c r="BP551" s="48">
        <f>+BO551+AN551</f>
        <v>24</v>
      </c>
      <c r="BQ551" s="48">
        <f>AO551</f>
        <v>8.3333333333333339</v>
      </c>
      <c r="BR551" s="48">
        <f>+BQ551+AP551</f>
        <v>16.666666663333334</v>
      </c>
      <c r="BS551" s="48">
        <f>+BR551+AQ551</f>
        <v>24.999999993333333</v>
      </c>
      <c r="BT551" s="48">
        <f>AR551</f>
        <v>8.3333333300000021</v>
      </c>
      <c r="BU551" s="48">
        <f>+BT551+AS551</f>
        <v>16.666666660000004</v>
      </c>
      <c r="BV551" s="48">
        <f>+BU551+AT551</f>
        <v>24.999999990000006</v>
      </c>
      <c r="BW551" s="48">
        <f>AU551</f>
        <v>8.3333333300000021</v>
      </c>
      <c r="BX551" s="48">
        <f>+BW551+AV551</f>
        <v>16.666666660000004</v>
      </c>
      <c r="BY551" s="48">
        <f>+BX551+AW551</f>
        <v>24.999999990000006</v>
      </c>
      <c r="BZ551" s="48">
        <f>AX551</f>
        <v>8.3333333300000021</v>
      </c>
      <c r="CA551" s="48">
        <f>+BZ551+AY551</f>
        <v>16.666666660000004</v>
      </c>
      <c r="CB551" s="48">
        <f>+CA551+AZ551</f>
        <v>24.999999990000006</v>
      </c>
      <c r="CC551" s="48">
        <f>BA551</f>
        <v>6.5</v>
      </c>
      <c r="CD551" s="48">
        <f>+CC551+BB551</f>
        <v>13</v>
      </c>
      <c r="CE551" s="48">
        <f>+CD551+BC551</f>
        <v>19.5</v>
      </c>
      <c r="CF551" s="48">
        <f>BD551</f>
        <v>6.5</v>
      </c>
      <c r="CG551" s="48">
        <f>+CF551+BE551</f>
        <v>13</v>
      </c>
      <c r="CH551" s="48">
        <f>+CG551+BF551</f>
        <v>19.5</v>
      </c>
      <c r="CI551" s="48">
        <f>BG551</f>
        <v>6.5</v>
      </c>
      <c r="CJ551" s="48">
        <f>+CI551+BH551</f>
        <v>13</v>
      </c>
      <c r="CK551" s="48">
        <f>+CJ551+BI551</f>
        <v>19.5</v>
      </c>
      <c r="CL551" s="48">
        <f>BJ551</f>
        <v>6.5</v>
      </c>
      <c r="CM551" s="48">
        <f>+CL551+BK551</f>
        <v>13</v>
      </c>
      <c r="CN551" s="48">
        <f>+CM551+BL551</f>
        <v>19.5</v>
      </c>
      <c r="CO551" s="406"/>
      <c r="CP551" s="40">
        <f>AL551</f>
        <v>8</v>
      </c>
      <c r="CQ551" s="40">
        <f t="shared" si="3153"/>
        <v>16</v>
      </c>
      <c r="CR551" s="40">
        <f t="shared" si="3153"/>
        <v>24</v>
      </c>
      <c r="CS551" s="40">
        <f t="shared" si="3153"/>
        <v>32.333333333333336</v>
      </c>
      <c r="CT551" s="40">
        <f t="shared" si="3153"/>
        <v>40.666666663333338</v>
      </c>
      <c r="CU551" s="40">
        <f t="shared" si="3153"/>
        <v>48.999999993333333</v>
      </c>
      <c r="CV551" s="40">
        <f t="shared" si="3153"/>
        <v>57.333333323333335</v>
      </c>
      <c r="CW551" s="40">
        <f t="shared" si="3153"/>
        <v>65.666666653333337</v>
      </c>
      <c r="CX551" s="40">
        <f t="shared" si="3153"/>
        <v>73.999999983333339</v>
      </c>
      <c r="CY551" s="40">
        <f t="shared" si="3153"/>
        <v>82.333333313333341</v>
      </c>
      <c r="CZ551" s="40">
        <f t="shared" si="3153"/>
        <v>90.666666643333343</v>
      </c>
      <c r="DA551" s="40">
        <f t="shared" si="3153"/>
        <v>98.999999973333345</v>
      </c>
      <c r="DB551" s="40">
        <f>AX551</f>
        <v>8.3333333300000021</v>
      </c>
      <c r="DC551" s="40">
        <f t="shared" ref="DC551:DM551" si="3157">DB551+AY551</f>
        <v>16.666666660000004</v>
      </c>
      <c r="DD551" s="40">
        <f t="shared" si="3157"/>
        <v>24.999999990000006</v>
      </c>
      <c r="DE551" s="40">
        <f t="shared" si="3157"/>
        <v>31.499999990000006</v>
      </c>
      <c r="DF551" s="40">
        <f t="shared" si="3157"/>
        <v>37.999999990000006</v>
      </c>
      <c r="DG551" s="40">
        <f t="shared" si="3157"/>
        <v>44.499999990000006</v>
      </c>
      <c r="DH551" s="40">
        <f t="shared" si="3157"/>
        <v>50.999999990000006</v>
      </c>
      <c r="DI551" s="40">
        <f t="shared" si="3157"/>
        <v>57.499999990000006</v>
      </c>
      <c r="DJ551" s="40">
        <f t="shared" si="3157"/>
        <v>63.999999990000006</v>
      </c>
      <c r="DK551" s="40">
        <f t="shared" si="3157"/>
        <v>70.499999990000006</v>
      </c>
      <c r="DL551" s="40">
        <f t="shared" si="3157"/>
        <v>76.999999990000006</v>
      </c>
      <c r="DM551" s="40">
        <f t="shared" si="3157"/>
        <v>83.499999990000006</v>
      </c>
      <c r="DN551" s="40">
        <f>BJ551</f>
        <v>6.5</v>
      </c>
      <c r="DO551" s="40">
        <f>DN551+BK551</f>
        <v>13</v>
      </c>
      <c r="DP551" s="40">
        <f>DO551+BL551</f>
        <v>19.5</v>
      </c>
      <c r="DQ551" s="40"/>
      <c r="DR551" s="40"/>
      <c r="DS551" s="40"/>
      <c r="DT551" s="40"/>
      <c r="DU551" s="40"/>
      <c r="DV551" s="40"/>
      <c r="DW551" s="40"/>
      <c r="DX551" s="40"/>
      <c r="DY551" s="40"/>
      <c r="EA551" s="59">
        <f t="shared" si="3062"/>
        <v>98.999999973333345</v>
      </c>
      <c r="EB551" s="59">
        <f>IF(I529&gt;6/30/10,DM551,"")</f>
        <v>83.499999990000006</v>
      </c>
      <c r="EC551" s="59"/>
      <c r="ED551" s="429"/>
      <c r="EE551" s="40">
        <f>HLOOKUP($I$1,Month,ROW()-1)</f>
        <v>6.5</v>
      </c>
      <c r="EF551" s="40">
        <f>HLOOKUP($I$1,Qtr,ROW()-1)</f>
        <v>13</v>
      </c>
      <c r="EG551" s="40">
        <f>HLOOKUP($EJ$4,Budget,ROW()-1)</f>
        <v>83.499999990000006</v>
      </c>
      <c r="EH551" s="54"/>
      <c r="EI551" s="54"/>
      <c r="EJ551" s="54"/>
      <c r="EK551" s="675"/>
      <c r="EL551" s="53"/>
      <c r="EM551" s="53"/>
      <c r="EN551" s="53"/>
      <c r="EO551" s="49"/>
      <c r="EP551" s="49"/>
      <c r="EQ551" s="49"/>
    </row>
    <row r="552" spans="1:149">
      <c r="A552" s="6" t="s">
        <v>23</v>
      </c>
      <c r="B552" s="101" t="s">
        <v>144</v>
      </c>
      <c r="G552" s="43"/>
      <c r="H552" s="28"/>
      <c r="I552" s="29"/>
      <c r="J552" s="102">
        <f>J546/$DA$18</f>
        <v>0</v>
      </c>
      <c r="K552" s="102">
        <f t="shared" ref="K552:U552" si="3158">K546/$DA$18</f>
        <v>0</v>
      </c>
      <c r="L552" s="102">
        <f t="shared" si="3158"/>
        <v>0.16666666666666666</v>
      </c>
      <c r="M552" s="102">
        <f t="shared" si="3158"/>
        <v>0.16666666666666666</v>
      </c>
      <c r="N552" s="102">
        <f t="shared" si="3158"/>
        <v>0.16666666666666666</v>
      </c>
      <c r="O552" s="102">
        <f t="shared" si="3158"/>
        <v>0.16666666666666666</v>
      </c>
      <c r="P552" s="102">
        <f t="shared" si="3158"/>
        <v>0.33333333333333331</v>
      </c>
      <c r="Q552" s="102">
        <f t="shared" si="3158"/>
        <v>0.33333333333333331</v>
      </c>
      <c r="R552" s="102">
        <f t="shared" si="3158"/>
        <v>0.33333333333333331</v>
      </c>
      <c r="S552" s="102">
        <f t="shared" si="3158"/>
        <v>0.33333333333333331</v>
      </c>
      <c r="T552" s="102">
        <f t="shared" si="3158"/>
        <v>0.5</v>
      </c>
      <c r="U552" s="102">
        <f t="shared" si="3158"/>
        <v>0.5</v>
      </c>
      <c r="V552" s="102">
        <f>V546/$DK$18</f>
        <v>0</v>
      </c>
      <c r="W552" s="102">
        <f>W546/$DK$18</f>
        <v>0.5</v>
      </c>
      <c r="X552" s="102">
        <f>X546/$AG$18</f>
        <v>0.33333333333333331</v>
      </c>
      <c r="Y552" s="102">
        <f t="shared" ref="Y552:AH552" si="3159">Y546/$AG$18</f>
        <v>0.33333333333333331</v>
      </c>
      <c r="Z552" s="102">
        <f t="shared" si="3159"/>
        <v>0.33333333333333331</v>
      </c>
      <c r="AA552" s="102">
        <f t="shared" si="3159"/>
        <v>0.33333333333333331</v>
      </c>
      <c r="AB552" s="102">
        <f t="shared" si="3159"/>
        <v>0.66666666666666663</v>
      </c>
      <c r="AC552" s="102">
        <f t="shared" si="3159"/>
        <v>0.66666666666666663</v>
      </c>
      <c r="AD552" s="102">
        <f t="shared" si="3159"/>
        <v>0.66666666666666663</v>
      </c>
      <c r="AE552" s="102">
        <f t="shared" si="3159"/>
        <v>0.66666666666666663</v>
      </c>
      <c r="AF552" s="102">
        <f t="shared" si="3159"/>
        <v>1</v>
      </c>
      <c r="AG552" s="102">
        <f t="shared" si="3159"/>
        <v>1</v>
      </c>
      <c r="AH552" s="102">
        <f t="shared" si="3159"/>
        <v>0</v>
      </c>
      <c r="AI552" s="102">
        <f>AI546/$DK$18</f>
        <v>0</v>
      </c>
      <c r="AJ552" s="102">
        <f>AJ546/$DK$18</f>
        <v>0</v>
      </c>
      <c r="AK552" s="411"/>
      <c r="AL552" s="99">
        <f t="shared" si="3150"/>
        <v>0</v>
      </c>
      <c r="AM552" s="99">
        <f t="shared" si="3150"/>
        <v>0</v>
      </c>
      <c r="AN552" s="99">
        <f t="shared" si="3150"/>
        <v>0.16666666666666666</v>
      </c>
      <c r="AO552" s="99">
        <f t="shared" si="3150"/>
        <v>0.16666666666666666</v>
      </c>
      <c r="AP552" s="99">
        <f t="shared" si="3150"/>
        <v>0.16666666666666666</v>
      </c>
      <c r="AQ552" s="99">
        <f t="shared" si="3150"/>
        <v>0.16666666666666666</v>
      </c>
      <c r="AR552" s="99">
        <f t="shared" si="3150"/>
        <v>0.33333333333333331</v>
      </c>
      <c r="AS552" s="99">
        <f t="shared" si="3150"/>
        <v>0.33333333333333331</v>
      </c>
      <c r="AT552" s="99">
        <f t="shared" si="3150"/>
        <v>0.33333333333333331</v>
      </c>
      <c r="AU552" s="99">
        <f t="shared" si="3150"/>
        <v>0.33333333333333331</v>
      </c>
      <c r="AV552" s="99">
        <f t="shared" si="3151"/>
        <v>0.5</v>
      </c>
      <c r="AW552" s="99">
        <f t="shared" si="3151"/>
        <v>0.5</v>
      </c>
      <c r="AX552" s="99">
        <f t="shared" si="3151"/>
        <v>0</v>
      </c>
      <c r="AY552" s="99">
        <f t="shared" si="3151"/>
        <v>0.5</v>
      </c>
      <c r="AZ552" s="99">
        <f t="shared" si="3151"/>
        <v>0.33333333333333331</v>
      </c>
      <c r="BA552" s="99">
        <f t="shared" si="3151"/>
        <v>0.33333333333333331</v>
      </c>
      <c r="BB552" s="99">
        <f t="shared" si="3151"/>
        <v>0.33333333333333331</v>
      </c>
      <c r="BC552" s="99">
        <f t="shared" si="3151"/>
        <v>0.33333333333333331</v>
      </c>
      <c r="BD552" s="99">
        <f t="shared" si="3151"/>
        <v>0.66666666666666663</v>
      </c>
      <c r="BE552" s="99">
        <f t="shared" si="3151"/>
        <v>0.66666666666666663</v>
      </c>
      <c r="BF552" s="99">
        <f t="shared" si="3152"/>
        <v>0.66666666666666663</v>
      </c>
      <c r="BG552" s="99">
        <f t="shared" si="3152"/>
        <v>0.66666666666666663</v>
      </c>
      <c r="BH552" s="99">
        <f t="shared" si="3152"/>
        <v>1</v>
      </c>
      <c r="BI552" s="99">
        <f t="shared" si="3152"/>
        <v>1</v>
      </c>
      <c r="BJ552" s="99">
        <f t="shared" si="3152"/>
        <v>0</v>
      </c>
      <c r="BK552" s="99">
        <f t="shared" si="3152"/>
        <v>0</v>
      </c>
      <c r="BL552" s="99">
        <f t="shared" si="3152"/>
        <v>0</v>
      </c>
      <c r="BM552" s="411"/>
      <c r="BN552" s="99">
        <f>AL552</f>
        <v>0</v>
      </c>
      <c r="BO552" s="99">
        <f>AM552</f>
        <v>0</v>
      </c>
      <c r="BP552" s="99">
        <f>AN552</f>
        <v>0.16666666666666666</v>
      </c>
      <c r="BQ552" s="99">
        <f>AO552</f>
        <v>0.16666666666666666</v>
      </c>
      <c r="BR552" s="99">
        <f>AP552</f>
        <v>0.16666666666666666</v>
      </c>
      <c r="BS552" s="99">
        <f>AQ552</f>
        <v>0.16666666666666666</v>
      </c>
      <c r="BT552" s="99">
        <f>AR552</f>
        <v>0.33333333333333331</v>
      </c>
      <c r="BU552" s="99">
        <f>AS552</f>
        <v>0.33333333333333331</v>
      </c>
      <c r="BV552" s="99">
        <f>AT552</f>
        <v>0.33333333333333331</v>
      </c>
      <c r="BW552" s="99">
        <f>AU552</f>
        <v>0.33333333333333331</v>
      </c>
      <c r="BX552" s="99">
        <f>AV552</f>
        <v>0.5</v>
      </c>
      <c r="BY552" s="99">
        <f>AW552</f>
        <v>0.5</v>
      </c>
      <c r="BZ552" s="99">
        <f>AX552</f>
        <v>0</v>
      </c>
      <c r="CA552" s="99">
        <f>AY552</f>
        <v>0.5</v>
      </c>
      <c r="CB552" s="99">
        <f>AZ552</f>
        <v>0.33333333333333331</v>
      </c>
      <c r="CC552" s="99">
        <f>BA552</f>
        <v>0.33333333333333331</v>
      </c>
      <c r="CD552" s="99">
        <f>BB552</f>
        <v>0.33333333333333331</v>
      </c>
      <c r="CE552" s="99">
        <f>BC552</f>
        <v>0.33333333333333331</v>
      </c>
      <c r="CF552" s="99">
        <f>BD552</f>
        <v>0.66666666666666663</v>
      </c>
      <c r="CG552" s="99">
        <f>BE552</f>
        <v>0.66666666666666663</v>
      </c>
      <c r="CH552" s="99">
        <f>BF552</f>
        <v>0.66666666666666663</v>
      </c>
      <c r="CI552" s="99">
        <f>BG552</f>
        <v>0.66666666666666663</v>
      </c>
      <c r="CJ552" s="99">
        <f>BH552</f>
        <v>1</v>
      </c>
      <c r="CK552" s="99">
        <f>BI552</f>
        <v>1</v>
      </c>
      <c r="CL552" s="99">
        <f>BJ552</f>
        <v>0</v>
      </c>
      <c r="CM552" s="99">
        <f>BK552</f>
        <v>0</v>
      </c>
      <c r="CN552" s="99">
        <f>BL552</f>
        <v>0</v>
      </c>
      <c r="CO552" s="423"/>
      <c r="CP552" s="99">
        <f t="shared" ref="CP552:DP552" si="3160">BN552</f>
        <v>0</v>
      </c>
      <c r="CQ552" s="99">
        <f t="shared" si="3160"/>
        <v>0</v>
      </c>
      <c r="CR552" s="99">
        <f t="shared" si="3160"/>
        <v>0.16666666666666666</v>
      </c>
      <c r="CS552" s="99">
        <f t="shared" si="3160"/>
        <v>0.16666666666666666</v>
      </c>
      <c r="CT552" s="99">
        <f t="shared" si="3160"/>
        <v>0.16666666666666666</v>
      </c>
      <c r="CU552" s="99">
        <f t="shared" si="3160"/>
        <v>0.16666666666666666</v>
      </c>
      <c r="CV552" s="99">
        <f t="shared" si="3160"/>
        <v>0.33333333333333331</v>
      </c>
      <c r="CW552" s="99">
        <f t="shared" si="3160"/>
        <v>0.33333333333333331</v>
      </c>
      <c r="CX552" s="99">
        <f t="shared" si="3160"/>
        <v>0.33333333333333331</v>
      </c>
      <c r="CY552" s="99">
        <f t="shared" si="3160"/>
        <v>0.33333333333333331</v>
      </c>
      <c r="CZ552" s="99">
        <f t="shared" si="3160"/>
        <v>0.5</v>
      </c>
      <c r="DA552" s="99">
        <f t="shared" si="3160"/>
        <v>0.5</v>
      </c>
      <c r="DB552" s="99">
        <f t="shared" si="3160"/>
        <v>0</v>
      </c>
      <c r="DC552" s="99">
        <f t="shared" si="3160"/>
        <v>0.5</v>
      </c>
      <c r="DD552" s="99">
        <f t="shared" si="3160"/>
        <v>0.33333333333333331</v>
      </c>
      <c r="DE552" s="99">
        <f t="shared" si="3160"/>
        <v>0.33333333333333331</v>
      </c>
      <c r="DF552" s="99">
        <f t="shared" si="3160"/>
        <v>0.33333333333333331</v>
      </c>
      <c r="DG552" s="99">
        <f t="shared" si="3160"/>
        <v>0.33333333333333331</v>
      </c>
      <c r="DH552" s="99">
        <f t="shared" si="3160"/>
        <v>0.66666666666666663</v>
      </c>
      <c r="DI552" s="99">
        <f t="shared" si="3160"/>
        <v>0.66666666666666663</v>
      </c>
      <c r="DJ552" s="99">
        <f t="shared" si="3160"/>
        <v>0.66666666666666663</v>
      </c>
      <c r="DK552" s="99">
        <f t="shared" si="3160"/>
        <v>0.66666666666666663</v>
      </c>
      <c r="DL552" s="99">
        <f t="shared" si="3160"/>
        <v>1</v>
      </c>
      <c r="DM552" s="99">
        <f t="shared" si="3160"/>
        <v>1</v>
      </c>
      <c r="DN552" s="99">
        <f t="shared" si="3160"/>
        <v>0</v>
      </c>
      <c r="DO552" s="99">
        <f t="shared" si="3160"/>
        <v>0</v>
      </c>
      <c r="DP552" s="99">
        <f t="shared" si="3160"/>
        <v>0</v>
      </c>
      <c r="DQ552" s="99"/>
      <c r="DR552" s="99"/>
      <c r="DS552" s="99"/>
      <c r="DT552" s="99"/>
      <c r="DU552" s="99"/>
      <c r="DV552" s="99"/>
      <c r="DW552" s="99"/>
      <c r="DX552" s="99"/>
      <c r="DY552" s="99"/>
      <c r="EA552" s="40" t="str">
        <f>HLOOKUP($I$1,Month,19)</f>
        <v>N/A</v>
      </c>
      <c r="EB552" s="40" t="str">
        <f>HLOOKUP($I$1,Qtr,19)</f>
        <v>N/A</v>
      </c>
      <c r="EC552" s="40"/>
      <c r="ED552" s="429"/>
      <c r="EE552" s="99">
        <f>HLOOKUP($I$1,Month,ROW()-1)</f>
        <v>0</v>
      </c>
      <c r="EF552" s="99">
        <f>HLOOKUP($I$1,Qtr,ROW()-1)</f>
        <v>0</v>
      </c>
      <c r="EG552" s="127">
        <v>1</v>
      </c>
      <c r="EH552" s="54"/>
      <c r="EI552" s="54"/>
      <c r="EJ552" s="54"/>
      <c r="EK552" s="675"/>
      <c r="EL552" s="136"/>
      <c r="EM552" s="136"/>
      <c r="EN552" s="136"/>
      <c r="EO552" s="49"/>
      <c r="EP552" s="49"/>
      <c r="EQ552" s="49"/>
    </row>
    <row r="553" spans="1:149">
      <c r="A553" s="6" t="s">
        <v>23</v>
      </c>
      <c r="B553" s="2" t="s">
        <v>98</v>
      </c>
      <c r="G553" s="41" t="s">
        <v>92</v>
      </c>
      <c r="H553" s="28"/>
      <c r="I553" s="29"/>
      <c r="J553" s="32">
        <f>J539*J540</f>
        <v>5.9375</v>
      </c>
      <c r="K553" s="32">
        <f t="shared" ref="K553:AJ553" si="3161">K539*K540</f>
        <v>5.9375</v>
      </c>
      <c r="L553" s="32">
        <f t="shared" si="3161"/>
        <v>5.9375</v>
      </c>
      <c r="M553" s="32">
        <f t="shared" si="3161"/>
        <v>5.9375</v>
      </c>
      <c r="N553" s="32">
        <f t="shared" si="3161"/>
        <v>5.9375</v>
      </c>
      <c r="O553" s="32">
        <f t="shared" si="3161"/>
        <v>5.9375</v>
      </c>
      <c r="P553" s="32">
        <f t="shared" si="3161"/>
        <v>5.9375</v>
      </c>
      <c r="Q553" s="32">
        <f t="shared" si="3161"/>
        <v>5.9375</v>
      </c>
      <c r="R553" s="32">
        <f t="shared" si="3161"/>
        <v>5.9375</v>
      </c>
      <c r="S553" s="32">
        <f t="shared" si="3161"/>
        <v>5.9375</v>
      </c>
      <c r="T553" s="32">
        <f t="shared" si="3161"/>
        <v>5.9375</v>
      </c>
      <c r="U553" s="32">
        <f t="shared" si="3161"/>
        <v>5.9375</v>
      </c>
      <c r="V553" s="32">
        <f t="shared" si="3161"/>
        <v>3.5625</v>
      </c>
      <c r="W553" s="32">
        <f t="shared" si="3161"/>
        <v>7.125</v>
      </c>
      <c r="X553" s="32">
        <f t="shared" si="3161"/>
        <v>10.6875</v>
      </c>
      <c r="Y553" s="32">
        <f t="shared" si="3161"/>
        <v>14.25</v>
      </c>
      <c r="Z553" s="32">
        <f t="shared" si="3161"/>
        <v>17.8125</v>
      </c>
      <c r="AA553" s="32">
        <f t="shared" si="3161"/>
        <v>21.375</v>
      </c>
      <c r="AB553" s="32">
        <f t="shared" si="3161"/>
        <v>24.9375</v>
      </c>
      <c r="AC553" s="32">
        <f t="shared" si="3161"/>
        <v>28.5</v>
      </c>
      <c r="AD553" s="32">
        <f t="shared" si="3161"/>
        <v>32.0625</v>
      </c>
      <c r="AE553" s="32">
        <f t="shared" si="3161"/>
        <v>35.625</v>
      </c>
      <c r="AF553" s="32">
        <f t="shared" si="3161"/>
        <v>39.1875</v>
      </c>
      <c r="AG553" s="32">
        <f t="shared" si="3161"/>
        <v>42.75</v>
      </c>
      <c r="AH553" s="32">
        <f t="shared" si="3161"/>
        <v>0</v>
      </c>
      <c r="AI553" s="32">
        <f t="shared" si="3161"/>
        <v>0</v>
      </c>
      <c r="AJ553" s="32">
        <f t="shared" si="3161"/>
        <v>0</v>
      </c>
      <c r="AK553" s="408"/>
      <c r="AL553" s="56">
        <f>AL539*AL540</f>
        <v>5.9375</v>
      </c>
      <c r="AM553" s="56">
        <f>AM539*AM540</f>
        <v>5.9375</v>
      </c>
      <c r="AN553" s="56">
        <f>AN539*AN540</f>
        <v>5.9375</v>
      </c>
      <c r="AO553" s="56">
        <f>AO539*AO540</f>
        <v>5.9375</v>
      </c>
      <c r="AP553" s="56">
        <f t="shared" ref="AP553:BL553" si="3162">AP539*AP540</f>
        <v>5.9375</v>
      </c>
      <c r="AQ553" s="56">
        <f t="shared" si="3162"/>
        <v>5.9375</v>
      </c>
      <c r="AR553" s="56">
        <f t="shared" si="3162"/>
        <v>5.9375</v>
      </c>
      <c r="AS553" s="56">
        <f t="shared" si="3162"/>
        <v>5.9375</v>
      </c>
      <c r="AT553" s="56">
        <f t="shared" si="3162"/>
        <v>5.9375</v>
      </c>
      <c r="AU553" s="56">
        <f t="shared" si="3162"/>
        <v>5.9375</v>
      </c>
      <c r="AV553" s="56">
        <f t="shared" si="3162"/>
        <v>5.9375</v>
      </c>
      <c r="AW553" s="56">
        <f t="shared" si="3162"/>
        <v>5.9375</v>
      </c>
      <c r="AX553" s="56">
        <f t="shared" si="3162"/>
        <v>3.5625</v>
      </c>
      <c r="AY553" s="56">
        <f t="shared" si="3162"/>
        <v>3.5625</v>
      </c>
      <c r="AZ553" s="56">
        <f t="shared" si="3162"/>
        <v>3.5625</v>
      </c>
      <c r="BA553" s="56">
        <f t="shared" si="3162"/>
        <v>3.5625</v>
      </c>
      <c r="BB553" s="56">
        <f t="shared" si="3162"/>
        <v>3.5625</v>
      </c>
      <c r="BC553" s="56">
        <f t="shared" si="3162"/>
        <v>3.5625</v>
      </c>
      <c r="BD553" s="56">
        <f t="shared" si="3162"/>
        <v>3.5625</v>
      </c>
      <c r="BE553" s="56">
        <f t="shared" si="3162"/>
        <v>3.5625</v>
      </c>
      <c r="BF553" s="56">
        <f t="shared" si="3162"/>
        <v>3.5625</v>
      </c>
      <c r="BG553" s="56">
        <f t="shared" si="3162"/>
        <v>3.5625</v>
      </c>
      <c r="BH553" s="56">
        <f t="shared" si="3162"/>
        <v>3.5625</v>
      </c>
      <c r="BI553" s="56">
        <f t="shared" si="3162"/>
        <v>3.5625</v>
      </c>
      <c r="BJ553" s="56">
        <f t="shared" si="3162"/>
        <v>0</v>
      </c>
      <c r="BK553" s="56">
        <f t="shared" si="3162"/>
        <v>0</v>
      </c>
      <c r="BL553" s="56">
        <f t="shared" si="3162"/>
        <v>0</v>
      </c>
      <c r="BM553" s="408"/>
      <c r="BN553" s="56">
        <f>+AL553</f>
        <v>5.9375</v>
      </c>
      <c r="BO553" s="56">
        <f>+BN553+AM553</f>
        <v>11.875</v>
      </c>
      <c r="BP553" s="56">
        <f>+BO553+AN553</f>
        <v>17.8125</v>
      </c>
      <c r="BQ553" s="56">
        <f>M553</f>
        <v>5.9375</v>
      </c>
      <c r="BR553" s="56">
        <f>+BQ553+AP553</f>
        <v>11.875</v>
      </c>
      <c r="BS553" s="56">
        <f>+BR553+AQ553</f>
        <v>17.8125</v>
      </c>
      <c r="BT553" s="56">
        <f>P553</f>
        <v>5.9375</v>
      </c>
      <c r="BU553" s="56">
        <f>+BT553+AS553</f>
        <v>11.875</v>
      </c>
      <c r="BV553" s="56">
        <f>+BU553+AT553</f>
        <v>17.8125</v>
      </c>
      <c r="BW553" s="56">
        <f>S553</f>
        <v>5.9375</v>
      </c>
      <c r="BX553" s="56">
        <f>+BW553+AV553</f>
        <v>11.875</v>
      </c>
      <c r="BY553" s="56">
        <f>+BX553+AW553</f>
        <v>17.8125</v>
      </c>
      <c r="BZ553" s="56">
        <f>V553</f>
        <v>3.5625</v>
      </c>
      <c r="CA553" s="56">
        <f>+BZ553+AY553</f>
        <v>7.125</v>
      </c>
      <c r="CB553" s="56">
        <f>+CA553+AZ553</f>
        <v>10.6875</v>
      </c>
      <c r="CC553" s="56">
        <f>Y553</f>
        <v>14.25</v>
      </c>
      <c r="CD553" s="56">
        <f>+CC553+BB553</f>
        <v>17.8125</v>
      </c>
      <c r="CE553" s="56">
        <f>+CD553+BC553</f>
        <v>21.375</v>
      </c>
      <c r="CF553" s="56">
        <f>AB553</f>
        <v>24.9375</v>
      </c>
      <c r="CG553" s="56">
        <f>+CF553+BE553</f>
        <v>28.5</v>
      </c>
      <c r="CH553" s="56">
        <f>+CG553+BF553</f>
        <v>32.0625</v>
      </c>
      <c r="CI553" s="56">
        <f>AE553</f>
        <v>35.625</v>
      </c>
      <c r="CJ553" s="56">
        <f>+CI553+BH553</f>
        <v>39.1875</v>
      </c>
      <c r="CK553" s="56">
        <f>+CJ553+BI553</f>
        <v>42.75</v>
      </c>
      <c r="CL553" s="56">
        <f>AH553</f>
        <v>0</v>
      </c>
      <c r="CM553" s="56">
        <f>+CL553+BK553</f>
        <v>0</v>
      </c>
      <c r="CN553" s="56">
        <f>+CM553+BL553</f>
        <v>0</v>
      </c>
      <c r="CO553" s="406"/>
      <c r="CP553" s="60">
        <f>J553</f>
        <v>5.9375</v>
      </c>
      <c r="CQ553" s="60">
        <f t="shared" ref="CQ553:DA553" si="3163">CP553+K553</f>
        <v>11.875</v>
      </c>
      <c r="CR553" s="60">
        <f t="shared" si="3163"/>
        <v>17.8125</v>
      </c>
      <c r="CS553" s="60">
        <f t="shared" si="3163"/>
        <v>23.75</v>
      </c>
      <c r="CT553" s="60">
        <f t="shared" si="3163"/>
        <v>29.6875</v>
      </c>
      <c r="CU553" s="60">
        <f t="shared" si="3163"/>
        <v>35.625</v>
      </c>
      <c r="CV553" s="60">
        <f t="shared" si="3163"/>
        <v>41.5625</v>
      </c>
      <c r="CW553" s="60">
        <f t="shared" si="3163"/>
        <v>47.5</v>
      </c>
      <c r="CX553" s="60">
        <f t="shared" si="3163"/>
        <v>53.4375</v>
      </c>
      <c r="CY553" s="60">
        <f t="shared" si="3163"/>
        <v>59.375</v>
      </c>
      <c r="CZ553" s="60">
        <f t="shared" si="3163"/>
        <v>65.3125</v>
      </c>
      <c r="DA553" s="60">
        <f t="shared" si="3163"/>
        <v>71.25</v>
      </c>
      <c r="DB553" s="60">
        <f>V553</f>
        <v>3.5625</v>
      </c>
      <c r="DC553" s="60">
        <f t="shared" ref="DC553:DM553" si="3164">DB553+W553</f>
        <v>10.6875</v>
      </c>
      <c r="DD553" s="60">
        <f t="shared" si="3164"/>
        <v>21.375</v>
      </c>
      <c r="DE553" s="60">
        <f t="shared" si="3164"/>
        <v>35.625</v>
      </c>
      <c r="DF553" s="60">
        <f t="shared" si="3164"/>
        <v>53.4375</v>
      </c>
      <c r="DG553" s="60">
        <f t="shared" si="3164"/>
        <v>74.8125</v>
      </c>
      <c r="DH553" s="60">
        <f t="shared" si="3164"/>
        <v>99.75</v>
      </c>
      <c r="DI553" s="60">
        <f t="shared" si="3164"/>
        <v>128.25</v>
      </c>
      <c r="DJ553" s="60">
        <f t="shared" si="3164"/>
        <v>160.3125</v>
      </c>
      <c r="DK553" s="60">
        <f t="shared" si="3164"/>
        <v>195.9375</v>
      </c>
      <c r="DL553" s="60">
        <f t="shared" si="3164"/>
        <v>235.125</v>
      </c>
      <c r="DM553" s="60">
        <f t="shared" si="3164"/>
        <v>277.875</v>
      </c>
      <c r="DN553" s="60">
        <f>AH553</f>
        <v>0</v>
      </c>
      <c r="DO553" s="60">
        <f>DN553+AI553</f>
        <v>0</v>
      </c>
      <c r="DP553" s="60">
        <f>DO553+AJ553</f>
        <v>0</v>
      </c>
      <c r="DQ553" s="60"/>
      <c r="DR553" s="60"/>
      <c r="DS553" s="60"/>
      <c r="DT553" s="60"/>
      <c r="DU553" s="60"/>
      <c r="DV553" s="60"/>
      <c r="DW553" s="60"/>
      <c r="DX553" s="60"/>
      <c r="DY553" s="60"/>
      <c r="EA553" s="98">
        <v>0.95</v>
      </c>
      <c r="EB553" s="98">
        <v>0.95</v>
      </c>
      <c r="EC553" s="98"/>
      <c r="ED553" s="429"/>
      <c r="EE553" s="61">
        <f>HLOOKUP($I$1,Month,ROW()-1)</f>
        <v>0</v>
      </c>
      <c r="EF553" s="61">
        <f>HLOOKUP($I$1,Qtr,ROW()-1)</f>
        <v>0</v>
      </c>
      <c r="EG553" s="99">
        <f>HLOOKUP($EJ$4,Budget,ROW()-1)</f>
        <v>0.95</v>
      </c>
      <c r="EH553" s="54"/>
      <c r="EK553" s="675"/>
      <c r="EL553" s="136"/>
      <c r="EM553" s="136"/>
      <c r="EN553" s="136"/>
      <c r="EO553" s="49"/>
      <c r="EP553" s="49"/>
      <c r="EQ553" s="49"/>
    </row>
    <row r="554" spans="1:149">
      <c r="A554" s="6" t="s">
        <v>21</v>
      </c>
      <c r="I554" s="1"/>
      <c r="J554" s="1"/>
      <c r="K554" s="42" t="s">
        <v>114</v>
      </c>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406"/>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406"/>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406"/>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245"/>
      <c r="DR554" s="245"/>
      <c r="DS554" s="245"/>
      <c r="DT554" s="245"/>
      <c r="DU554" s="245"/>
      <c r="DV554" s="245"/>
      <c r="DW554" s="245"/>
      <c r="DX554" s="245"/>
      <c r="DY554" s="245"/>
      <c r="ED554" s="429"/>
      <c r="EE554" s="23"/>
      <c r="EF554" s="23"/>
      <c r="EG554" s="23"/>
      <c r="EH554" s="23"/>
      <c r="EK554" s="23"/>
    </row>
    <row r="555" spans="1:149" ht="12.75" customHeight="1">
      <c r="A555" s="6" t="s">
        <v>22</v>
      </c>
      <c r="B555" s="2" t="s">
        <v>0</v>
      </c>
      <c r="C555" s="3" t="s">
        <v>54</v>
      </c>
      <c r="E555" s="3" t="s">
        <v>16</v>
      </c>
      <c r="G555" s="1" t="s">
        <v>91</v>
      </c>
      <c r="I555" s="18">
        <v>326</v>
      </c>
      <c r="J555" s="21">
        <v>347</v>
      </c>
      <c r="K555" s="19">
        <v>367</v>
      </c>
      <c r="L555" s="19">
        <v>390</v>
      </c>
      <c r="M555" s="20">
        <v>31</v>
      </c>
      <c r="N555" s="19">
        <v>60</v>
      </c>
      <c r="O555" s="19">
        <v>78</v>
      </c>
      <c r="P555" s="19">
        <v>100</v>
      </c>
      <c r="Q555" s="19">
        <v>154</v>
      </c>
      <c r="R555" s="19">
        <v>190</v>
      </c>
      <c r="S555" s="19">
        <v>224</v>
      </c>
      <c r="T555" s="19">
        <v>259</v>
      </c>
      <c r="U555" s="19">
        <v>359</v>
      </c>
      <c r="V555" s="26">
        <v>419</v>
      </c>
      <c r="W555" s="19">
        <v>494</v>
      </c>
      <c r="X555" s="19">
        <v>540</v>
      </c>
      <c r="Y555" s="368">
        <v>126</v>
      </c>
      <c r="Z555" s="19">
        <v>237</v>
      </c>
      <c r="AA555" s="19">
        <v>291</v>
      </c>
      <c r="AB555" s="19">
        <v>348</v>
      </c>
      <c r="AC555" s="19">
        <v>407</v>
      </c>
      <c r="AD555" s="19">
        <v>494</v>
      </c>
      <c r="AE555" s="19">
        <v>541</v>
      </c>
      <c r="AF555" s="19">
        <v>596</v>
      </c>
      <c r="AG555" s="19">
        <v>658</v>
      </c>
      <c r="AH555" s="19">
        <v>701</v>
      </c>
      <c r="AI555" s="19">
        <v>762</v>
      </c>
      <c r="AJ555" s="19"/>
      <c r="AK555" s="408"/>
      <c r="AL555" s="21">
        <f t="shared" ref="AL555:AM559" si="3165">J555-I555</f>
        <v>21</v>
      </c>
      <c r="AM555" s="21">
        <f t="shared" si="3165"/>
        <v>20</v>
      </c>
      <c r="AN555" s="21">
        <f t="shared" ref="AN555:AN563" si="3166">L555-K555</f>
        <v>23</v>
      </c>
      <c r="AO555" s="21">
        <f>M555</f>
        <v>31</v>
      </c>
      <c r="AP555" s="129">
        <f t="shared" ref="AP555:AP563" si="3167">IF(N555&lt;&gt;"",N555-M555,0)</f>
        <v>29</v>
      </c>
      <c r="AQ555" s="131">
        <f t="shared" ref="AQ555:AQ563" si="3168">IF(O555&lt;&gt;"",O555-N555,0)</f>
        <v>18</v>
      </c>
      <c r="AR555" s="131">
        <f t="shared" ref="AR555:AR574" si="3169">IF(P555&lt;&gt;"",P555-O555,0)</f>
        <v>22</v>
      </c>
      <c r="AS555" s="131">
        <f t="shared" ref="AS555:AS574" si="3170">IF(Q555&lt;&gt;"",Q555-P555,0)</f>
        <v>54</v>
      </c>
      <c r="AT555" s="131">
        <f t="shared" ref="AT555:AT574" si="3171">IF(R555&lt;&gt;"",R555-Q555,0)</f>
        <v>36</v>
      </c>
      <c r="AU555" s="131">
        <f t="shared" ref="AU555:AU574" si="3172">IF(S555&lt;&gt;"",S555-R555,0)</f>
        <v>34</v>
      </c>
      <c r="AV555" s="131">
        <f t="shared" ref="AV555:AV574" si="3173">IF(T555&lt;&gt;"",T555-S555,0)</f>
        <v>35</v>
      </c>
      <c r="AW555" s="131">
        <f t="shared" ref="AW555:AW574" si="3174">IF(U555&lt;&gt;"",U555-T555,0)</f>
        <v>100</v>
      </c>
      <c r="AX555" s="131">
        <f>IF(V555&lt;&gt;"",V555-U555,0)</f>
        <v>60</v>
      </c>
      <c r="AY555" s="131">
        <f t="shared" ref="AY555:AY574" si="3175">IF(W555&lt;&gt;"",W555-V555,0)</f>
        <v>75</v>
      </c>
      <c r="AZ555" s="131">
        <f t="shared" ref="AZ555:AZ574" si="3176">IF(X555&lt;&gt;"",X555-W555,0)</f>
        <v>46</v>
      </c>
      <c r="BA555" s="21">
        <f>Y555</f>
        <v>126</v>
      </c>
      <c r="BB555" s="131">
        <f t="shared" ref="BB555:BB570" si="3177">IF(Z555&lt;&gt;"",Z555-Y555,0)</f>
        <v>111</v>
      </c>
      <c r="BC555" s="131">
        <f t="shared" ref="BC555:BC570" si="3178">IF(AA555&lt;&gt;"",AA555-Z555,0)</f>
        <v>54</v>
      </c>
      <c r="BD555" s="131">
        <f t="shared" ref="BD555:BD570" si="3179">IF(AB555&lt;&gt;"",AB555-AA555,0)</f>
        <v>57</v>
      </c>
      <c r="BE555" s="131">
        <f t="shared" ref="BE555:BE570" si="3180">IF(AC555&lt;&gt;"",AC555-AB555,0)</f>
        <v>59</v>
      </c>
      <c r="BF555" s="131">
        <f t="shared" ref="BF555:BF570" si="3181">IF(AD555&lt;&gt;"",AD555-AC555,0)</f>
        <v>87</v>
      </c>
      <c r="BG555" s="131">
        <f t="shared" ref="BG555:BG570" si="3182">IF(AE555&lt;&gt;"",AE555-AD555,0)</f>
        <v>47</v>
      </c>
      <c r="BH555" s="131">
        <f t="shared" ref="BH555:BH570" si="3183">IF(AF555&lt;&gt;"",AF555-AE555,0)</f>
        <v>55</v>
      </c>
      <c r="BI555" s="131">
        <f t="shared" ref="BI555:BI570" si="3184">IF(AG555&lt;&gt;"",AG555-AF555,0)</f>
        <v>62</v>
      </c>
      <c r="BJ555" s="131">
        <f>IF(AH555&lt;&gt;"",AH555-AG555,0)</f>
        <v>43</v>
      </c>
      <c r="BK555" s="131">
        <f t="shared" ref="BK555:BK570" si="3185">IF(AI555&lt;&gt;"",AI555-AH555,0)</f>
        <v>61</v>
      </c>
      <c r="BL555" s="131">
        <f t="shared" ref="BL555:BL570" si="3186">IF(AJ555&lt;&gt;"",AJ555-AI555,0)</f>
        <v>0</v>
      </c>
      <c r="BM555" s="408"/>
      <c r="BN555" s="48">
        <f>BP555</f>
        <v>64</v>
      </c>
      <c r="BO555" s="48">
        <f>BP555</f>
        <v>64</v>
      </c>
      <c r="BP555" s="48">
        <f>SUM(AL555:AN555)</f>
        <v>64</v>
      </c>
      <c r="BQ555" s="48">
        <f>BS555</f>
        <v>78</v>
      </c>
      <c r="BR555" s="48">
        <f>BS555</f>
        <v>78</v>
      </c>
      <c r="BS555" s="48">
        <f>SUM(AO555:AQ555)</f>
        <v>78</v>
      </c>
      <c r="BT555" s="48">
        <f>BV555</f>
        <v>112</v>
      </c>
      <c r="BU555" s="48">
        <f>BV555</f>
        <v>112</v>
      </c>
      <c r="BV555" s="48">
        <f>SUM(AR555:AT555)</f>
        <v>112</v>
      </c>
      <c r="BW555" s="48">
        <f>BY555</f>
        <v>169</v>
      </c>
      <c r="BX555" s="48">
        <f>BY555</f>
        <v>169</v>
      </c>
      <c r="BY555" s="48">
        <f>SUM(AU555:AW555)</f>
        <v>169</v>
      </c>
      <c r="BZ555" s="48">
        <f>CB555</f>
        <v>181</v>
      </c>
      <c r="CA555" s="48">
        <f>CB555</f>
        <v>181</v>
      </c>
      <c r="CB555" s="48">
        <f>SUM(AX555:AZ555)</f>
        <v>181</v>
      </c>
      <c r="CC555" s="48">
        <f>CE555</f>
        <v>291</v>
      </c>
      <c r="CD555" s="48">
        <f>CE555</f>
        <v>291</v>
      </c>
      <c r="CE555" s="48">
        <f>SUM(BA555:BC555)</f>
        <v>291</v>
      </c>
      <c r="CF555" s="48">
        <f>CH555</f>
        <v>203</v>
      </c>
      <c r="CG555" s="48">
        <f>CH555</f>
        <v>203</v>
      </c>
      <c r="CH555" s="48">
        <f>SUM(BD555:BF555)</f>
        <v>203</v>
      </c>
      <c r="CI555" s="48">
        <f>CK555</f>
        <v>164</v>
      </c>
      <c r="CJ555" s="48">
        <f>CK555</f>
        <v>164</v>
      </c>
      <c r="CK555" s="48">
        <f>SUM(BG555:BI555)</f>
        <v>164</v>
      </c>
      <c r="CL555" s="48">
        <f>CN555</f>
        <v>104</v>
      </c>
      <c r="CM555" s="48">
        <f>CN555</f>
        <v>104</v>
      </c>
      <c r="CN555" s="48">
        <f>SUM(BJ555:BL555)</f>
        <v>104</v>
      </c>
      <c r="CO555" s="406"/>
      <c r="CP555" s="21">
        <f t="shared" ref="CP555:CR559" si="3187">I555+AL555</f>
        <v>347</v>
      </c>
      <c r="CQ555" s="21">
        <f t="shared" si="3187"/>
        <v>367</v>
      </c>
      <c r="CR555" s="21">
        <f t="shared" si="3187"/>
        <v>390</v>
      </c>
      <c r="CS555" s="21">
        <f>AO555</f>
        <v>31</v>
      </c>
      <c r="CT555" s="21">
        <f t="shared" ref="CT555:DD559" si="3188">M555+AP555</f>
        <v>60</v>
      </c>
      <c r="CU555" s="21">
        <f t="shared" si="3188"/>
        <v>78</v>
      </c>
      <c r="CV555" s="21">
        <f t="shared" si="3188"/>
        <v>100</v>
      </c>
      <c r="CW555" s="21">
        <f t="shared" si="3188"/>
        <v>154</v>
      </c>
      <c r="CX555" s="21">
        <f t="shared" si="3188"/>
        <v>190</v>
      </c>
      <c r="CY555" s="21">
        <f t="shared" si="3188"/>
        <v>224</v>
      </c>
      <c r="CZ555" s="21">
        <f t="shared" si="3188"/>
        <v>259</v>
      </c>
      <c r="DA555" s="21">
        <f t="shared" si="3188"/>
        <v>359</v>
      </c>
      <c r="DB555" s="21">
        <f t="shared" si="3188"/>
        <v>419</v>
      </c>
      <c r="DC555" s="21">
        <f t="shared" si="3188"/>
        <v>494</v>
      </c>
      <c r="DD555" s="21">
        <f t="shared" si="3188"/>
        <v>540</v>
      </c>
      <c r="DE555" s="21">
        <f>+BA555</f>
        <v>126</v>
      </c>
      <c r="DF555" s="21">
        <f t="shared" ref="DF555:DP559" si="3189">Y555+BB555</f>
        <v>237</v>
      </c>
      <c r="DG555" s="21">
        <f t="shared" si="3189"/>
        <v>291</v>
      </c>
      <c r="DH555" s="21">
        <f t="shared" si="3189"/>
        <v>348</v>
      </c>
      <c r="DI555" s="21">
        <f t="shared" si="3189"/>
        <v>407</v>
      </c>
      <c r="DJ555" s="21">
        <f t="shared" si="3189"/>
        <v>494</v>
      </c>
      <c r="DK555" s="21">
        <f t="shared" si="3189"/>
        <v>541</v>
      </c>
      <c r="DL555" s="21">
        <f t="shared" si="3189"/>
        <v>596</v>
      </c>
      <c r="DM555" s="21">
        <f t="shared" si="3189"/>
        <v>658</v>
      </c>
      <c r="DN555" s="21">
        <f t="shared" si="3189"/>
        <v>701</v>
      </c>
      <c r="DO555" s="21">
        <f t="shared" si="3189"/>
        <v>762</v>
      </c>
      <c r="DP555" s="21">
        <f t="shared" si="3189"/>
        <v>762</v>
      </c>
      <c r="DQ555" s="248"/>
      <c r="DR555" s="248"/>
      <c r="DS555" s="248"/>
      <c r="DT555" s="248"/>
      <c r="DU555" s="248"/>
      <c r="DV555" s="248"/>
      <c r="DW555" s="248"/>
      <c r="DX555" s="248"/>
      <c r="DY555" s="248"/>
      <c r="ED555" s="429"/>
      <c r="EE555" s="23"/>
      <c r="EF555" s="23"/>
      <c r="EG555" s="23"/>
      <c r="EH555" s="18">
        <f t="shared" ref="EH555:EH572" si="3190">HLOOKUP($I$1,Month,ROW()-1)</f>
        <v>61</v>
      </c>
      <c r="EI555" s="18">
        <f t="shared" ref="EI555:EI572" si="3191">HLOOKUP($I$1,Qtr,ROW()-1)</f>
        <v>104</v>
      </c>
      <c r="EJ555" s="18">
        <f t="shared" ref="EJ555:EJ577" si="3192">HLOOKUP($I$1,YTD,ROW()-1)</f>
        <v>762</v>
      </c>
      <c r="EK555" s="24">
        <f>$EK$1/12</f>
        <v>0.91666666666666663</v>
      </c>
      <c r="EL555" s="14">
        <f t="shared" ref="EL555:EM561" si="3193">EH555/EE532</f>
        <v>1.300196095148775</v>
      </c>
      <c r="EM555" s="14">
        <f t="shared" si="3193"/>
        <v>0.73890925625941406</v>
      </c>
      <c r="EN555" s="14">
        <f>EJ555/EG532</f>
        <v>1.3534828203597922</v>
      </c>
      <c r="EO555" s="46" t="str">
        <f t="shared" ref="EO555:EP561" si="3194">IF(EH555&lt;0,,IF(EH555&lt;EE532,"È",IF(EH555=EE532,"Æ","Ç")))</f>
        <v>Ç</v>
      </c>
      <c r="EP555" s="46" t="str">
        <f t="shared" si="3194"/>
        <v>È</v>
      </c>
      <c r="EQ555" s="2">
        <f t="shared" ref="EQ555:EQ570" si="3195">IF(EL555&gt;=0.9,1,IF(EL555&lt;0.75,3,2))</f>
        <v>1</v>
      </c>
      <c r="ER555" s="2">
        <f t="shared" ref="ER555:ER570" si="3196">IF(EM555&gt;=0.9,1,IF(EM555&lt;0.75,3,2))</f>
        <v>3</v>
      </c>
      <c r="ES555" s="2">
        <f t="shared" ref="ES555:ES570" si="3197">IF(EN555&gt;=0.9,1,IF(EN555&lt;0.75,3,2))</f>
        <v>1</v>
      </c>
    </row>
    <row r="556" spans="1:149" ht="12.75" customHeight="1">
      <c r="A556" s="6" t="s">
        <v>22</v>
      </c>
      <c r="B556" s="2" t="s">
        <v>1</v>
      </c>
      <c r="C556" s="3" t="s">
        <v>55</v>
      </c>
      <c r="E556" s="3" t="s">
        <v>16</v>
      </c>
      <c r="G556" s="1" t="s">
        <v>91</v>
      </c>
      <c r="I556" s="18">
        <v>72</v>
      </c>
      <c r="J556" s="19">
        <v>76</v>
      </c>
      <c r="K556" s="19">
        <v>80</v>
      </c>
      <c r="L556" s="19">
        <v>80</v>
      </c>
      <c r="M556" s="20">
        <v>4</v>
      </c>
      <c r="N556" s="19">
        <v>10</v>
      </c>
      <c r="O556" s="19">
        <v>13</v>
      </c>
      <c r="P556" s="19">
        <v>18</v>
      </c>
      <c r="Q556" s="19">
        <v>26</v>
      </c>
      <c r="R556" s="19">
        <v>39</v>
      </c>
      <c r="S556" s="19">
        <v>39</v>
      </c>
      <c r="T556" s="19">
        <v>43</v>
      </c>
      <c r="U556" s="19">
        <v>44</v>
      </c>
      <c r="V556" s="26">
        <v>49</v>
      </c>
      <c r="W556" s="19">
        <v>59</v>
      </c>
      <c r="X556" s="19">
        <v>74</v>
      </c>
      <c r="Y556" s="368">
        <v>22</v>
      </c>
      <c r="Z556" s="19">
        <v>35</v>
      </c>
      <c r="AA556" s="19">
        <v>47</v>
      </c>
      <c r="AB556" s="19">
        <v>60</v>
      </c>
      <c r="AC556" s="19">
        <v>72</v>
      </c>
      <c r="AD556" s="19">
        <v>86</v>
      </c>
      <c r="AE556" s="19">
        <v>91</v>
      </c>
      <c r="AF556" s="19">
        <v>94</v>
      </c>
      <c r="AG556" s="19">
        <v>99</v>
      </c>
      <c r="AH556" s="19">
        <v>119</v>
      </c>
      <c r="AI556" s="19">
        <v>131</v>
      </c>
      <c r="AJ556" s="19"/>
      <c r="AK556" s="408"/>
      <c r="AL556" s="21">
        <f t="shared" si="3165"/>
        <v>4</v>
      </c>
      <c r="AM556" s="21">
        <f t="shared" si="3165"/>
        <v>4</v>
      </c>
      <c r="AN556" s="21">
        <f t="shared" si="3166"/>
        <v>0</v>
      </c>
      <c r="AO556" s="21">
        <f>M556</f>
        <v>4</v>
      </c>
      <c r="AP556" s="129">
        <f t="shared" si="3167"/>
        <v>6</v>
      </c>
      <c r="AQ556" s="129">
        <f t="shared" si="3168"/>
        <v>3</v>
      </c>
      <c r="AR556" s="129">
        <f t="shared" si="3169"/>
        <v>5</v>
      </c>
      <c r="AS556" s="129">
        <f t="shared" si="3170"/>
        <v>8</v>
      </c>
      <c r="AT556" s="129">
        <f t="shared" si="3171"/>
        <v>13</v>
      </c>
      <c r="AU556" s="129">
        <f t="shared" si="3172"/>
        <v>0</v>
      </c>
      <c r="AV556" s="129">
        <f t="shared" si="3173"/>
        <v>4</v>
      </c>
      <c r="AW556" s="129">
        <f t="shared" si="3174"/>
        <v>1</v>
      </c>
      <c r="AX556" s="129">
        <f>IF(V556&lt;&gt;"",V556-U556,0)</f>
        <v>5</v>
      </c>
      <c r="AY556" s="129">
        <f t="shared" si="3175"/>
        <v>10</v>
      </c>
      <c r="AZ556" s="129">
        <f t="shared" si="3176"/>
        <v>15</v>
      </c>
      <c r="BA556" s="21">
        <f>Y556</f>
        <v>22</v>
      </c>
      <c r="BB556" s="129">
        <f t="shared" si="3177"/>
        <v>13</v>
      </c>
      <c r="BC556" s="129">
        <f t="shared" si="3178"/>
        <v>12</v>
      </c>
      <c r="BD556" s="129">
        <f t="shared" si="3179"/>
        <v>13</v>
      </c>
      <c r="BE556" s="129">
        <f t="shared" si="3180"/>
        <v>12</v>
      </c>
      <c r="BF556" s="129">
        <f t="shared" si="3181"/>
        <v>14</v>
      </c>
      <c r="BG556" s="129">
        <f t="shared" si="3182"/>
        <v>5</v>
      </c>
      <c r="BH556" s="129">
        <f t="shared" si="3183"/>
        <v>3</v>
      </c>
      <c r="BI556" s="129">
        <f t="shared" si="3184"/>
        <v>5</v>
      </c>
      <c r="BJ556" s="129">
        <f>IF(AH556&lt;&gt;"",AH556-AG556,0)</f>
        <v>20</v>
      </c>
      <c r="BK556" s="129">
        <f t="shared" si="3185"/>
        <v>12</v>
      </c>
      <c r="BL556" s="129">
        <f t="shared" si="3186"/>
        <v>0</v>
      </c>
      <c r="BM556" s="408"/>
      <c r="BN556" s="48">
        <f t="shared" ref="BN556:BN572" si="3198">BP556</f>
        <v>8</v>
      </c>
      <c r="BO556" s="48">
        <f t="shared" ref="BO556:BO572" si="3199">BP556</f>
        <v>8</v>
      </c>
      <c r="BP556" s="48">
        <f t="shared" ref="BP556:BP561" si="3200">SUM(AL556:AN556)</f>
        <v>8</v>
      </c>
      <c r="BQ556" s="48">
        <f t="shared" ref="BQ556:BQ572" si="3201">BS556</f>
        <v>13</v>
      </c>
      <c r="BR556" s="48">
        <f t="shared" ref="BR556:BR572" si="3202">BS556</f>
        <v>13</v>
      </c>
      <c r="BS556" s="48">
        <f t="shared" ref="BS556:BS561" si="3203">SUM(AO556:AQ556)</f>
        <v>13</v>
      </c>
      <c r="BT556" s="48">
        <f t="shared" ref="BT556:BT572" si="3204">BV556</f>
        <v>26</v>
      </c>
      <c r="BU556" s="48">
        <f t="shared" ref="BU556:BU572" si="3205">BV556</f>
        <v>26</v>
      </c>
      <c r="BV556" s="48">
        <f t="shared" ref="BV556:BV561" si="3206">SUM(AR556:AT556)</f>
        <v>26</v>
      </c>
      <c r="BW556" s="48">
        <f t="shared" ref="BW556:BW572" si="3207">BY556</f>
        <v>5</v>
      </c>
      <c r="BX556" s="48">
        <f t="shared" ref="BX556:BX572" si="3208">BY556</f>
        <v>5</v>
      </c>
      <c r="BY556" s="48">
        <f t="shared" ref="BY556:BY561" si="3209">SUM(AU556:AW556)</f>
        <v>5</v>
      </c>
      <c r="BZ556" s="48">
        <f t="shared" ref="BZ556:BZ572" si="3210">CB556</f>
        <v>30</v>
      </c>
      <c r="CA556" s="48">
        <f t="shared" ref="CA556:CA572" si="3211">CB556</f>
        <v>30</v>
      </c>
      <c r="CB556" s="48">
        <f t="shared" ref="CB556:CB561" si="3212">SUM(AX556:AZ556)</f>
        <v>30</v>
      </c>
      <c r="CC556" s="48">
        <f t="shared" ref="CC556:CC572" si="3213">CE556</f>
        <v>47</v>
      </c>
      <c r="CD556" s="48">
        <f t="shared" ref="CD556:CD572" si="3214">CE556</f>
        <v>47</v>
      </c>
      <c r="CE556" s="48">
        <f t="shared" ref="CE556:CE561" si="3215">SUM(BA556:BC556)</f>
        <v>47</v>
      </c>
      <c r="CF556" s="48">
        <f t="shared" ref="CF556:CF572" si="3216">CH556</f>
        <v>39</v>
      </c>
      <c r="CG556" s="48">
        <f t="shared" ref="CG556:CG572" si="3217">CH556</f>
        <v>39</v>
      </c>
      <c r="CH556" s="48">
        <f t="shared" ref="CH556:CH561" si="3218">SUM(BD556:BF556)</f>
        <v>39</v>
      </c>
      <c r="CI556" s="48">
        <f t="shared" ref="CI556:CI572" si="3219">CK556</f>
        <v>13</v>
      </c>
      <c r="CJ556" s="48">
        <f t="shared" ref="CJ556:CJ572" si="3220">CK556</f>
        <v>13</v>
      </c>
      <c r="CK556" s="48">
        <f t="shared" ref="CK556:CK561" si="3221">SUM(BG556:BI556)</f>
        <v>13</v>
      </c>
      <c r="CL556" s="48">
        <f t="shared" ref="CL556:CL572" si="3222">CN556</f>
        <v>32</v>
      </c>
      <c r="CM556" s="48">
        <f t="shared" ref="CM556:CM572" si="3223">CN556</f>
        <v>32</v>
      </c>
      <c r="CN556" s="48">
        <f t="shared" ref="CN556:CN561" si="3224">SUM(BJ556:BL556)</f>
        <v>32</v>
      </c>
      <c r="CO556" s="406"/>
      <c r="CP556" s="21">
        <f t="shared" si="3187"/>
        <v>76</v>
      </c>
      <c r="CQ556" s="21">
        <f t="shared" si="3187"/>
        <v>80</v>
      </c>
      <c r="CR556" s="21">
        <f t="shared" si="3187"/>
        <v>80</v>
      </c>
      <c r="CS556" s="21">
        <f>AO556</f>
        <v>4</v>
      </c>
      <c r="CT556" s="21">
        <f t="shared" si="3188"/>
        <v>10</v>
      </c>
      <c r="CU556" s="21">
        <f t="shared" si="3188"/>
        <v>13</v>
      </c>
      <c r="CV556" s="21">
        <f t="shared" si="3188"/>
        <v>18</v>
      </c>
      <c r="CW556" s="21">
        <f t="shared" si="3188"/>
        <v>26</v>
      </c>
      <c r="CX556" s="21">
        <f t="shared" si="3188"/>
        <v>39</v>
      </c>
      <c r="CY556" s="21">
        <f t="shared" si="3188"/>
        <v>39</v>
      </c>
      <c r="CZ556" s="21">
        <f t="shared" si="3188"/>
        <v>43</v>
      </c>
      <c r="DA556" s="21">
        <f t="shared" si="3188"/>
        <v>44</v>
      </c>
      <c r="DB556" s="21">
        <f t="shared" si="3188"/>
        <v>49</v>
      </c>
      <c r="DC556" s="21">
        <f t="shared" si="3188"/>
        <v>59</v>
      </c>
      <c r="DD556" s="21">
        <f t="shared" si="3188"/>
        <v>74</v>
      </c>
      <c r="DE556" s="21">
        <f>+BA556</f>
        <v>22</v>
      </c>
      <c r="DF556" s="21">
        <f t="shared" si="3189"/>
        <v>35</v>
      </c>
      <c r="DG556" s="21">
        <f t="shared" si="3189"/>
        <v>47</v>
      </c>
      <c r="DH556" s="21">
        <f t="shared" si="3189"/>
        <v>60</v>
      </c>
      <c r="DI556" s="21">
        <f t="shared" si="3189"/>
        <v>72</v>
      </c>
      <c r="DJ556" s="21">
        <f t="shared" si="3189"/>
        <v>86</v>
      </c>
      <c r="DK556" s="21">
        <f t="shared" si="3189"/>
        <v>91</v>
      </c>
      <c r="DL556" s="21">
        <f t="shared" si="3189"/>
        <v>94</v>
      </c>
      <c r="DM556" s="21">
        <f t="shared" si="3189"/>
        <v>99</v>
      </c>
      <c r="DN556" s="21">
        <f t="shared" si="3189"/>
        <v>119</v>
      </c>
      <c r="DO556" s="21">
        <f t="shared" si="3189"/>
        <v>131</v>
      </c>
      <c r="DP556" s="21">
        <f t="shared" si="3189"/>
        <v>131</v>
      </c>
      <c r="DQ556" s="248"/>
      <c r="DR556" s="248"/>
      <c r="DS556" s="248"/>
      <c r="DT556" s="248"/>
      <c r="DU556" s="248"/>
      <c r="DV556" s="248"/>
      <c r="DW556" s="248"/>
      <c r="DX556" s="248"/>
      <c r="DY556" s="248"/>
      <c r="ED556" s="429"/>
      <c r="EE556" s="23"/>
      <c r="EF556" s="23"/>
      <c r="EG556" s="23"/>
      <c r="EH556" s="18">
        <f t="shared" si="3190"/>
        <v>12</v>
      </c>
      <c r="EI556" s="18">
        <f t="shared" si="3191"/>
        <v>32</v>
      </c>
      <c r="EJ556" s="18">
        <f t="shared" si="3192"/>
        <v>131</v>
      </c>
      <c r="EK556" s="24">
        <f>$EK$1/12</f>
        <v>0.91666666666666663</v>
      </c>
      <c r="EL556" s="14">
        <f t="shared" si="3193"/>
        <v>1.8461538461538463</v>
      </c>
      <c r="EM556" s="14">
        <f t="shared" si="3193"/>
        <v>1.641025641025641</v>
      </c>
      <c r="EN556" s="14">
        <f>EJ556/EG533</f>
        <v>1.6794871794871795</v>
      </c>
      <c r="EO556" s="46" t="str">
        <f t="shared" si="3194"/>
        <v>Ç</v>
      </c>
      <c r="EP556" s="46" t="str">
        <f>IF(EI556&lt;0,,IF(EI556&lt;EF533,"È",IF(EI556&lt;EF533,"Æ","Ç")))</f>
        <v>Ç</v>
      </c>
      <c r="EQ556" s="2">
        <f t="shared" si="3195"/>
        <v>1</v>
      </c>
      <c r="ER556" s="2">
        <f t="shared" si="3196"/>
        <v>1</v>
      </c>
      <c r="ES556" s="2">
        <f t="shared" si="3197"/>
        <v>1</v>
      </c>
    </row>
    <row r="557" spans="1:149" ht="12.75" customHeight="1">
      <c r="A557" s="6" t="s">
        <v>22</v>
      </c>
      <c r="B557" s="2" t="s">
        <v>2</v>
      </c>
      <c r="C557" s="3" t="s">
        <v>56</v>
      </c>
      <c r="E557" s="3" t="s">
        <v>16</v>
      </c>
      <c r="G557" s="1" t="s">
        <v>91</v>
      </c>
      <c r="I557" s="18">
        <v>58</v>
      </c>
      <c r="J557" s="19">
        <v>63</v>
      </c>
      <c r="K557" s="19">
        <v>68</v>
      </c>
      <c r="L557" s="19">
        <v>72</v>
      </c>
      <c r="M557" s="20">
        <v>1</v>
      </c>
      <c r="N557" s="19">
        <v>3</v>
      </c>
      <c r="O557" s="19">
        <v>4</v>
      </c>
      <c r="P557" s="19">
        <v>5</v>
      </c>
      <c r="Q557" s="19">
        <v>12</v>
      </c>
      <c r="R557" s="19">
        <v>17</v>
      </c>
      <c r="S557" s="19">
        <v>24</v>
      </c>
      <c r="T557" s="19">
        <v>27</v>
      </c>
      <c r="U557" s="19">
        <v>38</v>
      </c>
      <c r="V557" s="26">
        <v>50</v>
      </c>
      <c r="W557" s="19">
        <v>60</v>
      </c>
      <c r="X557" s="19">
        <v>69</v>
      </c>
      <c r="Y557" s="368">
        <v>3</v>
      </c>
      <c r="Z557" s="19">
        <v>10</v>
      </c>
      <c r="AA557" s="19">
        <v>23</v>
      </c>
      <c r="AB557" s="19">
        <v>42</v>
      </c>
      <c r="AC557" s="19">
        <v>55</v>
      </c>
      <c r="AD557" s="19">
        <v>64</v>
      </c>
      <c r="AE557" s="19">
        <v>71</v>
      </c>
      <c r="AF557" s="19">
        <v>71</v>
      </c>
      <c r="AG557" s="19">
        <v>96</v>
      </c>
      <c r="AH557" s="19">
        <v>122</v>
      </c>
      <c r="AI557" s="19">
        <v>133</v>
      </c>
      <c r="AJ557" s="19"/>
      <c r="AK557" s="408"/>
      <c r="AL557" s="21">
        <f t="shared" si="3165"/>
        <v>5</v>
      </c>
      <c r="AM557" s="21">
        <f t="shared" si="3165"/>
        <v>5</v>
      </c>
      <c r="AN557" s="21">
        <f t="shared" si="3166"/>
        <v>4</v>
      </c>
      <c r="AO557" s="21">
        <f>M557</f>
        <v>1</v>
      </c>
      <c r="AP557" s="129">
        <f t="shared" si="3167"/>
        <v>2</v>
      </c>
      <c r="AQ557" s="129">
        <f t="shared" si="3168"/>
        <v>1</v>
      </c>
      <c r="AR557" s="129">
        <f t="shared" si="3169"/>
        <v>1</v>
      </c>
      <c r="AS557" s="129">
        <f t="shared" si="3170"/>
        <v>7</v>
      </c>
      <c r="AT557" s="129">
        <f t="shared" si="3171"/>
        <v>5</v>
      </c>
      <c r="AU557" s="129">
        <f t="shared" si="3172"/>
        <v>7</v>
      </c>
      <c r="AV557" s="129">
        <f t="shared" si="3173"/>
        <v>3</v>
      </c>
      <c r="AW557" s="129">
        <f t="shared" si="3174"/>
        <v>11</v>
      </c>
      <c r="AX557" s="129">
        <f>IF(V557&lt;&gt;"",V557-U557,0)</f>
        <v>12</v>
      </c>
      <c r="AY557" s="129">
        <f t="shared" si="3175"/>
        <v>10</v>
      </c>
      <c r="AZ557" s="129">
        <f t="shared" si="3176"/>
        <v>9</v>
      </c>
      <c r="BA557" s="21">
        <f>Y557</f>
        <v>3</v>
      </c>
      <c r="BB557" s="129">
        <f t="shared" si="3177"/>
        <v>7</v>
      </c>
      <c r="BC557" s="129">
        <f t="shared" si="3178"/>
        <v>13</v>
      </c>
      <c r="BD557" s="129">
        <f t="shared" si="3179"/>
        <v>19</v>
      </c>
      <c r="BE557" s="129">
        <f t="shared" si="3180"/>
        <v>13</v>
      </c>
      <c r="BF557" s="129">
        <f t="shared" si="3181"/>
        <v>9</v>
      </c>
      <c r="BG557" s="129">
        <f t="shared" si="3182"/>
        <v>7</v>
      </c>
      <c r="BH557" s="129">
        <f t="shared" si="3183"/>
        <v>0</v>
      </c>
      <c r="BI557" s="129">
        <f t="shared" si="3184"/>
        <v>25</v>
      </c>
      <c r="BJ557" s="129">
        <f>IF(AH557&lt;&gt;"",AH557-AG557,0)</f>
        <v>26</v>
      </c>
      <c r="BK557" s="129">
        <f t="shared" si="3185"/>
        <v>11</v>
      </c>
      <c r="BL557" s="129">
        <f t="shared" si="3186"/>
        <v>0</v>
      </c>
      <c r="BM557" s="408"/>
      <c r="BN557" s="48">
        <f t="shared" si="3198"/>
        <v>14</v>
      </c>
      <c r="BO557" s="48">
        <f t="shared" si="3199"/>
        <v>14</v>
      </c>
      <c r="BP557" s="48">
        <f t="shared" si="3200"/>
        <v>14</v>
      </c>
      <c r="BQ557" s="48">
        <f t="shared" si="3201"/>
        <v>4</v>
      </c>
      <c r="BR557" s="48">
        <f t="shared" si="3202"/>
        <v>4</v>
      </c>
      <c r="BS557" s="48">
        <f t="shared" si="3203"/>
        <v>4</v>
      </c>
      <c r="BT557" s="48">
        <f t="shared" si="3204"/>
        <v>13</v>
      </c>
      <c r="BU557" s="48">
        <f t="shared" si="3205"/>
        <v>13</v>
      </c>
      <c r="BV557" s="48">
        <f t="shared" si="3206"/>
        <v>13</v>
      </c>
      <c r="BW557" s="48">
        <f t="shared" si="3207"/>
        <v>21</v>
      </c>
      <c r="BX557" s="48">
        <f t="shared" si="3208"/>
        <v>21</v>
      </c>
      <c r="BY557" s="48">
        <f t="shared" si="3209"/>
        <v>21</v>
      </c>
      <c r="BZ557" s="48">
        <f t="shared" si="3210"/>
        <v>31</v>
      </c>
      <c r="CA557" s="48">
        <f t="shared" si="3211"/>
        <v>31</v>
      </c>
      <c r="CB557" s="48">
        <f t="shared" si="3212"/>
        <v>31</v>
      </c>
      <c r="CC557" s="48">
        <f t="shared" si="3213"/>
        <v>23</v>
      </c>
      <c r="CD557" s="48">
        <f t="shared" si="3214"/>
        <v>23</v>
      </c>
      <c r="CE557" s="48">
        <f t="shared" si="3215"/>
        <v>23</v>
      </c>
      <c r="CF557" s="48">
        <f t="shared" si="3216"/>
        <v>41</v>
      </c>
      <c r="CG557" s="48">
        <f t="shared" si="3217"/>
        <v>41</v>
      </c>
      <c r="CH557" s="48">
        <f t="shared" si="3218"/>
        <v>41</v>
      </c>
      <c r="CI557" s="48">
        <f t="shared" si="3219"/>
        <v>32</v>
      </c>
      <c r="CJ557" s="48">
        <f t="shared" si="3220"/>
        <v>32</v>
      </c>
      <c r="CK557" s="48">
        <f t="shared" si="3221"/>
        <v>32</v>
      </c>
      <c r="CL557" s="48">
        <f t="shared" si="3222"/>
        <v>37</v>
      </c>
      <c r="CM557" s="48">
        <f t="shared" si="3223"/>
        <v>37</v>
      </c>
      <c r="CN557" s="48">
        <f t="shared" si="3224"/>
        <v>37</v>
      </c>
      <c r="CO557" s="406"/>
      <c r="CP557" s="21">
        <f t="shared" si="3187"/>
        <v>63</v>
      </c>
      <c r="CQ557" s="21">
        <f t="shared" si="3187"/>
        <v>68</v>
      </c>
      <c r="CR557" s="21">
        <f t="shared" si="3187"/>
        <v>72</v>
      </c>
      <c r="CS557" s="21">
        <f>AO557</f>
        <v>1</v>
      </c>
      <c r="CT557" s="21">
        <f t="shared" si="3188"/>
        <v>3</v>
      </c>
      <c r="CU557" s="21">
        <f t="shared" si="3188"/>
        <v>4</v>
      </c>
      <c r="CV557" s="21">
        <f t="shared" si="3188"/>
        <v>5</v>
      </c>
      <c r="CW557" s="21">
        <f t="shared" si="3188"/>
        <v>12</v>
      </c>
      <c r="CX557" s="21">
        <f t="shared" si="3188"/>
        <v>17</v>
      </c>
      <c r="CY557" s="21">
        <f t="shared" si="3188"/>
        <v>24</v>
      </c>
      <c r="CZ557" s="21">
        <f t="shared" si="3188"/>
        <v>27</v>
      </c>
      <c r="DA557" s="21">
        <f t="shared" si="3188"/>
        <v>38</v>
      </c>
      <c r="DB557" s="21">
        <f t="shared" si="3188"/>
        <v>50</v>
      </c>
      <c r="DC557" s="21">
        <f t="shared" si="3188"/>
        <v>60</v>
      </c>
      <c r="DD557" s="21">
        <f t="shared" si="3188"/>
        <v>69</v>
      </c>
      <c r="DE557" s="21">
        <f>+BA557</f>
        <v>3</v>
      </c>
      <c r="DF557" s="21">
        <f t="shared" si="3189"/>
        <v>10</v>
      </c>
      <c r="DG557" s="21">
        <f t="shared" si="3189"/>
        <v>23</v>
      </c>
      <c r="DH557" s="21">
        <f t="shared" si="3189"/>
        <v>42</v>
      </c>
      <c r="DI557" s="21">
        <f t="shared" si="3189"/>
        <v>55</v>
      </c>
      <c r="DJ557" s="21">
        <f t="shared" si="3189"/>
        <v>64</v>
      </c>
      <c r="DK557" s="21">
        <f t="shared" si="3189"/>
        <v>71</v>
      </c>
      <c r="DL557" s="21">
        <f t="shared" si="3189"/>
        <v>71</v>
      </c>
      <c r="DM557" s="21">
        <f t="shared" si="3189"/>
        <v>96</v>
      </c>
      <c r="DN557" s="21">
        <f t="shared" si="3189"/>
        <v>122</v>
      </c>
      <c r="DO557" s="21">
        <f t="shared" si="3189"/>
        <v>133</v>
      </c>
      <c r="DP557" s="21">
        <f t="shared" si="3189"/>
        <v>133</v>
      </c>
      <c r="DQ557" s="248"/>
      <c r="DR557" s="248"/>
      <c r="DS557" s="248"/>
      <c r="DT557" s="248"/>
      <c r="DU557" s="248"/>
      <c r="DV557" s="248"/>
      <c r="DW557" s="248"/>
      <c r="DX557" s="248"/>
      <c r="DY557" s="248"/>
      <c r="ED557" s="429"/>
      <c r="EE557" s="23"/>
      <c r="EF557" s="23"/>
      <c r="EG557" s="23"/>
      <c r="EH557" s="18">
        <f t="shared" si="3190"/>
        <v>11</v>
      </c>
      <c r="EI557" s="18">
        <f t="shared" si="3191"/>
        <v>37</v>
      </c>
      <c r="EJ557" s="18">
        <f t="shared" si="3192"/>
        <v>133</v>
      </c>
      <c r="EK557" s="24">
        <f>$EK$1/12</f>
        <v>0.91666666666666663</v>
      </c>
      <c r="EL557" s="14">
        <f t="shared" si="3193"/>
        <v>1.8333333333333333</v>
      </c>
      <c r="EM557" s="14">
        <f t="shared" si="3193"/>
        <v>2.0555555555555554</v>
      </c>
      <c r="EN557" s="14">
        <f>EJ557/EG534</f>
        <v>1.9275362318840579</v>
      </c>
      <c r="EO557" s="46" t="str">
        <f t="shared" si="3194"/>
        <v>Ç</v>
      </c>
      <c r="EP557" s="46" t="str">
        <f t="shared" si="3194"/>
        <v>Ç</v>
      </c>
      <c r="EQ557" s="2">
        <f t="shared" si="3195"/>
        <v>1</v>
      </c>
      <c r="ER557" s="2">
        <f t="shared" si="3196"/>
        <v>1</v>
      </c>
      <c r="ES557" s="2">
        <f t="shared" si="3197"/>
        <v>1</v>
      </c>
    </row>
    <row r="558" spans="1:149" ht="12.75" customHeight="1">
      <c r="A558" s="6" t="s">
        <v>22</v>
      </c>
      <c r="B558" s="2" t="s">
        <v>3</v>
      </c>
      <c r="C558" s="3" t="s">
        <v>57</v>
      </c>
      <c r="E558" s="3" t="s">
        <v>16</v>
      </c>
      <c r="G558" s="1" t="s">
        <v>91</v>
      </c>
      <c r="I558" s="18">
        <v>16</v>
      </c>
      <c r="J558" s="21">
        <v>16</v>
      </c>
      <c r="K558" s="21">
        <v>17</v>
      </c>
      <c r="L558" s="21">
        <v>19</v>
      </c>
      <c r="M558" s="22">
        <v>0</v>
      </c>
      <c r="N558" s="21">
        <v>2</v>
      </c>
      <c r="O558" s="21">
        <v>2</v>
      </c>
      <c r="P558" s="21">
        <v>3</v>
      </c>
      <c r="Q558" s="21">
        <v>7</v>
      </c>
      <c r="R558" s="21">
        <v>8</v>
      </c>
      <c r="S558" s="21">
        <v>11</v>
      </c>
      <c r="T558" s="21">
        <v>16</v>
      </c>
      <c r="U558" s="21">
        <v>17</v>
      </c>
      <c r="V558" s="27">
        <v>19</v>
      </c>
      <c r="W558" s="21">
        <v>20</v>
      </c>
      <c r="X558" s="21">
        <v>21</v>
      </c>
      <c r="Y558" s="369">
        <v>2</v>
      </c>
      <c r="Z558" s="21">
        <v>2</v>
      </c>
      <c r="AA558" s="21">
        <v>7</v>
      </c>
      <c r="AB558" s="21">
        <v>12</v>
      </c>
      <c r="AC558" s="21">
        <v>17</v>
      </c>
      <c r="AD558" s="21">
        <v>22</v>
      </c>
      <c r="AE558" s="21">
        <v>26</v>
      </c>
      <c r="AF558" s="21">
        <v>28</v>
      </c>
      <c r="AG558" s="21">
        <v>30</v>
      </c>
      <c r="AH558" s="21">
        <v>33</v>
      </c>
      <c r="AI558" s="21">
        <v>35</v>
      </c>
      <c r="AJ558" s="21"/>
      <c r="AK558" s="408"/>
      <c r="AL558" s="21">
        <f t="shared" si="3165"/>
        <v>0</v>
      </c>
      <c r="AM558" s="21">
        <f t="shared" si="3165"/>
        <v>1</v>
      </c>
      <c r="AN558" s="21">
        <f t="shared" si="3166"/>
        <v>2</v>
      </c>
      <c r="AO558" s="21">
        <f>M558</f>
        <v>0</v>
      </c>
      <c r="AP558" s="129">
        <f t="shared" si="3167"/>
        <v>2</v>
      </c>
      <c r="AQ558" s="129">
        <f t="shared" si="3168"/>
        <v>0</v>
      </c>
      <c r="AR558" s="129">
        <f t="shared" si="3169"/>
        <v>1</v>
      </c>
      <c r="AS558" s="129">
        <f t="shared" si="3170"/>
        <v>4</v>
      </c>
      <c r="AT558" s="129">
        <f t="shared" si="3171"/>
        <v>1</v>
      </c>
      <c r="AU558" s="129">
        <f t="shared" si="3172"/>
        <v>3</v>
      </c>
      <c r="AV558" s="129">
        <f t="shared" si="3173"/>
        <v>5</v>
      </c>
      <c r="AW558" s="129">
        <f t="shared" si="3174"/>
        <v>1</v>
      </c>
      <c r="AX558" s="129">
        <f>IF(V558&lt;&gt;"",V558-U558,0)</f>
        <v>2</v>
      </c>
      <c r="AY558" s="129">
        <f t="shared" si="3175"/>
        <v>1</v>
      </c>
      <c r="AZ558" s="129">
        <f t="shared" si="3176"/>
        <v>1</v>
      </c>
      <c r="BA558" s="21">
        <f>Y558</f>
        <v>2</v>
      </c>
      <c r="BB558" s="129">
        <f t="shared" si="3177"/>
        <v>0</v>
      </c>
      <c r="BC558" s="129">
        <f t="shared" si="3178"/>
        <v>5</v>
      </c>
      <c r="BD558" s="129">
        <f t="shared" si="3179"/>
        <v>5</v>
      </c>
      <c r="BE558" s="129">
        <f t="shared" si="3180"/>
        <v>5</v>
      </c>
      <c r="BF558" s="129">
        <f t="shared" si="3181"/>
        <v>5</v>
      </c>
      <c r="BG558" s="129">
        <f t="shared" si="3182"/>
        <v>4</v>
      </c>
      <c r="BH558" s="129">
        <f t="shared" si="3183"/>
        <v>2</v>
      </c>
      <c r="BI558" s="129">
        <f t="shared" si="3184"/>
        <v>2</v>
      </c>
      <c r="BJ558" s="129">
        <f>IF(AH558&lt;&gt;"",AH558-AG558,0)</f>
        <v>3</v>
      </c>
      <c r="BK558" s="129">
        <f t="shared" si="3185"/>
        <v>2</v>
      </c>
      <c r="BL558" s="129">
        <f t="shared" si="3186"/>
        <v>0</v>
      </c>
      <c r="BM558" s="408"/>
      <c r="BN558" s="48">
        <f t="shared" si="3198"/>
        <v>3</v>
      </c>
      <c r="BO558" s="48">
        <f t="shared" si="3199"/>
        <v>3</v>
      </c>
      <c r="BP558" s="48">
        <f t="shared" si="3200"/>
        <v>3</v>
      </c>
      <c r="BQ558" s="48">
        <f t="shared" si="3201"/>
        <v>2</v>
      </c>
      <c r="BR558" s="48">
        <f t="shared" si="3202"/>
        <v>2</v>
      </c>
      <c r="BS558" s="48">
        <f t="shared" si="3203"/>
        <v>2</v>
      </c>
      <c r="BT558" s="48">
        <f t="shared" si="3204"/>
        <v>6</v>
      </c>
      <c r="BU558" s="48">
        <f t="shared" si="3205"/>
        <v>6</v>
      </c>
      <c r="BV558" s="48">
        <f t="shared" si="3206"/>
        <v>6</v>
      </c>
      <c r="BW558" s="48">
        <f t="shared" si="3207"/>
        <v>9</v>
      </c>
      <c r="BX558" s="48">
        <f t="shared" si="3208"/>
        <v>9</v>
      </c>
      <c r="BY558" s="48">
        <f t="shared" si="3209"/>
        <v>9</v>
      </c>
      <c r="BZ558" s="48">
        <f t="shared" si="3210"/>
        <v>4</v>
      </c>
      <c r="CA558" s="48">
        <f t="shared" si="3211"/>
        <v>4</v>
      </c>
      <c r="CB558" s="48">
        <f t="shared" si="3212"/>
        <v>4</v>
      </c>
      <c r="CC558" s="48">
        <f t="shared" si="3213"/>
        <v>7</v>
      </c>
      <c r="CD558" s="48">
        <f t="shared" si="3214"/>
        <v>7</v>
      </c>
      <c r="CE558" s="48">
        <f t="shared" si="3215"/>
        <v>7</v>
      </c>
      <c r="CF558" s="48">
        <f t="shared" si="3216"/>
        <v>15</v>
      </c>
      <c r="CG558" s="48">
        <f t="shared" si="3217"/>
        <v>15</v>
      </c>
      <c r="CH558" s="48">
        <f t="shared" si="3218"/>
        <v>15</v>
      </c>
      <c r="CI558" s="48">
        <f t="shared" si="3219"/>
        <v>8</v>
      </c>
      <c r="CJ558" s="48">
        <f t="shared" si="3220"/>
        <v>8</v>
      </c>
      <c r="CK558" s="48">
        <f t="shared" si="3221"/>
        <v>8</v>
      </c>
      <c r="CL558" s="48">
        <f t="shared" si="3222"/>
        <v>5</v>
      </c>
      <c r="CM558" s="48">
        <f t="shared" si="3223"/>
        <v>5</v>
      </c>
      <c r="CN558" s="48">
        <f t="shared" si="3224"/>
        <v>5</v>
      </c>
      <c r="CO558" s="406"/>
      <c r="CP558" s="21">
        <f t="shared" si="3187"/>
        <v>16</v>
      </c>
      <c r="CQ558" s="21">
        <f t="shared" si="3187"/>
        <v>17</v>
      </c>
      <c r="CR558" s="21">
        <f t="shared" si="3187"/>
        <v>19</v>
      </c>
      <c r="CS558" s="21">
        <f>AO558</f>
        <v>0</v>
      </c>
      <c r="CT558" s="21">
        <f t="shared" si="3188"/>
        <v>2</v>
      </c>
      <c r="CU558" s="21">
        <f t="shared" si="3188"/>
        <v>2</v>
      </c>
      <c r="CV558" s="21">
        <f t="shared" si="3188"/>
        <v>3</v>
      </c>
      <c r="CW558" s="21">
        <f t="shared" si="3188"/>
        <v>7</v>
      </c>
      <c r="CX558" s="21">
        <f t="shared" si="3188"/>
        <v>8</v>
      </c>
      <c r="CY558" s="21">
        <f t="shared" si="3188"/>
        <v>11</v>
      </c>
      <c r="CZ558" s="21">
        <f t="shared" si="3188"/>
        <v>16</v>
      </c>
      <c r="DA558" s="21">
        <f t="shared" si="3188"/>
        <v>17</v>
      </c>
      <c r="DB558" s="21">
        <f t="shared" si="3188"/>
        <v>19</v>
      </c>
      <c r="DC558" s="21">
        <f t="shared" si="3188"/>
        <v>20</v>
      </c>
      <c r="DD558" s="21">
        <f t="shared" si="3188"/>
        <v>21</v>
      </c>
      <c r="DE558" s="21">
        <f>+BA558</f>
        <v>2</v>
      </c>
      <c r="DF558" s="21">
        <f t="shared" si="3189"/>
        <v>2</v>
      </c>
      <c r="DG558" s="21">
        <f t="shared" si="3189"/>
        <v>7</v>
      </c>
      <c r="DH558" s="21">
        <f t="shared" si="3189"/>
        <v>12</v>
      </c>
      <c r="DI558" s="21">
        <f t="shared" si="3189"/>
        <v>17</v>
      </c>
      <c r="DJ558" s="21">
        <f t="shared" si="3189"/>
        <v>22</v>
      </c>
      <c r="DK558" s="21">
        <f t="shared" si="3189"/>
        <v>26</v>
      </c>
      <c r="DL558" s="21">
        <f t="shared" si="3189"/>
        <v>28</v>
      </c>
      <c r="DM558" s="21">
        <f t="shared" si="3189"/>
        <v>30</v>
      </c>
      <c r="DN558" s="21">
        <f t="shared" si="3189"/>
        <v>33</v>
      </c>
      <c r="DO558" s="21">
        <f t="shared" si="3189"/>
        <v>35</v>
      </c>
      <c r="DP558" s="21">
        <f t="shared" si="3189"/>
        <v>35</v>
      </c>
      <c r="DQ558" s="248"/>
      <c r="DR558" s="248"/>
      <c r="DS558" s="248"/>
      <c r="DT558" s="248"/>
      <c r="DU558" s="248"/>
      <c r="DV558" s="248"/>
      <c r="DW558" s="248"/>
      <c r="DX558" s="248"/>
      <c r="DY558" s="248"/>
      <c r="ED558" s="429"/>
      <c r="EE558" s="23"/>
      <c r="EF558" s="23"/>
      <c r="EG558" s="23"/>
      <c r="EH558" s="18">
        <f t="shared" si="3190"/>
        <v>2</v>
      </c>
      <c r="EI558" s="18">
        <f t="shared" si="3191"/>
        <v>5</v>
      </c>
      <c r="EJ558" s="18">
        <f t="shared" si="3192"/>
        <v>35</v>
      </c>
      <c r="EK558" s="24">
        <f>$EK$1/12</f>
        <v>0.91666666666666663</v>
      </c>
      <c r="EL558" s="14">
        <f t="shared" si="3193"/>
        <v>0.68587105624142652</v>
      </c>
      <c r="EM558" s="14">
        <f t="shared" si="3193"/>
        <v>0.57155921353452233</v>
      </c>
      <c r="EN558" s="14">
        <f>EJ558/EG535</f>
        <v>1.0002286236854139</v>
      </c>
      <c r="EO558" s="46" t="str">
        <f t="shared" si="3194"/>
        <v>È</v>
      </c>
      <c r="EP558" s="46" t="str">
        <f>IF(EI558&lt;0,,IF(EI558&gt;EF535,"È",IF(EI558=EF535,"Æ","Ç")))</f>
        <v>Ç</v>
      </c>
      <c r="EQ558" s="2">
        <f t="shared" si="3195"/>
        <v>3</v>
      </c>
      <c r="ER558" s="2">
        <f t="shared" si="3196"/>
        <v>3</v>
      </c>
      <c r="ES558" s="2">
        <f t="shared" si="3197"/>
        <v>1</v>
      </c>
    </row>
    <row r="559" spans="1:149" ht="12.75" customHeight="1" thickBot="1">
      <c r="A559" s="6" t="s">
        <v>22</v>
      </c>
      <c r="B559" s="2" t="s">
        <v>94</v>
      </c>
      <c r="C559" s="3" t="s">
        <v>58</v>
      </c>
      <c r="E559" s="3" t="s">
        <v>16</v>
      </c>
      <c r="G559" s="1" t="s">
        <v>91</v>
      </c>
      <c r="I559" s="116">
        <v>4.6970000000000001</v>
      </c>
      <c r="J559" s="116">
        <v>4.7770000000000001</v>
      </c>
      <c r="K559" s="116">
        <v>5.0869999999999997</v>
      </c>
      <c r="L559" s="116">
        <v>5.3520000000000003</v>
      </c>
      <c r="M559" s="117">
        <v>0.03</v>
      </c>
      <c r="N559" s="116">
        <v>0.06</v>
      </c>
      <c r="O559" s="116">
        <v>0.35</v>
      </c>
      <c r="P559" s="116">
        <v>0.89700000000000002</v>
      </c>
      <c r="Q559" s="116">
        <v>1.39</v>
      </c>
      <c r="R559" s="116">
        <v>2.3959999999999999</v>
      </c>
      <c r="S559" s="116">
        <v>2.58</v>
      </c>
      <c r="T559" s="116">
        <v>2.755201</v>
      </c>
      <c r="U559" s="116">
        <v>8.1902010000000001</v>
      </c>
      <c r="V559" s="123">
        <v>5.8102010000000002</v>
      </c>
      <c r="W559" s="116">
        <v>5.8102010000000002</v>
      </c>
      <c r="X559" s="116">
        <v>5.8352009999999996</v>
      </c>
      <c r="Y559" s="370">
        <v>3.3000000000000002E-2</v>
      </c>
      <c r="Z559" s="116">
        <v>0.93300000000000005</v>
      </c>
      <c r="AA559" s="116">
        <v>3.0779999999999998</v>
      </c>
      <c r="AB559" s="116">
        <v>3.4180000000000001</v>
      </c>
      <c r="AC559" s="116">
        <v>4.2430000000000003</v>
      </c>
      <c r="AD559" s="116">
        <v>5.2450000000000001</v>
      </c>
      <c r="AE559" s="116">
        <v>5.33</v>
      </c>
      <c r="AF559" s="116">
        <v>5.415</v>
      </c>
      <c r="AG559" s="116">
        <v>7.52</v>
      </c>
      <c r="AH559" s="116">
        <v>7.6070000000000002</v>
      </c>
      <c r="AI559" s="116">
        <v>8.0344999999999995</v>
      </c>
      <c r="AJ559" s="116"/>
      <c r="AK559" s="416"/>
      <c r="AL559" s="116">
        <f t="shared" si="3165"/>
        <v>8.0000000000000071E-2</v>
      </c>
      <c r="AM559" s="116">
        <f t="shared" si="3165"/>
        <v>0.30999999999999961</v>
      </c>
      <c r="AN559" s="116">
        <f t="shared" si="3166"/>
        <v>0.26500000000000057</v>
      </c>
      <c r="AO559" s="116">
        <f>M559</f>
        <v>0.03</v>
      </c>
      <c r="AP559" s="129">
        <f t="shared" si="3167"/>
        <v>0.03</v>
      </c>
      <c r="AQ559" s="129">
        <f t="shared" si="3168"/>
        <v>0.28999999999999998</v>
      </c>
      <c r="AR559" s="129">
        <f t="shared" si="3169"/>
        <v>0.54700000000000004</v>
      </c>
      <c r="AS559" s="129">
        <f t="shared" si="3170"/>
        <v>0.49299999999999988</v>
      </c>
      <c r="AT559" s="129">
        <f t="shared" si="3171"/>
        <v>1.006</v>
      </c>
      <c r="AU559" s="129">
        <f t="shared" si="3172"/>
        <v>0.18400000000000016</v>
      </c>
      <c r="AV559" s="285">
        <f t="shared" si="3173"/>
        <v>0.17520099999999994</v>
      </c>
      <c r="AW559" s="129">
        <f t="shared" si="3174"/>
        <v>5.4350000000000005</v>
      </c>
      <c r="AX559" s="129">
        <f>IF(V559&lt;&gt;"",V559-U559,0)</f>
        <v>-2.38</v>
      </c>
      <c r="AY559" s="129">
        <f t="shared" si="3175"/>
        <v>0</v>
      </c>
      <c r="AZ559" s="129">
        <f t="shared" si="3176"/>
        <v>2.4999999999999467E-2</v>
      </c>
      <c r="BA559" s="116">
        <f>Y559</f>
        <v>3.3000000000000002E-2</v>
      </c>
      <c r="BB559" s="129">
        <f t="shared" si="3177"/>
        <v>0.9</v>
      </c>
      <c r="BC559" s="129">
        <f t="shared" si="3178"/>
        <v>2.1449999999999996</v>
      </c>
      <c r="BD559" s="129">
        <f t="shared" si="3179"/>
        <v>0.3400000000000003</v>
      </c>
      <c r="BE559" s="129">
        <f t="shared" si="3180"/>
        <v>0.82500000000000018</v>
      </c>
      <c r="BF559" s="129">
        <f t="shared" si="3181"/>
        <v>1.0019999999999998</v>
      </c>
      <c r="BG559" s="129">
        <f t="shared" si="3182"/>
        <v>8.4999999999999964E-2</v>
      </c>
      <c r="BH559" s="129">
        <f t="shared" si="3183"/>
        <v>8.4999999999999964E-2</v>
      </c>
      <c r="BI559" s="129">
        <f t="shared" si="3184"/>
        <v>2.1049999999999995</v>
      </c>
      <c r="BJ559" s="129">
        <f>IF(AH559&lt;&gt;"",AH559-AG559,0)</f>
        <v>8.7000000000000632E-2</v>
      </c>
      <c r="BK559" s="129">
        <f t="shared" si="3185"/>
        <v>0.42749999999999932</v>
      </c>
      <c r="BL559" s="129">
        <f t="shared" si="3186"/>
        <v>0</v>
      </c>
      <c r="BM559" s="409"/>
      <c r="BN559" s="119">
        <f t="shared" si="3198"/>
        <v>0.65500000000000025</v>
      </c>
      <c r="BO559" s="119">
        <f t="shared" si="3199"/>
        <v>0.65500000000000025</v>
      </c>
      <c r="BP559" s="119">
        <f t="shared" si="3200"/>
        <v>0.65500000000000025</v>
      </c>
      <c r="BQ559" s="119">
        <f t="shared" si="3201"/>
        <v>0.35</v>
      </c>
      <c r="BR559" s="119">
        <f t="shared" si="3202"/>
        <v>0.35</v>
      </c>
      <c r="BS559" s="119">
        <f t="shared" si="3203"/>
        <v>0.35</v>
      </c>
      <c r="BT559" s="119">
        <f t="shared" si="3204"/>
        <v>2.0460000000000003</v>
      </c>
      <c r="BU559" s="119">
        <f t="shared" si="3205"/>
        <v>2.0460000000000003</v>
      </c>
      <c r="BV559" s="119">
        <f t="shared" si="3206"/>
        <v>2.0460000000000003</v>
      </c>
      <c r="BW559" s="119">
        <f t="shared" si="3207"/>
        <v>5.794201000000001</v>
      </c>
      <c r="BX559" s="119">
        <f t="shared" si="3208"/>
        <v>5.794201000000001</v>
      </c>
      <c r="BY559" s="119">
        <f t="shared" si="3209"/>
        <v>5.794201000000001</v>
      </c>
      <c r="BZ559" s="119">
        <f t="shared" si="3210"/>
        <v>-2.3550000000000004</v>
      </c>
      <c r="CA559" s="119">
        <f t="shared" si="3211"/>
        <v>-2.3550000000000004</v>
      </c>
      <c r="CB559" s="119">
        <f t="shared" si="3212"/>
        <v>-2.3550000000000004</v>
      </c>
      <c r="CC559" s="119">
        <f t="shared" si="3213"/>
        <v>3.0779999999999994</v>
      </c>
      <c r="CD559" s="119">
        <f t="shared" si="3214"/>
        <v>3.0779999999999994</v>
      </c>
      <c r="CE559" s="119">
        <f t="shared" si="3215"/>
        <v>3.0779999999999994</v>
      </c>
      <c r="CF559" s="119">
        <f t="shared" si="3216"/>
        <v>2.1670000000000003</v>
      </c>
      <c r="CG559" s="119">
        <f t="shared" si="3217"/>
        <v>2.1670000000000003</v>
      </c>
      <c r="CH559" s="119">
        <f t="shared" si="3218"/>
        <v>2.1670000000000003</v>
      </c>
      <c r="CI559" s="119">
        <f t="shared" si="3219"/>
        <v>2.2749999999999995</v>
      </c>
      <c r="CJ559" s="119">
        <f t="shared" si="3220"/>
        <v>2.2749999999999995</v>
      </c>
      <c r="CK559" s="119">
        <f t="shared" si="3221"/>
        <v>2.2749999999999995</v>
      </c>
      <c r="CL559" s="119">
        <f t="shared" si="3222"/>
        <v>0.51449999999999996</v>
      </c>
      <c r="CM559" s="119">
        <f t="shared" si="3223"/>
        <v>0.51449999999999996</v>
      </c>
      <c r="CN559" s="119">
        <f t="shared" si="3224"/>
        <v>0.51449999999999996</v>
      </c>
      <c r="CO559" s="421"/>
      <c r="CP559" s="116">
        <f t="shared" si="3187"/>
        <v>4.7770000000000001</v>
      </c>
      <c r="CQ559" s="116">
        <f t="shared" si="3187"/>
        <v>5.0869999999999997</v>
      </c>
      <c r="CR559" s="116">
        <f t="shared" si="3187"/>
        <v>5.3520000000000003</v>
      </c>
      <c r="CS559" s="116">
        <f>AO559</f>
        <v>0.03</v>
      </c>
      <c r="CT559" s="116">
        <f t="shared" si="3188"/>
        <v>0.06</v>
      </c>
      <c r="CU559" s="116">
        <f t="shared" si="3188"/>
        <v>0.35</v>
      </c>
      <c r="CV559" s="116">
        <f t="shared" si="3188"/>
        <v>0.89700000000000002</v>
      </c>
      <c r="CW559" s="116">
        <f t="shared" si="3188"/>
        <v>1.39</v>
      </c>
      <c r="CX559" s="116">
        <f t="shared" si="3188"/>
        <v>2.3959999999999999</v>
      </c>
      <c r="CY559" s="116">
        <f t="shared" si="3188"/>
        <v>2.58</v>
      </c>
      <c r="CZ559" s="116">
        <f t="shared" si="3188"/>
        <v>2.755201</v>
      </c>
      <c r="DA559" s="116">
        <f t="shared" si="3188"/>
        <v>8.1902010000000001</v>
      </c>
      <c r="DB559" s="116">
        <f t="shared" si="3188"/>
        <v>5.8102010000000002</v>
      </c>
      <c r="DC559" s="116">
        <f t="shared" si="3188"/>
        <v>5.8102010000000002</v>
      </c>
      <c r="DD559" s="116">
        <f t="shared" si="3188"/>
        <v>5.8352009999999996</v>
      </c>
      <c r="DE559" s="116">
        <f>+BA559</f>
        <v>3.3000000000000002E-2</v>
      </c>
      <c r="DF559" s="116">
        <f t="shared" si="3189"/>
        <v>0.93300000000000005</v>
      </c>
      <c r="DG559" s="116">
        <f t="shared" si="3189"/>
        <v>3.0779999999999994</v>
      </c>
      <c r="DH559" s="116">
        <f t="shared" si="3189"/>
        <v>3.4180000000000001</v>
      </c>
      <c r="DI559" s="116">
        <f t="shared" si="3189"/>
        <v>4.2430000000000003</v>
      </c>
      <c r="DJ559" s="116">
        <f t="shared" si="3189"/>
        <v>5.2450000000000001</v>
      </c>
      <c r="DK559" s="116">
        <f t="shared" si="3189"/>
        <v>5.33</v>
      </c>
      <c r="DL559" s="116">
        <f t="shared" si="3189"/>
        <v>5.415</v>
      </c>
      <c r="DM559" s="116">
        <f t="shared" si="3189"/>
        <v>7.52</v>
      </c>
      <c r="DN559" s="116">
        <f t="shared" si="3189"/>
        <v>7.6070000000000002</v>
      </c>
      <c r="DO559" s="116">
        <f t="shared" si="3189"/>
        <v>8.0344999999999995</v>
      </c>
      <c r="DP559" s="116">
        <f t="shared" si="3189"/>
        <v>8.0344999999999995</v>
      </c>
      <c r="DQ559" s="243"/>
      <c r="DR559" s="243"/>
      <c r="DS559" s="243"/>
      <c r="DT559" s="243"/>
      <c r="DU559" s="243"/>
      <c r="DV559" s="243"/>
      <c r="DW559" s="243"/>
      <c r="DX559" s="243"/>
      <c r="DY559" s="243"/>
      <c r="DZ559" s="124"/>
      <c r="EA559" s="124"/>
      <c r="EB559" s="124"/>
      <c r="EC559" s="124"/>
      <c r="ED559" s="431"/>
      <c r="EE559" s="125"/>
      <c r="EF559" s="125"/>
      <c r="EG559" s="125"/>
      <c r="EH559" s="116">
        <f t="shared" si="3190"/>
        <v>0.42749999999999932</v>
      </c>
      <c r="EI559" s="116">
        <f t="shared" si="3191"/>
        <v>0.51449999999999996</v>
      </c>
      <c r="EJ559" s="116">
        <f t="shared" si="3192"/>
        <v>8.0344999999999995</v>
      </c>
      <c r="EK559" s="24">
        <f>$EK$1/12</f>
        <v>0.91666666666666663</v>
      </c>
      <c r="EL559" s="14">
        <f t="shared" si="3193"/>
        <v>0.25864676817585924</v>
      </c>
      <c r="EM559" s="14">
        <f t="shared" si="3193"/>
        <v>0.10376121811031559</v>
      </c>
      <c r="EN559" s="14">
        <f>EJ559/EG536</f>
        <v>1.2081948225492207</v>
      </c>
      <c r="EO559" s="46" t="str">
        <f t="shared" si="3194"/>
        <v>È</v>
      </c>
      <c r="EP559" s="46" t="str">
        <f t="shared" si="3194"/>
        <v>È</v>
      </c>
      <c r="EQ559" s="2">
        <f t="shared" si="3195"/>
        <v>3</v>
      </c>
      <c r="ER559" s="2">
        <f t="shared" si="3196"/>
        <v>3</v>
      </c>
      <c r="ES559" s="2">
        <f t="shared" si="3197"/>
        <v>1</v>
      </c>
    </row>
    <row r="560" spans="1:149" ht="12.75" customHeight="1">
      <c r="A560" s="6" t="s">
        <v>23</v>
      </c>
      <c r="B560" s="2" t="s">
        <v>5</v>
      </c>
      <c r="C560" s="3" t="s">
        <v>61</v>
      </c>
      <c r="E560" s="3" t="s">
        <v>16</v>
      </c>
      <c r="G560" s="3" t="s">
        <v>91</v>
      </c>
      <c r="I560" s="23"/>
      <c r="J560" s="19">
        <v>21</v>
      </c>
      <c r="K560" s="19">
        <v>40</v>
      </c>
      <c r="L560" s="19">
        <v>61</v>
      </c>
      <c r="M560" s="19">
        <v>76</v>
      </c>
      <c r="N560" s="19">
        <v>89</v>
      </c>
      <c r="O560" s="19">
        <v>100</v>
      </c>
      <c r="P560" s="19">
        <v>112</v>
      </c>
      <c r="Q560" s="19">
        <v>146</v>
      </c>
      <c r="R560" s="19">
        <v>169</v>
      </c>
      <c r="S560" s="19">
        <v>201</v>
      </c>
      <c r="T560" s="19">
        <v>231</v>
      </c>
      <c r="U560" s="19">
        <v>279</v>
      </c>
      <c r="V560" s="31">
        <v>55</v>
      </c>
      <c r="W560" s="19">
        <v>127</v>
      </c>
      <c r="X560" s="19">
        <v>172</v>
      </c>
      <c r="Y560" s="366">
        <v>222</v>
      </c>
      <c r="Z560" s="19">
        <v>269</v>
      </c>
      <c r="AA560" s="19">
        <v>309</v>
      </c>
      <c r="AB560" s="19">
        <v>359</v>
      </c>
      <c r="AC560" s="19">
        <v>410</v>
      </c>
      <c r="AD560" s="19">
        <v>465</v>
      </c>
      <c r="AE560" s="19">
        <v>508</v>
      </c>
      <c r="AF560" s="19">
        <v>557</v>
      </c>
      <c r="AG560" s="19">
        <v>608</v>
      </c>
      <c r="AH560" s="31">
        <v>38</v>
      </c>
      <c r="AI560" s="19">
        <v>85</v>
      </c>
      <c r="AJ560" s="19"/>
      <c r="AK560" s="408"/>
      <c r="AL560" s="19">
        <f t="shared" ref="AL560:AL576" si="3225">J560</f>
        <v>21</v>
      </c>
      <c r="AM560" s="19">
        <f>K560-J560</f>
        <v>19</v>
      </c>
      <c r="AN560" s="19">
        <f t="shared" si="3166"/>
        <v>21</v>
      </c>
      <c r="AO560" s="19">
        <f>M560-L560</f>
        <v>15</v>
      </c>
      <c r="AP560" s="129">
        <f t="shared" si="3167"/>
        <v>13</v>
      </c>
      <c r="AQ560" s="129">
        <f t="shared" si="3168"/>
        <v>11</v>
      </c>
      <c r="AR560" s="129">
        <f t="shared" si="3169"/>
        <v>12</v>
      </c>
      <c r="AS560" s="129">
        <f t="shared" si="3170"/>
        <v>34</v>
      </c>
      <c r="AT560" s="129">
        <f t="shared" si="3171"/>
        <v>23</v>
      </c>
      <c r="AU560" s="129">
        <f t="shared" si="3172"/>
        <v>32</v>
      </c>
      <c r="AV560" s="129">
        <f t="shared" si="3173"/>
        <v>30</v>
      </c>
      <c r="AW560" s="129">
        <f t="shared" si="3174"/>
        <v>48</v>
      </c>
      <c r="AX560" s="19">
        <f t="shared" ref="AX560:AX574" si="3226">V560</f>
        <v>55</v>
      </c>
      <c r="AY560" s="129">
        <f t="shared" si="3175"/>
        <v>72</v>
      </c>
      <c r="AZ560" s="129">
        <f t="shared" si="3176"/>
        <v>45</v>
      </c>
      <c r="BA560" s="129">
        <f t="shared" ref="BA560:BA574" si="3227">IF(Y560&lt;&gt;"",Y560-X560,0)</f>
        <v>50</v>
      </c>
      <c r="BB560" s="129">
        <f t="shared" si="3177"/>
        <v>47</v>
      </c>
      <c r="BC560" s="129">
        <f t="shared" si="3178"/>
        <v>40</v>
      </c>
      <c r="BD560" s="129">
        <f t="shared" si="3179"/>
        <v>50</v>
      </c>
      <c r="BE560" s="129">
        <f t="shared" si="3180"/>
        <v>51</v>
      </c>
      <c r="BF560" s="129">
        <f t="shared" si="3181"/>
        <v>55</v>
      </c>
      <c r="BG560" s="129">
        <f t="shared" si="3182"/>
        <v>43</v>
      </c>
      <c r="BH560" s="129">
        <f t="shared" si="3183"/>
        <v>49</v>
      </c>
      <c r="BI560" s="129">
        <f t="shared" si="3184"/>
        <v>51</v>
      </c>
      <c r="BJ560" s="19">
        <f t="shared" ref="BJ560:BJ571" si="3228">AH560</f>
        <v>38</v>
      </c>
      <c r="BK560" s="129">
        <f t="shared" si="3185"/>
        <v>47</v>
      </c>
      <c r="BL560" s="129">
        <f t="shared" si="3186"/>
        <v>0</v>
      </c>
      <c r="BM560" s="408"/>
      <c r="BN560" s="48">
        <f t="shared" si="3198"/>
        <v>61</v>
      </c>
      <c r="BO560" s="48">
        <f t="shared" si="3199"/>
        <v>61</v>
      </c>
      <c r="BP560" s="48">
        <f t="shared" si="3200"/>
        <v>61</v>
      </c>
      <c r="BQ560" s="48">
        <f t="shared" si="3201"/>
        <v>39</v>
      </c>
      <c r="BR560" s="48">
        <f t="shared" si="3202"/>
        <v>39</v>
      </c>
      <c r="BS560" s="48">
        <f t="shared" si="3203"/>
        <v>39</v>
      </c>
      <c r="BT560" s="48">
        <f t="shared" si="3204"/>
        <v>69</v>
      </c>
      <c r="BU560" s="48">
        <f t="shared" si="3205"/>
        <v>69</v>
      </c>
      <c r="BV560" s="48">
        <f t="shared" si="3206"/>
        <v>69</v>
      </c>
      <c r="BW560" s="48">
        <f t="shared" si="3207"/>
        <v>110</v>
      </c>
      <c r="BX560" s="48">
        <f t="shared" si="3208"/>
        <v>110</v>
      </c>
      <c r="BY560" s="48">
        <f t="shared" si="3209"/>
        <v>110</v>
      </c>
      <c r="BZ560" s="48">
        <f t="shared" si="3210"/>
        <v>172</v>
      </c>
      <c r="CA560" s="48">
        <f t="shared" si="3211"/>
        <v>172</v>
      </c>
      <c r="CB560" s="48">
        <f t="shared" si="3212"/>
        <v>172</v>
      </c>
      <c r="CC560" s="48">
        <f t="shared" si="3213"/>
        <v>137</v>
      </c>
      <c r="CD560" s="48">
        <f t="shared" si="3214"/>
        <v>137</v>
      </c>
      <c r="CE560" s="48">
        <f t="shared" si="3215"/>
        <v>137</v>
      </c>
      <c r="CF560" s="48">
        <f t="shared" si="3216"/>
        <v>156</v>
      </c>
      <c r="CG560" s="48">
        <f t="shared" si="3217"/>
        <v>156</v>
      </c>
      <c r="CH560" s="48">
        <f t="shared" si="3218"/>
        <v>156</v>
      </c>
      <c r="CI560" s="48">
        <f t="shared" si="3219"/>
        <v>143</v>
      </c>
      <c r="CJ560" s="48">
        <f t="shared" si="3220"/>
        <v>143</v>
      </c>
      <c r="CK560" s="48">
        <f t="shared" si="3221"/>
        <v>143</v>
      </c>
      <c r="CL560" s="48">
        <f t="shared" si="3222"/>
        <v>85</v>
      </c>
      <c r="CM560" s="48">
        <f t="shared" si="3223"/>
        <v>85</v>
      </c>
      <c r="CN560" s="48">
        <f t="shared" si="3224"/>
        <v>85</v>
      </c>
      <c r="CO560" s="406"/>
      <c r="CP560" s="21">
        <f>+AL560</f>
        <v>21</v>
      </c>
      <c r="CQ560" s="21">
        <f t="shared" ref="CQ560:DA560" si="3229">+CP560+AM560</f>
        <v>40</v>
      </c>
      <c r="CR560" s="21">
        <f t="shared" si="3229"/>
        <v>61</v>
      </c>
      <c r="CS560" s="21">
        <f t="shared" si="3229"/>
        <v>76</v>
      </c>
      <c r="CT560" s="21">
        <f t="shared" si="3229"/>
        <v>89</v>
      </c>
      <c r="CU560" s="21">
        <f t="shared" si="3229"/>
        <v>100</v>
      </c>
      <c r="CV560" s="21">
        <f t="shared" si="3229"/>
        <v>112</v>
      </c>
      <c r="CW560" s="21">
        <f t="shared" si="3229"/>
        <v>146</v>
      </c>
      <c r="CX560" s="21">
        <f t="shared" si="3229"/>
        <v>169</v>
      </c>
      <c r="CY560" s="21">
        <f t="shared" si="3229"/>
        <v>201</v>
      </c>
      <c r="CZ560" s="21">
        <f t="shared" si="3229"/>
        <v>231</v>
      </c>
      <c r="DA560" s="21">
        <f t="shared" si="3229"/>
        <v>279</v>
      </c>
      <c r="DB560" s="21">
        <f>AX560</f>
        <v>55</v>
      </c>
      <c r="DC560" s="21">
        <f t="shared" ref="DC560:DM560" si="3230">+DB560+AY560</f>
        <v>127</v>
      </c>
      <c r="DD560" s="21">
        <f t="shared" si="3230"/>
        <v>172</v>
      </c>
      <c r="DE560" s="21">
        <f t="shared" si="3230"/>
        <v>222</v>
      </c>
      <c r="DF560" s="21">
        <f t="shared" si="3230"/>
        <v>269</v>
      </c>
      <c r="DG560" s="21">
        <f t="shared" si="3230"/>
        <v>309</v>
      </c>
      <c r="DH560" s="21">
        <f t="shared" si="3230"/>
        <v>359</v>
      </c>
      <c r="DI560" s="21">
        <f t="shared" si="3230"/>
        <v>410</v>
      </c>
      <c r="DJ560" s="21">
        <f t="shared" si="3230"/>
        <v>465</v>
      </c>
      <c r="DK560" s="21">
        <f t="shared" si="3230"/>
        <v>508</v>
      </c>
      <c r="DL560" s="21">
        <f t="shared" si="3230"/>
        <v>557</v>
      </c>
      <c r="DM560" s="21">
        <f t="shared" si="3230"/>
        <v>608</v>
      </c>
      <c r="DN560" s="21">
        <f>+BJ560</f>
        <v>38</v>
      </c>
      <c r="DO560" s="21">
        <f>+DN560+BK560</f>
        <v>85</v>
      </c>
      <c r="DP560" s="21">
        <f>+DO560+BL560</f>
        <v>85</v>
      </c>
      <c r="DQ560" s="248"/>
      <c r="DR560" s="248"/>
      <c r="DS560" s="248"/>
      <c r="DT560" s="248"/>
      <c r="DU560" s="248"/>
      <c r="DV560" s="248"/>
      <c r="DW560" s="248"/>
      <c r="DX560" s="248"/>
      <c r="DY560" s="248"/>
      <c r="ED560" s="429"/>
      <c r="EE560" s="23"/>
      <c r="EF560" s="23"/>
      <c r="EG560" s="23"/>
      <c r="EH560" s="18">
        <f t="shared" si="3190"/>
        <v>47</v>
      </c>
      <c r="EI560" s="18">
        <f t="shared" si="3191"/>
        <v>85</v>
      </c>
      <c r="EJ560" s="18">
        <f t="shared" si="3192"/>
        <v>85</v>
      </c>
      <c r="EK560" s="24">
        <f>$EK$2/12</f>
        <v>0.16666666666666666</v>
      </c>
      <c r="EL560" s="14">
        <f t="shared" si="3193"/>
        <v>1.2645739910313902</v>
      </c>
      <c r="EM560" s="14">
        <f t="shared" si="3193"/>
        <v>0.7623318385650224</v>
      </c>
      <c r="EN560" s="14">
        <f>EJ560/EK560/EG537</f>
        <v>1.1434977578475336</v>
      </c>
      <c r="EO560" s="46" t="str">
        <f t="shared" si="3194"/>
        <v>Ç</v>
      </c>
      <c r="EP560" s="46" t="str">
        <f t="shared" si="3194"/>
        <v>È</v>
      </c>
      <c r="EQ560" s="2">
        <f t="shared" si="3195"/>
        <v>1</v>
      </c>
      <c r="ER560" s="2">
        <f t="shared" si="3196"/>
        <v>2</v>
      </c>
      <c r="ES560" s="2">
        <f t="shared" si="3197"/>
        <v>1</v>
      </c>
    </row>
    <row r="561" spans="1:149" ht="12.75" customHeight="1">
      <c r="A561" s="6" t="s">
        <v>23</v>
      </c>
      <c r="B561" s="2" t="s">
        <v>4</v>
      </c>
      <c r="C561" s="3" t="s">
        <v>62</v>
      </c>
      <c r="E561" s="3" t="s">
        <v>16</v>
      </c>
      <c r="G561" s="3" t="s">
        <v>91</v>
      </c>
      <c r="I561" s="23"/>
      <c r="J561" s="19">
        <v>10</v>
      </c>
      <c r="K561" s="19">
        <v>12</v>
      </c>
      <c r="L561" s="19">
        <v>18</v>
      </c>
      <c r="M561" s="19">
        <v>27</v>
      </c>
      <c r="N561" s="19">
        <v>34</v>
      </c>
      <c r="O561" s="19">
        <v>35</v>
      </c>
      <c r="P561" s="19">
        <v>42</v>
      </c>
      <c r="Q561" s="19">
        <v>59</v>
      </c>
      <c r="R561" s="19">
        <v>65</v>
      </c>
      <c r="S561" s="19">
        <v>76</v>
      </c>
      <c r="T561" s="19">
        <v>94</v>
      </c>
      <c r="U561" s="19">
        <v>119</v>
      </c>
      <c r="V561" s="31">
        <v>13</v>
      </c>
      <c r="W561" s="19">
        <v>46</v>
      </c>
      <c r="X561" s="19">
        <v>63</v>
      </c>
      <c r="Y561" s="366">
        <v>85</v>
      </c>
      <c r="Z561" s="19">
        <v>104</v>
      </c>
      <c r="AA561" s="19">
        <v>124</v>
      </c>
      <c r="AB561" s="19">
        <v>141</v>
      </c>
      <c r="AC561" s="19">
        <v>154</v>
      </c>
      <c r="AD561" s="19">
        <v>174</v>
      </c>
      <c r="AE561" s="19">
        <v>190</v>
      </c>
      <c r="AF561" s="19">
        <v>204</v>
      </c>
      <c r="AG561" s="19">
        <v>223</v>
      </c>
      <c r="AH561" s="31">
        <v>9</v>
      </c>
      <c r="AI561" s="19">
        <v>34</v>
      </c>
      <c r="AJ561" s="19"/>
      <c r="AK561" s="408"/>
      <c r="AL561" s="19">
        <f t="shared" si="3225"/>
        <v>10</v>
      </c>
      <c r="AM561" s="19">
        <f>K561-J561</f>
        <v>2</v>
      </c>
      <c r="AN561" s="19">
        <f t="shared" si="3166"/>
        <v>6</v>
      </c>
      <c r="AO561" s="19">
        <f>M561-L561</f>
        <v>9</v>
      </c>
      <c r="AP561" s="129">
        <f t="shared" si="3167"/>
        <v>7</v>
      </c>
      <c r="AQ561" s="129">
        <f t="shared" si="3168"/>
        <v>1</v>
      </c>
      <c r="AR561" s="129">
        <f t="shared" si="3169"/>
        <v>7</v>
      </c>
      <c r="AS561" s="129">
        <f t="shared" si="3170"/>
        <v>17</v>
      </c>
      <c r="AT561" s="129">
        <f t="shared" si="3171"/>
        <v>6</v>
      </c>
      <c r="AU561" s="129">
        <f t="shared" si="3172"/>
        <v>11</v>
      </c>
      <c r="AV561" s="129">
        <f t="shared" si="3173"/>
        <v>18</v>
      </c>
      <c r="AW561" s="129">
        <f t="shared" si="3174"/>
        <v>25</v>
      </c>
      <c r="AX561" s="19">
        <f t="shared" si="3226"/>
        <v>13</v>
      </c>
      <c r="AY561" s="129">
        <f t="shared" si="3175"/>
        <v>33</v>
      </c>
      <c r="AZ561" s="129">
        <f t="shared" si="3176"/>
        <v>17</v>
      </c>
      <c r="BA561" s="129">
        <f t="shared" si="3227"/>
        <v>22</v>
      </c>
      <c r="BB561" s="129">
        <f t="shared" si="3177"/>
        <v>19</v>
      </c>
      <c r="BC561" s="129">
        <f t="shared" si="3178"/>
        <v>20</v>
      </c>
      <c r="BD561" s="129">
        <f t="shared" si="3179"/>
        <v>17</v>
      </c>
      <c r="BE561" s="129">
        <f t="shared" si="3180"/>
        <v>13</v>
      </c>
      <c r="BF561" s="129">
        <f t="shared" si="3181"/>
        <v>20</v>
      </c>
      <c r="BG561" s="129">
        <f t="shared" si="3182"/>
        <v>16</v>
      </c>
      <c r="BH561" s="129">
        <f t="shared" si="3183"/>
        <v>14</v>
      </c>
      <c r="BI561" s="129">
        <f t="shared" si="3184"/>
        <v>19</v>
      </c>
      <c r="BJ561" s="19">
        <f t="shared" si="3228"/>
        <v>9</v>
      </c>
      <c r="BK561" s="129">
        <f t="shared" si="3185"/>
        <v>25</v>
      </c>
      <c r="BL561" s="129">
        <f t="shared" si="3186"/>
        <v>0</v>
      </c>
      <c r="BM561" s="408"/>
      <c r="BN561" s="48">
        <f t="shared" si="3198"/>
        <v>18</v>
      </c>
      <c r="BO561" s="48">
        <f t="shared" si="3199"/>
        <v>18</v>
      </c>
      <c r="BP561" s="48">
        <f t="shared" si="3200"/>
        <v>18</v>
      </c>
      <c r="BQ561" s="48">
        <f t="shared" si="3201"/>
        <v>17</v>
      </c>
      <c r="BR561" s="48">
        <f t="shared" si="3202"/>
        <v>17</v>
      </c>
      <c r="BS561" s="48">
        <f t="shared" si="3203"/>
        <v>17</v>
      </c>
      <c r="BT561" s="48">
        <f t="shared" si="3204"/>
        <v>30</v>
      </c>
      <c r="BU561" s="48">
        <f t="shared" si="3205"/>
        <v>30</v>
      </c>
      <c r="BV561" s="48">
        <f t="shared" si="3206"/>
        <v>30</v>
      </c>
      <c r="BW561" s="48">
        <f t="shared" si="3207"/>
        <v>54</v>
      </c>
      <c r="BX561" s="48">
        <f t="shared" si="3208"/>
        <v>54</v>
      </c>
      <c r="BY561" s="48">
        <f t="shared" si="3209"/>
        <v>54</v>
      </c>
      <c r="BZ561" s="48">
        <f t="shared" si="3210"/>
        <v>63</v>
      </c>
      <c r="CA561" s="48">
        <f t="shared" si="3211"/>
        <v>63</v>
      </c>
      <c r="CB561" s="48">
        <f t="shared" si="3212"/>
        <v>63</v>
      </c>
      <c r="CC561" s="48">
        <f t="shared" si="3213"/>
        <v>61</v>
      </c>
      <c r="CD561" s="48">
        <f t="shared" si="3214"/>
        <v>61</v>
      </c>
      <c r="CE561" s="48">
        <f t="shared" si="3215"/>
        <v>61</v>
      </c>
      <c r="CF561" s="48">
        <f t="shared" si="3216"/>
        <v>50</v>
      </c>
      <c r="CG561" s="48">
        <f t="shared" si="3217"/>
        <v>50</v>
      </c>
      <c r="CH561" s="48">
        <f t="shared" si="3218"/>
        <v>50</v>
      </c>
      <c r="CI561" s="48">
        <f t="shared" si="3219"/>
        <v>49</v>
      </c>
      <c r="CJ561" s="48">
        <f t="shared" si="3220"/>
        <v>49</v>
      </c>
      <c r="CK561" s="48">
        <f t="shared" si="3221"/>
        <v>49</v>
      </c>
      <c r="CL561" s="48">
        <f t="shared" si="3222"/>
        <v>34</v>
      </c>
      <c r="CM561" s="48">
        <f t="shared" si="3223"/>
        <v>34</v>
      </c>
      <c r="CN561" s="48">
        <f t="shared" si="3224"/>
        <v>34</v>
      </c>
      <c r="CO561" s="406"/>
      <c r="CP561" s="21">
        <f>+AL561</f>
        <v>10</v>
      </c>
      <c r="CQ561" s="21">
        <f t="shared" ref="CQ561:CR563" si="3231">+CP561+AM561</f>
        <v>12</v>
      </c>
      <c r="CR561" s="21">
        <f t="shared" si="3231"/>
        <v>18</v>
      </c>
      <c r="CS561" s="21">
        <f t="shared" ref="CS561:DA563" si="3232">L561+AO561</f>
        <v>27</v>
      </c>
      <c r="CT561" s="21">
        <f t="shared" si="3232"/>
        <v>34</v>
      </c>
      <c r="CU561" s="21">
        <f t="shared" si="3232"/>
        <v>35</v>
      </c>
      <c r="CV561" s="21">
        <f t="shared" si="3232"/>
        <v>42</v>
      </c>
      <c r="CW561" s="21">
        <f t="shared" si="3232"/>
        <v>59</v>
      </c>
      <c r="CX561" s="21">
        <f t="shared" si="3232"/>
        <v>65</v>
      </c>
      <c r="CY561" s="21">
        <f t="shared" si="3232"/>
        <v>76</v>
      </c>
      <c r="CZ561" s="21">
        <f t="shared" si="3232"/>
        <v>94</v>
      </c>
      <c r="DA561" s="21">
        <f t="shared" si="3232"/>
        <v>119</v>
      </c>
      <c r="DB561" s="21">
        <f>AX561</f>
        <v>13</v>
      </c>
      <c r="DC561" s="21">
        <f t="shared" ref="DC561:DM563" si="3233">V561+AY561</f>
        <v>46</v>
      </c>
      <c r="DD561" s="21">
        <f t="shared" si="3233"/>
        <v>63</v>
      </c>
      <c r="DE561" s="21">
        <f t="shared" si="3233"/>
        <v>85</v>
      </c>
      <c r="DF561" s="21">
        <f t="shared" si="3233"/>
        <v>104</v>
      </c>
      <c r="DG561" s="21">
        <f t="shared" si="3233"/>
        <v>124</v>
      </c>
      <c r="DH561" s="21">
        <f t="shared" si="3233"/>
        <v>141</v>
      </c>
      <c r="DI561" s="21">
        <f t="shared" si="3233"/>
        <v>154</v>
      </c>
      <c r="DJ561" s="21">
        <f t="shared" si="3233"/>
        <v>174</v>
      </c>
      <c r="DK561" s="21">
        <f t="shared" si="3233"/>
        <v>190</v>
      </c>
      <c r="DL561" s="21">
        <f t="shared" si="3233"/>
        <v>204</v>
      </c>
      <c r="DM561" s="21">
        <f t="shared" si="3233"/>
        <v>223</v>
      </c>
      <c r="DN561" s="21">
        <f>BJ561</f>
        <v>9</v>
      </c>
      <c r="DO561" s="21">
        <f t="shared" ref="DO561:DP563" si="3234">AH561+BK561</f>
        <v>34</v>
      </c>
      <c r="DP561" s="21">
        <f t="shared" si="3234"/>
        <v>34</v>
      </c>
      <c r="DQ561" s="248"/>
      <c r="DR561" s="248"/>
      <c r="DS561" s="248"/>
      <c r="DT561" s="248"/>
      <c r="DU561" s="248"/>
      <c r="DV561" s="248"/>
      <c r="DW561" s="248"/>
      <c r="DX561" s="248"/>
      <c r="DY561" s="248"/>
      <c r="ED561" s="429"/>
      <c r="EE561" s="23"/>
      <c r="EF561" s="23"/>
      <c r="EG561" s="23"/>
      <c r="EH561" s="18">
        <f t="shared" si="3190"/>
        <v>25</v>
      </c>
      <c r="EI561" s="18">
        <f t="shared" si="3191"/>
        <v>34</v>
      </c>
      <c r="EJ561" s="18">
        <f t="shared" si="3192"/>
        <v>34</v>
      </c>
      <c r="EK561" s="24">
        <f t="shared" ref="EK561:EK577" si="3235">$EK$2/12</f>
        <v>0.16666666666666666</v>
      </c>
      <c r="EL561" s="14">
        <f t="shared" si="3193"/>
        <v>1.7964071856287427</v>
      </c>
      <c r="EM561" s="14">
        <f t="shared" si="3193"/>
        <v>0.81437125748502992</v>
      </c>
      <c r="EN561" s="14">
        <f>EJ561/EK561/EG538</f>
        <v>1.221556886227545</v>
      </c>
      <c r="EO561" s="46" t="str">
        <f t="shared" si="3194"/>
        <v>Ç</v>
      </c>
      <c r="EP561" s="46" t="str">
        <f t="shared" si="3194"/>
        <v>È</v>
      </c>
      <c r="EQ561" s="2">
        <f t="shared" si="3195"/>
        <v>1</v>
      </c>
      <c r="ER561" s="2">
        <f t="shared" si="3196"/>
        <v>2</v>
      </c>
      <c r="ES561" s="2">
        <f t="shared" si="3197"/>
        <v>1</v>
      </c>
    </row>
    <row r="562" spans="1:149" ht="12.75" customHeight="1">
      <c r="A562" s="6" t="s">
        <v>23</v>
      </c>
      <c r="B562" s="2" t="s">
        <v>162</v>
      </c>
      <c r="C562" s="3" t="s">
        <v>62</v>
      </c>
      <c r="E562" s="3" t="s">
        <v>16</v>
      </c>
      <c r="G562" s="3" t="s">
        <v>91</v>
      </c>
      <c r="I562" s="23"/>
      <c r="J562" s="19">
        <v>37</v>
      </c>
      <c r="K562" s="19">
        <v>71</v>
      </c>
      <c r="L562" s="19">
        <v>106</v>
      </c>
      <c r="M562" s="19">
        <v>127</v>
      </c>
      <c r="N562" s="19">
        <v>143</v>
      </c>
      <c r="O562" s="19">
        <v>157</v>
      </c>
      <c r="P562" s="19">
        <v>174</v>
      </c>
      <c r="Q562" s="19">
        <v>216</v>
      </c>
      <c r="R562" s="19">
        <v>249</v>
      </c>
      <c r="S562" s="19">
        <v>284</v>
      </c>
      <c r="T562" s="19">
        <v>318</v>
      </c>
      <c r="U562" s="19">
        <v>389</v>
      </c>
      <c r="V562" s="31">
        <v>87</v>
      </c>
      <c r="W562" s="19">
        <v>173</v>
      </c>
      <c r="X562" s="19">
        <v>237</v>
      </c>
      <c r="Y562" s="366">
        <v>333</v>
      </c>
      <c r="Z562" s="19">
        <v>387</v>
      </c>
      <c r="AA562" s="19">
        <v>433</v>
      </c>
      <c r="AB562" s="19">
        <v>486</v>
      </c>
      <c r="AC562" s="19">
        <v>546</v>
      </c>
      <c r="AD562" s="19">
        <v>612</v>
      </c>
      <c r="AE562" s="19">
        <v>658</v>
      </c>
      <c r="AF562" s="19">
        <v>712</v>
      </c>
      <c r="AG562" s="19">
        <v>768</v>
      </c>
      <c r="AH562" s="31">
        <v>113</v>
      </c>
      <c r="AI562" s="19">
        <v>230</v>
      </c>
      <c r="AJ562" s="19"/>
      <c r="AK562" s="408"/>
      <c r="AL562" s="19">
        <f t="shared" si="3225"/>
        <v>37</v>
      </c>
      <c r="AM562" s="19">
        <f>K562-J562</f>
        <v>34</v>
      </c>
      <c r="AN562" s="19">
        <f t="shared" si="3166"/>
        <v>35</v>
      </c>
      <c r="AO562" s="19">
        <f>M562-L562</f>
        <v>21</v>
      </c>
      <c r="AP562" s="129">
        <f t="shared" si="3167"/>
        <v>16</v>
      </c>
      <c r="AQ562" s="129">
        <f t="shared" si="3168"/>
        <v>14</v>
      </c>
      <c r="AR562" s="129">
        <f t="shared" si="3169"/>
        <v>17</v>
      </c>
      <c r="AS562" s="129">
        <f t="shared" si="3170"/>
        <v>42</v>
      </c>
      <c r="AT562" s="129">
        <f t="shared" si="3171"/>
        <v>33</v>
      </c>
      <c r="AU562" s="129">
        <f t="shared" si="3172"/>
        <v>35</v>
      </c>
      <c r="AV562" s="129">
        <f t="shared" si="3173"/>
        <v>34</v>
      </c>
      <c r="AW562" s="129">
        <f t="shared" si="3174"/>
        <v>71</v>
      </c>
      <c r="AX562" s="19">
        <f t="shared" si="3226"/>
        <v>87</v>
      </c>
      <c r="AY562" s="129">
        <f t="shared" si="3175"/>
        <v>86</v>
      </c>
      <c r="AZ562" s="129">
        <f t="shared" si="3176"/>
        <v>64</v>
      </c>
      <c r="BA562" s="129">
        <f t="shared" si="3227"/>
        <v>96</v>
      </c>
      <c r="BB562" s="129">
        <f t="shared" si="3177"/>
        <v>54</v>
      </c>
      <c r="BC562" s="129">
        <f t="shared" si="3178"/>
        <v>46</v>
      </c>
      <c r="BD562" s="129">
        <f t="shared" si="3179"/>
        <v>53</v>
      </c>
      <c r="BE562" s="129">
        <f t="shared" si="3180"/>
        <v>60</v>
      </c>
      <c r="BF562" s="129">
        <f t="shared" si="3181"/>
        <v>66</v>
      </c>
      <c r="BG562" s="129">
        <f t="shared" si="3182"/>
        <v>46</v>
      </c>
      <c r="BH562" s="129">
        <f t="shared" si="3183"/>
        <v>54</v>
      </c>
      <c r="BI562" s="129">
        <f t="shared" si="3184"/>
        <v>56</v>
      </c>
      <c r="BJ562" s="19">
        <f t="shared" si="3228"/>
        <v>113</v>
      </c>
      <c r="BK562" s="129">
        <f t="shared" si="3185"/>
        <v>117</v>
      </c>
      <c r="BL562" s="129">
        <f t="shared" si="3186"/>
        <v>0</v>
      </c>
      <c r="BM562" s="408"/>
      <c r="BN562" s="48">
        <f t="shared" si="3198"/>
        <v>106</v>
      </c>
      <c r="BO562" s="48">
        <f t="shared" si="3199"/>
        <v>106</v>
      </c>
      <c r="BP562" s="48">
        <f>SUM(AL562:AN562)</f>
        <v>106</v>
      </c>
      <c r="BQ562" s="48">
        <f t="shared" si="3201"/>
        <v>51</v>
      </c>
      <c r="BR562" s="48">
        <f t="shared" si="3202"/>
        <v>51</v>
      </c>
      <c r="BS562" s="48">
        <f>SUM(AO562:AQ562)</f>
        <v>51</v>
      </c>
      <c r="BT562" s="48">
        <f t="shared" si="3204"/>
        <v>92</v>
      </c>
      <c r="BU562" s="48">
        <f t="shared" si="3205"/>
        <v>92</v>
      </c>
      <c r="BV562" s="48">
        <f>SUM(AR562:AT562)</f>
        <v>92</v>
      </c>
      <c r="BW562" s="48">
        <f t="shared" si="3207"/>
        <v>140</v>
      </c>
      <c r="BX562" s="48">
        <f t="shared" si="3208"/>
        <v>140</v>
      </c>
      <c r="BY562" s="48">
        <f>SUM(AU562:AW562)</f>
        <v>140</v>
      </c>
      <c r="BZ562" s="48">
        <f t="shared" si="3210"/>
        <v>237</v>
      </c>
      <c r="CA562" s="48">
        <f t="shared" si="3211"/>
        <v>237</v>
      </c>
      <c r="CB562" s="48">
        <f>SUM(AX562:AZ562)</f>
        <v>237</v>
      </c>
      <c r="CC562" s="48">
        <f t="shared" si="3213"/>
        <v>196</v>
      </c>
      <c r="CD562" s="48">
        <f t="shared" si="3214"/>
        <v>196</v>
      </c>
      <c r="CE562" s="48">
        <f>SUM(BA562:BC562)</f>
        <v>196</v>
      </c>
      <c r="CF562" s="48">
        <f t="shared" si="3216"/>
        <v>179</v>
      </c>
      <c r="CG562" s="48">
        <f t="shared" si="3217"/>
        <v>179</v>
      </c>
      <c r="CH562" s="48">
        <f>SUM(BD562:BF562)</f>
        <v>179</v>
      </c>
      <c r="CI562" s="48">
        <f t="shared" si="3219"/>
        <v>156</v>
      </c>
      <c r="CJ562" s="48">
        <f t="shared" si="3220"/>
        <v>156</v>
      </c>
      <c r="CK562" s="48">
        <f>SUM(BG562:BI562)</f>
        <v>156</v>
      </c>
      <c r="CL562" s="48">
        <f t="shared" si="3222"/>
        <v>230</v>
      </c>
      <c r="CM562" s="48">
        <f t="shared" si="3223"/>
        <v>230</v>
      </c>
      <c r="CN562" s="48">
        <f>SUM(BJ562:BL562)</f>
        <v>230</v>
      </c>
      <c r="CO562" s="406"/>
      <c r="CP562" s="21">
        <f>+AL562</f>
        <v>37</v>
      </c>
      <c r="CQ562" s="21">
        <f t="shared" si="3231"/>
        <v>71</v>
      </c>
      <c r="CR562" s="21">
        <f t="shared" si="3231"/>
        <v>106</v>
      </c>
      <c r="CS562" s="21">
        <f t="shared" si="3232"/>
        <v>127</v>
      </c>
      <c r="CT562" s="21">
        <f t="shared" si="3232"/>
        <v>143</v>
      </c>
      <c r="CU562" s="21">
        <f t="shared" si="3232"/>
        <v>157</v>
      </c>
      <c r="CV562" s="21">
        <f t="shared" si="3232"/>
        <v>174</v>
      </c>
      <c r="CW562" s="21">
        <f t="shared" si="3232"/>
        <v>216</v>
      </c>
      <c r="CX562" s="21">
        <f t="shared" si="3232"/>
        <v>249</v>
      </c>
      <c r="CY562" s="21">
        <f t="shared" si="3232"/>
        <v>284</v>
      </c>
      <c r="CZ562" s="21">
        <f t="shared" si="3232"/>
        <v>318</v>
      </c>
      <c r="DA562" s="21">
        <f t="shared" si="3232"/>
        <v>389</v>
      </c>
      <c r="DB562" s="21">
        <f>AX562</f>
        <v>87</v>
      </c>
      <c r="DC562" s="21">
        <f t="shared" si="3233"/>
        <v>173</v>
      </c>
      <c r="DD562" s="21">
        <f t="shared" si="3233"/>
        <v>237</v>
      </c>
      <c r="DE562" s="21">
        <f t="shared" si="3233"/>
        <v>333</v>
      </c>
      <c r="DF562" s="21">
        <f t="shared" si="3233"/>
        <v>387</v>
      </c>
      <c r="DG562" s="21">
        <f t="shared" si="3233"/>
        <v>433</v>
      </c>
      <c r="DH562" s="21">
        <f t="shared" si="3233"/>
        <v>486</v>
      </c>
      <c r="DI562" s="21">
        <f t="shared" si="3233"/>
        <v>546</v>
      </c>
      <c r="DJ562" s="21">
        <f t="shared" si="3233"/>
        <v>612</v>
      </c>
      <c r="DK562" s="21">
        <f t="shared" si="3233"/>
        <v>658</v>
      </c>
      <c r="DL562" s="21">
        <f t="shared" si="3233"/>
        <v>712</v>
      </c>
      <c r="DM562" s="21">
        <f t="shared" si="3233"/>
        <v>768</v>
      </c>
      <c r="DN562" s="21">
        <f>BJ562</f>
        <v>113</v>
      </c>
      <c r="DO562" s="21">
        <f t="shared" si="3234"/>
        <v>230</v>
      </c>
      <c r="DP562" s="21">
        <f t="shared" si="3234"/>
        <v>230</v>
      </c>
      <c r="DQ562" s="248"/>
      <c r="DR562" s="248"/>
      <c r="DS562" s="248"/>
      <c r="DT562" s="248"/>
      <c r="DU562" s="248"/>
      <c r="DV562" s="248"/>
      <c r="DW562" s="248"/>
      <c r="DX562" s="248"/>
      <c r="DY562" s="248"/>
      <c r="ED562" s="429"/>
      <c r="EE562" s="23"/>
      <c r="EF562" s="23"/>
      <c r="EG562" s="23"/>
      <c r="EH562" s="18">
        <f t="shared" si="3190"/>
        <v>117</v>
      </c>
      <c r="EI562" s="18">
        <f t="shared" si="3191"/>
        <v>230</v>
      </c>
      <c r="EJ562" s="18">
        <f t="shared" si="3192"/>
        <v>230</v>
      </c>
      <c r="EK562" s="24">
        <f t="shared" si="3235"/>
        <v>0.16666666666666666</v>
      </c>
      <c r="EL562" s="14"/>
      <c r="EM562" s="14"/>
      <c r="EN562" s="14"/>
      <c r="EO562" s="46" t="str">
        <f>IF(EH562&lt;0,,IF(EH562&lt;EE540,"È",IF(EH562=EE540,"Æ","Ç")))</f>
        <v>Ç</v>
      </c>
      <c r="EP562" s="46" t="str">
        <f>IF(EI562&lt;0,,IF(EI562&lt;EF540,"È",IF(EI562=EF540,"Æ","Ç")))</f>
        <v>Ç</v>
      </c>
      <c r="EQ562" s="2">
        <f t="shared" si="3195"/>
        <v>3</v>
      </c>
      <c r="ER562" s="2">
        <f t="shared" si="3196"/>
        <v>3</v>
      </c>
      <c r="ES562" s="2">
        <f t="shared" si="3197"/>
        <v>3</v>
      </c>
    </row>
    <row r="563" spans="1:149" ht="12.75" customHeight="1">
      <c r="A563" s="6" t="s">
        <v>23</v>
      </c>
      <c r="B563" s="2" t="s">
        <v>163</v>
      </c>
      <c r="C563" s="3" t="s">
        <v>62</v>
      </c>
      <c r="E563" s="3" t="s">
        <v>16</v>
      </c>
      <c r="G563" s="3" t="s">
        <v>91</v>
      </c>
      <c r="I563" s="23"/>
      <c r="J563" s="19">
        <v>8</v>
      </c>
      <c r="K563" s="19">
        <v>15</v>
      </c>
      <c r="L563" s="19">
        <v>17</v>
      </c>
      <c r="M563" s="19">
        <v>19</v>
      </c>
      <c r="N563" s="19">
        <v>20</v>
      </c>
      <c r="O563" s="19">
        <v>22</v>
      </c>
      <c r="P563" s="19">
        <v>25</v>
      </c>
      <c r="Q563" s="19">
        <v>30</v>
      </c>
      <c r="R563" s="19">
        <v>40</v>
      </c>
      <c r="S563" s="19">
        <v>42</v>
      </c>
      <c r="T563" s="19">
        <v>46</v>
      </c>
      <c r="U563" s="19">
        <v>47</v>
      </c>
      <c r="V563" s="31">
        <v>11</v>
      </c>
      <c r="W563" s="19">
        <v>25</v>
      </c>
      <c r="X563" s="19">
        <v>42</v>
      </c>
      <c r="Y563" s="366">
        <v>57</v>
      </c>
      <c r="Z563" s="19">
        <v>63</v>
      </c>
      <c r="AA563" s="19">
        <v>71</v>
      </c>
      <c r="AB563" s="19">
        <v>84</v>
      </c>
      <c r="AC563" s="19">
        <v>96</v>
      </c>
      <c r="AD563" s="19">
        <v>105</v>
      </c>
      <c r="AE563" s="19">
        <v>110</v>
      </c>
      <c r="AF563" s="19">
        <v>113</v>
      </c>
      <c r="AG563" s="19">
        <v>117</v>
      </c>
      <c r="AH563" s="31">
        <v>37</v>
      </c>
      <c r="AI563" s="19">
        <v>61</v>
      </c>
      <c r="AJ563" s="19"/>
      <c r="AK563" s="408"/>
      <c r="AL563" s="19">
        <f t="shared" si="3225"/>
        <v>8</v>
      </c>
      <c r="AM563" s="19">
        <f>K563-J563</f>
        <v>7</v>
      </c>
      <c r="AN563" s="19">
        <f t="shared" si="3166"/>
        <v>2</v>
      </c>
      <c r="AO563" s="19">
        <f>M563-L563</f>
        <v>2</v>
      </c>
      <c r="AP563" s="129">
        <f t="shared" si="3167"/>
        <v>1</v>
      </c>
      <c r="AQ563" s="129">
        <f t="shared" si="3168"/>
        <v>2</v>
      </c>
      <c r="AR563" s="129">
        <f t="shared" si="3169"/>
        <v>3</v>
      </c>
      <c r="AS563" s="129">
        <f t="shared" si="3170"/>
        <v>5</v>
      </c>
      <c r="AT563" s="129">
        <f t="shared" si="3171"/>
        <v>10</v>
      </c>
      <c r="AU563" s="129">
        <f t="shared" si="3172"/>
        <v>2</v>
      </c>
      <c r="AV563" s="129">
        <f t="shared" si="3173"/>
        <v>4</v>
      </c>
      <c r="AW563" s="129">
        <f t="shared" si="3174"/>
        <v>1</v>
      </c>
      <c r="AX563" s="19">
        <f t="shared" si="3226"/>
        <v>11</v>
      </c>
      <c r="AY563" s="129">
        <f t="shared" si="3175"/>
        <v>14</v>
      </c>
      <c r="AZ563" s="129">
        <f t="shared" si="3176"/>
        <v>17</v>
      </c>
      <c r="BA563" s="129">
        <f t="shared" si="3227"/>
        <v>15</v>
      </c>
      <c r="BB563" s="129">
        <f t="shared" si="3177"/>
        <v>6</v>
      </c>
      <c r="BC563" s="129">
        <f t="shared" si="3178"/>
        <v>8</v>
      </c>
      <c r="BD563" s="129">
        <f t="shared" si="3179"/>
        <v>13</v>
      </c>
      <c r="BE563" s="129">
        <f t="shared" si="3180"/>
        <v>12</v>
      </c>
      <c r="BF563" s="129">
        <f t="shared" si="3181"/>
        <v>9</v>
      </c>
      <c r="BG563" s="129">
        <f t="shared" si="3182"/>
        <v>5</v>
      </c>
      <c r="BH563" s="129">
        <f t="shared" si="3183"/>
        <v>3</v>
      </c>
      <c r="BI563" s="129">
        <f t="shared" si="3184"/>
        <v>4</v>
      </c>
      <c r="BJ563" s="19">
        <f t="shared" si="3228"/>
        <v>37</v>
      </c>
      <c r="BK563" s="129">
        <f t="shared" si="3185"/>
        <v>24</v>
      </c>
      <c r="BL563" s="129">
        <f t="shared" si="3186"/>
        <v>0</v>
      </c>
      <c r="BM563" s="408"/>
      <c r="BN563" s="48">
        <f t="shared" si="3198"/>
        <v>17</v>
      </c>
      <c r="BO563" s="48">
        <f t="shared" si="3199"/>
        <v>17</v>
      </c>
      <c r="BP563" s="48">
        <f>SUM(AL563:AN563)</f>
        <v>17</v>
      </c>
      <c r="BQ563" s="48">
        <f t="shared" si="3201"/>
        <v>5</v>
      </c>
      <c r="BR563" s="48">
        <f t="shared" si="3202"/>
        <v>5</v>
      </c>
      <c r="BS563" s="48">
        <f>SUM(AO563:AQ563)</f>
        <v>5</v>
      </c>
      <c r="BT563" s="48">
        <f t="shared" si="3204"/>
        <v>18</v>
      </c>
      <c r="BU563" s="48">
        <f t="shared" si="3205"/>
        <v>18</v>
      </c>
      <c r="BV563" s="48">
        <f>SUM(AR563:AT563)</f>
        <v>18</v>
      </c>
      <c r="BW563" s="48">
        <f t="shared" si="3207"/>
        <v>7</v>
      </c>
      <c r="BX563" s="48">
        <f t="shared" si="3208"/>
        <v>7</v>
      </c>
      <c r="BY563" s="48">
        <f>SUM(AU563:AW563)</f>
        <v>7</v>
      </c>
      <c r="BZ563" s="48">
        <f t="shared" si="3210"/>
        <v>42</v>
      </c>
      <c r="CA563" s="48">
        <f t="shared" si="3211"/>
        <v>42</v>
      </c>
      <c r="CB563" s="48">
        <f>SUM(AX563:AZ563)</f>
        <v>42</v>
      </c>
      <c r="CC563" s="48">
        <f t="shared" si="3213"/>
        <v>29</v>
      </c>
      <c r="CD563" s="48">
        <f t="shared" si="3214"/>
        <v>29</v>
      </c>
      <c r="CE563" s="48">
        <f>SUM(BA563:BC563)</f>
        <v>29</v>
      </c>
      <c r="CF563" s="48">
        <f t="shared" si="3216"/>
        <v>34</v>
      </c>
      <c r="CG563" s="48">
        <f t="shared" si="3217"/>
        <v>34</v>
      </c>
      <c r="CH563" s="48">
        <f>SUM(BD563:BF563)</f>
        <v>34</v>
      </c>
      <c r="CI563" s="48">
        <f t="shared" si="3219"/>
        <v>12</v>
      </c>
      <c r="CJ563" s="48">
        <f t="shared" si="3220"/>
        <v>12</v>
      </c>
      <c r="CK563" s="48">
        <f>SUM(BG563:BI563)</f>
        <v>12</v>
      </c>
      <c r="CL563" s="48">
        <f t="shared" si="3222"/>
        <v>61</v>
      </c>
      <c r="CM563" s="48">
        <f t="shared" si="3223"/>
        <v>61</v>
      </c>
      <c r="CN563" s="48">
        <f>SUM(BJ563:BL563)</f>
        <v>61</v>
      </c>
      <c r="CO563" s="406"/>
      <c r="CP563" s="21">
        <f>+AL563</f>
        <v>8</v>
      </c>
      <c r="CQ563" s="21">
        <f t="shared" si="3231"/>
        <v>15</v>
      </c>
      <c r="CR563" s="21">
        <f t="shared" si="3231"/>
        <v>17</v>
      </c>
      <c r="CS563" s="21">
        <f t="shared" si="3232"/>
        <v>19</v>
      </c>
      <c r="CT563" s="21">
        <f t="shared" si="3232"/>
        <v>20</v>
      </c>
      <c r="CU563" s="21">
        <f t="shared" si="3232"/>
        <v>22</v>
      </c>
      <c r="CV563" s="21">
        <f t="shared" si="3232"/>
        <v>25</v>
      </c>
      <c r="CW563" s="21">
        <f t="shared" si="3232"/>
        <v>30</v>
      </c>
      <c r="CX563" s="21">
        <f t="shared" si="3232"/>
        <v>40</v>
      </c>
      <c r="CY563" s="21">
        <f t="shared" si="3232"/>
        <v>42</v>
      </c>
      <c r="CZ563" s="21">
        <f t="shared" si="3232"/>
        <v>46</v>
      </c>
      <c r="DA563" s="21">
        <f t="shared" si="3232"/>
        <v>47</v>
      </c>
      <c r="DB563" s="21">
        <f>AX563</f>
        <v>11</v>
      </c>
      <c r="DC563" s="21">
        <f t="shared" si="3233"/>
        <v>25</v>
      </c>
      <c r="DD563" s="21">
        <f t="shared" si="3233"/>
        <v>42</v>
      </c>
      <c r="DE563" s="21">
        <f t="shared" si="3233"/>
        <v>57</v>
      </c>
      <c r="DF563" s="21">
        <f t="shared" si="3233"/>
        <v>63</v>
      </c>
      <c r="DG563" s="21">
        <f t="shared" si="3233"/>
        <v>71</v>
      </c>
      <c r="DH563" s="21">
        <f t="shared" si="3233"/>
        <v>84</v>
      </c>
      <c r="DI563" s="21">
        <f t="shared" si="3233"/>
        <v>96</v>
      </c>
      <c r="DJ563" s="21">
        <f t="shared" si="3233"/>
        <v>105</v>
      </c>
      <c r="DK563" s="21">
        <f t="shared" si="3233"/>
        <v>110</v>
      </c>
      <c r="DL563" s="21">
        <f t="shared" si="3233"/>
        <v>113</v>
      </c>
      <c r="DM563" s="21">
        <f t="shared" si="3233"/>
        <v>117</v>
      </c>
      <c r="DN563" s="21">
        <f>BJ563</f>
        <v>37</v>
      </c>
      <c r="DO563" s="21">
        <f t="shared" si="3234"/>
        <v>61</v>
      </c>
      <c r="DP563" s="21">
        <f t="shared" si="3234"/>
        <v>61</v>
      </c>
      <c r="DQ563" s="248"/>
      <c r="DR563" s="248"/>
      <c r="DS563" s="248"/>
      <c r="DT563" s="248"/>
      <c r="DU563" s="248"/>
      <c r="DV563" s="248"/>
      <c r="DW563" s="248"/>
      <c r="DX563" s="248"/>
      <c r="DY563" s="248"/>
      <c r="ED563" s="429"/>
      <c r="EE563" s="23"/>
      <c r="EF563" s="23"/>
      <c r="EG563" s="23"/>
      <c r="EH563" s="18">
        <f t="shared" si="3190"/>
        <v>24</v>
      </c>
      <c r="EI563" s="18">
        <f t="shared" si="3191"/>
        <v>61</v>
      </c>
      <c r="EJ563" s="18">
        <f t="shared" si="3192"/>
        <v>61</v>
      </c>
      <c r="EK563" s="24">
        <f t="shared" si="3235"/>
        <v>0.16666666666666666</v>
      </c>
      <c r="EL563" s="14"/>
      <c r="EM563" s="14"/>
      <c r="EN563" s="14"/>
      <c r="EO563" s="46" t="str">
        <f>IF(EH563&lt;0,,IF(EH563&lt;EE539,"È",IF(EH563=EE539,"Æ","Ç")))</f>
        <v>Ç</v>
      </c>
      <c r="EP563" s="46" t="str">
        <f>IF(EI563&lt;0,,IF(EI563&lt;EF539,"È",IF(EI563=EF539,"Æ","Ç")))</f>
        <v>Ç</v>
      </c>
      <c r="EQ563" s="2">
        <f t="shared" si="3195"/>
        <v>3</v>
      </c>
      <c r="ER563" s="2">
        <f t="shared" si="3196"/>
        <v>3</v>
      </c>
      <c r="ES563" s="2">
        <f t="shared" si="3197"/>
        <v>3</v>
      </c>
    </row>
    <row r="564" spans="1:149" ht="12.75" customHeight="1">
      <c r="A564" s="6" t="s">
        <v>23</v>
      </c>
      <c r="B564" s="2" t="s">
        <v>6</v>
      </c>
      <c r="C564" s="3" t="s">
        <v>63</v>
      </c>
      <c r="E564" s="3" t="s">
        <v>16</v>
      </c>
      <c r="G564" s="3" t="s">
        <v>89</v>
      </c>
      <c r="I564" s="23"/>
      <c r="J564" s="19">
        <v>0</v>
      </c>
      <c r="K564" s="19">
        <v>2</v>
      </c>
      <c r="L564" s="19">
        <v>3</v>
      </c>
      <c r="M564" s="19">
        <v>5</v>
      </c>
      <c r="N564" s="19">
        <v>4</v>
      </c>
      <c r="O564" s="19">
        <v>4</v>
      </c>
      <c r="P564" s="19">
        <v>1</v>
      </c>
      <c r="Q564" s="19">
        <v>1</v>
      </c>
      <c r="R564" s="19">
        <v>8</v>
      </c>
      <c r="S564" s="19">
        <v>8</v>
      </c>
      <c r="T564" s="19">
        <v>4</v>
      </c>
      <c r="U564" s="19">
        <v>4</v>
      </c>
      <c r="V564" s="31">
        <v>9</v>
      </c>
      <c r="W564" s="19">
        <v>7</v>
      </c>
      <c r="X564" s="19">
        <v>5</v>
      </c>
      <c r="Y564" s="366">
        <v>7</v>
      </c>
      <c r="Z564" s="19">
        <v>9</v>
      </c>
      <c r="AA564" s="19">
        <v>11</v>
      </c>
      <c r="AB564" s="19">
        <v>5</v>
      </c>
      <c r="AC564" s="19">
        <v>12</v>
      </c>
      <c r="AD564" s="19">
        <v>15</v>
      </c>
      <c r="AE564" s="19">
        <v>12</v>
      </c>
      <c r="AF564" s="19">
        <v>11</v>
      </c>
      <c r="AG564" s="19">
        <v>17</v>
      </c>
      <c r="AH564" s="31">
        <v>14</v>
      </c>
      <c r="AI564" s="19">
        <v>5</v>
      </c>
      <c r="AJ564" s="19"/>
      <c r="AK564" s="408"/>
      <c r="AL564" s="19">
        <f t="shared" si="3225"/>
        <v>0</v>
      </c>
      <c r="AM564" s="246">
        <f t="shared" ref="AM564:AV564" si="3236">K564</f>
        <v>2</v>
      </c>
      <c r="AN564" s="246">
        <f t="shared" si="3236"/>
        <v>3</v>
      </c>
      <c r="AO564" s="246">
        <f t="shared" si="3236"/>
        <v>5</v>
      </c>
      <c r="AP564" s="246">
        <f t="shared" si="3236"/>
        <v>4</v>
      </c>
      <c r="AQ564" s="246">
        <f t="shared" si="3236"/>
        <v>4</v>
      </c>
      <c r="AR564" s="246">
        <f t="shared" si="3236"/>
        <v>1</v>
      </c>
      <c r="AS564" s="246">
        <f t="shared" si="3236"/>
        <v>1</v>
      </c>
      <c r="AT564" s="246">
        <f t="shared" si="3236"/>
        <v>8</v>
      </c>
      <c r="AU564" s="246">
        <f t="shared" si="3236"/>
        <v>8</v>
      </c>
      <c r="AV564" s="246">
        <f t="shared" si="3236"/>
        <v>4</v>
      </c>
      <c r="AW564" s="376">
        <f>U564</f>
        <v>4</v>
      </c>
      <c r="AX564" s="376">
        <f t="shared" si="3226"/>
        <v>9</v>
      </c>
      <c r="AY564" s="376">
        <f t="shared" ref="AY564:BI564" si="3237">W564</f>
        <v>7</v>
      </c>
      <c r="AZ564" s="376">
        <f t="shared" si="3237"/>
        <v>5</v>
      </c>
      <c r="BA564" s="376">
        <f t="shared" si="3237"/>
        <v>7</v>
      </c>
      <c r="BB564" s="376">
        <f t="shared" si="3237"/>
        <v>9</v>
      </c>
      <c r="BC564" s="376">
        <f t="shared" si="3237"/>
        <v>11</v>
      </c>
      <c r="BD564" s="376">
        <f t="shared" si="3237"/>
        <v>5</v>
      </c>
      <c r="BE564" s="376">
        <f t="shared" si="3237"/>
        <v>12</v>
      </c>
      <c r="BF564" s="376">
        <f t="shared" si="3237"/>
        <v>15</v>
      </c>
      <c r="BG564" s="376">
        <f t="shared" si="3237"/>
        <v>12</v>
      </c>
      <c r="BH564" s="376">
        <f t="shared" si="3237"/>
        <v>11</v>
      </c>
      <c r="BI564" s="376">
        <f t="shared" si="3237"/>
        <v>17</v>
      </c>
      <c r="BJ564" s="376">
        <f t="shared" si="3228"/>
        <v>14</v>
      </c>
      <c r="BK564" s="376">
        <f>AI564</f>
        <v>5</v>
      </c>
      <c r="BL564" s="376">
        <f>AJ564</f>
        <v>0</v>
      </c>
      <c r="BM564" s="408">
        <f>AK564</f>
        <v>0</v>
      </c>
      <c r="BN564" s="48">
        <f t="shared" si="3198"/>
        <v>5</v>
      </c>
      <c r="BO564" s="48">
        <f t="shared" si="3199"/>
        <v>5</v>
      </c>
      <c r="BP564" s="48">
        <f>SUM(AL564:AN564)</f>
        <v>5</v>
      </c>
      <c r="BQ564" s="48">
        <f t="shared" si="3201"/>
        <v>13</v>
      </c>
      <c r="BR564" s="48">
        <f t="shared" si="3202"/>
        <v>13</v>
      </c>
      <c r="BS564" s="48">
        <f>SUM(AO564:AQ564)</f>
        <v>13</v>
      </c>
      <c r="BT564" s="48">
        <f t="shared" si="3204"/>
        <v>10</v>
      </c>
      <c r="BU564" s="48">
        <f t="shared" si="3205"/>
        <v>10</v>
      </c>
      <c r="BV564" s="48">
        <f>SUM(AR564:AT564)</f>
        <v>10</v>
      </c>
      <c r="BW564" s="48">
        <f t="shared" si="3207"/>
        <v>16</v>
      </c>
      <c r="BX564" s="48">
        <f t="shared" si="3208"/>
        <v>16</v>
      </c>
      <c r="BY564" s="48">
        <f>SUM(AU564:AW564)</f>
        <v>16</v>
      </c>
      <c r="BZ564" s="48">
        <f t="shared" si="3210"/>
        <v>21</v>
      </c>
      <c r="CA564" s="48">
        <f t="shared" si="3211"/>
        <v>21</v>
      </c>
      <c r="CB564" s="48">
        <f>SUM(AX564:AZ564)</f>
        <v>21</v>
      </c>
      <c r="CC564" s="48">
        <f t="shared" si="3213"/>
        <v>27</v>
      </c>
      <c r="CD564" s="48">
        <f t="shared" si="3214"/>
        <v>27</v>
      </c>
      <c r="CE564" s="48">
        <f>SUM(BA564:BC564)</f>
        <v>27</v>
      </c>
      <c r="CF564" s="48">
        <f t="shared" si="3216"/>
        <v>32</v>
      </c>
      <c r="CG564" s="48">
        <f t="shared" si="3217"/>
        <v>32</v>
      </c>
      <c r="CH564" s="48">
        <f>SUM(BD564:BF564)</f>
        <v>32</v>
      </c>
      <c r="CI564" s="48">
        <f t="shared" si="3219"/>
        <v>40</v>
      </c>
      <c r="CJ564" s="48">
        <f t="shared" si="3220"/>
        <v>40</v>
      </c>
      <c r="CK564" s="48">
        <f>SUM(BG564:BI564)</f>
        <v>40</v>
      </c>
      <c r="CL564" s="48">
        <f t="shared" si="3222"/>
        <v>19</v>
      </c>
      <c r="CM564" s="48">
        <f t="shared" si="3223"/>
        <v>19</v>
      </c>
      <c r="CN564" s="48">
        <f>SUM(BJ564:BL564)</f>
        <v>19</v>
      </c>
      <c r="CO564" s="406"/>
      <c r="CP564" s="21">
        <f>+J564</f>
        <v>0</v>
      </c>
      <c r="CQ564" s="21">
        <f t="shared" ref="CQ564:DA564" si="3238">+CP564+K564</f>
        <v>2</v>
      </c>
      <c r="CR564" s="21">
        <f t="shared" si="3238"/>
        <v>5</v>
      </c>
      <c r="CS564" s="21">
        <f t="shared" si="3238"/>
        <v>10</v>
      </c>
      <c r="CT564" s="21">
        <f t="shared" si="3238"/>
        <v>14</v>
      </c>
      <c r="CU564" s="21">
        <f t="shared" si="3238"/>
        <v>18</v>
      </c>
      <c r="CV564" s="21">
        <f t="shared" si="3238"/>
        <v>19</v>
      </c>
      <c r="CW564" s="21">
        <f t="shared" si="3238"/>
        <v>20</v>
      </c>
      <c r="CX564" s="21">
        <f t="shared" si="3238"/>
        <v>28</v>
      </c>
      <c r="CY564" s="21">
        <f t="shared" si="3238"/>
        <v>36</v>
      </c>
      <c r="CZ564" s="21">
        <f t="shared" si="3238"/>
        <v>40</v>
      </c>
      <c r="DA564" s="21">
        <f t="shared" si="3238"/>
        <v>44</v>
      </c>
      <c r="DB564" s="21">
        <f>+V564</f>
        <v>9</v>
      </c>
      <c r="DC564" s="21">
        <f t="shared" ref="DC564:DM564" si="3239">+DB564+W564</f>
        <v>16</v>
      </c>
      <c r="DD564" s="21">
        <f t="shared" si="3239"/>
        <v>21</v>
      </c>
      <c r="DE564" s="21">
        <f t="shared" si="3239"/>
        <v>28</v>
      </c>
      <c r="DF564" s="21">
        <f t="shared" si="3239"/>
        <v>37</v>
      </c>
      <c r="DG564" s="21">
        <f t="shared" si="3239"/>
        <v>48</v>
      </c>
      <c r="DH564" s="21">
        <f t="shared" si="3239"/>
        <v>53</v>
      </c>
      <c r="DI564" s="21">
        <f t="shared" si="3239"/>
        <v>65</v>
      </c>
      <c r="DJ564" s="21">
        <f t="shared" si="3239"/>
        <v>80</v>
      </c>
      <c r="DK564" s="21">
        <f t="shared" si="3239"/>
        <v>92</v>
      </c>
      <c r="DL564" s="21">
        <f t="shared" si="3239"/>
        <v>103</v>
      </c>
      <c r="DM564" s="21">
        <f t="shared" si="3239"/>
        <v>120</v>
      </c>
      <c r="DN564" s="21">
        <f>BJ564</f>
        <v>14</v>
      </c>
      <c r="DO564" s="21">
        <f>DN564+BK564</f>
        <v>19</v>
      </c>
      <c r="DP564" s="21">
        <f>DO564+BL564</f>
        <v>19</v>
      </c>
      <c r="DQ564" s="248"/>
      <c r="DR564" s="248"/>
      <c r="DS564" s="248"/>
      <c r="DT564" s="248"/>
      <c r="DU564" s="248"/>
      <c r="DV564" s="248"/>
      <c r="DW564" s="248"/>
      <c r="DX564" s="248"/>
      <c r="DY564" s="248"/>
      <c r="ED564" s="429"/>
      <c r="EE564" s="23"/>
      <c r="EF564" s="23"/>
      <c r="EG564" s="23"/>
      <c r="EH564" s="18">
        <f t="shared" si="3190"/>
        <v>5</v>
      </c>
      <c r="EI564" s="18">
        <f t="shared" si="3191"/>
        <v>19</v>
      </c>
      <c r="EJ564" s="18">
        <f t="shared" si="3192"/>
        <v>19</v>
      </c>
      <c r="EK564" s="24">
        <f t="shared" si="3235"/>
        <v>0.16666666666666666</v>
      </c>
      <c r="EL564" s="14" t="e">
        <f t="shared" ref="EL564:EN571" si="3240">EH564/EE539</f>
        <v>#DIV/0!</v>
      </c>
      <c r="EM564" s="14" t="e">
        <f t="shared" si="3240"/>
        <v>#DIV/0!</v>
      </c>
      <c r="EN564" s="14">
        <f>EJ564/EK564/EG539</f>
        <v>2.5333333333333332</v>
      </c>
      <c r="EO564" s="46" t="str">
        <f t="shared" ref="EO564:EO576" si="3241">IF(EH564&lt;0,,IF(EH564&lt;EE539,"È",IF(EH564=EE539,"Æ","Ç")))</f>
        <v>Ç</v>
      </c>
      <c r="EP564" s="46" t="str">
        <f t="shared" ref="EP564:EP576" si="3242">IF(EI564&lt;0,,IF(EI564&lt;EF539,"È",IF(EI564=EF539,"Æ","Ç")))</f>
        <v>Ç</v>
      </c>
      <c r="EQ564" s="2" t="e">
        <f t="shared" si="3195"/>
        <v>#DIV/0!</v>
      </c>
      <c r="ER564" s="2" t="e">
        <f t="shared" si="3196"/>
        <v>#DIV/0!</v>
      </c>
      <c r="ES564" s="2">
        <f t="shared" si="3197"/>
        <v>1</v>
      </c>
    </row>
    <row r="565" spans="1:149" s="14" customFormat="1" ht="12.75" customHeight="1">
      <c r="A565" s="15" t="s">
        <v>23</v>
      </c>
      <c r="B565" s="14" t="s">
        <v>7</v>
      </c>
      <c r="C565" s="16" t="s">
        <v>64</v>
      </c>
      <c r="D565" s="16"/>
      <c r="E565" s="16" t="s">
        <v>16</v>
      </c>
      <c r="F565" s="16"/>
      <c r="G565" s="16" t="s">
        <v>89</v>
      </c>
      <c r="H565" s="16"/>
      <c r="I565" s="24"/>
      <c r="J565" s="25">
        <v>0</v>
      </c>
      <c r="K565" s="25">
        <v>0.7</v>
      </c>
      <c r="L565" s="25">
        <v>0.6</v>
      </c>
      <c r="M565" s="25">
        <v>0.96</v>
      </c>
      <c r="N565" s="25">
        <v>1</v>
      </c>
      <c r="O565" s="25">
        <v>0.95</v>
      </c>
      <c r="P565" s="25">
        <v>1</v>
      </c>
      <c r="Q565" s="25">
        <v>1</v>
      </c>
      <c r="R565" s="25">
        <v>1</v>
      </c>
      <c r="S565" s="25">
        <v>0.9</v>
      </c>
      <c r="T565" s="25">
        <v>0.85</v>
      </c>
      <c r="U565" s="25">
        <v>1</v>
      </c>
      <c r="V565" s="33">
        <v>0.91</v>
      </c>
      <c r="W565" s="25">
        <v>0.94</v>
      </c>
      <c r="X565" s="25">
        <v>0.76</v>
      </c>
      <c r="Y565" s="367">
        <v>0.97</v>
      </c>
      <c r="Z565" s="25">
        <v>0.91</v>
      </c>
      <c r="AA565" s="25">
        <v>0.89</v>
      </c>
      <c r="AB565" s="25">
        <v>1</v>
      </c>
      <c r="AC565" s="25">
        <v>0.93</v>
      </c>
      <c r="AD565" s="25">
        <v>0.96</v>
      </c>
      <c r="AE565" s="25">
        <v>0.98</v>
      </c>
      <c r="AF565" s="25">
        <v>0.91</v>
      </c>
      <c r="AG565" s="25">
        <v>0.92</v>
      </c>
      <c r="AH565" s="33">
        <v>0.94</v>
      </c>
      <c r="AI565" s="25">
        <v>1</v>
      </c>
      <c r="AJ565" s="25"/>
      <c r="AK565" s="412"/>
      <c r="AL565" s="14">
        <f t="shared" si="3225"/>
        <v>0</v>
      </c>
      <c r="AM565" s="14">
        <f>K565</f>
        <v>0.7</v>
      </c>
      <c r="AN565" s="14">
        <f>L565</f>
        <v>0.6</v>
      </c>
      <c r="AO565" s="14">
        <f>M565</f>
        <v>0.96</v>
      </c>
      <c r="AP565" s="129">
        <f>IF(N565&lt;&gt;"",N565-M565,0)</f>
        <v>4.0000000000000036E-2</v>
      </c>
      <c r="AQ565" s="129">
        <f t="shared" ref="AQ565:AW565" si="3243">IF(O565&lt;&gt;"",O565,0)</f>
        <v>0.95</v>
      </c>
      <c r="AR565" s="129">
        <f t="shared" si="3243"/>
        <v>1</v>
      </c>
      <c r="AS565" s="129">
        <f t="shared" si="3243"/>
        <v>1</v>
      </c>
      <c r="AT565" s="129">
        <f t="shared" si="3243"/>
        <v>1</v>
      </c>
      <c r="AU565" s="129">
        <f t="shared" si="3243"/>
        <v>0.9</v>
      </c>
      <c r="AV565" s="129">
        <f t="shared" si="3243"/>
        <v>0.85</v>
      </c>
      <c r="AW565" s="129">
        <f t="shared" si="3243"/>
        <v>1</v>
      </c>
      <c r="AX565" s="14">
        <f t="shared" si="3226"/>
        <v>0.91</v>
      </c>
      <c r="AY565" s="311">
        <f>+W565</f>
        <v>0.94</v>
      </c>
      <c r="AZ565" s="311">
        <f t="shared" ref="AZ565:BI565" si="3244">+X565</f>
        <v>0.76</v>
      </c>
      <c r="BA565" s="311">
        <f t="shared" si="3244"/>
        <v>0.97</v>
      </c>
      <c r="BB565" s="311">
        <f t="shared" si="3244"/>
        <v>0.91</v>
      </c>
      <c r="BC565" s="311">
        <f t="shared" si="3244"/>
        <v>0.89</v>
      </c>
      <c r="BD565" s="311">
        <f t="shared" si="3244"/>
        <v>1</v>
      </c>
      <c r="BE565" s="311">
        <f t="shared" si="3244"/>
        <v>0.93</v>
      </c>
      <c r="BF565" s="311">
        <f t="shared" si="3244"/>
        <v>0.96</v>
      </c>
      <c r="BG565" s="311">
        <f t="shared" si="3244"/>
        <v>0.98</v>
      </c>
      <c r="BH565" s="311">
        <f t="shared" si="3244"/>
        <v>0.91</v>
      </c>
      <c r="BI565" s="311">
        <f t="shared" si="3244"/>
        <v>0.92</v>
      </c>
      <c r="BJ565" s="14">
        <f t="shared" si="3228"/>
        <v>0.94</v>
      </c>
      <c r="BK565" s="129">
        <f t="shared" si="3185"/>
        <v>6.0000000000000053E-2</v>
      </c>
      <c r="BL565" s="129">
        <f t="shared" si="3186"/>
        <v>0</v>
      </c>
      <c r="BM565" s="410"/>
      <c r="BN565" s="56">
        <f t="shared" si="3198"/>
        <v>0.6399999999999999</v>
      </c>
      <c r="BO565" s="56">
        <f t="shared" si="3199"/>
        <v>0.6399999999999999</v>
      </c>
      <c r="BP565" s="56">
        <f>(AL565*AL564+AM565*AM564+AN565*AN564)/BP564</f>
        <v>0.6399999999999999</v>
      </c>
      <c r="BQ565" s="56">
        <f t="shared" si="3201"/>
        <v>0.67384615384615387</v>
      </c>
      <c r="BR565" s="56">
        <f t="shared" si="3202"/>
        <v>0.67384615384615387</v>
      </c>
      <c r="BS565" s="56">
        <f>(AO565*AO564+AP565*AP564+AQ565*AQ564)/BS564</f>
        <v>0.67384615384615387</v>
      </c>
      <c r="BT565" s="56">
        <f t="shared" si="3204"/>
        <v>1</v>
      </c>
      <c r="BU565" s="56">
        <f t="shared" si="3205"/>
        <v>1</v>
      </c>
      <c r="BV565" s="56">
        <f>(AR565*AR564+AS565*AS564+AT565*AT564)/BV564</f>
        <v>1</v>
      </c>
      <c r="BW565" s="56">
        <f t="shared" si="3207"/>
        <v>0.91249999999999998</v>
      </c>
      <c r="BX565" s="56">
        <f t="shared" si="3208"/>
        <v>0.91249999999999998</v>
      </c>
      <c r="BY565" s="56">
        <f>(AU565*AU564+AV565*AV564+AW565*AW564)/BY564</f>
        <v>0.91249999999999998</v>
      </c>
      <c r="BZ565" s="56">
        <f t="shared" si="3210"/>
        <v>0.88428571428571434</v>
      </c>
      <c r="CA565" s="56">
        <f t="shared" si="3211"/>
        <v>0.88428571428571434</v>
      </c>
      <c r="CB565" s="56">
        <f>(AX565*AX564+AY565*AY564+AZ565*AZ564)/CB564</f>
        <v>0.88428571428571434</v>
      </c>
      <c r="CC565" s="56">
        <f t="shared" si="3213"/>
        <v>0.91740740740740756</v>
      </c>
      <c r="CD565" s="56">
        <f t="shared" si="3214"/>
        <v>0.91740740740740756</v>
      </c>
      <c r="CE565" s="56">
        <f>(BA565*BA564+BB565*BB564+BC565*BC564)/CE564</f>
        <v>0.91740740740740756</v>
      </c>
      <c r="CF565" s="56">
        <f t="shared" si="3216"/>
        <v>0.95499999999999996</v>
      </c>
      <c r="CG565" s="56">
        <f t="shared" si="3217"/>
        <v>0.95499999999999996</v>
      </c>
      <c r="CH565" s="56">
        <f>(BD565*BD564+BE565*BE564+BF565*BF564)/CH564</f>
        <v>0.95499999999999996</v>
      </c>
      <c r="CI565" s="56">
        <f t="shared" si="3219"/>
        <v>0.93524999999999991</v>
      </c>
      <c r="CJ565" s="56">
        <f t="shared" si="3220"/>
        <v>0.93524999999999991</v>
      </c>
      <c r="CK565" s="56">
        <f>(BG565*BG564+BH565*BH564+BI565*BI564)/CK564</f>
        <v>0.93524999999999991</v>
      </c>
      <c r="CL565" s="56">
        <f t="shared" si="3222"/>
        <v>0.70842105263157895</v>
      </c>
      <c r="CM565" s="56">
        <f t="shared" si="3223"/>
        <v>0.70842105263157895</v>
      </c>
      <c r="CN565" s="56">
        <f>(BJ565*BJ564+BK565*BK564+BL565*BL564)/CN564</f>
        <v>0.70842105263157895</v>
      </c>
      <c r="CO565" s="422"/>
      <c r="CP565" s="25">
        <f>J565</f>
        <v>0</v>
      </c>
      <c r="CQ565" s="25">
        <f t="shared" ref="CQ565:DP565" si="3245">CQ577/CQ564</f>
        <v>0.7</v>
      </c>
      <c r="CR565" s="25">
        <f t="shared" si="3245"/>
        <v>0.6399999999999999</v>
      </c>
      <c r="CS565" s="25">
        <f t="shared" si="3245"/>
        <v>0.8</v>
      </c>
      <c r="CT565" s="25">
        <f t="shared" si="3245"/>
        <v>0.8571428571428571</v>
      </c>
      <c r="CU565" s="25">
        <f t="shared" si="3245"/>
        <v>0.87777777777777777</v>
      </c>
      <c r="CV565" s="25">
        <f t="shared" si="3245"/>
        <v>0.88421052631578956</v>
      </c>
      <c r="CW565" s="25">
        <f t="shared" si="3245"/>
        <v>0.89</v>
      </c>
      <c r="CX565" s="25">
        <f t="shared" si="3245"/>
        <v>0.92142857142857149</v>
      </c>
      <c r="CY565" s="25">
        <f t="shared" si="3245"/>
        <v>0.91666666666666663</v>
      </c>
      <c r="CZ565" s="25">
        <f t="shared" si="3245"/>
        <v>0.90999999999999992</v>
      </c>
      <c r="DA565" s="25">
        <f t="shared" si="3245"/>
        <v>0.9181818181818181</v>
      </c>
      <c r="DB565" s="25">
        <f t="shared" si="3245"/>
        <v>0.90999999999999992</v>
      </c>
      <c r="DC565" s="25">
        <f t="shared" si="3245"/>
        <v>0.92312499999999997</v>
      </c>
      <c r="DD565" s="25">
        <f t="shared" si="3245"/>
        <v>0.88428571428571434</v>
      </c>
      <c r="DE565" s="25">
        <f t="shared" si="3245"/>
        <v>0.90571428571428569</v>
      </c>
      <c r="DF565" s="25">
        <f t="shared" si="3245"/>
        <v>0.90675675675675671</v>
      </c>
      <c r="DG565" s="25">
        <f t="shared" si="3245"/>
        <v>0.90291666666666659</v>
      </c>
      <c r="DH565" s="25">
        <f t="shared" si="3245"/>
        <v>0.91207547169811309</v>
      </c>
      <c r="DI565" s="25">
        <f t="shared" si="3245"/>
        <v>0.91538461538461535</v>
      </c>
      <c r="DJ565" s="25">
        <f t="shared" si="3245"/>
        <v>0.92375000000000007</v>
      </c>
      <c r="DK565" s="25">
        <f t="shared" si="3245"/>
        <v>0.93108695652173923</v>
      </c>
      <c r="DL565" s="25">
        <f t="shared" si="3245"/>
        <v>0.92883495145631079</v>
      </c>
      <c r="DM565" s="25">
        <f t="shared" si="3245"/>
        <v>0.92758333333333343</v>
      </c>
      <c r="DN565" s="25">
        <f t="shared" si="3245"/>
        <v>0.94000000000000006</v>
      </c>
      <c r="DO565" s="25">
        <f t="shared" si="3245"/>
        <v>0.95578947368421052</v>
      </c>
      <c r="DP565" s="25">
        <f t="shared" si="3245"/>
        <v>0.95578947368421052</v>
      </c>
      <c r="DQ565" s="377"/>
      <c r="DR565" s="377"/>
      <c r="DS565" s="377"/>
      <c r="DT565" s="377"/>
      <c r="DU565" s="377"/>
      <c r="DV565" s="377"/>
      <c r="DW565" s="377"/>
      <c r="DX565" s="377"/>
      <c r="DY565" s="377"/>
      <c r="ED565" s="430"/>
      <c r="EE565" s="24"/>
      <c r="EF565" s="24"/>
      <c r="EG565" s="24"/>
      <c r="EH565" s="25">
        <f t="shared" si="3190"/>
        <v>6.0000000000000053E-2</v>
      </c>
      <c r="EI565" s="25">
        <f t="shared" si="3191"/>
        <v>0.70842105263157895</v>
      </c>
      <c r="EJ565" s="25">
        <f t="shared" si="3192"/>
        <v>0.95578947368421052</v>
      </c>
      <c r="EK565" s="24">
        <f t="shared" si="3235"/>
        <v>0.16666666666666666</v>
      </c>
      <c r="EL565" s="14">
        <f>EH565</f>
        <v>6.0000000000000053E-2</v>
      </c>
      <c r="EM565" s="14">
        <f>EI565</f>
        <v>0.70842105263157895</v>
      </c>
      <c r="EN565" s="14">
        <f>EJ565</f>
        <v>0.95578947368421052</v>
      </c>
      <c r="EO565" s="46" t="str">
        <f>IF(EH565&lt;0,,IF(EH565&gt;EE540,"È",IF(EH565=EE540,"Æ","Ç")))</f>
        <v>Ç</v>
      </c>
      <c r="EP565" s="46" t="str">
        <f>IF(EI565&lt;0,,IF(EI565&gt;EF540,"È",IF(EI565=EF540,"Æ","Ç")))</f>
        <v>Ç</v>
      </c>
      <c r="EQ565" s="2">
        <f t="shared" si="3195"/>
        <v>3</v>
      </c>
      <c r="ER565" s="2">
        <f t="shared" si="3196"/>
        <v>3</v>
      </c>
      <c r="ES565" s="2">
        <f t="shared" si="3197"/>
        <v>1</v>
      </c>
    </row>
    <row r="566" spans="1:149" ht="12.75" customHeight="1">
      <c r="A566" s="6" t="s">
        <v>23</v>
      </c>
      <c r="B566" s="2" t="s">
        <v>8</v>
      </c>
      <c r="C566" s="3" t="s">
        <v>87</v>
      </c>
      <c r="E566" s="3" t="s">
        <v>16</v>
      </c>
      <c r="G566" s="3" t="s">
        <v>91</v>
      </c>
      <c r="I566" s="23"/>
      <c r="J566" s="19">
        <v>0</v>
      </c>
      <c r="K566" s="19">
        <v>0</v>
      </c>
      <c r="L566" s="19">
        <v>0</v>
      </c>
      <c r="M566" s="19">
        <v>0</v>
      </c>
      <c r="N566" s="19">
        <v>0</v>
      </c>
      <c r="O566" s="19">
        <v>0</v>
      </c>
      <c r="P566" s="19">
        <v>0</v>
      </c>
      <c r="Q566" s="19">
        <v>1</v>
      </c>
      <c r="R566" s="19">
        <v>1</v>
      </c>
      <c r="S566" s="19">
        <v>1</v>
      </c>
      <c r="T566" s="19">
        <v>1</v>
      </c>
      <c r="U566" s="19">
        <v>19</v>
      </c>
      <c r="V566" s="31">
        <v>3</v>
      </c>
      <c r="W566" s="19">
        <v>3</v>
      </c>
      <c r="X566" s="19">
        <v>3</v>
      </c>
      <c r="Y566" s="366">
        <v>4</v>
      </c>
      <c r="Z566" s="19">
        <v>5</v>
      </c>
      <c r="AA566" s="19">
        <v>7</v>
      </c>
      <c r="AB566" s="19">
        <v>8</v>
      </c>
      <c r="AC566" s="19">
        <v>9</v>
      </c>
      <c r="AD566" s="19">
        <v>12</v>
      </c>
      <c r="AE566" s="19">
        <v>13</v>
      </c>
      <c r="AF566" s="19">
        <v>13</v>
      </c>
      <c r="AG566" s="19">
        <v>13</v>
      </c>
      <c r="AH566" s="31">
        <v>2</v>
      </c>
      <c r="AI566" s="19">
        <v>2</v>
      </c>
      <c r="AJ566" s="19"/>
      <c r="AK566" s="408"/>
      <c r="AL566" s="19">
        <f t="shared" si="3225"/>
        <v>0</v>
      </c>
      <c r="AM566" s="19">
        <f>K566-J566</f>
        <v>0</v>
      </c>
      <c r="AN566" s="19">
        <f t="shared" ref="AN566:AN572" si="3246">L566-K566</f>
        <v>0</v>
      </c>
      <c r="AO566" s="19">
        <f t="shared" ref="AO566:AO572" si="3247">M566-L566</f>
        <v>0</v>
      </c>
      <c r="AP566" s="129">
        <f t="shared" ref="AP566:AP571" si="3248">IF(N566&lt;&gt;"",N566-M566,0)</f>
        <v>0</v>
      </c>
      <c r="AQ566" s="129">
        <f t="shared" ref="AQ566:AQ574" si="3249">IF(O566&lt;&gt;"",O566-N566,0)</f>
        <v>0</v>
      </c>
      <c r="AR566" s="129">
        <f t="shared" si="3169"/>
        <v>0</v>
      </c>
      <c r="AS566" s="129">
        <f t="shared" si="3170"/>
        <v>1</v>
      </c>
      <c r="AT566" s="129">
        <f t="shared" si="3171"/>
        <v>0</v>
      </c>
      <c r="AU566" s="129">
        <f t="shared" si="3172"/>
        <v>0</v>
      </c>
      <c r="AV566" s="129">
        <f t="shared" si="3173"/>
        <v>0</v>
      </c>
      <c r="AW566" s="129">
        <f t="shared" si="3174"/>
        <v>18</v>
      </c>
      <c r="AX566" s="19">
        <f t="shared" si="3226"/>
        <v>3</v>
      </c>
      <c r="AY566" s="129">
        <f t="shared" si="3175"/>
        <v>0</v>
      </c>
      <c r="AZ566" s="129">
        <f t="shared" si="3176"/>
        <v>0</v>
      </c>
      <c r="BA566" s="129">
        <f t="shared" si="3227"/>
        <v>1</v>
      </c>
      <c r="BB566" s="129">
        <f t="shared" si="3177"/>
        <v>1</v>
      </c>
      <c r="BC566" s="129">
        <f t="shared" si="3178"/>
        <v>2</v>
      </c>
      <c r="BD566" s="129">
        <f t="shared" si="3179"/>
        <v>1</v>
      </c>
      <c r="BE566" s="129">
        <f t="shared" si="3180"/>
        <v>1</v>
      </c>
      <c r="BF566" s="129">
        <f t="shared" si="3181"/>
        <v>3</v>
      </c>
      <c r="BG566" s="129">
        <f t="shared" si="3182"/>
        <v>1</v>
      </c>
      <c r="BH566" s="129">
        <f t="shared" si="3183"/>
        <v>0</v>
      </c>
      <c r="BI566" s="129">
        <f t="shared" si="3184"/>
        <v>0</v>
      </c>
      <c r="BJ566" s="19">
        <f t="shared" si="3228"/>
        <v>2</v>
      </c>
      <c r="BK566" s="129">
        <f t="shared" si="3185"/>
        <v>0</v>
      </c>
      <c r="BL566" s="129">
        <f t="shared" si="3186"/>
        <v>0</v>
      </c>
      <c r="BM566" s="408"/>
      <c r="BN566" s="48">
        <f t="shared" si="3198"/>
        <v>0</v>
      </c>
      <c r="BO566" s="48">
        <f t="shared" si="3199"/>
        <v>0</v>
      </c>
      <c r="BP566" s="48">
        <f t="shared" ref="BP566:BP571" si="3250">SUM(AL566:AN566)</f>
        <v>0</v>
      </c>
      <c r="BQ566" s="48">
        <f t="shared" si="3201"/>
        <v>0</v>
      </c>
      <c r="BR566" s="48">
        <f t="shared" si="3202"/>
        <v>0</v>
      </c>
      <c r="BS566" s="48">
        <f t="shared" ref="BS566:BS571" si="3251">SUM(AO566:AQ566)</f>
        <v>0</v>
      </c>
      <c r="BT566" s="48">
        <f t="shared" si="3204"/>
        <v>1</v>
      </c>
      <c r="BU566" s="48">
        <f t="shared" si="3205"/>
        <v>1</v>
      </c>
      <c r="BV566" s="48">
        <f t="shared" ref="BV566:BV571" si="3252">SUM(AR566:AT566)</f>
        <v>1</v>
      </c>
      <c r="BW566" s="48">
        <f t="shared" si="3207"/>
        <v>18</v>
      </c>
      <c r="BX566" s="48">
        <f t="shared" si="3208"/>
        <v>18</v>
      </c>
      <c r="BY566" s="48">
        <f t="shared" ref="BY566:BY571" si="3253">SUM(AU566:AW566)</f>
        <v>18</v>
      </c>
      <c r="BZ566" s="48">
        <f t="shared" si="3210"/>
        <v>3</v>
      </c>
      <c r="CA566" s="48">
        <f t="shared" si="3211"/>
        <v>3</v>
      </c>
      <c r="CB566" s="48">
        <f>SUM(AX566:AZ566)</f>
        <v>3</v>
      </c>
      <c r="CC566" s="48">
        <f t="shared" si="3213"/>
        <v>4</v>
      </c>
      <c r="CD566" s="48">
        <f t="shared" si="3214"/>
        <v>4</v>
      </c>
      <c r="CE566" s="48">
        <f>SUM(BA566:BC566)</f>
        <v>4</v>
      </c>
      <c r="CF566" s="48">
        <f t="shared" si="3216"/>
        <v>5</v>
      </c>
      <c r="CG566" s="48">
        <f t="shared" si="3217"/>
        <v>5</v>
      </c>
      <c r="CH566" s="48">
        <f t="shared" ref="CH566:CH571" si="3254">SUM(BD566:BF566)</f>
        <v>5</v>
      </c>
      <c r="CI566" s="48">
        <f t="shared" si="3219"/>
        <v>1</v>
      </c>
      <c r="CJ566" s="48">
        <f t="shared" si="3220"/>
        <v>1</v>
      </c>
      <c r="CK566" s="48">
        <f t="shared" ref="CK566:CK571" si="3255">SUM(BG566:BI566)</f>
        <v>1</v>
      </c>
      <c r="CL566" s="48">
        <f t="shared" si="3222"/>
        <v>2</v>
      </c>
      <c r="CM566" s="48">
        <f t="shared" si="3223"/>
        <v>2</v>
      </c>
      <c r="CN566" s="48">
        <f t="shared" ref="CN566:CN571" si="3256">SUM(BJ566:BL566)</f>
        <v>2</v>
      </c>
      <c r="CO566" s="406"/>
      <c r="CP566" s="21">
        <f>AL566</f>
        <v>0</v>
      </c>
      <c r="CQ566" s="21">
        <f>CP566+AM566</f>
        <v>0</v>
      </c>
      <c r="CR566" s="21">
        <f t="shared" ref="CR566:CR572" si="3257">CQ566+AN566</f>
        <v>0</v>
      </c>
      <c r="CS566" s="21">
        <f t="shared" ref="CS566:CS572" si="3258">CR566+AO566</f>
        <v>0</v>
      </c>
      <c r="CT566" s="21">
        <f t="shared" ref="CT566:CT572" si="3259">CS566+AP566</f>
        <v>0</v>
      </c>
      <c r="CU566" s="21">
        <f t="shared" ref="CU566:CU572" si="3260">CT566+AQ566</f>
        <v>0</v>
      </c>
      <c r="CV566" s="21">
        <f t="shared" ref="CV566:CV572" si="3261">CU566+AR566</f>
        <v>0</v>
      </c>
      <c r="CW566" s="21">
        <f t="shared" ref="CW566:CW572" si="3262">CV566+AS566</f>
        <v>1</v>
      </c>
      <c r="CX566" s="21">
        <f t="shared" ref="CX566:CX572" si="3263">CW566+AT566</f>
        <v>1</v>
      </c>
      <c r="CY566" s="21">
        <f t="shared" ref="CY566:CY572" si="3264">CX566+AU566</f>
        <v>1</v>
      </c>
      <c r="CZ566" s="21">
        <f t="shared" ref="CZ566:CZ572" si="3265">CY566+AV566</f>
        <v>1</v>
      </c>
      <c r="DA566" s="21">
        <f t="shared" ref="DA566:DA572" si="3266">CZ566+AW566</f>
        <v>19</v>
      </c>
      <c r="DB566" s="21">
        <f>AX566</f>
        <v>3</v>
      </c>
      <c r="DC566" s="21">
        <f t="shared" ref="DC566:DC572" si="3267">DB566+AY566</f>
        <v>3</v>
      </c>
      <c r="DD566" s="21">
        <f t="shared" ref="DD566:DD572" si="3268">DC566+AZ566</f>
        <v>3</v>
      </c>
      <c r="DE566" s="21">
        <f t="shared" ref="DE566:DE572" si="3269">DD566+BA566</f>
        <v>4</v>
      </c>
      <c r="DF566" s="21">
        <f t="shared" ref="DF566:DF572" si="3270">DE566+BB566</f>
        <v>5</v>
      </c>
      <c r="DG566" s="21">
        <f t="shared" ref="DG566:DG572" si="3271">DF566+BC566</f>
        <v>7</v>
      </c>
      <c r="DH566" s="21">
        <f t="shared" ref="DH566:DH572" si="3272">DG566+BD566</f>
        <v>8</v>
      </c>
      <c r="DI566" s="21">
        <f t="shared" ref="DI566:DI572" si="3273">DH566+BE566</f>
        <v>9</v>
      </c>
      <c r="DJ566" s="21">
        <f t="shared" ref="DJ566:DJ572" si="3274">DI566+BF566</f>
        <v>12</v>
      </c>
      <c r="DK566" s="21">
        <f t="shared" ref="DK566:DK572" si="3275">DJ566+BG566</f>
        <v>13</v>
      </c>
      <c r="DL566" s="21">
        <f t="shared" ref="DL566:DL572" si="3276">DK566+BH566</f>
        <v>13</v>
      </c>
      <c r="DM566" s="21">
        <f t="shared" ref="DM566:DM572" si="3277">DL566+BI566</f>
        <v>13</v>
      </c>
      <c r="DN566" s="21">
        <f t="shared" ref="DN566:DN571" si="3278">BJ566</f>
        <v>2</v>
      </c>
      <c r="DO566" s="21">
        <f t="shared" ref="DO566:DO572" si="3279">DN566+BK566</f>
        <v>2</v>
      </c>
      <c r="DP566" s="21">
        <f t="shared" ref="DP566:DP572" si="3280">DO566+BL566</f>
        <v>2</v>
      </c>
      <c r="DQ566" s="248"/>
      <c r="DR566" s="248"/>
      <c r="DS566" s="248"/>
      <c r="DT566" s="248"/>
      <c r="DU566" s="248"/>
      <c r="DV566" s="248"/>
      <c r="DW566" s="248"/>
      <c r="DX566" s="248"/>
      <c r="DY566" s="248"/>
      <c r="ED566" s="429"/>
      <c r="EE566" s="23"/>
      <c r="EF566" s="23"/>
      <c r="EG566" s="23"/>
      <c r="EH566" s="18">
        <f t="shared" si="3190"/>
        <v>0</v>
      </c>
      <c r="EI566" s="18">
        <f t="shared" si="3191"/>
        <v>2</v>
      </c>
      <c r="EJ566" s="18">
        <f t="shared" si="3192"/>
        <v>2</v>
      </c>
      <c r="EK566" s="24">
        <f t="shared" si="3235"/>
        <v>0.16666666666666666</v>
      </c>
      <c r="EL566" s="14" t="e">
        <f t="shared" si="3240"/>
        <v>#DIV/0!</v>
      </c>
      <c r="EM566" s="14" t="e">
        <f t="shared" si="3240"/>
        <v>#DIV/0!</v>
      </c>
      <c r="EN566" s="14">
        <f>EJ566/EK566/EG541</f>
        <v>0.3429289946464974</v>
      </c>
      <c r="EO566" s="46" t="str">
        <f t="shared" si="3241"/>
        <v>Æ</v>
      </c>
      <c r="EP566" s="46" t="str">
        <f t="shared" si="3242"/>
        <v>Ç</v>
      </c>
      <c r="EQ566" s="2" t="e">
        <f t="shared" si="3195"/>
        <v>#DIV/0!</v>
      </c>
      <c r="ER566" s="2" t="e">
        <f t="shared" si="3196"/>
        <v>#DIV/0!</v>
      </c>
      <c r="ES566" s="2">
        <f t="shared" si="3197"/>
        <v>3</v>
      </c>
    </row>
    <row r="567" spans="1:149" ht="12.75" customHeight="1">
      <c r="A567" s="6" t="s">
        <v>23</v>
      </c>
      <c r="B567" s="2" t="s">
        <v>9</v>
      </c>
      <c r="C567" s="3" t="s">
        <v>65</v>
      </c>
      <c r="E567" s="3" t="s">
        <v>16</v>
      </c>
      <c r="G567" s="3" t="s">
        <v>91</v>
      </c>
      <c r="I567" s="23"/>
      <c r="J567" s="19">
        <v>48.5</v>
      </c>
      <c r="K567" s="19">
        <v>100.75</v>
      </c>
      <c r="L567" s="19">
        <v>151.15</v>
      </c>
      <c r="M567" s="19">
        <v>186.15</v>
      </c>
      <c r="N567" s="19">
        <v>215.95</v>
      </c>
      <c r="O567" s="19">
        <v>244.95</v>
      </c>
      <c r="P567" s="19">
        <v>284.45</v>
      </c>
      <c r="Q567" s="19">
        <v>373.65</v>
      </c>
      <c r="R567" s="19">
        <v>454.2</v>
      </c>
      <c r="S567" s="19">
        <v>522.35</v>
      </c>
      <c r="T567" s="19">
        <v>592.70000000000005</v>
      </c>
      <c r="U567" s="19">
        <v>713.05</v>
      </c>
      <c r="V567" s="31">
        <v>191.85</v>
      </c>
      <c r="W567" s="19">
        <v>439.05</v>
      </c>
      <c r="X567" s="19">
        <v>624.6</v>
      </c>
      <c r="Y567" s="366">
        <v>803.35</v>
      </c>
      <c r="Z567" s="19">
        <v>1012.35</v>
      </c>
      <c r="AA567" s="19">
        <v>1271.6500000000001</v>
      </c>
      <c r="AB567" s="19">
        <v>1532.35</v>
      </c>
      <c r="AC567" s="19">
        <v>1762.5</v>
      </c>
      <c r="AD567" s="19">
        <v>2050.5</v>
      </c>
      <c r="AE567" s="19">
        <v>2322.1999999999998</v>
      </c>
      <c r="AF567" s="19">
        <v>2543.15</v>
      </c>
      <c r="AG567" s="19">
        <v>2760.4</v>
      </c>
      <c r="AH567" s="31">
        <v>230.4</v>
      </c>
      <c r="AI567" s="19">
        <v>503.12</v>
      </c>
      <c r="AJ567" s="19"/>
      <c r="AK567" s="408"/>
      <c r="AL567" s="19">
        <f t="shared" si="3225"/>
        <v>48.5</v>
      </c>
      <c r="AM567" s="19">
        <f t="shared" ref="AM567:AM572" si="3281">K567-J567</f>
        <v>52.25</v>
      </c>
      <c r="AN567" s="19">
        <f t="shared" si="3246"/>
        <v>50.400000000000006</v>
      </c>
      <c r="AO567" s="19">
        <f t="shared" si="3247"/>
        <v>35</v>
      </c>
      <c r="AP567" s="130">
        <f t="shared" si="3248"/>
        <v>29.799999999999983</v>
      </c>
      <c r="AQ567" s="130">
        <f t="shared" si="3249"/>
        <v>29</v>
      </c>
      <c r="AR567" s="130">
        <f t="shared" si="3169"/>
        <v>39.5</v>
      </c>
      <c r="AS567" s="130">
        <f t="shared" si="3170"/>
        <v>89.199999999999989</v>
      </c>
      <c r="AT567" s="130">
        <f t="shared" si="3171"/>
        <v>80.550000000000011</v>
      </c>
      <c r="AU567" s="130">
        <f t="shared" si="3172"/>
        <v>68.150000000000034</v>
      </c>
      <c r="AV567" s="287">
        <f t="shared" si="3173"/>
        <v>70.350000000000023</v>
      </c>
      <c r="AW567" s="130">
        <f t="shared" si="3174"/>
        <v>120.34999999999991</v>
      </c>
      <c r="AX567" s="19">
        <f t="shared" si="3226"/>
        <v>191.85</v>
      </c>
      <c r="AY567" s="130">
        <f t="shared" si="3175"/>
        <v>247.20000000000002</v>
      </c>
      <c r="AZ567" s="130">
        <f t="shared" si="3176"/>
        <v>185.55</v>
      </c>
      <c r="BA567" s="130">
        <f t="shared" si="3227"/>
        <v>178.75</v>
      </c>
      <c r="BB567" s="130">
        <f t="shared" si="3177"/>
        <v>209</v>
      </c>
      <c r="BC567" s="130">
        <f t="shared" si="3178"/>
        <v>259.30000000000007</v>
      </c>
      <c r="BD567" s="130">
        <f t="shared" si="3179"/>
        <v>260.69999999999982</v>
      </c>
      <c r="BE567" s="130">
        <f t="shared" si="3180"/>
        <v>230.15000000000009</v>
      </c>
      <c r="BF567" s="130">
        <f t="shared" si="3181"/>
        <v>288</v>
      </c>
      <c r="BG567" s="130">
        <f t="shared" si="3182"/>
        <v>271.69999999999982</v>
      </c>
      <c r="BH567" s="130">
        <f t="shared" si="3183"/>
        <v>220.95000000000027</v>
      </c>
      <c r="BI567" s="130">
        <f t="shared" si="3184"/>
        <v>217.25</v>
      </c>
      <c r="BJ567" s="19">
        <f t="shared" si="3228"/>
        <v>230.4</v>
      </c>
      <c r="BK567" s="130">
        <f t="shared" si="3185"/>
        <v>272.72000000000003</v>
      </c>
      <c r="BL567" s="130">
        <f t="shared" si="3186"/>
        <v>0</v>
      </c>
      <c r="BM567" s="408"/>
      <c r="BN567" s="48">
        <f t="shared" si="3198"/>
        <v>151.15</v>
      </c>
      <c r="BO567" s="48">
        <f t="shared" si="3199"/>
        <v>151.15</v>
      </c>
      <c r="BP567" s="48">
        <f t="shared" si="3250"/>
        <v>151.15</v>
      </c>
      <c r="BQ567" s="48">
        <f t="shared" si="3201"/>
        <v>93.799999999999983</v>
      </c>
      <c r="BR567" s="48">
        <f t="shared" si="3202"/>
        <v>93.799999999999983</v>
      </c>
      <c r="BS567" s="48">
        <f t="shared" si="3251"/>
        <v>93.799999999999983</v>
      </c>
      <c r="BT567" s="48">
        <f t="shared" si="3204"/>
        <v>209.25</v>
      </c>
      <c r="BU567" s="48">
        <f t="shared" si="3205"/>
        <v>209.25</v>
      </c>
      <c r="BV567" s="48">
        <f t="shared" si="3252"/>
        <v>209.25</v>
      </c>
      <c r="BW567" s="48">
        <f t="shared" si="3207"/>
        <v>258.84999999999997</v>
      </c>
      <c r="BX567" s="48">
        <f t="shared" si="3208"/>
        <v>258.84999999999997</v>
      </c>
      <c r="BY567" s="48">
        <f t="shared" si="3253"/>
        <v>258.84999999999997</v>
      </c>
      <c r="BZ567" s="48">
        <f t="shared" si="3210"/>
        <v>624.6</v>
      </c>
      <c r="CA567" s="48">
        <f t="shared" si="3211"/>
        <v>624.6</v>
      </c>
      <c r="CB567" s="48">
        <f>SUM(AX567:AZ567)</f>
        <v>624.6</v>
      </c>
      <c r="CC567" s="48">
        <f t="shared" si="3213"/>
        <v>647.05000000000007</v>
      </c>
      <c r="CD567" s="48">
        <f t="shared" si="3214"/>
        <v>647.05000000000007</v>
      </c>
      <c r="CE567" s="48">
        <f>SUM(BA567:BC567)</f>
        <v>647.05000000000007</v>
      </c>
      <c r="CF567" s="48">
        <f t="shared" si="3216"/>
        <v>778.84999999999991</v>
      </c>
      <c r="CG567" s="48">
        <f t="shared" si="3217"/>
        <v>778.84999999999991</v>
      </c>
      <c r="CH567" s="48">
        <f t="shared" si="3254"/>
        <v>778.84999999999991</v>
      </c>
      <c r="CI567" s="48">
        <f t="shared" si="3219"/>
        <v>709.90000000000009</v>
      </c>
      <c r="CJ567" s="48">
        <f t="shared" si="3220"/>
        <v>709.90000000000009</v>
      </c>
      <c r="CK567" s="48">
        <f t="shared" si="3255"/>
        <v>709.90000000000009</v>
      </c>
      <c r="CL567" s="48">
        <f t="shared" si="3222"/>
        <v>503.12</v>
      </c>
      <c r="CM567" s="48">
        <f t="shared" si="3223"/>
        <v>503.12</v>
      </c>
      <c r="CN567" s="48">
        <f t="shared" si="3256"/>
        <v>503.12</v>
      </c>
      <c r="CO567" s="406"/>
      <c r="CP567" s="21">
        <f t="shared" ref="CP567:CP572" si="3282">AL567</f>
        <v>48.5</v>
      </c>
      <c r="CQ567" s="21">
        <f t="shared" ref="CQ567:CQ572" si="3283">CP567+AM567</f>
        <v>100.75</v>
      </c>
      <c r="CR567" s="21">
        <f t="shared" si="3257"/>
        <v>151.15</v>
      </c>
      <c r="CS567" s="21">
        <f t="shared" si="3258"/>
        <v>186.15</v>
      </c>
      <c r="CT567" s="21">
        <f t="shared" si="3259"/>
        <v>215.95</v>
      </c>
      <c r="CU567" s="21">
        <f t="shared" si="3260"/>
        <v>244.95</v>
      </c>
      <c r="CV567" s="21">
        <f t="shared" si="3261"/>
        <v>284.45</v>
      </c>
      <c r="CW567" s="21">
        <f t="shared" si="3262"/>
        <v>373.65</v>
      </c>
      <c r="CX567" s="21">
        <f t="shared" si="3263"/>
        <v>454.2</v>
      </c>
      <c r="CY567" s="21">
        <f t="shared" si="3264"/>
        <v>522.35</v>
      </c>
      <c r="CZ567" s="21">
        <f t="shared" si="3265"/>
        <v>592.70000000000005</v>
      </c>
      <c r="DA567" s="21">
        <f t="shared" si="3266"/>
        <v>713.05</v>
      </c>
      <c r="DB567" s="21">
        <f t="shared" ref="DB567:DB572" si="3284">AX567</f>
        <v>191.85</v>
      </c>
      <c r="DC567" s="21">
        <f t="shared" si="3267"/>
        <v>439.05</v>
      </c>
      <c r="DD567" s="21">
        <f t="shared" si="3268"/>
        <v>624.6</v>
      </c>
      <c r="DE567" s="21">
        <f t="shared" si="3269"/>
        <v>803.35</v>
      </c>
      <c r="DF567" s="21">
        <f t="shared" si="3270"/>
        <v>1012.35</v>
      </c>
      <c r="DG567" s="21">
        <f t="shared" si="3271"/>
        <v>1271.6500000000001</v>
      </c>
      <c r="DH567" s="21">
        <f t="shared" si="3272"/>
        <v>1532.35</v>
      </c>
      <c r="DI567" s="21">
        <f t="shared" si="3273"/>
        <v>1762.5</v>
      </c>
      <c r="DJ567" s="21">
        <f t="shared" si="3274"/>
        <v>2050.5</v>
      </c>
      <c r="DK567" s="21">
        <f t="shared" si="3275"/>
        <v>2322.1999999999998</v>
      </c>
      <c r="DL567" s="21">
        <f t="shared" si="3276"/>
        <v>2543.15</v>
      </c>
      <c r="DM567" s="21">
        <f t="shared" si="3277"/>
        <v>2760.4</v>
      </c>
      <c r="DN567" s="21">
        <f t="shared" si="3278"/>
        <v>230.4</v>
      </c>
      <c r="DO567" s="21">
        <f t="shared" si="3279"/>
        <v>503.12</v>
      </c>
      <c r="DP567" s="21">
        <f t="shared" si="3280"/>
        <v>503.12</v>
      </c>
      <c r="DQ567" s="248"/>
      <c r="DR567" s="248"/>
      <c r="DS567" s="248"/>
      <c r="DT567" s="248"/>
      <c r="DU567" s="248"/>
      <c r="DV567" s="248"/>
      <c r="DW567" s="248"/>
      <c r="DX567" s="248"/>
      <c r="DY567" s="248"/>
      <c r="ED567" s="429"/>
      <c r="EE567" s="23"/>
      <c r="EF567" s="23"/>
      <c r="EG567" s="23"/>
      <c r="EH567" s="18">
        <f t="shared" si="3190"/>
        <v>272.72000000000003</v>
      </c>
      <c r="EI567" s="18">
        <f t="shared" si="3191"/>
        <v>503.12</v>
      </c>
      <c r="EJ567" s="18">
        <f t="shared" si="3192"/>
        <v>503.12</v>
      </c>
      <c r="EK567" s="24">
        <f t="shared" si="3235"/>
        <v>0.16666666666666666</v>
      </c>
      <c r="EL567" s="14">
        <f t="shared" si="3240"/>
        <v>1.8594545454545457</v>
      </c>
      <c r="EM567" s="14">
        <f t="shared" si="3240"/>
        <v>0.74426035502958576</v>
      </c>
      <c r="EN567" s="14">
        <f>EJ567/EK567/EG542</f>
        <v>1.1163905325443788</v>
      </c>
      <c r="EO567" s="46" t="str">
        <f t="shared" si="3241"/>
        <v>Ç</v>
      </c>
      <c r="EP567" s="46" t="str">
        <f t="shared" si="3242"/>
        <v>È</v>
      </c>
      <c r="EQ567" s="2">
        <f t="shared" si="3195"/>
        <v>1</v>
      </c>
      <c r="ER567" s="2">
        <f t="shared" si="3196"/>
        <v>3</v>
      </c>
      <c r="ES567" s="2">
        <f t="shared" si="3197"/>
        <v>1</v>
      </c>
    </row>
    <row r="568" spans="1:149" ht="12.75" customHeight="1">
      <c r="A568" s="6" t="s">
        <v>23</v>
      </c>
      <c r="B568" s="2" t="s">
        <v>10</v>
      </c>
      <c r="C568" s="3" t="s">
        <v>66</v>
      </c>
      <c r="E568" s="3" t="s">
        <v>16</v>
      </c>
      <c r="G568" s="3" t="s">
        <v>91</v>
      </c>
      <c r="I568" s="23"/>
      <c r="J568" s="19">
        <v>1.5</v>
      </c>
      <c r="K568" s="19">
        <v>4</v>
      </c>
      <c r="L568" s="19">
        <v>7.4</v>
      </c>
      <c r="M568" s="19">
        <v>10.4</v>
      </c>
      <c r="N568" s="19">
        <v>13.65</v>
      </c>
      <c r="O568" s="19">
        <v>14.15</v>
      </c>
      <c r="P568" s="19">
        <v>14.9</v>
      </c>
      <c r="Q568" s="19">
        <v>19.149999999999999</v>
      </c>
      <c r="R568" s="19">
        <v>24.85</v>
      </c>
      <c r="S568" s="19">
        <v>25.8</v>
      </c>
      <c r="T568" s="19">
        <v>26.4</v>
      </c>
      <c r="U568" s="19">
        <v>48.55</v>
      </c>
      <c r="V568" s="31">
        <v>19.25</v>
      </c>
      <c r="W568" s="19">
        <v>31.5</v>
      </c>
      <c r="X568" s="19">
        <v>44.5</v>
      </c>
      <c r="Y568" s="366">
        <v>74.150000000000006</v>
      </c>
      <c r="Z568" s="19">
        <v>122.65</v>
      </c>
      <c r="AA568" s="19">
        <v>192.65</v>
      </c>
      <c r="AB568" s="19">
        <v>242.2</v>
      </c>
      <c r="AC568" s="19">
        <v>268.64999999999998</v>
      </c>
      <c r="AD568" s="19">
        <v>336.95</v>
      </c>
      <c r="AE568" s="19">
        <v>401.7</v>
      </c>
      <c r="AF568" s="19">
        <v>439.9</v>
      </c>
      <c r="AG568" s="19">
        <v>471.68</v>
      </c>
      <c r="AH568" s="31">
        <v>48</v>
      </c>
      <c r="AI568" s="19">
        <v>104.87</v>
      </c>
      <c r="AJ568" s="19"/>
      <c r="AK568" s="408"/>
      <c r="AL568" s="19">
        <f t="shared" si="3225"/>
        <v>1.5</v>
      </c>
      <c r="AM568" s="19">
        <f t="shared" si="3281"/>
        <v>2.5</v>
      </c>
      <c r="AN568" s="19">
        <f t="shared" si="3246"/>
        <v>3.4000000000000004</v>
      </c>
      <c r="AO568" s="19">
        <f t="shared" si="3247"/>
        <v>3</v>
      </c>
      <c r="AP568" s="129">
        <f t="shared" si="3248"/>
        <v>3.25</v>
      </c>
      <c r="AQ568" s="129">
        <f t="shared" si="3249"/>
        <v>0.5</v>
      </c>
      <c r="AR568" s="129">
        <f t="shared" si="3169"/>
        <v>0.75</v>
      </c>
      <c r="AS568" s="129">
        <f t="shared" si="3170"/>
        <v>4.2499999999999982</v>
      </c>
      <c r="AT568" s="129">
        <f t="shared" si="3171"/>
        <v>5.7000000000000028</v>
      </c>
      <c r="AU568" s="129">
        <f t="shared" si="3172"/>
        <v>0.94999999999999929</v>
      </c>
      <c r="AV568" s="286">
        <f t="shared" si="3173"/>
        <v>0.59999999999999787</v>
      </c>
      <c r="AW568" s="129">
        <f t="shared" si="3174"/>
        <v>22.15</v>
      </c>
      <c r="AX568" s="19">
        <f t="shared" si="3226"/>
        <v>19.25</v>
      </c>
      <c r="AY568" s="129">
        <f t="shared" si="3175"/>
        <v>12.25</v>
      </c>
      <c r="AZ568" s="129">
        <f t="shared" si="3176"/>
        <v>13</v>
      </c>
      <c r="BA568" s="129">
        <f t="shared" si="3227"/>
        <v>29.650000000000006</v>
      </c>
      <c r="BB568" s="129">
        <f t="shared" si="3177"/>
        <v>48.5</v>
      </c>
      <c r="BC568" s="129">
        <f t="shared" si="3178"/>
        <v>70</v>
      </c>
      <c r="BD568" s="129">
        <f t="shared" si="3179"/>
        <v>49.549999999999983</v>
      </c>
      <c r="BE568" s="129">
        <f t="shared" si="3180"/>
        <v>26.449999999999989</v>
      </c>
      <c r="BF568" s="129">
        <f t="shared" si="3181"/>
        <v>68.300000000000011</v>
      </c>
      <c r="BG568" s="129">
        <f t="shared" si="3182"/>
        <v>64.75</v>
      </c>
      <c r="BH568" s="129">
        <f t="shared" si="3183"/>
        <v>38.199999999999989</v>
      </c>
      <c r="BI568" s="129">
        <f t="shared" si="3184"/>
        <v>31.78000000000003</v>
      </c>
      <c r="BJ568" s="19">
        <f t="shared" si="3228"/>
        <v>48</v>
      </c>
      <c r="BK568" s="129">
        <f t="shared" si="3185"/>
        <v>56.870000000000005</v>
      </c>
      <c r="BL568" s="129">
        <f t="shared" si="3186"/>
        <v>0</v>
      </c>
      <c r="BM568" s="408"/>
      <c r="BN568" s="48">
        <f t="shared" si="3198"/>
        <v>7.4</v>
      </c>
      <c r="BO568" s="48">
        <f t="shared" si="3199"/>
        <v>7.4</v>
      </c>
      <c r="BP568" s="48">
        <f t="shared" si="3250"/>
        <v>7.4</v>
      </c>
      <c r="BQ568" s="48">
        <f t="shared" si="3201"/>
        <v>6.75</v>
      </c>
      <c r="BR568" s="48">
        <f t="shared" si="3202"/>
        <v>6.75</v>
      </c>
      <c r="BS568" s="48">
        <f t="shared" si="3251"/>
        <v>6.75</v>
      </c>
      <c r="BT568" s="48">
        <f t="shared" si="3204"/>
        <v>10.700000000000001</v>
      </c>
      <c r="BU568" s="48">
        <f t="shared" si="3205"/>
        <v>10.700000000000001</v>
      </c>
      <c r="BV568" s="48">
        <f t="shared" si="3252"/>
        <v>10.700000000000001</v>
      </c>
      <c r="BW568" s="48">
        <f t="shared" si="3207"/>
        <v>23.699999999999996</v>
      </c>
      <c r="BX568" s="48">
        <f t="shared" si="3208"/>
        <v>23.699999999999996</v>
      </c>
      <c r="BY568" s="48">
        <f t="shared" si="3253"/>
        <v>23.699999999999996</v>
      </c>
      <c r="BZ568" s="48">
        <f t="shared" si="3210"/>
        <v>44.5</v>
      </c>
      <c r="CA568" s="48">
        <f t="shared" si="3211"/>
        <v>44.5</v>
      </c>
      <c r="CB568" s="48">
        <f>SUM(AX568:AZ568)</f>
        <v>44.5</v>
      </c>
      <c r="CC568" s="48">
        <f t="shared" si="3213"/>
        <v>148.15</v>
      </c>
      <c r="CD568" s="48">
        <f t="shared" si="3214"/>
        <v>148.15</v>
      </c>
      <c r="CE568" s="48">
        <f>SUM(BA568:BC568)</f>
        <v>148.15</v>
      </c>
      <c r="CF568" s="48">
        <f t="shared" si="3216"/>
        <v>144.29999999999998</v>
      </c>
      <c r="CG568" s="48">
        <f t="shared" si="3217"/>
        <v>144.29999999999998</v>
      </c>
      <c r="CH568" s="48">
        <f t="shared" si="3254"/>
        <v>144.29999999999998</v>
      </c>
      <c r="CI568" s="48">
        <f t="shared" si="3219"/>
        <v>134.73000000000002</v>
      </c>
      <c r="CJ568" s="48">
        <f t="shared" si="3220"/>
        <v>134.73000000000002</v>
      </c>
      <c r="CK568" s="48">
        <f t="shared" si="3255"/>
        <v>134.73000000000002</v>
      </c>
      <c r="CL568" s="48">
        <f t="shared" si="3222"/>
        <v>104.87</v>
      </c>
      <c r="CM568" s="48">
        <f t="shared" si="3223"/>
        <v>104.87</v>
      </c>
      <c r="CN568" s="48">
        <f t="shared" si="3256"/>
        <v>104.87</v>
      </c>
      <c r="CO568" s="406"/>
      <c r="CP568" s="21">
        <f t="shared" si="3282"/>
        <v>1.5</v>
      </c>
      <c r="CQ568" s="21">
        <f t="shared" si="3283"/>
        <v>4</v>
      </c>
      <c r="CR568" s="21">
        <f t="shared" si="3257"/>
        <v>7.4</v>
      </c>
      <c r="CS568" s="21">
        <f t="shared" si="3258"/>
        <v>10.4</v>
      </c>
      <c r="CT568" s="21">
        <f t="shared" si="3259"/>
        <v>13.65</v>
      </c>
      <c r="CU568" s="21">
        <f t="shared" si="3260"/>
        <v>14.15</v>
      </c>
      <c r="CV568" s="21">
        <f t="shared" si="3261"/>
        <v>14.9</v>
      </c>
      <c r="CW568" s="21">
        <f t="shared" si="3262"/>
        <v>19.149999999999999</v>
      </c>
      <c r="CX568" s="21">
        <f t="shared" si="3263"/>
        <v>24.85</v>
      </c>
      <c r="CY568" s="21">
        <f t="shared" si="3264"/>
        <v>25.8</v>
      </c>
      <c r="CZ568" s="21">
        <f t="shared" si="3265"/>
        <v>26.4</v>
      </c>
      <c r="DA568" s="21">
        <f t="shared" si="3266"/>
        <v>48.55</v>
      </c>
      <c r="DB568" s="21">
        <f t="shared" si="3284"/>
        <v>19.25</v>
      </c>
      <c r="DC568" s="21">
        <f t="shared" si="3267"/>
        <v>31.5</v>
      </c>
      <c r="DD568" s="21">
        <f t="shared" si="3268"/>
        <v>44.5</v>
      </c>
      <c r="DE568" s="21">
        <f t="shared" si="3269"/>
        <v>74.150000000000006</v>
      </c>
      <c r="DF568" s="21">
        <f t="shared" si="3270"/>
        <v>122.65</v>
      </c>
      <c r="DG568" s="21">
        <f t="shared" si="3271"/>
        <v>192.65</v>
      </c>
      <c r="DH568" s="21">
        <f t="shared" si="3272"/>
        <v>242.2</v>
      </c>
      <c r="DI568" s="21">
        <f t="shared" si="3273"/>
        <v>268.64999999999998</v>
      </c>
      <c r="DJ568" s="21">
        <f t="shared" si="3274"/>
        <v>336.95</v>
      </c>
      <c r="DK568" s="21">
        <f t="shared" si="3275"/>
        <v>401.7</v>
      </c>
      <c r="DL568" s="21">
        <f t="shared" si="3276"/>
        <v>439.9</v>
      </c>
      <c r="DM568" s="21">
        <f t="shared" si="3277"/>
        <v>471.68</v>
      </c>
      <c r="DN568" s="21">
        <f t="shared" si="3278"/>
        <v>48</v>
      </c>
      <c r="DO568" s="21">
        <f t="shared" si="3279"/>
        <v>104.87</v>
      </c>
      <c r="DP568" s="21">
        <f t="shared" si="3280"/>
        <v>104.87</v>
      </c>
      <c r="DQ568" s="248"/>
      <c r="DR568" s="248"/>
      <c r="DS568" s="248"/>
      <c r="DT568" s="248"/>
      <c r="DU568" s="248"/>
      <c r="DV568" s="248"/>
      <c r="DW568" s="248"/>
      <c r="DX568" s="248"/>
      <c r="DY568" s="248"/>
      <c r="ED568" s="429"/>
      <c r="EE568" s="23"/>
      <c r="EF568" s="23"/>
      <c r="EG568" s="23"/>
      <c r="EH568" s="18">
        <f t="shared" si="3190"/>
        <v>56.870000000000005</v>
      </c>
      <c r="EI568" s="18">
        <f t="shared" si="3191"/>
        <v>104.87</v>
      </c>
      <c r="EJ568" s="18">
        <f t="shared" si="3192"/>
        <v>104.87</v>
      </c>
      <c r="EK568" s="24">
        <f t="shared" si="3235"/>
        <v>0.16666666666666666</v>
      </c>
      <c r="EL568" s="14">
        <f>IF(EE543=0,0,EH568/EE543)</f>
        <v>0</v>
      </c>
      <c r="EM568" s="14">
        <f>IF(EF543=0,0,EI568/EF543)</f>
        <v>0</v>
      </c>
      <c r="EN568" s="14">
        <f>EJ568/EK568/EG543</f>
        <v>2.7965333333333335</v>
      </c>
      <c r="EO568" s="46" t="str">
        <f t="shared" si="3241"/>
        <v>Ç</v>
      </c>
      <c r="EP568" s="46" t="str">
        <f t="shared" si="3242"/>
        <v>Ç</v>
      </c>
      <c r="EQ568" s="2">
        <f t="shared" si="3195"/>
        <v>3</v>
      </c>
      <c r="ER568" s="2">
        <f t="shared" si="3196"/>
        <v>3</v>
      </c>
      <c r="ES568" s="2">
        <f t="shared" si="3197"/>
        <v>1</v>
      </c>
    </row>
    <row r="569" spans="1:149" ht="12.75" customHeight="1">
      <c r="A569" s="6" t="s">
        <v>23</v>
      </c>
      <c r="B569" s="2" t="s">
        <v>11</v>
      </c>
      <c r="C569" s="3" t="s">
        <v>67</v>
      </c>
      <c r="E569" s="3" t="s">
        <v>16</v>
      </c>
      <c r="G569" s="3" t="s">
        <v>91</v>
      </c>
      <c r="I569" s="23"/>
      <c r="J569" s="19">
        <v>23</v>
      </c>
      <c r="K569" s="19">
        <v>47</v>
      </c>
      <c r="L569" s="19">
        <v>69</v>
      </c>
      <c r="M569" s="19">
        <v>85</v>
      </c>
      <c r="N569" s="19">
        <v>98</v>
      </c>
      <c r="O569" s="19">
        <v>109</v>
      </c>
      <c r="P569" s="19">
        <v>125</v>
      </c>
      <c r="Q569" s="19">
        <v>162</v>
      </c>
      <c r="R569" s="19">
        <v>185</v>
      </c>
      <c r="S569" s="19">
        <v>223</v>
      </c>
      <c r="T569" s="19">
        <v>270</v>
      </c>
      <c r="U569" s="19">
        <v>348</v>
      </c>
      <c r="V569" s="31">
        <v>80</v>
      </c>
      <c r="W569" s="19">
        <v>164</v>
      </c>
      <c r="X569" s="19">
        <v>232</v>
      </c>
      <c r="Y569" s="366">
        <v>306</v>
      </c>
      <c r="Z569" s="19">
        <v>378</v>
      </c>
      <c r="AA569" s="19">
        <v>466</v>
      </c>
      <c r="AB569" s="19">
        <v>560</v>
      </c>
      <c r="AC569" s="19">
        <v>646</v>
      </c>
      <c r="AD569" s="19">
        <v>742</v>
      </c>
      <c r="AE569" s="19">
        <v>828</v>
      </c>
      <c r="AF569" s="19">
        <v>901</v>
      </c>
      <c r="AG569" s="19">
        <v>978</v>
      </c>
      <c r="AH569" s="31">
        <v>79</v>
      </c>
      <c r="AI569" s="19">
        <v>178</v>
      </c>
      <c r="AJ569" s="19"/>
      <c r="AK569" s="408"/>
      <c r="AL569" s="19">
        <f t="shared" si="3225"/>
        <v>23</v>
      </c>
      <c r="AM569" s="19">
        <f t="shared" si="3281"/>
        <v>24</v>
      </c>
      <c r="AN569" s="19">
        <f t="shared" si="3246"/>
        <v>22</v>
      </c>
      <c r="AO569" s="19">
        <f t="shared" si="3247"/>
        <v>16</v>
      </c>
      <c r="AP569" s="129">
        <f t="shared" si="3248"/>
        <v>13</v>
      </c>
      <c r="AQ569" s="129">
        <f t="shared" si="3249"/>
        <v>11</v>
      </c>
      <c r="AR569" s="129">
        <f t="shared" si="3169"/>
        <v>16</v>
      </c>
      <c r="AS569" s="129">
        <f t="shared" si="3170"/>
        <v>37</v>
      </c>
      <c r="AT569" s="129">
        <f t="shared" si="3171"/>
        <v>23</v>
      </c>
      <c r="AU569" s="129">
        <f t="shared" si="3172"/>
        <v>38</v>
      </c>
      <c r="AV569" s="129">
        <f t="shared" si="3173"/>
        <v>47</v>
      </c>
      <c r="AW569" s="129">
        <f t="shared" si="3174"/>
        <v>78</v>
      </c>
      <c r="AX569" s="19">
        <f t="shared" si="3226"/>
        <v>80</v>
      </c>
      <c r="AY569" s="129">
        <f t="shared" si="3175"/>
        <v>84</v>
      </c>
      <c r="AZ569" s="129">
        <f t="shared" si="3176"/>
        <v>68</v>
      </c>
      <c r="BA569" s="129">
        <f t="shared" si="3227"/>
        <v>74</v>
      </c>
      <c r="BB569" s="129">
        <f t="shared" si="3177"/>
        <v>72</v>
      </c>
      <c r="BC569" s="129">
        <f t="shared" si="3178"/>
        <v>88</v>
      </c>
      <c r="BD569" s="129">
        <f t="shared" si="3179"/>
        <v>94</v>
      </c>
      <c r="BE569" s="129">
        <f t="shared" si="3180"/>
        <v>86</v>
      </c>
      <c r="BF569" s="129">
        <f t="shared" si="3181"/>
        <v>96</v>
      </c>
      <c r="BG569" s="129">
        <f t="shared" si="3182"/>
        <v>86</v>
      </c>
      <c r="BH569" s="129">
        <f t="shared" si="3183"/>
        <v>73</v>
      </c>
      <c r="BI569" s="129">
        <f t="shared" si="3184"/>
        <v>77</v>
      </c>
      <c r="BJ569" s="19">
        <f t="shared" si="3228"/>
        <v>79</v>
      </c>
      <c r="BK569" s="129">
        <f t="shared" si="3185"/>
        <v>99</v>
      </c>
      <c r="BL569" s="129">
        <f t="shared" si="3186"/>
        <v>0</v>
      </c>
      <c r="BM569" s="408"/>
      <c r="BN569" s="48">
        <f t="shared" si="3198"/>
        <v>69</v>
      </c>
      <c r="BO569" s="48">
        <f t="shared" si="3199"/>
        <v>69</v>
      </c>
      <c r="BP569" s="48">
        <f t="shared" si="3250"/>
        <v>69</v>
      </c>
      <c r="BQ569" s="48">
        <f t="shared" si="3201"/>
        <v>40</v>
      </c>
      <c r="BR569" s="48">
        <f t="shared" si="3202"/>
        <v>40</v>
      </c>
      <c r="BS569" s="48">
        <f t="shared" si="3251"/>
        <v>40</v>
      </c>
      <c r="BT569" s="48">
        <f t="shared" si="3204"/>
        <v>76</v>
      </c>
      <c r="BU569" s="48">
        <f t="shared" si="3205"/>
        <v>76</v>
      </c>
      <c r="BV569" s="48">
        <f t="shared" si="3252"/>
        <v>76</v>
      </c>
      <c r="BW569" s="48">
        <f t="shared" si="3207"/>
        <v>163</v>
      </c>
      <c r="BX569" s="48">
        <f t="shared" si="3208"/>
        <v>163</v>
      </c>
      <c r="BY569" s="48">
        <f t="shared" si="3253"/>
        <v>163</v>
      </c>
      <c r="BZ569" s="48">
        <f t="shared" si="3210"/>
        <v>232</v>
      </c>
      <c r="CA569" s="48">
        <f t="shared" si="3211"/>
        <v>232</v>
      </c>
      <c r="CB569" s="48">
        <f>SUM(AX569:AZ569)</f>
        <v>232</v>
      </c>
      <c r="CC569" s="48">
        <f t="shared" si="3213"/>
        <v>234</v>
      </c>
      <c r="CD569" s="48">
        <f t="shared" si="3214"/>
        <v>234</v>
      </c>
      <c r="CE569" s="48">
        <f>SUM(BA569:BC569)</f>
        <v>234</v>
      </c>
      <c r="CF569" s="48">
        <f t="shared" si="3216"/>
        <v>276</v>
      </c>
      <c r="CG569" s="48">
        <f t="shared" si="3217"/>
        <v>276</v>
      </c>
      <c r="CH569" s="48">
        <f t="shared" si="3254"/>
        <v>276</v>
      </c>
      <c r="CI569" s="48">
        <f t="shared" si="3219"/>
        <v>236</v>
      </c>
      <c r="CJ569" s="48">
        <f t="shared" si="3220"/>
        <v>236</v>
      </c>
      <c r="CK569" s="48">
        <f t="shared" si="3255"/>
        <v>236</v>
      </c>
      <c r="CL569" s="48">
        <f t="shared" si="3222"/>
        <v>178</v>
      </c>
      <c r="CM569" s="48">
        <f t="shared" si="3223"/>
        <v>178</v>
      </c>
      <c r="CN569" s="48">
        <f t="shared" si="3256"/>
        <v>178</v>
      </c>
      <c r="CO569" s="406"/>
      <c r="CP569" s="21">
        <f t="shared" si="3282"/>
        <v>23</v>
      </c>
      <c r="CQ569" s="21">
        <f t="shared" si="3283"/>
        <v>47</v>
      </c>
      <c r="CR569" s="21">
        <f t="shared" si="3257"/>
        <v>69</v>
      </c>
      <c r="CS569" s="21">
        <f t="shared" si="3258"/>
        <v>85</v>
      </c>
      <c r="CT569" s="21">
        <f t="shared" si="3259"/>
        <v>98</v>
      </c>
      <c r="CU569" s="21">
        <f t="shared" si="3260"/>
        <v>109</v>
      </c>
      <c r="CV569" s="21">
        <f t="shared" si="3261"/>
        <v>125</v>
      </c>
      <c r="CW569" s="21">
        <f t="shared" si="3262"/>
        <v>162</v>
      </c>
      <c r="CX569" s="21">
        <f t="shared" si="3263"/>
        <v>185</v>
      </c>
      <c r="CY569" s="21">
        <f t="shared" si="3264"/>
        <v>223</v>
      </c>
      <c r="CZ569" s="21">
        <f t="shared" si="3265"/>
        <v>270</v>
      </c>
      <c r="DA569" s="21">
        <f t="shared" si="3266"/>
        <v>348</v>
      </c>
      <c r="DB569" s="21">
        <f t="shared" si="3284"/>
        <v>80</v>
      </c>
      <c r="DC569" s="21">
        <f t="shared" si="3267"/>
        <v>164</v>
      </c>
      <c r="DD569" s="21">
        <f t="shared" si="3268"/>
        <v>232</v>
      </c>
      <c r="DE569" s="21">
        <f t="shared" si="3269"/>
        <v>306</v>
      </c>
      <c r="DF569" s="21">
        <f t="shared" si="3270"/>
        <v>378</v>
      </c>
      <c r="DG569" s="21">
        <f t="shared" si="3271"/>
        <v>466</v>
      </c>
      <c r="DH569" s="21">
        <f t="shared" si="3272"/>
        <v>560</v>
      </c>
      <c r="DI569" s="21">
        <f t="shared" si="3273"/>
        <v>646</v>
      </c>
      <c r="DJ569" s="21">
        <f t="shared" si="3274"/>
        <v>742</v>
      </c>
      <c r="DK569" s="21">
        <f t="shared" si="3275"/>
        <v>828</v>
      </c>
      <c r="DL569" s="21">
        <f t="shared" si="3276"/>
        <v>901</v>
      </c>
      <c r="DM569" s="21">
        <f t="shared" si="3277"/>
        <v>978</v>
      </c>
      <c r="DN569" s="21">
        <f t="shared" si="3278"/>
        <v>79</v>
      </c>
      <c r="DO569" s="21">
        <f t="shared" si="3279"/>
        <v>178</v>
      </c>
      <c r="DP569" s="21">
        <f t="shared" si="3280"/>
        <v>178</v>
      </c>
      <c r="DQ569" s="248"/>
      <c r="DR569" s="248"/>
      <c r="DS569" s="248"/>
      <c r="DT569" s="248"/>
      <c r="DU569" s="248"/>
      <c r="DV569" s="248"/>
      <c r="DW569" s="248"/>
      <c r="DX569" s="248"/>
      <c r="DY569" s="248"/>
      <c r="ED569" s="429"/>
      <c r="EE569" s="23"/>
      <c r="EF569" s="23"/>
      <c r="EG569" s="23"/>
      <c r="EH569" s="18">
        <f t="shared" si="3190"/>
        <v>99</v>
      </c>
      <c r="EI569" s="18">
        <f t="shared" si="3191"/>
        <v>178</v>
      </c>
      <c r="EJ569" s="18">
        <f t="shared" si="3192"/>
        <v>178</v>
      </c>
      <c r="EK569" s="24">
        <f t="shared" si="3235"/>
        <v>0.16666666666666666</v>
      </c>
      <c r="EL569" s="14" t="e">
        <f t="shared" si="3240"/>
        <v>#DIV/0!</v>
      </c>
      <c r="EM569" s="14" t="e">
        <f t="shared" si="3240"/>
        <v>#DIV/0!</v>
      </c>
      <c r="EN569" s="14">
        <f>EJ569/EG544</f>
        <v>0.65925925925925921</v>
      </c>
      <c r="EO569" s="46" t="str">
        <f t="shared" si="3241"/>
        <v>Ç</v>
      </c>
      <c r="EP569" s="46" t="str">
        <f t="shared" si="3242"/>
        <v>Ç</v>
      </c>
      <c r="EQ569" s="2" t="e">
        <f t="shared" si="3195"/>
        <v>#DIV/0!</v>
      </c>
      <c r="ER569" s="2" t="e">
        <f t="shared" si="3196"/>
        <v>#DIV/0!</v>
      </c>
      <c r="ES569" s="2">
        <f t="shared" si="3197"/>
        <v>3</v>
      </c>
    </row>
    <row r="570" spans="1:149" ht="12.75" customHeight="1">
      <c r="A570" s="6" t="s">
        <v>23</v>
      </c>
      <c r="B570" s="2" t="s">
        <v>12</v>
      </c>
      <c r="C570" s="3" t="s">
        <v>68</v>
      </c>
      <c r="E570" s="3" t="s">
        <v>16</v>
      </c>
      <c r="G570" s="3" t="s">
        <v>91</v>
      </c>
      <c r="I570" s="23"/>
      <c r="J570" s="19">
        <v>2</v>
      </c>
      <c r="K570" s="19">
        <v>7</v>
      </c>
      <c r="L570" s="19">
        <v>12</v>
      </c>
      <c r="M570" s="19">
        <v>18</v>
      </c>
      <c r="N570" s="19">
        <v>21</v>
      </c>
      <c r="O570" s="19">
        <v>22</v>
      </c>
      <c r="P570" s="19">
        <v>31</v>
      </c>
      <c r="Q570" s="19">
        <v>62</v>
      </c>
      <c r="R570" s="19">
        <v>84</v>
      </c>
      <c r="S570" s="19">
        <v>112</v>
      </c>
      <c r="T570" s="19">
        <v>162</v>
      </c>
      <c r="U570" s="19">
        <v>243</v>
      </c>
      <c r="V570" s="31">
        <v>107</v>
      </c>
      <c r="W570" s="19">
        <v>214</v>
      </c>
      <c r="X570" s="19">
        <v>289</v>
      </c>
      <c r="Y570" s="366">
        <v>345</v>
      </c>
      <c r="Z570" s="19">
        <v>411</v>
      </c>
      <c r="AA570" s="19">
        <v>510</v>
      </c>
      <c r="AB570" s="19">
        <v>615</v>
      </c>
      <c r="AC570" s="19">
        <v>695</v>
      </c>
      <c r="AD570" s="19">
        <v>782</v>
      </c>
      <c r="AE570" s="19">
        <v>861</v>
      </c>
      <c r="AF570" s="19">
        <v>933</v>
      </c>
      <c r="AG570" s="19">
        <v>988</v>
      </c>
      <c r="AH570" s="31">
        <v>64</v>
      </c>
      <c r="AI570" s="19">
        <v>139</v>
      </c>
      <c r="AJ570" s="19"/>
      <c r="AK570" s="408"/>
      <c r="AL570" s="19">
        <f t="shared" si="3225"/>
        <v>2</v>
      </c>
      <c r="AM570" s="19">
        <f t="shared" si="3281"/>
        <v>5</v>
      </c>
      <c r="AN570" s="19">
        <f t="shared" si="3246"/>
        <v>5</v>
      </c>
      <c r="AO570" s="19">
        <f t="shared" si="3247"/>
        <v>6</v>
      </c>
      <c r="AP570" s="129">
        <f t="shared" si="3248"/>
        <v>3</v>
      </c>
      <c r="AQ570" s="129">
        <f t="shared" si="3249"/>
        <v>1</v>
      </c>
      <c r="AR570" s="129">
        <f t="shared" si="3169"/>
        <v>9</v>
      </c>
      <c r="AS570" s="129">
        <f t="shared" si="3170"/>
        <v>31</v>
      </c>
      <c r="AT570" s="129">
        <f t="shared" si="3171"/>
        <v>22</v>
      </c>
      <c r="AU570" s="129">
        <f t="shared" si="3172"/>
        <v>28</v>
      </c>
      <c r="AV570" s="129">
        <f t="shared" si="3173"/>
        <v>50</v>
      </c>
      <c r="AW570" s="129">
        <f t="shared" si="3174"/>
        <v>81</v>
      </c>
      <c r="AX570" s="19">
        <f t="shared" si="3226"/>
        <v>107</v>
      </c>
      <c r="AY570" s="129">
        <f t="shared" si="3175"/>
        <v>107</v>
      </c>
      <c r="AZ570" s="129">
        <f t="shared" si="3176"/>
        <v>75</v>
      </c>
      <c r="BA570" s="129">
        <f t="shared" si="3227"/>
        <v>56</v>
      </c>
      <c r="BB570" s="129">
        <f t="shared" si="3177"/>
        <v>66</v>
      </c>
      <c r="BC570" s="129">
        <f t="shared" si="3178"/>
        <v>99</v>
      </c>
      <c r="BD570" s="129">
        <f t="shared" si="3179"/>
        <v>105</v>
      </c>
      <c r="BE570" s="129">
        <f t="shared" si="3180"/>
        <v>80</v>
      </c>
      <c r="BF570" s="129">
        <f t="shared" si="3181"/>
        <v>87</v>
      </c>
      <c r="BG570" s="129">
        <f t="shared" si="3182"/>
        <v>79</v>
      </c>
      <c r="BH570" s="129">
        <f t="shared" si="3183"/>
        <v>72</v>
      </c>
      <c r="BI570" s="129">
        <f t="shared" si="3184"/>
        <v>55</v>
      </c>
      <c r="BJ570" s="19">
        <f t="shared" si="3228"/>
        <v>64</v>
      </c>
      <c r="BK570" s="129">
        <f t="shared" si="3185"/>
        <v>75</v>
      </c>
      <c r="BL570" s="129">
        <f t="shared" si="3186"/>
        <v>0</v>
      </c>
      <c r="BM570" s="408"/>
      <c r="BN570" s="48">
        <f t="shared" si="3198"/>
        <v>12</v>
      </c>
      <c r="BO570" s="48">
        <f t="shared" si="3199"/>
        <v>12</v>
      </c>
      <c r="BP570" s="48">
        <f t="shared" si="3250"/>
        <v>12</v>
      </c>
      <c r="BQ570" s="48">
        <f t="shared" si="3201"/>
        <v>10</v>
      </c>
      <c r="BR570" s="48">
        <f t="shared" si="3202"/>
        <v>10</v>
      </c>
      <c r="BS570" s="48">
        <f t="shared" si="3251"/>
        <v>10</v>
      </c>
      <c r="BT570" s="48">
        <f t="shared" si="3204"/>
        <v>62</v>
      </c>
      <c r="BU570" s="48">
        <f t="shared" si="3205"/>
        <v>62</v>
      </c>
      <c r="BV570" s="48">
        <f t="shared" si="3252"/>
        <v>62</v>
      </c>
      <c r="BW570" s="48">
        <f t="shared" si="3207"/>
        <v>159</v>
      </c>
      <c r="BX570" s="48">
        <f t="shared" si="3208"/>
        <v>159</v>
      </c>
      <c r="BY570" s="48">
        <f t="shared" si="3253"/>
        <v>159</v>
      </c>
      <c r="BZ570" s="48">
        <f t="shared" si="3210"/>
        <v>289</v>
      </c>
      <c r="CA570" s="48">
        <f t="shared" si="3211"/>
        <v>289</v>
      </c>
      <c r="CB570" s="48">
        <f>SUM(AX570:AZ570)</f>
        <v>289</v>
      </c>
      <c r="CC570" s="48">
        <f t="shared" si="3213"/>
        <v>221</v>
      </c>
      <c r="CD570" s="48">
        <f t="shared" si="3214"/>
        <v>221</v>
      </c>
      <c r="CE570" s="48">
        <f>SUM(BA570:BC570)</f>
        <v>221</v>
      </c>
      <c r="CF570" s="48">
        <f t="shared" si="3216"/>
        <v>272</v>
      </c>
      <c r="CG570" s="48">
        <f t="shared" si="3217"/>
        <v>272</v>
      </c>
      <c r="CH570" s="48">
        <f t="shared" si="3254"/>
        <v>272</v>
      </c>
      <c r="CI570" s="48">
        <f t="shared" si="3219"/>
        <v>206</v>
      </c>
      <c r="CJ570" s="48">
        <f t="shared" si="3220"/>
        <v>206</v>
      </c>
      <c r="CK570" s="48">
        <f t="shared" si="3255"/>
        <v>206</v>
      </c>
      <c r="CL570" s="48">
        <f t="shared" si="3222"/>
        <v>139</v>
      </c>
      <c r="CM570" s="48">
        <f t="shared" si="3223"/>
        <v>139</v>
      </c>
      <c r="CN570" s="48">
        <f t="shared" si="3256"/>
        <v>139</v>
      </c>
      <c r="CO570" s="406"/>
      <c r="CP570" s="21">
        <f t="shared" si="3282"/>
        <v>2</v>
      </c>
      <c r="CQ570" s="21">
        <f t="shared" si="3283"/>
        <v>7</v>
      </c>
      <c r="CR570" s="21">
        <f t="shared" si="3257"/>
        <v>12</v>
      </c>
      <c r="CS570" s="21">
        <f t="shared" si="3258"/>
        <v>18</v>
      </c>
      <c r="CT570" s="21">
        <f t="shared" si="3259"/>
        <v>21</v>
      </c>
      <c r="CU570" s="21">
        <f t="shared" si="3260"/>
        <v>22</v>
      </c>
      <c r="CV570" s="21">
        <f t="shared" si="3261"/>
        <v>31</v>
      </c>
      <c r="CW570" s="21">
        <f t="shared" si="3262"/>
        <v>62</v>
      </c>
      <c r="CX570" s="21">
        <f t="shared" si="3263"/>
        <v>84</v>
      </c>
      <c r="CY570" s="21">
        <f t="shared" si="3264"/>
        <v>112</v>
      </c>
      <c r="CZ570" s="21">
        <f t="shared" si="3265"/>
        <v>162</v>
      </c>
      <c r="DA570" s="21">
        <f t="shared" si="3266"/>
        <v>243</v>
      </c>
      <c r="DB570" s="21">
        <f t="shared" si="3284"/>
        <v>107</v>
      </c>
      <c r="DC570" s="21">
        <f t="shared" si="3267"/>
        <v>214</v>
      </c>
      <c r="DD570" s="21">
        <f t="shared" si="3268"/>
        <v>289</v>
      </c>
      <c r="DE570" s="21">
        <f t="shared" si="3269"/>
        <v>345</v>
      </c>
      <c r="DF570" s="21">
        <f t="shared" si="3270"/>
        <v>411</v>
      </c>
      <c r="DG570" s="21">
        <f t="shared" si="3271"/>
        <v>510</v>
      </c>
      <c r="DH570" s="21">
        <f t="shared" si="3272"/>
        <v>615</v>
      </c>
      <c r="DI570" s="21">
        <f t="shared" si="3273"/>
        <v>695</v>
      </c>
      <c r="DJ570" s="21">
        <f t="shared" si="3274"/>
        <v>782</v>
      </c>
      <c r="DK570" s="21">
        <f t="shared" si="3275"/>
        <v>861</v>
      </c>
      <c r="DL570" s="21">
        <f t="shared" si="3276"/>
        <v>933</v>
      </c>
      <c r="DM570" s="21">
        <f t="shared" si="3277"/>
        <v>988</v>
      </c>
      <c r="DN570" s="21">
        <f t="shared" si="3278"/>
        <v>64</v>
      </c>
      <c r="DO570" s="21">
        <f t="shared" si="3279"/>
        <v>139</v>
      </c>
      <c r="DP570" s="21">
        <f t="shared" si="3280"/>
        <v>139</v>
      </c>
      <c r="DQ570" s="248"/>
      <c r="DR570" s="248"/>
      <c r="DS570" s="248"/>
      <c r="DT570" s="248"/>
      <c r="DU570" s="248"/>
      <c r="DV570" s="248"/>
      <c r="DW570" s="248"/>
      <c r="DX570" s="248"/>
      <c r="DY570" s="248"/>
      <c r="ED570" s="429"/>
      <c r="EE570" s="23"/>
      <c r="EF570" s="23"/>
      <c r="EG570" s="23"/>
      <c r="EH570" s="18">
        <f t="shared" si="3190"/>
        <v>75</v>
      </c>
      <c r="EI570" s="18">
        <f t="shared" si="3191"/>
        <v>139</v>
      </c>
      <c r="EJ570" s="18">
        <f t="shared" si="3192"/>
        <v>139</v>
      </c>
      <c r="EK570" s="24">
        <f t="shared" si="3235"/>
        <v>0.16666666666666666</v>
      </c>
      <c r="EL570" s="14" t="e">
        <f t="shared" si="3240"/>
        <v>#DIV/0!</v>
      </c>
      <c r="EM570" s="14" t="e">
        <f t="shared" si="3240"/>
        <v>#DIV/0!</v>
      </c>
      <c r="EN570" s="14">
        <f t="shared" si="3240"/>
        <v>0.43710691823899372</v>
      </c>
      <c r="EO570" s="46" t="str">
        <f t="shared" si="3241"/>
        <v>Ç</v>
      </c>
      <c r="EP570" s="46" t="str">
        <f t="shared" si="3242"/>
        <v>Ç</v>
      </c>
      <c r="EQ570" s="2" t="e">
        <f t="shared" si="3195"/>
        <v>#DIV/0!</v>
      </c>
      <c r="ER570" s="2" t="e">
        <f t="shared" si="3196"/>
        <v>#DIV/0!</v>
      </c>
      <c r="ES570" s="2">
        <f t="shared" si="3197"/>
        <v>3</v>
      </c>
    </row>
    <row r="571" spans="1:149" ht="12.75" customHeight="1">
      <c r="A571" s="6" t="s">
        <v>23</v>
      </c>
      <c r="B571" s="2" t="s">
        <v>17</v>
      </c>
      <c r="C571" s="3" t="s">
        <v>69</v>
      </c>
      <c r="E571" s="3" t="s">
        <v>18</v>
      </c>
      <c r="G571" s="3" t="s">
        <v>91</v>
      </c>
      <c r="I571" s="23"/>
      <c r="J571" s="19">
        <v>0</v>
      </c>
      <c r="K571" s="19">
        <v>0</v>
      </c>
      <c r="L571" s="19">
        <v>2</v>
      </c>
      <c r="M571" s="19">
        <v>2</v>
      </c>
      <c r="N571" s="19">
        <v>2</v>
      </c>
      <c r="O571" s="19">
        <v>2</v>
      </c>
      <c r="P571" s="19">
        <v>4</v>
      </c>
      <c r="Q571" s="19">
        <v>4</v>
      </c>
      <c r="R571" s="19">
        <v>4</v>
      </c>
      <c r="S571" s="19">
        <v>4</v>
      </c>
      <c r="T571" s="19">
        <v>4</v>
      </c>
      <c r="U571" s="19">
        <v>6</v>
      </c>
      <c r="V571" s="31">
        <v>0</v>
      </c>
      <c r="W571" s="19">
        <v>2</v>
      </c>
      <c r="X571" s="19">
        <v>2</v>
      </c>
      <c r="Y571" s="366">
        <v>2</v>
      </c>
      <c r="Z571" s="19">
        <v>2</v>
      </c>
      <c r="AA571" s="19">
        <v>2</v>
      </c>
      <c r="AB571" s="19">
        <v>6</v>
      </c>
      <c r="AC571" s="19">
        <v>6</v>
      </c>
      <c r="AD571" s="19">
        <v>6</v>
      </c>
      <c r="AE571" s="19">
        <v>6</v>
      </c>
      <c r="AF571" s="19"/>
      <c r="AG571" s="19">
        <v>1</v>
      </c>
      <c r="AH571" s="31"/>
      <c r="AI571" s="19"/>
      <c r="AJ571" s="19"/>
      <c r="AK571" s="408"/>
      <c r="AL571" s="19">
        <f t="shared" si="3225"/>
        <v>0</v>
      </c>
      <c r="AM571" s="19">
        <f t="shared" si="3281"/>
        <v>0</v>
      </c>
      <c r="AN571" s="19">
        <f t="shared" si="3246"/>
        <v>2</v>
      </c>
      <c r="AO571" s="19">
        <f t="shared" si="3247"/>
        <v>0</v>
      </c>
      <c r="AP571" s="129">
        <f t="shared" si="3248"/>
        <v>0</v>
      </c>
      <c r="AQ571" s="129">
        <f t="shared" si="3249"/>
        <v>0</v>
      </c>
      <c r="AR571" s="129">
        <f t="shared" si="3169"/>
        <v>2</v>
      </c>
      <c r="AS571" s="129">
        <f t="shared" si="3170"/>
        <v>0</v>
      </c>
      <c r="AT571" s="129">
        <f t="shared" si="3171"/>
        <v>0</v>
      </c>
      <c r="AU571" s="129">
        <f t="shared" si="3172"/>
        <v>0</v>
      </c>
      <c r="AV571" s="129">
        <f t="shared" si="3173"/>
        <v>0</v>
      </c>
      <c r="AW571" s="129">
        <f t="shared" si="3174"/>
        <v>2</v>
      </c>
      <c r="AX571" s="19">
        <f>V571</f>
        <v>0</v>
      </c>
      <c r="AY571" s="376">
        <f t="shared" ref="AY571:BI571" si="3285">W571</f>
        <v>2</v>
      </c>
      <c r="AZ571" s="376">
        <f t="shared" si="3285"/>
        <v>2</v>
      </c>
      <c r="BA571" s="376">
        <f t="shared" si="3285"/>
        <v>2</v>
      </c>
      <c r="BB571" s="376">
        <f t="shared" si="3285"/>
        <v>2</v>
      </c>
      <c r="BC571" s="376">
        <f t="shared" si="3285"/>
        <v>2</v>
      </c>
      <c r="BD571" s="376">
        <f t="shared" si="3285"/>
        <v>6</v>
      </c>
      <c r="BE571" s="376">
        <f t="shared" si="3285"/>
        <v>6</v>
      </c>
      <c r="BF571" s="376">
        <f t="shared" si="3285"/>
        <v>6</v>
      </c>
      <c r="BG571" s="376">
        <f t="shared" si="3285"/>
        <v>6</v>
      </c>
      <c r="BH571" s="376">
        <f t="shared" si="3285"/>
        <v>0</v>
      </c>
      <c r="BI571" s="376">
        <f t="shared" si="3285"/>
        <v>1</v>
      </c>
      <c r="BJ571" s="376">
        <f t="shared" si="3228"/>
        <v>0</v>
      </c>
      <c r="BK571" s="376">
        <f>AI571</f>
        <v>0</v>
      </c>
      <c r="BL571" s="376">
        <f>AJ571</f>
        <v>0</v>
      </c>
      <c r="BM571" s="408"/>
      <c r="BN571" s="48">
        <f t="shared" si="3198"/>
        <v>2</v>
      </c>
      <c r="BO571" s="48">
        <f t="shared" si="3199"/>
        <v>2</v>
      </c>
      <c r="BP571" s="48">
        <f t="shared" si="3250"/>
        <v>2</v>
      </c>
      <c r="BQ571" s="48">
        <f t="shared" si="3201"/>
        <v>0</v>
      </c>
      <c r="BR571" s="48">
        <f t="shared" si="3202"/>
        <v>0</v>
      </c>
      <c r="BS571" s="48">
        <f t="shared" si="3251"/>
        <v>0</v>
      </c>
      <c r="BT571" s="48">
        <f t="shared" si="3204"/>
        <v>2</v>
      </c>
      <c r="BU571" s="48">
        <f t="shared" si="3205"/>
        <v>2</v>
      </c>
      <c r="BV571" s="48">
        <f t="shared" si="3252"/>
        <v>2</v>
      </c>
      <c r="BW571" s="48">
        <f t="shared" si="3207"/>
        <v>2</v>
      </c>
      <c r="BX571" s="48">
        <f t="shared" si="3208"/>
        <v>2</v>
      </c>
      <c r="BY571" s="48">
        <f t="shared" si="3253"/>
        <v>2</v>
      </c>
      <c r="BZ571" s="48">
        <v>0</v>
      </c>
      <c r="CA571" s="48">
        <v>0</v>
      </c>
      <c r="CB571" s="48">
        <v>0</v>
      </c>
      <c r="CC571" s="48">
        <v>0</v>
      </c>
      <c r="CD571" s="48">
        <v>0</v>
      </c>
      <c r="CE571" s="48">
        <v>0</v>
      </c>
      <c r="CF571" s="48">
        <f t="shared" si="3216"/>
        <v>18</v>
      </c>
      <c r="CG571" s="48">
        <f t="shared" si="3217"/>
        <v>18</v>
      </c>
      <c r="CH571" s="48">
        <f t="shared" si="3254"/>
        <v>18</v>
      </c>
      <c r="CI571" s="48">
        <f t="shared" si="3219"/>
        <v>7</v>
      </c>
      <c r="CJ571" s="48">
        <f t="shared" si="3220"/>
        <v>7</v>
      </c>
      <c r="CK571" s="48">
        <f t="shared" si="3255"/>
        <v>7</v>
      </c>
      <c r="CL571" s="48">
        <f t="shared" si="3222"/>
        <v>0</v>
      </c>
      <c r="CM571" s="48">
        <f t="shared" si="3223"/>
        <v>0</v>
      </c>
      <c r="CN571" s="48">
        <f t="shared" si="3256"/>
        <v>0</v>
      </c>
      <c r="CO571" s="406"/>
      <c r="CP571" s="21">
        <f t="shared" si="3282"/>
        <v>0</v>
      </c>
      <c r="CQ571" s="21">
        <f t="shared" si="3283"/>
        <v>0</v>
      </c>
      <c r="CR571" s="21">
        <f t="shared" si="3257"/>
        <v>2</v>
      </c>
      <c r="CS571" s="21">
        <f t="shared" si="3258"/>
        <v>2</v>
      </c>
      <c r="CT571" s="21">
        <f t="shared" si="3259"/>
        <v>2</v>
      </c>
      <c r="CU571" s="21">
        <f t="shared" si="3260"/>
        <v>2</v>
      </c>
      <c r="CV571" s="21">
        <f t="shared" si="3261"/>
        <v>4</v>
      </c>
      <c r="CW571" s="21">
        <f t="shared" si="3262"/>
        <v>4</v>
      </c>
      <c r="CX571" s="21">
        <f t="shared" si="3263"/>
        <v>4</v>
      </c>
      <c r="CY571" s="21">
        <f t="shared" si="3264"/>
        <v>4</v>
      </c>
      <c r="CZ571" s="21">
        <f t="shared" si="3265"/>
        <v>4</v>
      </c>
      <c r="DA571" s="21">
        <f t="shared" si="3266"/>
        <v>6</v>
      </c>
      <c r="DB571" s="21">
        <f t="shared" si="3284"/>
        <v>0</v>
      </c>
      <c r="DC571" s="21">
        <f t="shared" si="3267"/>
        <v>2</v>
      </c>
      <c r="DD571" s="21">
        <f t="shared" si="3268"/>
        <v>4</v>
      </c>
      <c r="DE571" s="21">
        <f t="shared" si="3269"/>
        <v>6</v>
      </c>
      <c r="DF571" s="21">
        <f t="shared" si="3270"/>
        <v>8</v>
      </c>
      <c r="DG571" s="21">
        <f t="shared" si="3271"/>
        <v>10</v>
      </c>
      <c r="DH571" s="21">
        <f t="shared" si="3272"/>
        <v>16</v>
      </c>
      <c r="DI571" s="21">
        <f t="shared" si="3273"/>
        <v>22</v>
      </c>
      <c r="DJ571" s="21">
        <f t="shared" si="3274"/>
        <v>28</v>
      </c>
      <c r="DK571" s="21">
        <f t="shared" si="3275"/>
        <v>34</v>
      </c>
      <c r="DL571" s="21">
        <f t="shared" si="3276"/>
        <v>34</v>
      </c>
      <c r="DM571" s="21">
        <f t="shared" si="3277"/>
        <v>35</v>
      </c>
      <c r="DN571" s="21">
        <f t="shared" si="3278"/>
        <v>0</v>
      </c>
      <c r="DO571" s="21">
        <f t="shared" si="3279"/>
        <v>0</v>
      </c>
      <c r="DP571" s="21">
        <f t="shared" si="3280"/>
        <v>0</v>
      </c>
      <c r="DQ571" s="248"/>
      <c r="DR571" s="248"/>
      <c r="DS571" s="248"/>
      <c r="DT571" s="248"/>
      <c r="DU571" s="248"/>
      <c r="DV571" s="248"/>
      <c r="DW571" s="248"/>
      <c r="DX571" s="248"/>
      <c r="DY571" s="248"/>
      <c r="ED571" s="429"/>
      <c r="EE571" s="23"/>
      <c r="EF571" s="23"/>
      <c r="EG571" s="23"/>
      <c r="EH571" s="18">
        <f t="shared" si="3190"/>
        <v>0</v>
      </c>
      <c r="EI571" s="18">
        <f t="shared" si="3191"/>
        <v>0</v>
      </c>
      <c r="EJ571" s="18">
        <f t="shared" si="3192"/>
        <v>0</v>
      </c>
      <c r="EK571" s="24">
        <f t="shared" si="3235"/>
        <v>0.16666666666666666</v>
      </c>
      <c r="EL571" s="14">
        <f>IF(EE546=0,0,EH571/EE546)</f>
        <v>0</v>
      </c>
      <c r="EM571" s="14" t="str">
        <f>IF(EF546=0,"",EI571/EF546)</f>
        <v/>
      </c>
      <c r="EN571" s="14">
        <f t="shared" si="3240"/>
        <v>0</v>
      </c>
      <c r="EO571" s="46" t="str">
        <f t="shared" si="3241"/>
        <v>Æ</v>
      </c>
      <c r="EP571" s="46" t="str">
        <f t="shared" si="3242"/>
        <v>Æ</v>
      </c>
      <c r="EQ571" s="24" t="str">
        <f>IF(EJ546&lt;&gt;0,EM571/EJ546,"N/A")</f>
        <v>N/A</v>
      </c>
      <c r="ER571" s="2">
        <f>IF(EM571&gt;=0.9,1,IF(EM571&gt;0.75,2,3))</f>
        <v>1</v>
      </c>
      <c r="ES571" s="2">
        <f>IF(EN571="","",IF(EN571&gt;=0.9,1,IF(EN571&lt;0.75,3,2)))</f>
        <v>3</v>
      </c>
    </row>
    <row r="572" spans="1:149" ht="12.75" customHeight="1">
      <c r="A572" s="6" t="s">
        <v>23</v>
      </c>
      <c r="B572" s="324" t="s">
        <v>202</v>
      </c>
      <c r="C572" s="3" t="s">
        <v>70</v>
      </c>
      <c r="E572" s="3" t="s">
        <v>15</v>
      </c>
      <c r="G572" s="3" t="s">
        <v>91</v>
      </c>
      <c r="I572" s="23"/>
      <c r="J572" s="19">
        <v>0</v>
      </c>
      <c r="K572" s="19">
        <v>0</v>
      </c>
      <c r="L572" s="19">
        <v>0</v>
      </c>
      <c r="M572" s="19">
        <v>0</v>
      </c>
      <c r="N572" s="19">
        <v>0</v>
      </c>
      <c r="O572" s="19">
        <v>0</v>
      </c>
      <c r="P572" s="19">
        <v>0</v>
      </c>
      <c r="Q572" s="19">
        <v>0</v>
      </c>
      <c r="R572" s="19">
        <v>2</v>
      </c>
      <c r="S572" s="19">
        <v>2</v>
      </c>
      <c r="T572" s="19">
        <v>2</v>
      </c>
      <c r="U572" s="19">
        <v>5</v>
      </c>
      <c r="V572" s="31">
        <v>0</v>
      </c>
      <c r="W572" s="19">
        <v>0</v>
      </c>
      <c r="X572" s="19">
        <v>0</v>
      </c>
      <c r="Y572" s="366">
        <v>0</v>
      </c>
      <c r="Z572" s="19">
        <v>0</v>
      </c>
      <c r="AA572" s="19">
        <v>0</v>
      </c>
      <c r="AB572" s="19">
        <v>2</v>
      </c>
      <c r="AC572" s="19">
        <v>2</v>
      </c>
      <c r="AD572" s="19">
        <v>2</v>
      </c>
      <c r="AE572" s="19">
        <v>2</v>
      </c>
      <c r="AF572" s="19">
        <v>2</v>
      </c>
      <c r="AG572" s="19"/>
      <c r="AH572" s="31"/>
      <c r="AI572" s="19"/>
      <c r="AJ572" s="19"/>
      <c r="AK572" s="408"/>
      <c r="AL572" s="40">
        <f t="shared" si="3225"/>
        <v>0</v>
      </c>
      <c r="AM572" s="40">
        <f t="shared" si="3281"/>
        <v>0</v>
      </c>
      <c r="AN572" s="40">
        <f t="shared" si="3246"/>
        <v>0</v>
      </c>
      <c r="AO572" s="40">
        <f t="shared" si="3247"/>
        <v>0</v>
      </c>
      <c r="AP572" s="40">
        <f t="shared" ref="AP572:AW572" si="3286">N572-M572</f>
        <v>0</v>
      </c>
      <c r="AQ572" s="40">
        <f t="shared" si="3286"/>
        <v>0</v>
      </c>
      <c r="AR572" s="40">
        <f t="shared" si="3286"/>
        <v>0</v>
      </c>
      <c r="AS572" s="40">
        <f t="shared" si="3286"/>
        <v>0</v>
      </c>
      <c r="AT572" s="40">
        <f t="shared" si="3286"/>
        <v>2</v>
      </c>
      <c r="AU572" s="40">
        <f t="shared" si="3286"/>
        <v>0</v>
      </c>
      <c r="AV572" s="40">
        <f t="shared" si="3286"/>
        <v>0</v>
      </c>
      <c r="AW572" s="40">
        <f t="shared" si="3286"/>
        <v>3</v>
      </c>
      <c r="AX572" s="40">
        <f t="shared" si="3226"/>
        <v>0</v>
      </c>
      <c r="AY572" s="40">
        <f t="shared" ref="AY572:BL573" si="3287">W572-V572</f>
        <v>0</v>
      </c>
      <c r="AZ572" s="40">
        <f t="shared" si="3287"/>
        <v>0</v>
      </c>
      <c r="BA572" s="40">
        <f t="shared" si="3287"/>
        <v>0</v>
      </c>
      <c r="BB572" s="40">
        <f t="shared" si="3287"/>
        <v>0</v>
      </c>
      <c r="BC572" s="40">
        <f t="shared" si="3287"/>
        <v>0</v>
      </c>
      <c r="BD572" s="40">
        <f t="shared" si="3287"/>
        <v>2</v>
      </c>
      <c r="BE572" s="40">
        <f t="shared" si="3287"/>
        <v>0</v>
      </c>
      <c r="BF572" s="40">
        <f t="shared" si="3287"/>
        <v>0</v>
      </c>
      <c r="BG572" s="40">
        <f t="shared" si="3287"/>
        <v>0</v>
      </c>
      <c r="BH572" s="40">
        <f t="shared" si="3287"/>
        <v>0</v>
      </c>
      <c r="BI572" s="40">
        <f t="shared" si="3287"/>
        <v>-2</v>
      </c>
      <c r="BJ572" s="40">
        <f t="shared" si="3287"/>
        <v>0</v>
      </c>
      <c r="BK572" s="40">
        <f t="shared" si="3287"/>
        <v>0</v>
      </c>
      <c r="BL572" s="40">
        <f t="shared" si="3287"/>
        <v>0</v>
      </c>
      <c r="BM572" s="408"/>
      <c r="BN572" s="48">
        <f t="shared" si="3198"/>
        <v>0</v>
      </c>
      <c r="BO572" s="48">
        <f t="shared" si="3199"/>
        <v>0</v>
      </c>
      <c r="BP572" s="48">
        <f>SUM(AL572:AN572)</f>
        <v>0</v>
      </c>
      <c r="BQ572" s="48">
        <f t="shared" si="3201"/>
        <v>0</v>
      </c>
      <c r="BR572" s="48">
        <f t="shared" si="3202"/>
        <v>0</v>
      </c>
      <c r="BS572" s="48">
        <f>SUM(AO572:AQ572)</f>
        <v>0</v>
      </c>
      <c r="BT572" s="48">
        <f t="shared" si="3204"/>
        <v>2</v>
      </c>
      <c r="BU572" s="48">
        <f t="shared" si="3205"/>
        <v>2</v>
      </c>
      <c r="BV572" s="48">
        <f>SUM(AR572:AT572)</f>
        <v>2</v>
      </c>
      <c r="BW572" s="48">
        <f t="shared" si="3207"/>
        <v>3</v>
      </c>
      <c r="BX572" s="48">
        <f t="shared" si="3208"/>
        <v>3</v>
      </c>
      <c r="BY572" s="48">
        <f>SUM(AU572:AW572)</f>
        <v>3</v>
      </c>
      <c r="BZ572" s="48">
        <f t="shared" si="3210"/>
        <v>0</v>
      </c>
      <c r="CA572" s="48">
        <f t="shared" si="3211"/>
        <v>0</v>
      </c>
      <c r="CB572" s="48">
        <f>SUM(AX572:AZ572)</f>
        <v>0</v>
      </c>
      <c r="CC572" s="48">
        <f t="shared" si="3213"/>
        <v>0</v>
      </c>
      <c r="CD572" s="48">
        <f t="shared" si="3214"/>
        <v>0</v>
      </c>
      <c r="CE572" s="48">
        <f>SUM(BA572:BC572)</f>
        <v>0</v>
      </c>
      <c r="CF572" s="48">
        <f t="shared" si="3216"/>
        <v>2</v>
      </c>
      <c r="CG572" s="48">
        <f t="shared" si="3217"/>
        <v>2</v>
      </c>
      <c r="CH572" s="48">
        <f>SUM(BD572:BF572)</f>
        <v>2</v>
      </c>
      <c r="CI572" s="48">
        <f t="shared" si="3219"/>
        <v>-2</v>
      </c>
      <c r="CJ572" s="48">
        <f t="shared" si="3220"/>
        <v>-2</v>
      </c>
      <c r="CK572" s="48">
        <f>SUM(BG572:BI572)</f>
        <v>-2</v>
      </c>
      <c r="CL572" s="48">
        <f t="shared" si="3222"/>
        <v>0</v>
      </c>
      <c r="CM572" s="48">
        <f t="shared" si="3223"/>
        <v>0</v>
      </c>
      <c r="CN572" s="48">
        <f>SUM(BJ572:BL572)</f>
        <v>0</v>
      </c>
      <c r="CO572" s="406"/>
      <c r="CP572" s="48">
        <f t="shared" si="3282"/>
        <v>0</v>
      </c>
      <c r="CQ572" s="48">
        <f t="shared" si="3283"/>
        <v>0</v>
      </c>
      <c r="CR572" s="48">
        <f t="shared" si="3257"/>
        <v>0</v>
      </c>
      <c r="CS572" s="48">
        <f t="shared" si="3258"/>
        <v>0</v>
      </c>
      <c r="CT572" s="48">
        <f t="shared" si="3259"/>
        <v>0</v>
      </c>
      <c r="CU572" s="48">
        <f t="shared" si="3260"/>
        <v>0</v>
      </c>
      <c r="CV572" s="48">
        <f t="shared" si="3261"/>
        <v>0</v>
      </c>
      <c r="CW572" s="48">
        <f t="shared" si="3262"/>
        <v>0</v>
      </c>
      <c r="CX572" s="48">
        <f t="shared" si="3263"/>
        <v>2</v>
      </c>
      <c r="CY572" s="48">
        <f t="shared" si="3264"/>
        <v>2</v>
      </c>
      <c r="CZ572" s="48">
        <f t="shared" si="3265"/>
        <v>2</v>
      </c>
      <c r="DA572" s="48">
        <f t="shared" si="3266"/>
        <v>5</v>
      </c>
      <c r="DB572" s="48">
        <f t="shared" si="3284"/>
        <v>0</v>
      </c>
      <c r="DC572" s="48">
        <f t="shared" si="3267"/>
        <v>0</v>
      </c>
      <c r="DD572" s="48">
        <f t="shared" si="3268"/>
        <v>0</v>
      </c>
      <c r="DE572" s="48">
        <f t="shared" si="3269"/>
        <v>0</v>
      </c>
      <c r="DF572" s="48">
        <f t="shared" si="3270"/>
        <v>0</v>
      </c>
      <c r="DG572" s="48">
        <f t="shared" si="3271"/>
        <v>0</v>
      </c>
      <c r="DH572" s="48">
        <f t="shared" si="3272"/>
        <v>2</v>
      </c>
      <c r="DI572" s="48">
        <f t="shared" si="3273"/>
        <v>2</v>
      </c>
      <c r="DJ572" s="48">
        <f t="shared" si="3274"/>
        <v>2</v>
      </c>
      <c r="DK572" s="48">
        <f t="shared" si="3275"/>
        <v>2</v>
      </c>
      <c r="DL572" s="48">
        <f t="shared" si="3276"/>
        <v>2</v>
      </c>
      <c r="DM572" s="48">
        <f t="shared" si="3277"/>
        <v>0</v>
      </c>
      <c r="DN572" s="48">
        <f>DM572+BJ572</f>
        <v>0</v>
      </c>
      <c r="DO572" s="48">
        <f t="shared" si="3279"/>
        <v>0</v>
      </c>
      <c r="DP572" s="48">
        <f t="shared" si="3280"/>
        <v>0</v>
      </c>
      <c r="DQ572" s="48"/>
      <c r="DR572" s="48"/>
      <c r="DS572" s="48"/>
      <c r="DT572" s="48"/>
      <c r="DU572" s="48"/>
      <c r="DV572" s="48"/>
      <c r="DW572" s="48"/>
      <c r="DX572" s="48"/>
      <c r="DY572" s="48"/>
      <c r="ED572" s="429"/>
      <c r="EE572" s="23"/>
      <c r="EF572" s="23"/>
      <c r="EG572" s="23"/>
      <c r="EH572" s="18">
        <f t="shared" si="3190"/>
        <v>0</v>
      </c>
      <c r="EI572" s="18">
        <f t="shared" si="3191"/>
        <v>0</v>
      </c>
      <c r="EJ572" s="18">
        <f t="shared" si="3192"/>
        <v>0</v>
      </c>
      <c r="EK572" s="24">
        <f>IF(EK530&lt;6,0.5,IF(AND(EK530&gt;=6,EK530&lt;12),0.5,1))</f>
        <v>0.5</v>
      </c>
      <c r="EL572" s="14">
        <f>IF(EE547=0,0,EH572/EE547)</f>
        <v>0</v>
      </c>
      <c r="EM572" s="14">
        <f>IF(EF547=0,0,EI572/EF547)</f>
        <v>0</v>
      </c>
      <c r="EN572" s="14">
        <f>IF(EG547="","",EJ572/EG547)</f>
        <v>0</v>
      </c>
      <c r="EO572" s="46" t="str">
        <f t="shared" si="3241"/>
        <v>Æ</v>
      </c>
      <c r="EP572" s="46" t="str">
        <f t="shared" si="3242"/>
        <v>Ç</v>
      </c>
      <c r="EQ572" s="24" t="str">
        <f>IF(EJ547&lt;&gt;0,EM572/EJ547,"N/A")</f>
        <v>N/A</v>
      </c>
      <c r="ER572" s="24" t="str">
        <f>IF(EK547&lt;&gt;0,EN572/EK547,"N/A")</f>
        <v>N/A</v>
      </c>
      <c r="ES572" s="2">
        <f>IF(EN572="","",IF(EN572&gt;=0.9,1,IF(EN572&lt;0.75,3,2)))</f>
        <v>3</v>
      </c>
    </row>
    <row r="573" spans="1:149" ht="12.75" customHeight="1">
      <c r="A573" s="6" t="s">
        <v>23</v>
      </c>
      <c r="B573" s="2" t="s">
        <v>13</v>
      </c>
      <c r="C573" s="3" t="s">
        <v>71</v>
      </c>
      <c r="E573" s="3" t="s">
        <v>15</v>
      </c>
      <c r="G573" s="3" t="s">
        <v>91</v>
      </c>
      <c r="I573" s="23"/>
      <c r="J573" s="19">
        <v>0</v>
      </c>
      <c r="K573" s="19">
        <v>0</v>
      </c>
      <c r="L573" s="19">
        <v>0</v>
      </c>
      <c r="M573" s="19">
        <v>0</v>
      </c>
      <c r="N573" s="19">
        <v>0</v>
      </c>
      <c r="O573" s="19">
        <v>0</v>
      </c>
      <c r="P573" s="19">
        <v>0</v>
      </c>
      <c r="Q573" s="19">
        <v>0</v>
      </c>
      <c r="R573" s="19">
        <v>43078.75</v>
      </c>
      <c r="S573" s="19">
        <v>43078.75</v>
      </c>
      <c r="T573" s="19">
        <v>43078.75</v>
      </c>
      <c r="U573" s="19">
        <v>43078.75</v>
      </c>
      <c r="V573" s="31">
        <v>0</v>
      </c>
      <c r="W573" s="19">
        <v>0</v>
      </c>
      <c r="X573" s="19">
        <v>0</v>
      </c>
      <c r="Y573" s="366">
        <v>0</v>
      </c>
      <c r="Z573" s="19">
        <v>0</v>
      </c>
      <c r="AA573" s="19">
        <v>0</v>
      </c>
      <c r="AB573" s="263">
        <v>183592.43</v>
      </c>
      <c r="AC573" s="19">
        <v>0</v>
      </c>
      <c r="AD573" s="19">
        <v>0</v>
      </c>
      <c r="AE573" s="19">
        <v>0</v>
      </c>
      <c r="AF573" s="19">
        <v>0</v>
      </c>
      <c r="AG573" s="19"/>
      <c r="AH573" s="404">
        <v>48047.57</v>
      </c>
      <c r="AI573" s="19"/>
      <c r="AJ573" s="19"/>
      <c r="AK573" s="408"/>
      <c r="AL573" s="19">
        <f t="shared" si="3225"/>
        <v>0</v>
      </c>
      <c r="AM573" s="19"/>
      <c r="AN573" s="19"/>
      <c r="AO573" s="19"/>
      <c r="AP573" s="19"/>
      <c r="AQ573" s="19">
        <f t="shared" si="3249"/>
        <v>0</v>
      </c>
      <c r="AR573" s="19">
        <f t="shared" si="3169"/>
        <v>0</v>
      </c>
      <c r="AS573" s="19">
        <f t="shared" si="3170"/>
        <v>0</v>
      </c>
      <c r="AT573" s="19">
        <f t="shared" si="3171"/>
        <v>43078.75</v>
      </c>
      <c r="AU573" s="19">
        <f t="shared" si="3172"/>
        <v>0</v>
      </c>
      <c r="AV573" s="19">
        <f t="shared" si="3173"/>
        <v>0</v>
      </c>
      <c r="AW573" s="19">
        <f t="shared" si="3174"/>
        <v>0</v>
      </c>
      <c r="AX573" s="19">
        <f t="shared" si="3226"/>
        <v>0</v>
      </c>
      <c r="AY573" s="19">
        <f t="shared" si="3175"/>
        <v>0</v>
      </c>
      <c r="AZ573" s="19">
        <f t="shared" si="3176"/>
        <v>0</v>
      </c>
      <c r="BA573" s="19">
        <f t="shared" si="3227"/>
        <v>0</v>
      </c>
      <c r="BB573" s="19">
        <f t="shared" si="3287"/>
        <v>0</v>
      </c>
      <c r="BC573" s="19">
        <f t="shared" si="3287"/>
        <v>0</v>
      </c>
      <c r="BD573" s="19"/>
      <c r="BE573" s="19"/>
      <c r="BF573" s="19"/>
      <c r="BG573" s="19"/>
      <c r="BH573" s="19"/>
      <c r="BI573" s="19"/>
      <c r="BJ573" s="19"/>
      <c r="BK573" s="19"/>
      <c r="BL573" s="19"/>
      <c r="BM573" s="408"/>
      <c r="BN573" s="40" t="s">
        <v>97</v>
      </c>
      <c r="BO573" s="40" t="s">
        <v>97</v>
      </c>
      <c r="BP573" s="40" t="s">
        <v>97</v>
      </c>
      <c r="BQ573" s="40" t="s">
        <v>97</v>
      </c>
      <c r="BR573" s="40" t="s">
        <v>97</v>
      </c>
      <c r="BS573" s="40" t="s">
        <v>97</v>
      </c>
      <c r="BT573" s="40" t="s">
        <v>97</v>
      </c>
      <c r="BU573" s="40" t="s">
        <v>97</v>
      </c>
      <c r="BV573" s="40" t="s">
        <v>97</v>
      </c>
      <c r="BW573" s="40" t="s">
        <v>97</v>
      </c>
      <c r="BX573" s="40" t="s">
        <v>97</v>
      </c>
      <c r="BY573" s="40" t="s">
        <v>97</v>
      </c>
      <c r="BZ573" s="40" t="s">
        <v>97</v>
      </c>
      <c r="CA573" s="40" t="s">
        <v>97</v>
      </c>
      <c r="CB573" s="40" t="s">
        <v>97</v>
      </c>
      <c r="CC573" s="40" t="s">
        <v>97</v>
      </c>
      <c r="CD573" s="40" t="s">
        <v>97</v>
      </c>
      <c r="CE573" s="40" t="s">
        <v>97</v>
      </c>
      <c r="CF573" s="40" t="s">
        <v>97</v>
      </c>
      <c r="CG573" s="40" t="s">
        <v>97</v>
      </c>
      <c r="CH573" s="40" t="s">
        <v>97</v>
      </c>
      <c r="CI573" s="40" t="s">
        <v>97</v>
      </c>
      <c r="CJ573" s="40" t="s">
        <v>97</v>
      </c>
      <c r="CK573" s="40" t="s">
        <v>97</v>
      </c>
      <c r="CL573" s="40" t="s">
        <v>97</v>
      </c>
      <c r="CM573" s="40" t="s">
        <v>97</v>
      </c>
      <c r="CN573" s="40" t="s">
        <v>97</v>
      </c>
      <c r="CO573" s="408"/>
      <c r="CP573" s="21">
        <f t="shared" ref="CP573:CY574" si="3288">J573</f>
        <v>0</v>
      </c>
      <c r="CQ573" s="21">
        <f t="shared" si="3288"/>
        <v>0</v>
      </c>
      <c r="CR573" s="21">
        <f t="shared" si="3288"/>
        <v>0</v>
      </c>
      <c r="CS573" s="21">
        <f t="shared" si="3288"/>
        <v>0</v>
      </c>
      <c r="CT573" s="21">
        <f t="shared" si="3288"/>
        <v>0</v>
      </c>
      <c r="CU573" s="21">
        <f t="shared" si="3288"/>
        <v>0</v>
      </c>
      <c r="CV573" s="21">
        <f t="shared" si="3288"/>
        <v>0</v>
      </c>
      <c r="CW573" s="21">
        <f t="shared" si="3288"/>
        <v>0</v>
      </c>
      <c r="CX573" s="21">
        <f t="shared" si="3288"/>
        <v>43078.75</v>
      </c>
      <c r="CY573" s="21">
        <f t="shared" si="3288"/>
        <v>43078.75</v>
      </c>
      <c r="CZ573" s="21">
        <f t="shared" ref="CZ573:DI574" si="3289">T573</f>
        <v>43078.75</v>
      </c>
      <c r="DA573" s="21">
        <f t="shared" si="3289"/>
        <v>43078.75</v>
      </c>
      <c r="DB573" s="21">
        <f t="shared" si="3289"/>
        <v>0</v>
      </c>
      <c r="DC573" s="21">
        <f t="shared" si="3289"/>
        <v>0</v>
      </c>
      <c r="DD573" s="21">
        <f t="shared" si="3289"/>
        <v>0</v>
      </c>
      <c r="DE573" s="21">
        <f t="shared" si="3289"/>
        <v>0</v>
      </c>
      <c r="DF573" s="21">
        <f t="shared" si="3289"/>
        <v>0</v>
      </c>
      <c r="DG573" s="21">
        <f t="shared" si="3289"/>
        <v>0</v>
      </c>
      <c r="DH573" s="21">
        <f t="shared" si="3289"/>
        <v>183592.43</v>
      </c>
      <c r="DI573" s="21">
        <f t="shared" si="3289"/>
        <v>0</v>
      </c>
      <c r="DJ573" s="21">
        <f t="shared" ref="DJ573:DP574" si="3290">AD573</f>
        <v>0</v>
      </c>
      <c r="DK573" s="21">
        <f t="shared" si="3290"/>
        <v>0</v>
      </c>
      <c r="DL573" s="21">
        <f t="shared" si="3290"/>
        <v>0</v>
      </c>
      <c r="DM573" s="21">
        <f t="shared" si="3290"/>
        <v>0</v>
      </c>
      <c r="DN573" s="21">
        <f t="shared" si="3290"/>
        <v>48047.57</v>
      </c>
      <c r="DO573" s="21">
        <f t="shared" si="3290"/>
        <v>0</v>
      </c>
      <c r="DP573" s="21">
        <f t="shared" si="3290"/>
        <v>0</v>
      </c>
      <c r="DQ573" s="248"/>
      <c r="DR573" s="248"/>
      <c r="DS573" s="248"/>
      <c r="DT573" s="248"/>
      <c r="DU573" s="248"/>
      <c r="DV573" s="248"/>
      <c r="DW573" s="248"/>
      <c r="DX573" s="248"/>
      <c r="DY573" s="248"/>
      <c r="ED573" s="429"/>
      <c r="EE573" s="23"/>
      <c r="EF573" s="23"/>
      <c r="EG573" s="23"/>
      <c r="EH573" s="24" t="s">
        <v>97</v>
      </c>
      <c r="EI573" s="24" t="s">
        <v>97</v>
      </c>
      <c r="EJ573" s="18">
        <f t="shared" si="3192"/>
        <v>0</v>
      </c>
      <c r="EK573" s="24">
        <f t="shared" si="3235"/>
        <v>0.16666666666666666</v>
      </c>
      <c r="EL573" s="24" t="s">
        <v>97</v>
      </c>
      <c r="EM573" s="24" t="s">
        <v>97</v>
      </c>
      <c r="EN573" s="24">
        <f>EJ573/EG548</f>
        <v>0</v>
      </c>
      <c r="EO573" s="46" t="str">
        <f t="shared" si="3241"/>
        <v>Æ</v>
      </c>
      <c r="EP573" s="46" t="str">
        <f t="shared" si="3242"/>
        <v>Æ</v>
      </c>
      <c r="EQ573" s="24" t="s">
        <v>97</v>
      </c>
      <c r="ER573" s="24" t="s">
        <v>97</v>
      </c>
      <c r="ES573" s="2">
        <f>IF(EN573&gt;=0.9,1,IF(EN573&lt;0.75,2,3))</f>
        <v>2</v>
      </c>
    </row>
    <row r="574" spans="1:149" ht="12.75" customHeight="1" thickBot="1">
      <c r="A574" s="6" t="s">
        <v>23</v>
      </c>
      <c r="B574" s="2" t="s">
        <v>14</v>
      </c>
      <c r="C574" s="3" t="s">
        <v>72</v>
      </c>
      <c r="E574" s="3" t="s">
        <v>15</v>
      </c>
      <c r="G574" s="3" t="s">
        <v>91</v>
      </c>
      <c r="I574" s="23"/>
      <c r="J574" s="19">
        <v>0</v>
      </c>
      <c r="K574" s="19">
        <f>J574</f>
        <v>0</v>
      </c>
      <c r="L574" s="19">
        <v>0</v>
      </c>
      <c r="M574" s="19">
        <f>L574</f>
        <v>0</v>
      </c>
      <c r="N574" s="19">
        <v>0</v>
      </c>
      <c r="O574" s="19">
        <v>0</v>
      </c>
      <c r="P574" s="19">
        <v>0</v>
      </c>
      <c r="Q574" s="19">
        <v>0</v>
      </c>
      <c r="R574" s="246">
        <f>66750*0.5</f>
        <v>33375</v>
      </c>
      <c r="S574" s="19">
        <v>33375</v>
      </c>
      <c r="T574" s="19">
        <v>33375</v>
      </c>
      <c r="U574" s="19">
        <v>33375</v>
      </c>
      <c r="V574" s="34">
        <v>0</v>
      </c>
      <c r="W574" s="19">
        <v>0</v>
      </c>
      <c r="X574" s="19">
        <v>0</v>
      </c>
      <c r="Y574" s="366">
        <v>0</v>
      </c>
      <c r="Z574" s="19">
        <v>0</v>
      </c>
      <c r="AA574" s="19">
        <v>0</v>
      </c>
      <c r="AB574" s="19">
        <v>89100</v>
      </c>
      <c r="AC574" s="19">
        <v>0</v>
      </c>
      <c r="AD574" s="19">
        <v>0</v>
      </c>
      <c r="AE574" s="19">
        <v>0</v>
      </c>
      <c r="AF574" s="19">
        <v>0</v>
      </c>
      <c r="AG574" s="19"/>
      <c r="AH574" s="387">
        <v>75015.259999999995</v>
      </c>
      <c r="AI574" s="19"/>
      <c r="AJ574" s="19"/>
      <c r="AK574" s="408"/>
      <c r="AL574" s="19">
        <f t="shared" si="3225"/>
        <v>0</v>
      </c>
      <c r="AM574" s="19"/>
      <c r="AN574" s="19"/>
      <c r="AO574" s="19"/>
      <c r="AP574" s="19"/>
      <c r="AQ574" s="19">
        <f t="shared" si="3249"/>
        <v>0</v>
      </c>
      <c r="AR574" s="19">
        <f t="shared" si="3169"/>
        <v>0</v>
      </c>
      <c r="AS574" s="19">
        <f t="shared" si="3170"/>
        <v>0</v>
      </c>
      <c r="AT574" s="19">
        <f t="shared" si="3171"/>
        <v>33375</v>
      </c>
      <c r="AU574" s="19">
        <f t="shared" si="3172"/>
        <v>0</v>
      </c>
      <c r="AV574" s="19">
        <f t="shared" si="3173"/>
        <v>0</v>
      </c>
      <c r="AW574" s="19">
        <f t="shared" si="3174"/>
        <v>0</v>
      </c>
      <c r="AX574" s="19">
        <f t="shared" si="3226"/>
        <v>0</v>
      </c>
      <c r="AY574" s="19">
        <f t="shared" si="3175"/>
        <v>0</v>
      </c>
      <c r="AZ574" s="19">
        <f t="shared" si="3176"/>
        <v>0</v>
      </c>
      <c r="BA574" s="19">
        <f t="shared" si="3227"/>
        <v>0</v>
      </c>
      <c r="BB574" s="19"/>
      <c r="BC574" s="19"/>
      <c r="BD574" s="19"/>
      <c r="BE574" s="19"/>
      <c r="BF574" s="19"/>
      <c r="BG574" s="19"/>
      <c r="BH574" s="19"/>
      <c r="BI574" s="19"/>
      <c r="BJ574" s="19"/>
      <c r="BK574" s="19"/>
      <c r="BL574" s="19"/>
      <c r="BM574" s="408"/>
      <c r="BN574" s="40" t="s">
        <v>97</v>
      </c>
      <c r="BO574" s="40" t="s">
        <v>97</v>
      </c>
      <c r="BP574" s="40" t="s">
        <v>97</v>
      </c>
      <c r="BQ574" s="40" t="s">
        <v>97</v>
      </c>
      <c r="BR574" s="40" t="s">
        <v>97</v>
      </c>
      <c r="BS574" s="40" t="s">
        <v>97</v>
      </c>
      <c r="BT574" s="40" t="s">
        <v>97</v>
      </c>
      <c r="BU574" s="40" t="s">
        <v>97</v>
      </c>
      <c r="BV574" s="40" t="s">
        <v>97</v>
      </c>
      <c r="BW574" s="40" t="s">
        <v>97</v>
      </c>
      <c r="BX574" s="40" t="s">
        <v>97</v>
      </c>
      <c r="BY574" s="40" t="s">
        <v>97</v>
      </c>
      <c r="BZ574" s="40" t="s">
        <v>97</v>
      </c>
      <c r="CA574" s="40" t="s">
        <v>97</v>
      </c>
      <c r="CB574" s="40" t="s">
        <v>97</v>
      </c>
      <c r="CC574" s="40" t="s">
        <v>97</v>
      </c>
      <c r="CD574" s="40" t="s">
        <v>97</v>
      </c>
      <c r="CE574" s="40" t="s">
        <v>97</v>
      </c>
      <c r="CF574" s="40" t="s">
        <v>97</v>
      </c>
      <c r="CG574" s="40" t="s">
        <v>97</v>
      </c>
      <c r="CH574" s="40" t="s">
        <v>97</v>
      </c>
      <c r="CI574" s="40" t="s">
        <v>97</v>
      </c>
      <c r="CJ574" s="40" t="s">
        <v>97</v>
      </c>
      <c r="CK574" s="40" t="s">
        <v>97</v>
      </c>
      <c r="CL574" s="40" t="s">
        <v>97</v>
      </c>
      <c r="CM574" s="40" t="s">
        <v>97</v>
      </c>
      <c r="CN574" s="40" t="s">
        <v>97</v>
      </c>
      <c r="CO574" s="408"/>
      <c r="CP574" s="21">
        <f t="shared" si="3288"/>
        <v>0</v>
      </c>
      <c r="CQ574" s="21">
        <f t="shared" si="3288"/>
        <v>0</v>
      </c>
      <c r="CR574" s="21">
        <f t="shared" si="3288"/>
        <v>0</v>
      </c>
      <c r="CS574" s="21">
        <f t="shared" si="3288"/>
        <v>0</v>
      </c>
      <c r="CT574" s="21">
        <f t="shared" si="3288"/>
        <v>0</v>
      </c>
      <c r="CU574" s="21">
        <f t="shared" si="3288"/>
        <v>0</v>
      </c>
      <c r="CV574" s="21">
        <f t="shared" si="3288"/>
        <v>0</v>
      </c>
      <c r="CW574" s="21">
        <f t="shared" si="3288"/>
        <v>0</v>
      </c>
      <c r="CX574" s="21">
        <f t="shared" si="3288"/>
        <v>33375</v>
      </c>
      <c r="CY574" s="21">
        <f t="shared" si="3288"/>
        <v>33375</v>
      </c>
      <c r="CZ574" s="21">
        <f t="shared" si="3289"/>
        <v>33375</v>
      </c>
      <c r="DA574" s="21">
        <f t="shared" si="3289"/>
        <v>33375</v>
      </c>
      <c r="DB574" s="21">
        <f t="shared" si="3289"/>
        <v>0</v>
      </c>
      <c r="DC574" s="21">
        <f t="shared" si="3289"/>
        <v>0</v>
      </c>
      <c r="DD574" s="21">
        <f t="shared" si="3289"/>
        <v>0</v>
      </c>
      <c r="DE574" s="21">
        <f t="shared" si="3289"/>
        <v>0</v>
      </c>
      <c r="DF574" s="21">
        <f t="shared" si="3289"/>
        <v>0</v>
      </c>
      <c r="DG574" s="21">
        <f t="shared" si="3289"/>
        <v>0</v>
      </c>
      <c r="DH574" s="21">
        <f t="shared" si="3289"/>
        <v>89100</v>
      </c>
      <c r="DI574" s="21">
        <f t="shared" si="3289"/>
        <v>0</v>
      </c>
      <c r="DJ574" s="21">
        <f t="shared" si="3290"/>
        <v>0</v>
      </c>
      <c r="DK574" s="21">
        <f t="shared" si="3290"/>
        <v>0</v>
      </c>
      <c r="DL574" s="21">
        <f t="shared" si="3290"/>
        <v>0</v>
      </c>
      <c r="DM574" s="21">
        <f t="shared" si="3290"/>
        <v>0</v>
      </c>
      <c r="DN574" s="21">
        <f t="shared" si="3290"/>
        <v>75015.259999999995</v>
      </c>
      <c r="DO574" s="21">
        <f t="shared" si="3290"/>
        <v>0</v>
      </c>
      <c r="DP574" s="21">
        <f t="shared" si="3290"/>
        <v>0</v>
      </c>
      <c r="DQ574" s="248"/>
      <c r="DR574" s="248"/>
      <c r="DS574" s="248"/>
      <c r="DT574" s="248"/>
      <c r="DU574" s="248"/>
      <c r="DV574" s="248"/>
      <c r="DW574" s="248"/>
      <c r="DX574" s="248"/>
      <c r="DY574" s="248"/>
      <c r="ED574" s="429"/>
      <c r="EE574" s="23"/>
      <c r="EF574" s="23"/>
      <c r="EG574" s="23"/>
      <c r="EH574" s="24" t="s">
        <v>97</v>
      </c>
      <c r="EI574" s="24" t="s">
        <v>97</v>
      </c>
      <c r="EJ574" s="18">
        <f t="shared" si="3192"/>
        <v>0</v>
      </c>
      <c r="EK574" s="24">
        <f t="shared" si="3235"/>
        <v>0.16666666666666666</v>
      </c>
      <c r="EL574" s="24" t="s">
        <v>97</v>
      </c>
      <c r="EM574" s="24" t="s">
        <v>97</v>
      </c>
      <c r="EN574" s="24">
        <f>EJ574/EG549</f>
        <v>0</v>
      </c>
      <c r="EO574" s="46" t="str">
        <f t="shared" si="3241"/>
        <v>Æ</v>
      </c>
      <c r="EP574" s="46" t="str">
        <f t="shared" si="3242"/>
        <v>Æ</v>
      </c>
      <c r="EQ574" s="24" t="s">
        <v>97</v>
      </c>
      <c r="ER574" s="24" t="s">
        <v>97</v>
      </c>
      <c r="ES574" s="2">
        <f>IF(EN574&gt;=0.9,1,IF(EN574&lt;0.75,2,3))</f>
        <v>2</v>
      </c>
    </row>
    <row r="575" spans="1:149" ht="12.75" customHeight="1">
      <c r="A575" s="6" t="s">
        <v>23</v>
      </c>
      <c r="B575" s="2" t="s">
        <v>0</v>
      </c>
      <c r="C575" s="3" t="s">
        <v>59</v>
      </c>
      <c r="E575" s="3" t="s">
        <v>16</v>
      </c>
      <c r="G575" s="28" t="s">
        <v>92</v>
      </c>
      <c r="H575" s="28"/>
      <c r="I575" s="29"/>
      <c r="J575" s="30">
        <f t="shared" ref="J575:U575" si="3291">IF(J562&lt;&gt;"",+J562-I562,"")</f>
        <v>37</v>
      </c>
      <c r="K575" s="30">
        <f t="shared" si="3291"/>
        <v>34</v>
      </c>
      <c r="L575" s="30">
        <f t="shared" si="3291"/>
        <v>35</v>
      </c>
      <c r="M575" s="30">
        <f t="shared" si="3291"/>
        <v>21</v>
      </c>
      <c r="N575" s="30">
        <f t="shared" si="3291"/>
        <v>16</v>
      </c>
      <c r="O575" s="30">
        <f t="shared" si="3291"/>
        <v>14</v>
      </c>
      <c r="P575" s="30">
        <f t="shared" si="3291"/>
        <v>17</v>
      </c>
      <c r="Q575" s="30">
        <f t="shared" si="3291"/>
        <v>42</v>
      </c>
      <c r="R575" s="30">
        <f t="shared" si="3291"/>
        <v>33</v>
      </c>
      <c r="S575" s="30">
        <f t="shared" si="3291"/>
        <v>35</v>
      </c>
      <c r="T575" s="30">
        <f t="shared" si="3291"/>
        <v>34</v>
      </c>
      <c r="U575" s="30">
        <f t="shared" si="3291"/>
        <v>71</v>
      </c>
      <c r="V575" s="30">
        <f>IF(V555&lt;&gt;"",+V555-U555,"")</f>
        <v>60</v>
      </c>
      <c r="W575" s="30">
        <f>IF(W562&lt;&gt;"",+W562-V562,"")</f>
        <v>86</v>
      </c>
      <c r="X575" s="30">
        <f>IF(X562&lt;&gt;"",+X562-W562,"")</f>
        <v>64</v>
      </c>
      <c r="Y575" s="226">
        <f>IF(Y562&lt;&gt;"",+Y562-X562,0)</f>
        <v>96</v>
      </c>
      <c r="Z575" s="30">
        <f t="shared" ref="Z575:AG576" si="3292">IF(Z562&lt;&gt;"",+Z562-Y562,"")</f>
        <v>54</v>
      </c>
      <c r="AA575" s="30">
        <f t="shared" si="3292"/>
        <v>46</v>
      </c>
      <c r="AB575" s="30">
        <f t="shared" si="3292"/>
        <v>53</v>
      </c>
      <c r="AC575" s="30">
        <f t="shared" si="3292"/>
        <v>60</v>
      </c>
      <c r="AD575" s="30">
        <f t="shared" si="3292"/>
        <v>66</v>
      </c>
      <c r="AE575" s="30">
        <f t="shared" si="3292"/>
        <v>46</v>
      </c>
      <c r="AF575" s="30">
        <f t="shared" si="3292"/>
        <v>54</v>
      </c>
      <c r="AG575" s="30">
        <f t="shared" si="3292"/>
        <v>56</v>
      </c>
      <c r="AH575" s="30">
        <f>IF(AH562&lt;&gt;"",+AH562,"")</f>
        <v>113</v>
      </c>
      <c r="AI575" s="30">
        <f>IF(AI562&lt;&gt;"",+AI562-AH562,"")</f>
        <v>117</v>
      </c>
      <c r="AJ575" s="30" t="str">
        <f>IF(AJ562&lt;&gt;"",+AJ562-AI562,"")</f>
        <v/>
      </c>
      <c r="AK575" s="408"/>
      <c r="AL575" s="48">
        <f t="shared" si="3225"/>
        <v>37</v>
      </c>
      <c r="AM575" s="48">
        <f t="shared" ref="AM575:AV576" si="3293">K575</f>
        <v>34</v>
      </c>
      <c r="AN575" s="48">
        <f t="shared" si="3293"/>
        <v>35</v>
      </c>
      <c r="AO575" s="48">
        <f t="shared" si="3293"/>
        <v>21</v>
      </c>
      <c r="AP575" s="48">
        <f t="shared" si="3293"/>
        <v>16</v>
      </c>
      <c r="AQ575" s="48">
        <f t="shared" si="3293"/>
        <v>14</v>
      </c>
      <c r="AR575" s="48">
        <f t="shared" si="3293"/>
        <v>17</v>
      </c>
      <c r="AS575" s="48">
        <f t="shared" si="3293"/>
        <v>42</v>
      </c>
      <c r="AT575" s="48">
        <f t="shared" si="3293"/>
        <v>33</v>
      </c>
      <c r="AU575" s="48">
        <f t="shared" si="3293"/>
        <v>35</v>
      </c>
      <c r="AV575" s="48">
        <f t="shared" si="3293"/>
        <v>34</v>
      </c>
      <c r="AW575" s="48">
        <f t="shared" ref="AW575:BF576" si="3294">U575</f>
        <v>71</v>
      </c>
      <c r="AX575" s="48">
        <f t="shared" si="3294"/>
        <v>60</v>
      </c>
      <c r="AY575" s="48">
        <f t="shared" si="3294"/>
        <v>86</v>
      </c>
      <c r="AZ575" s="48">
        <f t="shared" si="3294"/>
        <v>64</v>
      </c>
      <c r="BA575" s="48">
        <f t="shared" si="3294"/>
        <v>96</v>
      </c>
      <c r="BB575" s="48">
        <f t="shared" si="3294"/>
        <v>54</v>
      </c>
      <c r="BC575" s="48">
        <f t="shared" si="3294"/>
        <v>46</v>
      </c>
      <c r="BD575" s="48">
        <f t="shared" si="3294"/>
        <v>53</v>
      </c>
      <c r="BE575" s="48">
        <f t="shared" si="3294"/>
        <v>60</v>
      </c>
      <c r="BF575" s="48">
        <f t="shared" si="3294"/>
        <v>66</v>
      </c>
      <c r="BG575" s="48">
        <f t="shared" ref="BG575:BL576" si="3295">AE575</f>
        <v>46</v>
      </c>
      <c r="BH575" s="48">
        <f t="shared" si="3295"/>
        <v>54</v>
      </c>
      <c r="BI575" s="48">
        <f t="shared" si="3295"/>
        <v>56</v>
      </c>
      <c r="BJ575" s="48">
        <f t="shared" si="3295"/>
        <v>113</v>
      </c>
      <c r="BK575" s="48">
        <f t="shared" si="3295"/>
        <v>117</v>
      </c>
      <c r="BL575" s="48" t="str">
        <f t="shared" si="3295"/>
        <v/>
      </c>
      <c r="BM575" s="408"/>
      <c r="BN575" s="48">
        <f>+AL575</f>
        <v>37</v>
      </c>
      <c r="BO575" s="48">
        <f t="shared" ref="BO575:BP577" si="3296">+BN575+AM575</f>
        <v>71</v>
      </c>
      <c r="BP575" s="48">
        <f t="shared" si="3296"/>
        <v>106</v>
      </c>
      <c r="BQ575" s="48">
        <f>+AO575</f>
        <v>21</v>
      </c>
      <c r="BR575" s="48">
        <f t="shared" ref="BR575:BS577" si="3297">+BQ575+AP575</f>
        <v>37</v>
      </c>
      <c r="BS575" s="48">
        <f t="shared" si="3297"/>
        <v>51</v>
      </c>
      <c r="BT575" s="48">
        <f>+AR575</f>
        <v>17</v>
      </c>
      <c r="BU575" s="48">
        <f t="shared" ref="BU575:BV577" si="3298">+BT575+AS575</f>
        <v>59</v>
      </c>
      <c r="BV575" s="48">
        <f t="shared" si="3298"/>
        <v>92</v>
      </c>
      <c r="BW575" s="48">
        <f>+AU575</f>
        <v>35</v>
      </c>
      <c r="BX575" s="48">
        <f t="shared" ref="BX575:BY577" si="3299">+BW575+AV575</f>
        <v>69</v>
      </c>
      <c r="BY575" s="48">
        <f t="shared" si="3299"/>
        <v>140</v>
      </c>
      <c r="BZ575" s="48">
        <f>+AX575</f>
        <v>60</v>
      </c>
      <c r="CA575" s="48">
        <f t="shared" ref="CA575:CB577" si="3300">+BZ575+AY575</f>
        <v>146</v>
      </c>
      <c r="CB575" s="48">
        <f t="shared" si="3300"/>
        <v>210</v>
      </c>
      <c r="CC575" s="48">
        <f>+BA575</f>
        <v>96</v>
      </c>
      <c r="CD575" s="48">
        <f t="shared" ref="CD575:CE577" si="3301">+CC575+BB575</f>
        <v>150</v>
      </c>
      <c r="CE575" s="48">
        <f t="shared" si="3301"/>
        <v>196</v>
      </c>
      <c r="CF575" s="48">
        <f>+BD575</f>
        <v>53</v>
      </c>
      <c r="CG575" s="48">
        <f t="shared" ref="CG575:CH577" si="3302">+CF575+BE575</f>
        <v>113</v>
      </c>
      <c r="CH575" s="48">
        <f t="shared" si="3302"/>
        <v>179</v>
      </c>
      <c r="CI575" s="48">
        <f>+BG575</f>
        <v>46</v>
      </c>
      <c r="CJ575" s="48">
        <f t="shared" ref="CJ575:CK577" si="3303">+CI575+BH575</f>
        <v>100</v>
      </c>
      <c r="CK575" s="48">
        <f t="shared" si="3303"/>
        <v>156</v>
      </c>
      <c r="CL575" s="48">
        <f>+BJ575</f>
        <v>113</v>
      </c>
      <c r="CM575" s="48">
        <f t="shared" ref="CM575:CN577" si="3304">+CL575+BK575</f>
        <v>230</v>
      </c>
      <c r="CN575" s="48" t="e">
        <f t="shared" si="3304"/>
        <v>#VALUE!</v>
      </c>
      <c r="CO575" s="406"/>
      <c r="CP575" s="40">
        <f>AL575</f>
        <v>37</v>
      </c>
      <c r="CQ575" s="40">
        <f t="shared" ref="CQ575:DA576" si="3305">CP575+AM575</f>
        <v>71</v>
      </c>
      <c r="CR575" s="40">
        <f t="shared" si="3305"/>
        <v>106</v>
      </c>
      <c r="CS575" s="40">
        <f t="shared" si="3305"/>
        <v>127</v>
      </c>
      <c r="CT575" s="40">
        <f t="shared" si="3305"/>
        <v>143</v>
      </c>
      <c r="CU575" s="40">
        <f t="shared" si="3305"/>
        <v>157</v>
      </c>
      <c r="CV575" s="40">
        <f t="shared" si="3305"/>
        <v>174</v>
      </c>
      <c r="CW575" s="40">
        <f t="shared" si="3305"/>
        <v>216</v>
      </c>
      <c r="CX575" s="40">
        <f t="shared" si="3305"/>
        <v>249</v>
      </c>
      <c r="CY575" s="40">
        <f t="shared" si="3305"/>
        <v>284</v>
      </c>
      <c r="CZ575" s="40">
        <f t="shared" si="3305"/>
        <v>318</v>
      </c>
      <c r="DA575" s="40">
        <f t="shared" si="3305"/>
        <v>389</v>
      </c>
      <c r="DB575" s="40">
        <f>AX575</f>
        <v>60</v>
      </c>
      <c r="DC575" s="40">
        <f t="shared" ref="DC575:DM576" si="3306">DB575+AY575</f>
        <v>146</v>
      </c>
      <c r="DD575" s="40">
        <f t="shared" si="3306"/>
        <v>210</v>
      </c>
      <c r="DE575" s="40">
        <f t="shared" si="3306"/>
        <v>306</v>
      </c>
      <c r="DF575" s="40">
        <f t="shared" si="3306"/>
        <v>360</v>
      </c>
      <c r="DG575" s="40">
        <f t="shared" si="3306"/>
        <v>406</v>
      </c>
      <c r="DH575" s="40">
        <f t="shared" si="3306"/>
        <v>459</v>
      </c>
      <c r="DI575" s="40">
        <f t="shared" si="3306"/>
        <v>519</v>
      </c>
      <c r="DJ575" s="40">
        <f t="shared" si="3306"/>
        <v>585</v>
      </c>
      <c r="DK575" s="40">
        <f t="shared" si="3306"/>
        <v>631</v>
      </c>
      <c r="DL575" s="40">
        <f t="shared" si="3306"/>
        <v>685</v>
      </c>
      <c r="DM575" s="40">
        <f t="shared" si="3306"/>
        <v>741</v>
      </c>
      <c r="DN575" s="40">
        <f>BJ575</f>
        <v>113</v>
      </c>
      <c r="DO575" s="40">
        <f>DN575+BK575</f>
        <v>230</v>
      </c>
      <c r="DP575" s="40" t="e">
        <f>DO575+BL575</f>
        <v>#VALUE!</v>
      </c>
      <c r="DQ575" s="40"/>
      <c r="DR575" s="40"/>
      <c r="DS575" s="40"/>
      <c r="DT575" s="40"/>
      <c r="DU575" s="40"/>
      <c r="DV575" s="40"/>
      <c r="DW575" s="40"/>
      <c r="DX575" s="40"/>
      <c r="DY575" s="40"/>
      <c r="EA575" s="53"/>
      <c r="EB575" s="53"/>
      <c r="EC575" s="53"/>
      <c r="ED575" s="429"/>
      <c r="EE575" s="54"/>
      <c r="EF575" s="54"/>
      <c r="EG575" s="54"/>
      <c r="EH575" s="18">
        <f>HLOOKUP($I$1,Month,ROW()-1)</f>
        <v>117</v>
      </c>
      <c r="EI575" s="18">
        <f>HLOOKUP($I$1,Qtr,ROW()-1)</f>
        <v>230</v>
      </c>
      <c r="EJ575" s="18">
        <f t="shared" si="3192"/>
        <v>230</v>
      </c>
      <c r="EK575" s="57">
        <f t="shared" si="3235"/>
        <v>0.16666666666666666</v>
      </c>
      <c r="EL575" s="14">
        <f>EH575/EE550</f>
        <v>1.526086956521739</v>
      </c>
      <c r="EM575" s="14">
        <f>EI575/EF550</f>
        <v>2</v>
      </c>
      <c r="EN575" s="14">
        <f>EJ575/EG550</f>
        <v>0.5</v>
      </c>
      <c r="EO575" s="46" t="str">
        <f>IF(EH575&lt;0,,IF(EH575&lt;EE550,"È",IF(EH575=EE550,"Æ","Ç")))</f>
        <v>Ç</v>
      </c>
      <c r="EP575" s="46" t="str">
        <f>IF(EI575&lt;0,,IF(EI575&gt;EF550,"È",IF(EI575=EF550,"Æ","Ç")))</f>
        <v>È</v>
      </c>
      <c r="EQ575" s="2">
        <f>IF(EL575&gt;=0.9,1,IF(EL575&lt;0.75,2,3))</f>
        <v>1</v>
      </c>
      <c r="ER575" s="2">
        <f>IF(EM575&gt;=0.9,1,IF(EM575&lt;0.75,2,3))</f>
        <v>1</v>
      </c>
      <c r="ES575" s="2">
        <f>IF(EN575&gt;=0.9,1,IF(EN575&lt;0.75,2,3))</f>
        <v>2</v>
      </c>
    </row>
    <row r="576" spans="1:149">
      <c r="A576" s="6" t="s">
        <v>23</v>
      </c>
      <c r="B576" s="2" t="s">
        <v>1</v>
      </c>
      <c r="C576" s="3" t="s">
        <v>60</v>
      </c>
      <c r="E576" s="3" t="s">
        <v>16</v>
      </c>
      <c r="G576" s="28" t="s">
        <v>92</v>
      </c>
      <c r="H576" s="28"/>
      <c r="I576" s="29"/>
      <c r="J576" s="30">
        <f>IF(J563&lt;&gt;"",,"")+J563-I563</f>
        <v>8</v>
      </c>
      <c r="K576" s="30">
        <f t="shared" ref="K576:U576" si="3307">IF(K563&lt;&gt;"",+K563-J563,"")</f>
        <v>7</v>
      </c>
      <c r="L576" s="30">
        <f t="shared" si="3307"/>
        <v>2</v>
      </c>
      <c r="M576" s="30">
        <f t="shared" si="3307"/>
        <v>2</v>
      </c>
      <c r="N576" s="30">
        <f t="shared" si="3307"/>
        <v>1</v>
      </c>
      <c r="O576" s="30">
        <f t="shared" si="3307"/>
        <v>2</v>
      </c>
      <c r="P576" s="30">
        <f t="shared" si="3307"/>
        <v>3</v>
      </c>
      <c r="Q576" s="30">
        <f t="shared" si="3307"/>
        <v>5</v>
      </c>
      <c r="R576" s="226">
        <f t="shared" si="3307"/>
        <v>10</v>
      </c>
      <c r="S576" s="30">
        <f t="shared" si="3307"/>
        <v>2</v>
      </c>
      <c r="T576" s="30">
        <f t="shared" si="3307"/>
        <v>4</v>
      </c>
      <c r="U576" s="30">
        <f t="shared" si="3307"/>
        <v>1</v>
      </c>
      <c r="V576" s="30">
        <f>IF(V563&lt;&gt;"",+V563,"")</f>
        <v>11</v>
      </c>
      <c r="W576" s="30">
        <f>IF(W563&lt;&gt;"",+W563-V563,"")</f>
        <v>14</v>
      </c>
      <c r="X576" s="30">
        <f>IF(X563&lt;&gt;"",+X563-W563,"")</f>
        <v>17</v>
      </c>
      <c r="Y576" s="30">
        <f>IF(Y563&lt;&gt;"",+Y563-X563,"")</f>
        <v>15</v>
      </c>
      <c r="Z576" s="30">
        <f t="shared" si="3292"/>
        <v>6</v>
      </c>
      <c r="AA576" s="30">
        <f t="shared" si="3292"/>
        <v>8</v>
      </c>
      <c r="AB576" s="30">
        <f t="shared" si="3292"/>
        <v>13</v>
      </c>
      <c r="AC576" s="30">
        <f t="shared" si="3292"/>
        <v>12</v>
      </c>
      <c r="AD576" s="30">
        <f t="shared" si="3292"/>
        <v>9</v>
      </c>
      <c r="AE576" s="30">
        <f t="shared" si="3292"/>
        <v>5</v>
      </c>
      <c r="AF576" s="30">
        <f t="shared" si="3292"/>
        <v>3</v>
      </c>
      <c r="AG576" s="30">
        <f t="shared" si="3292"/>
        <v>4</v>
      </c>
      <c r="AH576" s="30">
        <f>IF(AH563&lt;&gt;"",+AH563,"")</f>
        <v>37</v>
      </c>
      <c r="AI576" s="30">
        <f>IF(AI563&lt;&gt;"",+AI563-AH563,"")</f>
        <v>24</v>
      </c>
      <c r="AJ576" s="30" t="str">
        <f>IF(AJ563&lt;&gt;"",+AJ563-AI563,"")</f>
        <v/>
      </c>
      <c r="AK576" s="408"/>
      <c r="AL576" s="48">
        <f t="shared" si="3225"/>
        <v>8</v>
      </c>
      <c r="AM576" s="48">
        <f t="shared" si="3293"/>
        <v>7</v>
      </c>
      <c r="AN576" s="48">
        <f t="shared" si="3293"/>
        <v>2</v>
      </c>
      <c r="AO576" s="48">
        <f t="shared" si="3293"/>
        <v>2</v>
      </c>
      <c r="AP576" s="48">
        <f t="shared" si="3293"/>
        <v>1</v>
      </c>
      <c r="AQ576" s="48">
        <f t="shared" si="3293"/>
        <v>2</v>
      </c>
      <c r="AR576" s="48">
        <f t="shared" si="3293"/>
        <v>3</v>
      </c>
      <c r="AS576" s="48">
        <f t="shared" si="3293"/>
        <v>5</v>
      </c>
      <c r="AT576" s="48">
        <f t="shared" si="3293"/>
        <v>10</v>
      </c>
      <c r="AU576" s="48">
        <f t="shared" si="3293"/>
        <v>2</v>
      </c>
      <c r="AV576" s="48">
        <f t="shared" si="3293"/>
        <v>4</v>
      </c>
      <c r="AW576" s="48">
        <f t="shared" si="3294"/>
        <v>1</v>
      </c>
      <c r="AX576" s="48">
        <f t="shared" si="3294"/>
        <v>11</v>
      </c>
      <c r="AY576" s="48">
        <f t="shared" si="3294"/>
        <v>14</v>
      </c>
      <c r="AZ576" s="48">
        <f t="shared" si="3294"/>
        <v>17</v>
      </c>
      <c r="BA576" s="48">
        <f t="shared" si="3294"/>
        <v>15</v>
      </c>
      <c r="BB576" s="48">
        <f t="shared" si="3294"/>
        <v>6</v>
      </c>
      <c r="BC576" s="48">
        <f t="shared" si="3294"/>
        <v>8</v>
      </c>
      <c r="BD576" s="48">
        <f t="shared" si="3294"/>
        <v>13</v>
      </c>
      <c r="BE576" s="48">
        <f t="shared" si="3294"/>
        <v>12</v>
      </c>
      <c r="BF576" s="48">
        <f t="shared" si="3294"/>
        <v>9</v>
      </c>
      <c r="BG576" s="48">
        <f t="shared" si="3295"/>
        <v>5</v>
      </c>
      <c r="BH576" s="48">
        <f t="shared" si="3295"/>
        <v>3</v>
      </c>
      <c r="BI576" s="48">
        <f t="shared" si="3295"/>
        <v>4</v>
      </c>
      <c r="BJ576" s="48">
        <f t="shared" si="3295"/>
        <v>37</v>
      </c>
      <c r="BK576" s="48">
        <f t="shared" si="3295"/>
        <v>24</v>
      </c>
      <c r="BL576" s="48" t="str">
        <f t="shared" si="3295"/>
        <v/>
      </c>
      <c r="BM576" s="408"/>
      <c r="BN576" s="48">
        <f>+AL576</f>
        <v>8</v>
      </c>
      <c r="BO576" s="48">
        <f t="shared" si="3296"/>
        <v>15</v>
      </c>
      <c r="BP576" s="48">
        <f t="shared" si="3296"/>
        <v>17</v>
      </c>
      <c r="BQ576" s="48">
        <f>+AO576</f>
        <v>2</v>
      </c>
      <c r="BR576" s="48">
        <f t="shared" si="3297"/>
        <v>3</v>
      </c>
      <c r="BS576" s="48">
        <f t="shared" si="3297"/>
        <v>5</v>
      </c>
      <c r="BT576" s="48">
        <f>+AR576</f>
        <v>3</v>
      </c>
      <c r="BU576" s="48">
        <f t="shared" si="3298"/>
        <v>8</v>
      </c>
      <c r="BV576" s="48">
        <f t="shared" si="3298"/>
        <v>18</v>
      </c>
      <c r="BW576" s="48">
        <f>+AU576</f>
        <v>2</v>
      </c>
      <c r="BX576" s="48">
        <f t="shared" si="3299"/>
        <v>6</v>
      </c>
      <c r="BY576" s="48">
        <f t="shared" si="3299"/>
        <v>7</v>
      </c>
      <c r="BZ576" s="48">
        <f>+AX576</f>
        <v>11</v>
      </c>
      <c r="CA576" s="48">
        <f t="shared" si="3300"/>
        <v>25</v>
      </c>
      <c r="CB576" s="48">
        <f t="shared" si="3300"/>
        <v>42</v>
      </c>
      <c r="CC576" s="48">
        <f>+BA576</f>
        <v>15</v>
      </c>
      <c r="CD576" s="48">
        <f t="shared" si="3301"/>
        <v>21</v>
      </c>
      <c r="CE576" s="48">
        <f t="shared" si="3301"/>
        <v>29</v>
      </c>
      <c r="CF576" s="48">
        <f>+BD576</f>
        <v>13</v>
      </c>
      <c r="CG576" s="48">
        <f t="shared" si="3302"/>
        <v>25</v>
      </c>
      <c r="CH576" s="48">
        <f t="shared" si="3302"/>
        <v>34</v>
      </c>
      <c r="CI576" s="48">
        <f>+BG576</f>
        <v>5</v>
      </c>
      <c r="CJ576" s="48">
        <f t="shared" si="3303"/>
        <v>8</v>
      </c>
      <c r="CK576" s="48">
        <f t="shared" si="3303"/>
        <v>12</v>
      </c>
      <c r="CL576" s="48">
        <f>+BJ576</f>
        <v>37</v>
      </c>
      <c r="CM576" s="48">
        <f t="shared" si="3304"/>
        <v>61</v>
      </c>
      <c r="CN576" s="48" t="e">
        <f t="shared" si="3304"/>
        <v>#VALUE!</v>
      </c>
      <c r="CO576" s="406"/>
      <c r="CP576" s="40">
        <f>AL576</f>
        <v>8</v>
      </c>
      <c r="CQ576" s="40">
        <f t="shared" si="3305"/>
        <v>15</v>
      </c>
      <c r="CR576" s="40">
        <f t="shared" si="3305"/>
        <v>17</v>
      </c>
      <c r="CS576" s="40">
        <f t="shared" si="3305"/>
        <v>19</v>
      </c>
      <c r="CT576" s="40">
        <f t="shared" si="3305"/>
        <v>20</v>
      </c>
      <c r="CU576" s="40">
        <f t="shared" si="3305"/>
        <v>22</v>
      </c>
      <c r="CV576" s="40">
        <f t="shared" si="3305"/>
        <v>25</v>
      </c>
      <c r="CW576" s="40">
        <f t="shared" si="3305"/>
        <v>30</v>
      </c>
      <c r="CX576" s="40">
        <f t="shared" si="3305"/>
        <v>40</v>
      </c>
      <c r="CY576" s="40">
        <f t="shared" si="3305"/>
        <v>42</v>
      </c>
      <c r="CZ576" s="40">
        <f t="shared" si="3305"/>
        <v>46</v>
      </c>
      <c r="DA576" s="40">
        <f t="shared" si="3305"/>
        <v>47</v>
      </c>
      <c r="DB576" s="40">
        <f>AX576</f>
        <v>11</v>
      </c>
      <c r="DC576" s="40">
        <f t="shared" si="3306"/>
        <v>25</v>
      </c>
      <c r="DD576" s="40">
        <f t="shared" si="3306"/>
        <v>42</v>
      </c>
      <c r="DE576" s="40">
        <f t="shared" si="3306"/>
        <v>57</v>
      </c>
      <c r="DF576" s="40">
        <f t="shared" si="3306"/>
        <v>63</v>
      </c>
      <c r="DG576" s="40">
        <f t="shared" si="3306"/>
        <v>71</v>
      </c>
      <c r="DH576" s="40">
        <f t="shared" si="3306"/>
        <v>84</v>
      </c>
      <c r="DI576" s="40">
        <f t="shared" si="3306"/>
        <v>96</v>
      </c>
      <c r="DJ576" s="40">
        <f t="shared" si="3306"/>
        <v>105</v>
      </c>
      <c r="DK576" s="40">
        <f t="shared" si="3306"/>
        <v>110</v>
      </c>
      <c r="DL576" s="40">
        <f t="shared" si="3306"/>
        <v>113</v>
      </c>
      <c r="DM576" s="40">
        <f t="shared" si="3306"/>
        <v>117</v>
      </c>
      <c r="DN576" s="40">
        <f>BJ576</f>
        <v>37</v>
      </c>
      <c r="DO576" s="40">
        <f>DN576+BK576</f>
        <v>61</v>
      </c>
      <c r="DP576" s="40" t="e">
        <f>DO576+BL576</f>
        <v>#VALUE!</v>
      </c>
      <c r="DQ576" s="40"/>
      <c r="DR576" s="40"/>
      <c r="DS576" s="40"/>
      <c r="DT576" s="40"/>
      <c r="DU576" s="40"/>
      <c r="DV576" s="40"/>
      <c r="DW576" s="40"/>
      <c r="DX576" s="40"/>
      <c r="DY576" s="40"/>
      <c r="EA576" s="53"/>
      <c r="EB576" s="53"/>
      <c r="EC576" s="53"/>
      <c r="ED576" s="429"/>
      <c r="EE576" s="54"/>
      <c r="EF576" s="54"/>
      <c r="EG576" s="54"/>
      <c r="EH576" s="18">
        <f>HLOOKUP($I$1,Month,ROW()-1)</f>
        <v>24</v>
      </c>
      <c r="EI576" s="18">
        <f>HLOOKUP($I$1,Qtr,ROW()-1)</f>
        <v>61</v>
      </c>
      <c r="EJ576" s="18">
        <f t="shared" si="3192"/>
        <v>61</v>
      </c>
      <c r="EK576" s="57">
        <f t="shared" si="3235"/>
        <v>0.16666666666666666</v>
      </c>
      <c r="EL576" s="14">
        <f>EH576/EE551</f>
        <v>3.6923076923076925</v>
      </c>
      <c r="EM576" s="14">
        <f>EI576/EF551</f>
        <v>4.6923076923076925</v>
      </c>
      <c r="EN576" s="14">
        <f>EJ576/EG551</f>
        <v>0.73053892224317829</v>
      </c>
      <c r="EO576" s="46" t="str">
        <f t="shared" si="3241"/>
        <v>Ç</v>
      </c>
      <c r="EP576" s="46" t="str">
        <f t="shared" si="3242"/>
        <v>Ç</v>
      </c>
      <c r="EQ576" s="2">
        <f>IF(EL576&gt;=0.9,1,IF(EL576&lt;0.75,2,3))</f>
        <v>1</v>
      </c>
      <c r="ER576" s="2">
        <f>IF(EM576&gt;=0.9,1,IF(EM576&lt;0.75,2,3))</f>
        <v>1</v>
      </c>
      <c r="ES576" s="2">
        <f>IF(EN576&gt;=0.9,1,IF(EN576&lt;0.75,2,3))</f>
        <v>2</v>
      </c>
    </row>
    <row r="577" spans="1:149">
      <c r="A577" s="6" t="s">
        <v>23</v>
      </c>
      <c r="B577" s="2" t="s">
        <v>98</v>
      </c>
      <c r="G577" s="28" t="s">
        <v>92</v>
      </c>
      <c r="H577" s="28"/>
      <c r="I577" s="29"/>
      <c r="J577" s="32">
        <f>J564*J565</f>
        <v>0</v>
      </c>
      <c r="K577" s="32">
        <f t="shared" ref="K577:AJ577" si="3308">K564*K565</f>
        <v>1.4</v>
      </c>
      <c r="L577" s="32">
        <f t="shared" si="3308"/>
        <v>1.7999999999999998</v>
      </c>
      <c r="M577" s="32">
        <f t="shared" si="3308"/>
        <v>4.8</v>
      </c>
      <c r="N577" s="32">
        <f t="shared" si="3308"/>
        <v>4</v>
      </c>
      <c r="O577" s="32">
        <f t="shared" si="3308"/>
        <v>3.8</v>
      </c>
      <c r="P577" s="32">
        <f t="shared" si="3308"/>
        <v>1</v>
      </c>
      <c r="Q577" s="32">
        <f t="shared" si="3308"/>
        <v>1</v>
      </c>
      <c r="R577" s="32">
        <f t="shared" si="3308"/>
        <v>8</v>
      </c>
      <c r="S577" s="32">
        <f t="shared" si="3308"/>
        <v>7.2</v>
      </c>
      <c r="T577" s="32">
        <f t="shared" si="3308"/>
        <v>3.4</v>
      </c>
      <c r="U577" s="32">
        <f t="shared" si="3308"/>
        <v>4</v>
      </c>
      <c r="V577" s="32">
        <f t="shared" si="3308"/>
        <v>8.19</v>
      </c>
      <c r="W577" s="32">
        <f t="shared" si="3308"/>
        <v>6.58</v>
      </c>
      <c r="X577" s="32">
        <f t="shared" si="3308"/>
        <v>3.8</v>
      </c>
      <c r="Y577" s="32">
        <f t="shared" si="3308"/>
        <v>6.79</v>
      </c>
      <c r="Z577" s="32">
        <f t="shared" si="3308"/>
        <v>8.19</v>
      </c>
      <c r="AA577" s="32">
        <f t="shared" si="3308"/>
        <v>9.7900000000000009</v>
      </c>
      <c r="AB577" s="32">
        <f t="shared" si="3308"/>
        <v>5</v>
      </c>
      <c r="AC577" s="32">
        <f t="shared" si="3308"/>
        <v>11.16</v>
      </c>
      <c r="AD577" s="32">
        <f t="shared" si="3308"/>
        <v>14.399999999999999</v>
      </c>
      <c r="AE577" s="32">
        <f t="shared" si="3308"/>
        <v>11.76</v>
      </c>
      <c r="AF577" s="32">
        <f t="shared" si="3308"/>
        <v>10.01</v>
      </c>
      <c r="AG577" s="32">
        <f t="shared" si="3308"/>
        <v>15.64</v>
      </c>
      <c r="AH577" s="32">
        <f t="shared" si="3308"/>
        <v>13.16</v>
      </c>
      <c r="AI577" s="32">
        <f t="shared" si="3308"/>
        <v>5</v>
      </c>
      <c r="AJ577" s="32">
        <f t="shared" si="3308"/>
        <v>0</v>
      </c>
      <c r="AK577" s="408"/>
      <c r="AL577" s="56">
        <f t="shared" ref="AL577:BL577" si="3309">AL564*AL565</f>
        <v>0</v>
      </c>
      <c r="AM577" s="56">
        <f t="shared" si="3309"/>
        <v>1.4</v>
      </c>
      <c r="AN577" s="56">
        <f t="shared" si="3309"/>
        <v>1.7999999999999998</v>
      </c>
      <c r="AO577" s="56">
        <f t="shared" si="3309"/>
        <v>4.8</v>
      </c>
      <c r="AP577" s="56">
        <f t="shared" si="3309"/>
        <v>0.16000000000000014</v>
      </c>
      <c r="AQ577" s="56">
        <f t="shared" si="3309"/>
        <v>3.8</v>
      </c>
      <c r="AR577" s="56">
        <f t="shared" si="3309"/>
        <v>1</v>
      </c>
      <c r="AS577" s="56">
        <f t="shared" si="3309"/>
        <v>1</v>
      </c>
      <c r="AT577" s="56">
        <f t="shared" si="3309"/>
        <v>8</v>
      </c>
      <c r="AU577" s="56">
        <f t="shared" si="3309"/>
        <v>7.2</v>
      </c>
      <c r="AV577" s="56">
        <f t="shared" si="3309"/>
        <v>3.4</v>
      </c>
      <c r="AW577" s="56">
        <f t="shared" si="3309"/>
        <v>4</v>
      </c>
      <c r="AX577" s="56">
        <f t="shared" si="3309"/>
        <v>8.19</v>
      </c>
      <c r="AY577" s="56">
        <f t="shared" si="3309"/>
        <v>6.58</v>
      </c>
      <c r="AZ577" s="56">
        <f t="shared" si="3309"/>
        <v>3.8</v>
      </c>
      <c r="BA577" s="56">
        <f t="shared" si="3309"/>
        <v>6.79</v>
      </c>
      <c r="BB577" s="56">
        <f t="shared" si="3309"/>
        <v>8.19</v>
      </c>
      <c r="BC577" s="56">
        <f t="shared" si="3309"/>
        <v>9.7900000000000009</v>
      </c>
      <c r="BD577" s="56">
        <f t="shared" si="3309"/>
        <v>5</v>
      </c>
      <c r="BE577" s="56">
        <f t="shared" si="3309"/>
        <v>11.16</v>
      </c>
      <c r="BF577" s="56">
        <f t="shared" si="3309"/>
        <v>14.399999999999999</v>
      </c>
      <c r="BG577" s="56">
        <f t="shared" si="3309"/>
        <v>11.76</v>
      </c>
      <c r="BH577" s="56">
        <f t="shared" si="3309"/>
        <v>10.01</v>
      </c>
      <c r="BI577" s="56">
        <f t="shared" si="3309"/>
        <v>15.64</v>
      </c>
      <c r="BJ577" s="56">
        <f t="shared" si="3309"/>
        <v>13.16</v>
      </c>
      <c r="BK577" s="56">
        <f t="shared" si="3309"/>
        <v>0.30000000000000027</v>
      </c>
      <c r="BL577" s="56">
        <f t="shared" si="3309"/>
        <v>0</v>
      </c>
      <c r="BM577" s="408"/>
      <c r="BN577" s="56">
        <f>+AL577</f>
        <v>0</v>
      </c>
      <c r="BO577" s="56">
        <f t="shared" si="3296"/>
        <v>1.4</v>
      </c>
      <c r="BP577" s="56">
        <f t="shared" si="3296"/>
        <v>3.1999999999999997</v>
      </c>
      <c r="BQ577" s="56">
        <f>+AO577</f>
        <v>4.8</v>
      </c>
      <c r="BR577" s="56">
        <f t="shared" si="3297"/>
        <v>4.96</v>
      </c>
      <c r="BS577" s="56">
        <f t="shared" si="3297"/>
        <v>8.76</v>
      </c>
      <c r="BT577" s="56">
        <f>+AR577</f>
        <v>1</v>
      </c>
      <c r="BU577" s="56">
        <f t="shared" si="3298"/>
        <v>2</v>
      </c>
      <c r="BV577" s="56">
        <f t="shared" si="3298"/>
        <v>10</v>
      </c>
      <c r="BW577" s="56">
        <f>+AU577</f>
        <v>7.2</v>
      </c>
      <c r="BX577" s="56">
        <f t="shared" si="3299"/>
        <v>10.6</v>
      </c>
      <c r="BY577" s="56">
        <f t="shared" si="3299"/>
        <v>14.6</v>
      </c>
      <c r="BZ577" s="56">
        <f>+AX577</f>
        <v>8.19</v>
      </c>
      <c r="CA577" s="56">
        <f t="shared" si="3300"/>
        <v>14.77</v>
      </c>
      <c r="CB577" s="56">
        <f t="shared" si="3300"/>
        <v>18.57</v>
      </c>
      <c r="CC577" s="56">
        <f>+BA577</f>
        <v>6.79</v>
      </c>
      <c r="CD577" s="56">
        <f t="shared" si="3301"/>
        <v>14.98</v>
      </c>
      <c r="CE577" s="56">
        <f t="shared" si="3301"/>
        <v>24.770000000000003</v>
      </c>
      <c r="CF577" s="56">
        <f>+BD577</f>
        <v>5</v>
      </c>
      <c r="CG577" s="56">
        <f t="shared" si="3302"/>
        <v>16.16</v>
      </c>
      <c r="CH577" s="56">
        <f t="shared" si="3302"/>
        <v>30.56</v>
      </c>
      <c r="CI577" s="56">
        <f>+BG577</f>
        <v>11.76</v>
      </c>
      <c r="CJ577" s="56">
        <f t="shared" si="3303"/>
        <v>21.77</v>
      </c>
      <c r="CK577" s="56">
        <f t="shared" si="3303"/>
        <v>37.409999999999997</v>
      </c>
      <c r="CL577" s="56">
        <f>+BJ577</f>
        <v>13.16</v>
      </c>
      <c r="CM577" s="56">
        <f t="shared" si="3304"/>
        <v>13.46</v>
      </c>
      <c r="CN577" s="56">
        <f t="shared" si="3304"/>
        <v>13.46</v>
      </c>
      <c r="CO577" s="406"/>
      <c r="CP577" s="60">
        <f>J577</f>
        <v>0</v>
      </c>
      <c r="CQ577" s="60">
        <f t="shared" ref="CQ577:DA577" si="3310">CP577+K577</f>
        <v>1.4</v>
      </c>
      <c r="CR577" s="60">
        <f t="shared" si="3310"/>
        <v>3.1999999999999997</v>
      </c>
      <c r="CS577" s="60">
        <f t="shared" si="3310"/>
        <v>8</v>
      </c>
      <c r="CT577" s="60">
        <f t="shared" si="3310"/>
        <v>12</v>
      </c>
      <c r="CU577" s="60">
        <f t="shared" si="3310"/>
        <v>15.8</v>
      </c>
      <c r="CV577" s="60">
        <f t="shared" si="3310"/>
        <v>16.8</v>
      </c>
      <c r="CW577" s="60">
        <f t="shared" si="3310"/>
        <v>17.8</v>
      </c>
      <c r="CX577" s="60">
        <f t="shared" si="3310"/>
        <v>25.8</v>
      </c>
      <c r="CY577" s="60">
        <f t="shared" si="3310"/>
        <v>33</v>
      </c>
      <c r="CZ577" s="60">
        <f t="shared" si="3310"/>
        <v>36.4</v>
      </c>
      <c r="DA577" s="60">
        <f t="shared" si="3310"/>
        <v>40.4</v>
      </c>
      <c r="DB577" s="60">
        <f>V577</f>
        <v>8.19</v>
      </c>
      <c r="DC577" s="60">
        <f t="shared" ref="DC577:DM577" si="3311">DB577+W577</f>
        <v>14.77</v>
      </c>
      <c r="DD577" s="60">
        <f t="shared" si="3311"/>
        <v>18.57</v>
      </c>
      <c r="DE577" s="60">
        <f t="shared" si="3311"/>
        <v>25.36</v>
      </c>
      <c r="DF577" s="60">
        <f t="shared" si="3311"/>
        <v>33.549999999999997</v>
      </c>
      <c r="DG577" s="60">
        <f t="shared" si="3311"/>
        <v>43.339999999999996</v>
      </c>
      <c r="DH577" s="60">
        <f t="shared" si="3311"/>
        <v>48.339999999999996</v>
      </c>
      <c r="DI577" s="60">
        <f t="shared" si="3311"/>
        <v>59.5</v>
      </c>
      <c r="DJ577" s="60">
        <f t="shared" si="3311"/>
        <v>73.900000000000006</v>
      </c>
      <c r="DK577" s="60">
        <f t="shared" si="3311"/>
        <v>85.660000000000011</v>
      </c>
      <c r="DL577" s="60">
        <f t="shared" si="3311"/>
        <v>95.670000000000016</v>
      </c>
      <c r="DM577" s="60">
        <f t="shared" si="3311"/>
        <v>111.31000000000002</v>
      </c>
      <c r="DN577" s="60">
        <f>AH577</f>
        <v>13.16</v>
      </c>
      <c r="DO577" s="60">
        <f>DN577+AI577</f>
        <v>18.16</v>
      </c>
      <c r="DP577" s="60">
        <f>DO577+AJ577</f>
        <v>18.16</v>
      </c>
      <c r="DQ577" s="60"/>
      <c r="DR577" s="60"/>
      <c r="DS577" s="60"/>
      <c r="DT577" s="60"/>
      <c r="DU577" s="60"/>
      <c r="DV577" s="60"/>
      <c r="DW577" s="60"/>
      <c r="DX577" s="60"/>
      <c r="DY577" s="60"/>
      <c r="EA577" s="53"/>
      <c r="EB577" s="53"/>
      <c r="EC577" s="53"/>
      <c r="ED577" s="429"/>
      <c r="EE577" s="54"/>
      <c r="EF577" s="54"/>
      <c r="EG577" s="54"/>
      <c r="EH577" s="18">
        <f>HLOOKUP($I$1,Month,ROW()-1)</f>
        <v>0.30000000000000027</v>
      </c>
      <c r="EI577" s="18">
        <f>HLOOKUP($I$1,Qtr,ROW()-1)</f>
        <v>13.46</v>
      </c>
      <c r="EJ577" s="18">
        <f t="shared" si="3192"/>
        <v>18.16</v>
      </c>
      <c r="EK577" s="57">
        <f t="shared" si="3235"/>
        <v>0.16666666666666666</v>
      </c>
      <c r="EL577" s="14"/>
      <c r="EM577" s="14" t="e">
        <f>EI577/EF553</f>
        <v>#DIV/0!</v>
      </c>
      <c r="EN577" s="14"/>
      <c r="EO577" s="46" t="str">
        <f>IF(EH577&lt;0,,IF(EH577&lt;EE553,"È",IF(EH577=EE553,"Æ","Ç")))</f>
        <v>Ç</v>
      </c>
      <c r="EP577" s="46" t="str">
        <f>IF(EI577&lt;0,,IF(EI577&lt;EF553,"È",IF(EI577=EF553,"Æ","Ç")))</f>
        <v>Ç</v>
      </c>
    </row>
    <row r="578" spans="1:149" ht="13.5" thickBot="1">
      <c r="K578" s="42" t="s">
        <v>114</v>
      </c>
      <c r="AL578" s="14"/>
      <c r="CN578" s="23" t="s">
        <v>152</v>
      </c>
      <c r="CP578" s="2">
        <v>10</v>
      </c>
      <c r="CQ578" s="2">
        <v>11</v>
      </c>
      <c r="CR578" s="2">
        <v>12</v>
      </c>
      <c r="CS578" s="2">
        <v>1</v>
      </c>
      <c r="CT578" s="2">
        <v>2</v>
      </c>
      <c r="CU578" s="2">
        <v>3</v>
      </c>
      <c r="CV578" s="2">
        <v>4</v>
      </c>
      <c r="CW578" s="2">
        <v>5</v>
      </c>
      <c r="CX578" s="2">
        <v>6</v>
      </c>
      <c r="CY578" s="2">
        <v>7</v>
      </c>
      <c r="CZ578" s="2">
        <v>8</v>
      </c>
      <c r="DA578" s="2">
        <v>9</v>
      </c>
      <c r="DB578" s="2">
        <v>10</v>
      </c>
      <c r="DC578" s="2">
        <v>11</v>
      </c>
      <c r="DD578" s="2">
        <v>12</v>
      </c>
      <c r="DE578" s="2">
        <v>1</v>
      </c>
      <c r="DF578" s="2">
        <v>2</v>
      </c>
      <c r="DG578" s="2">
        <v>3</v>
      </c>
      <c r="DH578" s="2">
        <v>4</v>
      </c>
      <c r="DI578" s="2">
        <v>5</v>
      </c>
      <c r="DJ578" s="2">
        <v>6</v>
      </c>
      <c r="DK578" s="2">
        <v>7</v>
      </c>
      <c r="DL578" s="2">
        <v>8</v>
      </c>
      <c r="DM578" s="2">
        <v>9</v>
      </c>
      <c r="DN578" s="2">
        <v>10</v>
      </c>
      <c r="DO578" s="2">
        <v>11</v>
      </c>
      <c r="DP578" s="2">
        <v>12</v>
      </c>
      <c r="ED578" s="429"/>
      <c r="EE578" s="23"/>
      <c r="EF578" s="23"/>
      <c r="EG578" s="23"/>
      <c r="EH578" s="23"/>
      <c r="EI578" s="23"/>
      <c r="EJ578" s="23"/>
      <c r="EK578" s="23"/>
    </row>
    <row r="579" spans="1:149" ht="13.5" thickBot="1">
      <c r="E579" s="666" t="s">
        <v>88</v>
      </c>
      <c r="F579" s="667"/>
      <c r="G579" s="667"/>
      <c r="H579" s="667"/>
      <c r="I579" s="668"/>
      <c r="CN579" s="23" t="s">
        <v>153</v>
      </c>
      <c r="CP579" s="2">
        <v>1</v>
      </c>
      <c r="CQ579" s="2">
        <v>2</v>
      </c>
      <c r="CR579" s="2">
        <v>3</v>
      </c>
      <c r="CS579" s="2">
        <v>4</v>
      </c>
      <c r="CT579" s="2">
        <v>5</v>
      </c>
      <c r="CU579" s="2">
        <v>6</v>
      </c>
      <c r="CV579" s="2">
        <v>7</v>
      </c>
      <c r="CW579" s="2">
        <v>8</v>
      </c>
      <c r="CX579" s="2">
        <v>9</v>
      </c>
      <c r="CY579" s="2">
        <v>10</v>
      </c>
      <c r="CZ579" s="2">
        <v>11</v>
      </c>
      <c r="DA579" s="2">
        <v>12</v>
      </c>
      <c r="DB579" s="2">
        <v>1</v>
      </c>
      <c r="DC579" s="2">
        <v>2</v>
      </c>
      <c r="DD579" s="2">
        <v>3</v>
      </c>
      <c r="DE579" s="2">
        <v>4</v>
      </c>
      <c r="DF579" s="2">
        <v>5</v>
      </c>
      <c r="DG579" s="2">
        <v>6</v>
      </c>
      <c r="DH579" s="2">
        <v>7</v>
      </c>
      <c r="DI579" s="2">
        <v>8</v>
      </c>
      <c r="DJ579" s="2">
        <v>9</v>
      </c>
      <c r="DK579" s="2">
        <v>10</v>
      </c>
      <c r="DL579" s="2">
        <v>11</v>
      </c>
      <c r="DM579" s="2">
        <v>12</v>
      </c>
      <c r="ED579" s="429"/>
      <c r="EE579" s="23"/>
      <c r="EF579" s="23"/>
      <c r="EG579" s="23"/>
      <c r="EH579" s="23"/>
      <c r="EI579" s="23"/>
      <c r="EJ579" s="23"/>
      <c r="EK579" s="23"/>
    </row>
    <row r="580" spans="1:149" ht="13.5" thickBot="1">
      <c r="A580" s="6" t="s">
        <v>30</v>
      </c>
      <c r="C580" s="11" t="s">
        <v>73</v>
      </c>
      <c r="E580" s="8" t="s">
        <v>34</v>
      </c>
      <c r="F580" s="11" t="s">
        <v>33</v>
      </c>
      <c r="G580" s="9" t="s">
        <v>34</v>
      </c>
      <c r="H580" s="11" t="s">
        <v>33</v>
      </c>
      <c r="I580" s="11" t="s">
        <v>34</v>
      </c>
      <c r="AL580" s="109"/>
    </row>
    <row r="581" spans="1:149">
      <c r="A581" s="6" t="s">
        <v>23</v>
      </c>
      <c r="B581" s="2" t="s">
        <v>24</v>
      </c>
      <c r="C581" s="3" t="s">
        <v>74</v>
      </c>
      <c r="E581" s="4" t="str">
        <f>C538</f>
        <v>BInBusNew</v>
      </c>
      <c r="F581" s="4" t="s">
        <v>31</v>
      </c>
      <c r="G581" s="28" t="str">
        <f>C537</f>
        <v>BAllNew</v>
      </c>
      <c r="H581" s="28"/>
      <c r="I581" s="28"/>
      <c r="J581" s="62">
        <f t="shared" ref="J581:AJ581" si="3312">J538/J537</f>
        <v>0.4</v>
      </c>
      <c r="K581" s="62">
        <f t="shared" si="3312"/>
        <v>0.4</v>
      </c>
      <c r="L581" s="62">
        <f t="shared" si="3312"/>
        <v>0.4</v>
      </c>
      <c r="M581" s="62">
        <f t="shared" si="3312"/>
        <v>0.4</v>
      </c>
      <c r="N581" s="62">
        <f t="shared" si="3312"/>
        <v>0.4</v>
      </c>
      <c r="O581" s="62">
        <f t="shared" si="3312"/>
        <v>0.4</v>
      </c>
      <c r="P581" s="62">
        <f t="shared" si="3312"/>
        <v>0.4</v>
      </c>
      <c r="Q581" s="62">
        <f t="shared" si="3312"/>
        <v>0.4</v>
      </c>
      <c r="R581" s="62">
        <f t="shared" si="3312"/>
        <v>0.4</v>
      </c>
      <c r="S581" s="62">
        <f t="shared" si="3312"/>
        <v>0.4</v>
      </c>
      <c r="T581" s="62">
        <f t="shared" si="3312"/>
        <v>0.4</v>
      </c>
      <c r="U581" s="62">
        <f t="shared" si="3312"/>
        <v>0.4</v>
      </c>
      <c r="V581" s="62">
        <f t="shared" si="3312"/>
        <v>0.4</v>
      </c>
      <c r="W581" s="62">
        <f t="shared" si="3312"/>
        <v>0.4</v>
      </c>
      <c r="X581" s="62">
        <f t="shared" si="3312"/>
        <v>0.4</v>
      </c>
      <c r="Y581" s="62">
        <f t="shared" si="3312"/>
        <v>0.4</v>
      </c>
      <c r="Z581" s="62">
        <f t="shared" si="3312"/>
        <v>0.4</v>
      </c>
      <c r="AA581" s="62">
        <f t="shared" si="3312"/>
        <v>0.4</v>
      </c>
      <c r="AB581" s="62">
        <f t="shared" si="3312"/>
        <v>0.4</v>
      </c>
      <c r="AC581" s="62">
        <f t="shared" si="3312"/>
        <v>0.4</v>
      </c>
      <c r="AD581" s="62">
        <f t="shared" si="3312"/>
        <v>0.4</v>
      </c>
      <c r="AE581" s="62">
        <f t="shared" si="3312"/>
        <v>0.4</v>
      </c>
      <c r="AF581" s="62">
        <f t="shared" si="3312"/>
        <v>0.4</v>
      </c>
      <c r="AG581" s="62">
        <f t="shared" si="3312"/>
        <v>0.4</v>
      </c>
      <c r="AH581" s="62">
        <f t="shared" si="3312"/>
        <v>0.3744394618834081</v>
      </c>
      <c r="AI581" s="62">
        <f t="shared" si="3312"/>
        <v>0.3744394618834081</v>
      </c>
      <c r="AJ581" s="62" t="e">
        <f t="shared" si="3312"/>
        <v>#DIV/0!</v>
      </c>
      <c r="AK581" s="412"/>
      <c r="AL581" s="14">
        <f t="shared" ref="AL581:BL581" si="3313">AL538/AL537</f>
        <v>0.4</v>
      </c>
      <c r="AM581" s="14">
        <f t="shared" si="3313"/>
        <v>0.4</v>
      </c>
      <c r="AN581" s="14">
        <f t="shared" si="3313"/>
        <v>0.4</v>
      </c>
      <c r="AO581" s="14">
        <f t="shared" si="3313"/>
        <v>0.4</v>
      </c>
      <c r="AP581" s="14">
        <f t="shared" si="3313"/>
        <v>0.4</v>
      </c>
      <c r="AQ581" s="14">
        <f t="shared" si="3313"/>
        <v>0.4</v>
      </c>
      <c r="AR581" s="14">
        <f t="shared" si="3313"/>
        <v>0.4</v>
      </c>
      <c r="AS581" s="14">
        <f t="shared" si="3313"/>
        <v>0.4</v>
      </c>
      <c r="AT581" s="14">
        <f t="shared" si="3313"/>
        <v>0.4</v>
      </c>
      <c r="AU581" s="14">
        <f t="shared" si="3313"/>
        <v>0.4</v>
      </c>
      <c r="AV581" s="14">
        <f t="shared" si="3313"/>
        <v>0.4</v>
      </c>
      <c r="AW581" s="14">
        <f t="shared" si="3313"/>
        <v>0.4</v>
      </c>
      <c r="AX581" s="14">
        <f t="shared" si="3313"/>
        <v>0.4</v>
      </c>
      <c r="AY581" s="14">
        <f t="shared" si="3313"/>
        <v>0.4</v>
      </c>
      <c r="AZ581" s="14">
        <f t="shared" si="3313"/>
        <v>0.4</v>
      </c>
      <c r="BA581" s="14">
        <f t="shared" si="3313"/>
        <v>0.4</v>
      </c>
      <c r="BB581" s="14">
        <f t="shared" si="3313"/>
        <v>0.4</v>
      </c>
      <c r="BC581" s="14">
        <f t="shared" si="3313"/>
        <v>0.4</v>
      </c>
      <c r="BD581" s="14">
        <f t="shared" si="3313"/>
        <v>0.4</v>
      </c>
      <c r="BE581" s="14">
        <f t="shared" si="3313"/>
        <v>0.4</v>
      </c>
      <c r="BF581" s="14">
        <f t="shared" si="3313"/>
        <v>0.4</v>
      </c>
      <c r="BG581" s="14">
        <f t="shared" si="3313"/>
        <v>0.4</v>
      </c>
      <c r="BH581" s="14">
        <f t="shared" si="3313"/>
        <v>0.4</v>
      </c>
      <c r="BI581" s="14">
        <f t="shared" si="3313"/>
        <v>0.4</v>
      </c>
      <c r="BJ581" s="14">
        <f t="shared" si="3313"/>
        <v>0.3744394618834081</v>
      </c>
      <c r="BK581" s="14">
        <f t="shared" si="3313"/>
        <v>0.3744394618834081</v>
      </c>
      <c r="BL581" s="14">
        <f t="shared" si="3313"/>
        <v>0.3744394618834081</v>
      </c>
      <c r="BM581" s="412"/>
      <c r="BN581" s="14">
        <f t="shared" ref="BN581:CN581" si="3314">BN538/BN537</f>
        <v>0.4</v>
      </c>
      <c r="BO581" s="14">
        <f t="shared" si="3314"/>
        <v>0.4</v>
      </c>
      <c r="BP581" s="14">
        <f t="shared" si="3314"/>
        <v>0.4</v>
      </c>
      <c r="BQ581" s="14">
        <f t="shared" si="3314"/>
        <v>0.4</v>
      </c>
      <c r="BR581" s="14">
        <f t="shared" si="3314"/>
        <v>0.4</v>
      </c>
      <c r="BS581" s="14">
        <f t="shared" si="3314"/>
        <v>0.4</v>
      </c>
      <c r="BT581" s="14">
        <f t="shared" si="3314"/>
        <v>0.4</v>
      </c>
      <c r="BU581" s="14">
        <f t="shared" si="3314"/>
        <v>0.4</v>
      </c>
      <c r="BV581" s="14">
        <f t="shared" si="3314"/>
        <v>0.4</v>
      </c>
      <c r="BW581" s="14">
        <f t="shared" si="3314"/>
        <v>0.4</v>
      </c>
      <c r="BX581" s="14">
        <f t="shared" si="3314"/>
        <v>0.4</v>
      </c>
      <c r="BY581" s="14">
        <f t="shared" si="3314"/>
        <v>0.4</v>
      </c>
      <c r="BZ581" s="14">
        <f t="shared" si="3314"/>
        <v>0.4</v>
      </c>
      <c r="CA581" s="14">
        <f t="shared" si="3314"/>
        <v>0.4</v>
      </c>
      <c r="CB581" s="14">
        <f t="shared" si="3314"/>
        <v>0.4</v>
      </c>
      <c r="CC581" s="14">
        <f t="shared" si="3314"/>
        <v>0.4</v>
      </c>
      <c r="CD581" s="14">
        <f t="shared" si="3314"/>
        <v>0.4</v>
      </c>
      <c r="CE581" s="14">
        <f t="shared" si="3314"/>
        <v>0.4</v>
      </c>
      <c r="CF581" s="14">
        <f t="shared" si="3314"/>
        <v>0.4</v>
      </c>
      <c r="CG581" s="14">
        <f t="shared" si="3314"/>
        <v>0.4</v>
      </c>
      <c r="CH581" s="14">
        <f t="shared" si="3314"/>
        <v>0.4</v>
      </c>
      <c r="CI581" s="14">
        <f t="shared" si="3314"/>
        <v>0.4</v>
      </c>
      <c r="CJ581" s="14">
        <f t="shared" si="3314"/>
        <v>0.4</v>
      </c>
      <c r="CK581" s="14">
        <f t="shared" si="3314"/>
        <v>0.4</v>
      </c>
      <c r="CL581" s="14">
        <f t="shared" si="3314"/>
        <v>0.3744394618834081</v>
      </c>
      <c r="CM581" s="14">
        <f t="shared" si="3314"/>
        <v>0.3744394618834081</v>
      </c>
      <c r="CN581" s="14">
        <f t="shared" si="3314"/>
        <v>0.3744394618834081</v>
      </c>
      <c r="CO581" s="412"/>
      <c r="CP581" s="14">
        <f t="shared" ref="CP581:DP581" si="3315">CP538/CP537</f>
        <v>0.95666666666666655</v>
      </c>
      <c r="CQ581" s="14">
        <f t="shared" si="3315"/>
        <v>0.4</v>
      </c>
      <c r="CR581" s="14">
        <f t="shared" si="3315"/>
        <v>0.4</v>
      </c>
      <c r="CS581" s="14">
        <f t="shared" si="3315"/>
        <v>0.4</v>
      </c>
      <c r="CT581" s="14">
        <f t="shared" si="3315"/>
        <v>0.4</v>
      </c>
      <c r="CU581" s="14">
        <f t="shared" si="3315"/>
        <v>0.4</v>
      </c>
      <c r="CV581" s="14">
        <f t="shared" si="3315"/>
        <v>0.4</v>
      </c>
      <c r="CW581" s="14">
        <f t="shared" si="3315"/>
        <v>0.4</v>
      </c>
      <c r="CX581" s="14">
        <f t="shared" si="3315"/>
        <v>0.4</v>
      </c>
      <c r="CY581" s="14">
        <f t="shared" si="3315"/>
        <v>0.4</v>
      </c>
      <c r="CZ581" s="14">
        <f t="shared" si="3315"/>
        <v>0.4</v>
      </c>
      <c r="DA581" s="14">
        <f t="shared" si="3315"/>
        <v>0.4</v>
      </c>
      <c r="DB581" s="14">
        <f t="shared" si="3315"/>
        <v>0.4</v>
      </c>
      <c r="DC581" s="14">
        <f t="shared" si="3315"/>
        <v>0.4</v>
      </c>
      <c r="DD581" s="14">
        <f t="shared" si="3315"/>
        <v>0.4</v>
      </c>
      <c r="DE581" s="14">
        <f t="shared" si="3315"/>
        <v>0.4</v>
      </c>
      <c r="DF581" s="14">
        <f t="shared" si="3315"/>
        <v>0.4</v>
      </c>
      <c r="DG581" s="14">
        <f t="shared" si="3315"/>
        <v>0.4</v>
      </c>
      <c r="DH581" s="14">
        <f t="shared" si="3315"/>
        <v>0.4</v>
      </c>
      <c r="DI581" s="14">
        <f t="shared" si="3315"/>
        <v>0.4</v>
      </c>
      <c r="DJ581" s="14">
        <f t="shared" si="3315"/>
        <v>0.4</v>
      </c>
      <c r="DK581" s="14">
        <f t="shared" si="3315"/>
        <v>0.4</v>
      </c>
      <c r="DL581" s="14">
        <f t="shared" si="3315"/>
        <v>0.4</v>
      </c>
      <c r="DM581" s="14">
        <f t="shared" si="3315"/>
        <v>0.4</v>
      </c>
      <c r="DN581" s="14">
        <f t="shared" si="3315"/>
        <v>0.3744394618834081</v>
      </c>
      <c r="DO581" s="14">
        <f t="shared" si="3315"/>
        <v>0.3744394618834081</v>
      </c>
      <c r="DP581" s="14" t="e">
        <f t="shared" si="3315"/>
        <v>#DIV/0!</v>
      </c>
      <c r="DQ581" s="14"/>
      <c r="DR581" s="14"/>
      <c r="DS581" s="14"/>
      <c r="DT581" s="14"/>
      <c r="DU581" s="14"/>
      <c r="DV581" s="14"/>
      <c r="DW581" s="14"/>
      <c r="DX581" s="14"/>
      <c r="DY581" s="14"/>
      <c r="DZ581" s="14"/>
      <c r="EA581" s="14">
        <f>EA538/EA537</f>
        <v>0.4</v>
      </c>
      <c r="EB581" s="14">
        <f>EB538/EB537</f>
        <v>0.4</v>
      </c>
      <c r="EC581" s="14"/>
      <c r="ED581" s="429"/>
      <c r="EE581" s="14">
        <f>EE538/EE537</f>
        <v>0.3744394618834081</v>
      </c>
      <c r="EF581" s="14">
        <f>EF538/EF537</f>
        <v>0.3744394618834081</v>
      </c>
      <c r="EG581" s="14">
        <f>EG538/EG537</f>
        <v>0.3744394618834081</v>
      </c>
      <c r="EK581" s="24"/>
      <c r="EL581" s="47"/>
      <c r="EM581" s="47"/>
      <c r="EN581" s="47"/>
    </row>
    <row r="582" spans="1:149">
      <c r="A582" s="6" t="s">
        <v>23</v>
      </c>
      <c r="B582" s="2" t="s">
        <v>25</v>
      </c>
      <c r="C582" s="3" t="s">
        <v>75</v>
      </c>
      <c r="E582" s="4" t="str">
        <f>C551</f>
        <v>BSEE</v>
      </c>
      <c r="F582" s="4" t="s">
        <v>31</v>
      </c>
      <c r="G582" s="28" t="str">
        <f>C550</f>
        <v>BSUniq</v>
      </c>
      <c r="H582" s="28"/>
      <c r="I582" s="28"/>
      <c r="J582" s="62">
        <f t="shared" ref="J582:AJ582" si="3316">J551/J550</f>
        <v>0.20869565217391303</v>
      </c>
      <c r="K582" s="62">
        <f t="shared" si="3316"/>
        <v>0.20869565217391303</v>
      </c>
      <c r="L582" s="62">
        <f t="shared" si="3316"/>
        <v>0.20869565217391303</v>
      </c>
      <c r="M582" s="62">
        <f t="shared" si="3316"/>
        <v>0.21739130434782608</v>
      </c>
      <c r="N582" s="62">
        <f t="shared" si="3316"/>
        <v>0.21739130426086956</v>
      </c>
      <c r="O582" s="62">
        <f t="shared" si="3316"/>
        <v>0.2173913042608695</v>
      </c>
      <c r="P582" s="62">
        <f t="shared" si="3316"/>
        <v>0.21739130426086961</v>
      </c>
      <c r="Q582" s="62">
        <f t="shared" si="3316"/>
        <v>0.21739130426086961</v>
      </c>
      <c r="R582" s="62">
        <f t="shared" si="3316"/>
        <v>0.21739130426086961</v>
      </c>
      <c r="S582" s="62">
        <f t="shared" si="3316"/>
        <v>0.21739130426086961</v>
      </c>
      <c r="T582" s="62">
        <f t="shared" si="3316"/>
        <v>0.21739130426086961</v>
      </c>
      <c r="U582" s="62">
        <f t="shared" si="3316"/>
        <v>0.21739130426086961</v>
      </c>
      <c r="V582" s="62">
        <f t="shared" si="3316"/>
        <v>0.21739130426086961</v>
      </c>
      <c r="W582" s="62">
        <f t="shared" si="3316"/>
        <v>0.21739130426086961</v>
      </c>
      <c r="X582" s="62">
        <f t="shared" si="3316"/>
        <v>0.21739130426086961</v>
      </c>
      <c r="Y582" s="62">
        <f t="shared" si="3316"/>
        <v>0.16956521739130434</v>
      </c>
      <c r="Z582" s="62">
        <f t="shared" si="3316"/>
        <v>0.16956521739130434</v>
      </c>
      <c r="AA582" s="62">
        <f t="shared" si="3316"/>
        <v>0.16956521739130434</v>
      </c>
      <c r="AB582" s="62">
        <f t="shared" si="3316"/>
        <v>0.16956521739130434</v>
      </c>
      <c r="AC582" s="62">
        <f t="shared" si="3316"/>
        <v>0.16956521739130434</v>
      </c>
      <c r="AD582" s="62">
        <f t="shared" si="3316"/>
        <v>0.16956521739130434</v>
      </c>
      <c r="AE582" s="62">
        <f t="shared" si="3316"/>
        <v>0.16956521739130434</v>
      </c>
      <c r="AF582" s="62">
        <f t="shared" si="3316"/>
        <v>0.16956521739130434</v>
      </c>
      <c r="AG582" s="62">
        <f t="shared" si="3316"/>
        <v>0.16956521739130434</v>
      </c>
      <c r="AH582" s="62">
        <f t="shared" si="3316"/>
        <v>0.16956521739130434</v>
      </c>
      <c r="AI582" s="62">
        <f t="shared" si="3316"/>
        <v>8.478260869565217E-2</v>
      </c>
      <c r="AJ582" s="62" t="e">
        <f t="shared" si="3316"/>
        <v>#DIV/0!</v>
      </c>
      <c r="AK582" s="412"/>
      <c r="AL582" s="14">
        <f t="shared" ref="AL582:BL582" si="3317">AL551/AL550</f>
        <v>0.20869565217391303</v>
      </c>
      <c r="AM582" s="14">
        <f t="shared" si="3317"/>
        <v>0.20869565217391303</v>
      </c>
      <c r="AN582" s="14">
        <f t="shared" si="3317"/>
        <v>0.20869565217391303</v>
      </c>
      <c r="AO582" s="14">
        <f t="shared" si="3317"/>
        <v>0.21739130434782608</v>
      </c>
      <c r="AP582" s="14">
        <f t="shared" si="3317"/>
        <v>0.21739130426086956</v>
      </c>
      <c r="AQ582" s="14">
        <f t="shared" si="3317"/>
        <v>0.2173913042608695</v>
      </c>
      <c r="AR582" s="14">
        <f t="shared" si="3317"/>
        <v>0.21739130426086961</v>
      </c>
      <c r="AS582" s="14">
        <f t="shared" si="3317"/>
        <v>0.21739130426086961</v>
      </c>
      <c r="AT582" s="14">
        <f t="shared" si="3317"/>
        <v>0.21739130426086961</v>
      </c>
      <c r="AU582" s="14">
        <f t="shared" si="3317"/>
        <v>0.21739130426086961</v>
      </c>
      <c r="AV582" s="14">
        <f t="shared" si="3317"/>
        <v>0.21739130426086961</v>
      </c>
      <c r="AW582" s="14">
        <f t="shared" si="3317"/>
        <v>0.21739130426086961</v>
      </c>
      <c r="AX582" s="14">
        <f t="shared" si="3317"/>
        <v>0.17762241729900252</v>
      </c>
      <c r="AY582" s="14">
        <f t="shared" si="3317"/>
        <v>0.17762241729900252</v>
      </c>
      <c r="AZ582" s="14">
        <f t="shared" si="3317"/>
        <v>0.17762241729900252</v>
      </c>
      <c r="BA582" s="14">
        <f t="shared" si="3317"/>
        <v>0.13854548554864013</v>
      </c>
      <c r="BB582" s="14">
        <f t="shared" si="3317"/>
        <v>0.13854548554864013</v>
      </c>
      <c r="BC582" s="14">
        <f t="shared" si="3317"/>
        <v>0.13854548554864013</v>
      </c>
      <c r="BD582" s="14">
        <f t="shared" si="3317"/>
        <v>0.13854548554864013</v>
      </c>
      <c r="BE582" s="14">
        <f t="shared" si="3317"/>
        <v>0.13854548554864013</v>
      </c>
      <c r="BF582" s="14">
        <f t="shared" si="3317"/>
        <v>0.13854548554864013</v>
      </c>
      <c r="BG582" s="14">
        <f t="shared" si="3317"/>
        <v>0.13854548554864013</v>
      </c>
      <c r="BH582" s="14">
        <f t="shared" si="3317"/>
        <v>0.13854548554864013</v>
      </c>
      <c r="BI582" s="14">
        <f t="shared" si="3317"/>
        <v>0.13854548554864013</v>
      </c>
      <c r="BJ582" s="14">
        <f t="shared" si="3317"/>
        <v>0.16956521739130434</v>
      </c>
      <c r="BK582" s="14">
        <f t="shared" si="3317"/>
        <v>8.478260869565217E-2</v>
      </c>
      <c r="BL582" s="14" t="e">
        <f t="shared" si="3317"/>
        <v>#DIV/0!</v>
      </c>
      <c r="BM582" s="412"/>
      <c r="BN582" s="14">
        <f t="shared" ref="BN582:CN582" si="3318">BN551/BN550</f>
        <v>0.20869565217391303</v>
      </c>
      <c r="BO582" s="14">
        <f t="shared" si="3318"/>
        <v>0.20869565217391303</v>
      </c>
      <c r="BP582" s="14">
        <f t="shared" si="3318"/>
        <v>0.20869565217391303</v>
      </c>
      <c r="BQ582" s="14">
        <f t="shared" si="3318"/>
        <v>0.21739130434782608</v>
      </c>
      <c r="BR582" s="14">
        <f t="shared" si="3318"/>
        <v>0.21739130430434783</v>
      </c>
      <c r="BS582" s="14">
        <f t="shared" si="3318"/>
        <v>0.21739130428985506</v>
      </c>
      <c r="BT582" s="14">
        <f t="shared" si="3318"/>
        <v>0.21739130426086961</v>
      </c>
      <c r="BU582" s="14">
        <f t="shared" si="3318"/>
        <v>0.21739130426086961</v>
      </c>
      <c r="BV582" s="14">
        <f t="shared" si="3318"/>
        <v>0.21739130426086961</v>
      </c>
      <c r="BW582" s="14">
        <f t="shared" si="3318"/>
        <v>0.21739130426086961</v>
      </c>
      <c r="BX582" s="14">
        <f t="shared" si="3318"/>
        <v>0.21739130426086961</v>
      </c>
      <c r="BY582" s="14">
        <f t="shared" si="3318"/>
        <v>0.17762115531904318</v>
      </c>
      <c r="BZ582" s="14">
        <f t="shared" si="3318"/>
        <v>5.9207051773014392E-2</v>
      </c>
      <c r="CA582" s="14">
        <f t="shared" si="3318"/>
        <v>0.11841410354602878</v>
      </c>
      <c r="CB582" s="14">
        <f t="shared" si="3318"/>
        <v>0.17762115531904318</v>
      </c>
      <c r="CC582" s="14">
        <f t="shared" si="3318"/>
        <v>2.3090750200711906E-2</v>
      </c>
      <c r="CD582" s="14">
        <f t="shared" si="3318"/>
        <v>4.6181500401423811E-2</v>
      </c>
      <c r="CE582" s="14">
        <f t="shared" si="3318"/>
        <v>6.9272250602135724E-2</v>
      </c>
      <c r="CF582" s="14">
        <f t="shared" si="3318"/>
        <v>1.5393833467141269E-2</v>
      </c>
      <c r="CG582" s="14">
        <f t="shared" si="3318"/>
        <v>3.0787666934282538E-2</v>
      </c>
      <c r="CH582" s="14">
        <f t="shared" si="3318"/>
        <v>4.6181500401423811E-2</v>
      </c>
      <c r="CI582" s="14">
        <f t="shared" si="3318"/>
        <v>1.1545293072824156E-2</v>
      </c>
      <c r="CJ582" s="14">
        <f t="shared" si="3318"/>
        <v>2.3090586145648313E-2</v>
      </c>
      <c r="CK582" s="14">
        <f t="shared" si="3318"/>
        <v>3.4635879218472471E-2</v>
      </c>
      <c r="CL582" s="14">
        <f t="shared" si="3318"/>
        <v>5.6521739130434782E-2</v>
      </c>
      <c r="CM582" s="14">
        <f t="shared" si="3318"/>
        <v>0.11304347826086956</v>
      </c>
      <c r="CN582" s="14">
        <f t="shared" si="3318"/>
        <v>0.16956521739130434</v>
      </c>
      <c r="CO582" s="412"/>
      <c r="CP582" s="14">
        <f t="shared" ref="CP582:DP582" si="3319">CP551/CP550</f>
        <v>0.20869565217391303</v>
      </c>
      <c r="CQ582" s="14">
        <f t="shared" si="3319"/>
        <v>0.20869565217391303</v>
      </c>
      <c r="CR582" s="14">
        <f t="shared" si="3319"/>
        <v>0.20869565217391303</v>
      </c>
      <c r="CS582" s="14">
        <f t="shared" si="3319"/>
        <v>0.21086956521739131</v>
      </c>
      <c r="CT582" s="14">
        <f t="shared" si="3319"/>
        <v>0.21217391302608696</v>
      </c>
      <c r="CU582" s="14">
        <f t="shared" si="3319"/>
        <v>0.21304347823188402</v>
      </c>
      <c r="CV582" s="14">
        <f t="shared" si="3319"/>
        <v>0.21366459623602482</v>
      </c>
      <c r="CW582" s="14">
        <f t="shared" si="3319"/>
        <v>0.21413043473913043</v>
      </c>
      <c r="CX582" s="14">
        <f t="shared" si="3319"/>
        <v>0.21449275357487924</v>
      </c>
      <c r="CY582" s="14">
        <f t="shared" si="3319"/>
        <v>0.21478260864347828</v>
      </c>
      <c r="CZ582" s="14">
        <f t="shared" si="3319"/>
        <v>0.21501976279051388</v>
      </c>
      <c r="DA582" s="14">
        <f t="shared" si="3319"/>
        <v>0.21521739124637687</v>
      </c>
      <c r="DB582" s="14">
        <f t="shared" si="3319"/>
        <v>0.17762241729900252</v>
      </c>
      <c r="DC582" s="14">
        <f t="shared" si="3319"/>
        <v>0.17762241729900252</v>
      </c>
      <c r="DD582" s="14">
        <f t="shared" si="3319"/>
        <v>0.17762241729900252</v>
      </c>
      <c r="DE582" s="14">
        <f t="shared" si="3319"/>
        <v>0.16785318436141192</v>
      </c>
      <c r="DF582" s="14">
        <f t="shared" si="3319"/>
        <v>0.16199164459885756</v>
      </c>
      <c r="DG582" s="14">
        <f t="shared" si="3319"/>
        <v>0.15808395142382134</v>
      </c>
      <c r="DH582" s="14">
        <f t="shared" si="3319"/>
        <v>0.15529274201308116</v>
      </c>
      <c r="DI582" s="14">
        <f t="shared" si="3319"/>
        <v>0.15319933495502602</v>
      </c>
      <c r="DJ582" s="14">
        <f t="shared" si="3319"/>
        <v>0.15157112946542758</v>
      </c>
      <c r="DK582" s="14">
        <f t="shared" si="3319"/>
        <v>0.15026856507374886</v>
      </c>
      <c r="DL582" s="14">
        <f t="shared" si="3319"/>
        <v>0.14920283057146622</v>
      </c>
      <c r="DM582" s="14">
        <f t="shared" si="3319"/>
        <v>0.14831471848623073</v>
      </c>
      <c r="DN582" s="14">
        <f t="shared" si="3319"/>
        <v>0.16956521739130434</v>
      </c>
      <c r="DO582" s="14">
        <f t="shared" si="3319"/>
        <v>0.11304347826086956</v>
      </c>
      <c r="DP582" s="14">
        <f t="shared" si="3319"/>
        <v>0.16956521739130434</v>
      </c>
      <c r="DQ582" s="14"/>
      <c r="DR582" s="14"/>
      <c r="DS582" s="14"/>
      <c r="DT582" s="14"/>
      <c r="DU582" s="14"/>
      <c r="DV582" s="14"/>
      <c r="DW582" s="14"/>
      <c r="DX582" s="14"/>
      <c r="DY582" s="14"/>
      <c r="DZ582" s="14"/>
      <c r="EA582" s="14">
        <f>EA551/EA550</f>
        <v>0.21521739124637687</v>
      </c>
      <c r="EB582" s="14">
        <f>EB551/EB550</f>
        <v>0.14831471848623073</v>
      </c>
      <c r="EC582" s="14"/>
      <c r="ED582" s="429"/>
      <c r="EE582" s="14">
        <f>EE551/EE550</f>
        <v>8.478260869565217E-2</v>
      </c>
      <c r="EF582" s="14">
        <f>EF551/EF550</f>
        <v>0.11304347826086956</v>
      </c>
      <c r="EG582" s="14">
        <f>IF(I529&lt;40360,EG551/EG550,DP582)</f>
        <v>0.16956521739130434</v>
      </c>
      <c r="EK582" s="24"/>
      <c r="EL582" s="47"/>
      <c r="EM582" s="47"/>
      <c r="EN582" s="47"/>
    </row>
    <row r="583" spans="1:149">
      <c r="A583" s="6" t="s">
        <v>23</v>
      </c>
      <c r="B583" s="2" t="s">
        <v>160</v>
      </c>
      <c r="C583" s="3" t="s">
        <v>76</v>
      </c>
      <c r="E583" s="3" t="str">
        <f>C540</f>
        <v>BSatRate</v>
      </c>
      <c r="F583" s="3" t="s">
        <v>32</v>
      </c>
      <c r="G583" s="28" t="str">
        <f>C537</f>
        <v>BAllNew</v>
      </c>
      <c r="H583" s="63" t="s">
        <v>31</v>
      </c>
      <c r="I583" s="28" t="str">
        <f>C539</f>
        <v>BSatResp</v>
      </c>
      <c r="J583" s="62">
        <f t="shared" ref="J583:AJ583" si="3320">J540*J539/J537</f>
        <v>0.23749999999999999</v>
      </c>
      <c r="K583" s="62">
        <f t="shared" si="3320"/>
        <v>0.11874999999999999</v>
      </c>
      <c r="L583" s="62">
        <f t="shared" si="3320"/>
        <v>7.9166666666666663E-2</v>
      </c>
      <c r="M583" s="62">
        <f t="shared" si="3320"/>
        <v>5.9374999999999997E-2</v>
      </c>
      <c r="N583" s="62">
        <f t="shared" si="3320"/>
        <v>4.7500000000000001E-2</v>
      </c>
      <c r="O583" s="62">
        <f t="shared" si="3320"/>
        <v>3.9583333333333331E-2</v>
      </c>
      <c r="P583" s="62">
        <f t="shared" si="3320"/>
        <v>3.3928571428571426E-2</v>
      </c>
      <c r="Q583" s="62">
        <f t="shared" si="3320"/>
        <v>2.9687499999999999E-2</v>
      </c>
      <c r="R583" s="62">
        <f t="shared" si="3320"/>
        <v>2.6388888888888889E-2</v>
      </c>
      <c r="S583" s="62">
        <f t="shared" si="3320"/>
        <v>2.375E-2</v>
      </c>
      <c r="T583" s="62">
        <f t="shared" si="3320"/>
        <v>2.1590909090909091E-2</v>
      </c>
      <c r="U583" s="62">
        <f t="shared" si="3320"/>
        <v>1.9791666666666666E-2</v>
      </c>
      <c r="V583" s="62">
        <f t="shared" si="3320"/>
        <v>0.14249999999999999</v>
      </c>
      <c r="W583" s="62">
        <f t="shared" si="3320"/>
        <v>0.14249999999999999</v>
      </c>
      <c r="X583" s="62">
        <f t="shared" si="3320"/>
        <v>0.14249999999999999</v>
      </c>
      <c r="Y583" s="62">
        <f t="shared" si="3320"/>
        <v>0.14249999999999999</v>
      </c>
      <c r="Z583" s="62">
        <f t="shared" si="3320"/>
        <v>0.14249999999999999</v>
      </c>
      <c r="AA583" s="62">
        <f t="shared" si="3320"/>
        <v>0.14249999999999999</v>
      </c>
      <c r="AB583" s="62">
        <f t="shared" si="3320"/>
        <v>0.14249999999999999</v>
      </c>
      <c r="AC583" s="62">
        <f t="shared" si="3320"/>
        <v>0.14249999999999999</v>
      </c>
      <c r="AD583" s="62">
        <f t="shared" si="3320"/>
        <v>0.14249999999999999</v>
      </c>
      <c r="AE583" s="62">
        <f t="shared" si="3320"/>
        <v>0.14249999999999999</v>
      </c>
      <c r="AF583" s="62">
        <f t="shared" si="3320"/>
        <v>0.14249999999999999</v>
      </c>
      <c r="AG583" s="62">
        <f t="shared" si="3320"/>
        <v>0.14249999999999999</v>
      </c>
      <c r="AH583" s="62">
        <f t="shared" si="3320"/>
        <v>0</v>
      </c>
      <c r="AI583" s="62">
        <f t="shared" si="3320"/>
        <v>0</v>
      </c>
      <c r="AJ583" s="62" t="e">
        <f t="shared" si="3320"/>
        <v>#DIV/0!</v>
      </c>
      <c r="AK583" s="412"/>
      <c r="AL583" s="14">
        <f t="shared" ref="AL583:BL583" si="3321">AL540*AL539/AL537</f>
        <v>0.23749999999999999</v>
      </c>
      <c r="AM583" s="14">
        <f t="shared" si="3321"/>
        <v>0.23749999999999999</v>
      </c>
      <c r="AN583" s="14">
        <f t="shared" si="3321"/>
        <v>0.23749999999999999</v>
      </c>
      <c r="AO583" s="14">
        <f t="shared" si="3321"/>
        <v>0.23749999999999999</v>
      </c>
      <c r="AP583" s="14">
        <f t="shared" si="3321"/>
        <v>0.23749999999999999</v>
      </c>
      <c r="AQ583" s="14">
        <f t="shared" si="3321"/>
        <v>0.23749999999999999</v>
      </c>
      <c r="AR583" s="14">
        <f t="shared" si="3321"/>
        <v>0.23749999999999999</v>
      </c>
      <c r="AS583" s="14">
        <f t="shared" si="3321"/>
        <v>0.23749999999999999</v>
      </c>
      <c r="AT583" s="14">
        <f t="shared" si="3321"/>
        <v>0.23749999999999999</v>
      </c>
      <c r="AU583" s="14">
        <f t="shared" si="3321"/>
        <v>0.23749999999999999</v>
      </c>
      <c r="AV583" s="14">
        <f t="shared" si="3321"/>
        <v>0.23749999999999999</v>
      </c>
      <c r="AW583" s="14">
        <f t="shared" si="3321"/>
        <v>0.23749999999999999</v>
      </c>
      <c r="AX583" s="14">
        <f t="shared" si="3321"/>
        <v>0.14249999999999999</v>
      </c>
      <c r="AY583" s="14">
        <f t="shared" si="3321"/>
        <v>0.14249999999999999</v>
      </c>
      <c r="AZ583" s="14">
        <f t="shared" si="3321"/>
        <v>0.14249999999999999</v>
      </c>
      <c r="BA583" s="14">
        <f t="shared" si="3321"/>
        <v>0.14249999999999999</v>
      </c>
      <c r="BB583" s="14">
        <f t="shared" si="3321"/>
        <v>0.14249999999999999</v>
      </c>
      <c r="BC583" s="14">
        <f t="shared" si="3321"/>
        <v>0.14249999999999999</v>
      </c>
      <c r="BD583" s="14">
        <f t="shared" si="3321"/>
        <v>0.14249999999999999</v>
      </c>
      <c r="BE583" s="14">
        <f t="shared" si="3321"/>
        <v>0.14249999999999999</v>
      </c>
      <c r="BF583" s="14">
        <f t="shared" si="3321"/>
        <v>0.14249999999999999</v>
      </c>
      <c r="BG583" s="14">
        <f t="shared" si="3321"/>
        <v>0.14249999999999999</v>
      </c>
      <c r="BH583" s="14">
        <f t="shared" si="3321"/>
        <v>0.14249999999999999</v>
      </c>
      <c r="BI583" s="14">
        <f t="shared" si="3321"/>
        <v>0.14249999999999999</v>
      </c>
      <c r="BJ583" s="14">
        <f t="shared" si="3321"/>
        <v>0</v>
      </c>
      <c r="BK583" s="14">
        <f t="shared" si="3321"/>
        <v>0</v>
      </c>
      <c r="BL583" s="14">
        <f t="shared" si="3321"/>
        <v>0</v>
      </c>
      <c r="BM583" s="412"/>
      <c r="BN583" s="14">
        <f t="shared" ref="BN583:CN583" si="3322">BN540*BN539/BN537</f>
        <v>0.23749999999999999</v>
      </c>
      <c r="BO583" s="14">
        <f t="shared" si="3322"/>
        <v>0.23749999999999999</v>
      </c>
      <c r="BP583" s="14">
        <f t="shared" si="3322"/>
        <v>0.23749999999999999</v>
      </c>
      <c r="BQ583" s="14">
        <f t="shared" si="3322"/>
        <v>0.23749999999999999</v>
      </c>
      <c r="BR583" s="14">
        <f t="shared" si="3322"/>
        <v>0.23749999999999999</v>
      </c>
      <c r="BS583" s="14">
        <f t="shared" si="3322"/>
        <v>0.23749999999999999</v>
      </c>
      <c r="BT583" s="14">
        <f t="shared" si="3322"/>
        <v>0.23749999999999999</v>
      </c>
      <c r="BU583" s="14">
        <f t="shared" si="3322"/>
        <v>0.23749999999999999</v>
      </c>
      <c r="BV583" s="14">
        <f t="shared" si="3322"/>
        <v>0.23749999999999999</v>
      </c>
      <c r="BW583" s="14">
        <f t="shared" si="3322"/>
        <v>0.23749999999999999</v>
      </c>
      <c r="BX583" s="14">
        <f t="shared" si="3322"/>
        <v>0.23749999999999999</v>
      </c>
      <c r="BY583" s="14">
        <f t="shared" si="3322"/>
        <v>0.23749999999999999</v>
      </c>
      <c r="BZ583" s="14">
        <f t="shared" si="3322"/>
        <v>0.14249999999999999</v>
      </c>
      <c r="CA583" s="14">
        <f t="shared" si="3322"/>
        <v>0.14249999999999999</v>
      </c>
      <c r="CB583" s="14">
        <f t="shared" si="3322"/>
        <v>0.14249999999999999</v>
      </c>
      <c r="CC583" s="14">
        <f t="shared" si="3322"/>
        <v>0.42749999999999988</v>
      </c>
      <c r="CD583" s="14">
        <f t="shared" si="3322"/>
        <v>0.42749999999999988</v>
      </c>
      <c r="CE583" s="14">
        <f t="shared" si="3322"/>
        <v>0.42749999999999988</v>
      </c>
      <c r="CF583" s="14">
        <f t="shared" si="3322"/>
        <v>0.42749999999999988</v>
      </c>
      <c r="CG583" s="14">
        <f t="shared" si="3322"/>
        <v>0.42749999999999988</v>
      </c>
      <c r="CH583" s="14">
        <f t="shared" si="3322"/>
        <v>0.42749999999999988</v>
      </c>
      <c r="CI583" s="14">
        <f t="shared" si="3322"/>
        <v>0.42749999999999988</v>
      </c>
      <c r="CJ583" s="14">
        <f t="shared" si="3322"/>
        <v>0.42749999999999988</v>
      </c>
      <c r="CK583" s="14">
        <f t="shared" si="3322"/>
        <v>0.42749999999999988</v>
      </c>
      <c r="CL583" s="14">
        <f t="shared" si="3322"/>
        <v>0</v>
      </c>
      <c r="CM583" s="14">
        <f t="shared" si="3322"/>
        <v>0</v>
      </c>
      <c r="CN583" s="14">
        <f t="shared" si="3322"/>
        <v>0</v>
      </c>
      <c r="CO583" s="412"/>
      <c r="CP583" s="14">
        <f t="shared" ref="CP583:DP583" si="3323">CP540*CP539/CP537</f>
        <v>0.23749999999999999</v>
      </c>
      <c r="CQ583" s="14">
        <f t="shared" si="3323"/>
        <v>0.23749999999999999</v>
      </c>
      <c r="CR583" s="14">
        <f t="shared" si="3323"/>
        <v>0.23749999999999999</v>
      </c>
      <c r="CS583" s="14">
        <f t="shared" si="3323"/>
        <v>0.23749999999999999</v>
      </c>
      <c r="CT583" s="14">
        <f t="shared" si="3323"/>
        <v>0.23749999999999999</v>
      </c>
      <c r="CU583" s="14">
        <f t="shared" si="3323"/>
        <v>0.23749999999999999</v>
      </c>
      <c r="CV583" s="14">
        <f t="shared" si="3323"/>
        <v>0.23749999999999999</v>
      </c>
      <c r="CW583" s="14">
        <f t="shared" si="3323"/>
        <v>0.23749999999999999</v>
      </c>
      <c r="CX583" s="14">
        <f t="shared" si="3323"/>
        <v>0.23749999999999999</v>
      </c>
      <c r="CY583" s="14">
        <f t="shared" si="3323"/>
        <v>0.23749999999999999</v>
      </c>
      <c r="CZ583" s="14">
        <f t="shared" si="3323"/>
        <v>0.23749999999999999</v>
      </c>
      <c r="DA583" s="14">
        <f t="shared" si="3323"/>
        <v>0.23749999999999999</v>
      </c>
      <c r="DB583" s="14">
        <f t="shared" si="3323"/>
        <v>0.14249999999999999</v>
      </c>
      <c r="DC583" s="14">
        <f t="shared" si="3323"/>
        <v>0.14249999999999999</v>
      </c>
      <c r="DD583" s="14">
        <f t="shared" si="3323"/>
        <v>0.14249999999999999</v>
      </c>
      <c r="DE583" s="14">
        <f t="shared" si="3323"/>
        <v>0.14249999999999999</v>
      </c>
      <c r="DF583" s="14">
        <f t="shared" si="3323"/>
        <v>0.14249999999999999</v>
      </c>
      <c r="DG583" s="14">
        <f t="shared" si="3323"/>
        <v>0.14249999999999999</v>
      </c>
      <c r="DH583" s="14">
        <f t="shared" si="3323"/>
        <v>0.14249999999999999</v>
      </c>
      <c r="DI583" s="14">
        <f t="shared" si="3323"/>
        <v>0.14249999999999999</v>
      </c>
      <c r="DJ583" s="14">
        <f t="shared" si="3323"/>
        <v>0.14249999999999999</v>
      </c>
      <c r="DK583" s="14">
        <f t="shared" si="3323"/>
        <v>0.14249999999999999</v>
      </c>
      <c r="DL583" s="14">
        <f t="shared" si="3323"/>
        <v>0.14249999999999999</v>
      </c>
      <c r="DM583" s="14">
        <f t="shared" si="3323"/>
        <v>0.14249999999999999</v>
      </c>
      <c r="DN583" s="14">
        <f t="shared" si="3323"/>
        <v>0</v>
      </c>
      <c r="DO583" s="14">
        <f t="shared" si="3323"/>
        <v>0</v>
      </c>
      <c r="DP583" s="14" t="e">
        <f t="shared" si="3323"/>
        <v>#DIV/0!</v>
      </c>
      <c r="DQ583" s="14"/>
      <c r="DR583" s="14"/>
      <c r="DS583" s="14"/>
      <c r="DT583" s="14"/>
      <c r="DU583" s="14"/>
      <c r="DV583" s="14"/>
      <c r="DW583" s="14"/>
      <c r="DX583" s="14"/>
      <c r="DY583" s="14"/>
      <c r="DZ583" s="14"/>
      <c r="EA583" s="14">
        <f>EA540*EA539/EA537</f>
        <v>0.23749999999999999</v>
      </c>
      <c r="EB583" s="14">
        <f>EB540*EB539/EB537</f>
        <v>0.14249999999999999</v>
      </c>
      <c r="EC583" s="14"/>
      <c r="ED583" s="429"/>
      <c r="EE583" s="14" t="e">
        <f>EE539*EE540/EE539</f>
        <v>#DIV/0!</v>
      </c>
      <c r="EF583" s="14" t="e">
        <f>EF540*EF539/EF539</f>
        <v>#DIV/0!</v>
      </c>
      <c r="EG583" s="14">
        <f>EG539*EG540/EG539</f>
        <v>0.95</v>
      </c>
      <c r="EK583" s="24"/>
      <c r="EL583" s="47"/>
      <c r="EM583" s="47"/>
      <c r="EN583" s="47"/>
    </row>
    <row r="584" spans="1:149">
      <c r="A584" s="6" t="s">
        <v>23</v>
      </c>
      <c r="B584" s="2" t="s">
        <v>26</v>
      </c>
      <c r="C584" s="3" t="s">
        <v>84</v>
      </c>
      <c r="E584" s="3" t="str">
        <f>C541</f>
        <v>BSpec1</v>
      </c>
      <c r="F584" s="4" t="s">
        <v>31</v>
      </c>
      <c r="G584" s="28" t="str">
        <f>C550</f>
        <v>BSUniq</v>
      </c>
      <c r="H584" s="28"/>
      <c r="I584" s="28"/>
      <c r="J584" s="62">
        <f t="shared" ref="J584:AJ584" si="3324">J541/J550</f>
        <v>8.6956521739130432E-2</v>
      </c>
      <c r="K584" s="62">
        <f t="shared" si="3324"/>
        <v>0.17391304339130434</v>
      </c>
      <c r="L584" s="62">
        <f t="shared" si="3324"/>
        <v>0.26086956504347825</v>
      </c>
      <c r="M584" s="62">
        <f t="shared" si="3324"/>
        <v>0.34782608669565213</v>
      </c>
      <c r="N584" s="62">
        <f t="shared" si="3324"/>
        <v>0.43478260834782606</v>
      </c>
      <c r="O584" s="62">
        <f t="shared" si="3324"/>
        <v>0.52173912999999994</v>
      </c>
      <c r="P584" s="62">
        <f t="shared" si="3324"/>
        <v>0.60869565165217376</v>
      </c>
      <c r="Q584" s="62">
        <f t="shared" si="3324"/>
        <v>0.6956521733043477</v>
      </c>
      <c r="R584" s="62">
        <f t="shared" si="3324"/>
        <v>0.78260869495652152</v>
      </c>
      <c r="S584" s="62">
        <f t="shared" si="3324"/>
        <v>0.86956521660869546</v>
      </c>
      <c r="T584" s="62">
        <f t="shared" si="3324"/>
        <v>0.95652173826086939</v>
      </c>
      <c r="U584" s="62">
        <f t="shared" si="3324"/>
        <v>1.0434782599130434</v>
      </c>
      <c r="V584" s="62">
        <f t="shared" si="3324"/>
        <v>7.6069565217391291E-2</v>
      </c>
      <c r="W584" s="62">
        <f t="shared" si="3324"/>
        <v>0.15213913043478258</v>
      </c>
      <c r="X584" s="62">
        <f t="shared" si="3324"/>
        <v>0.22820869565217389</v>
      </c>
      <c r="Y584" s="62">
        <f t="shared" si="3324"/>
        <v>0.30427826086956516</v>
      </c>
      <c r="Z584" s="62">
        <f t="shared" si="3324"/>
        <v>0.3803478260869565</v>
      </c>
      <c r="AA584" s="62">
        <f t="shared" si="3324"/>
        <v>0.45641739130434777</v>
      </c>
      <c r="AB584" s="62">
        <f t="shared" si="3324"/>
        <v>0.53248695652173905</v>
      </c>
      <c r="AC584" s="62">
        <f t="shared" si="3324"/>
        <v>0.60855652173913033</v>
      </c>
      <c r="AD584" s="62">
        <f t="shared" si="3324"/>
        <v>0.68462608695652172</v>
      </c>
      <c r="AE584" s="62">
        <f t="shared" si="3324"/>
        <v>0.760695652173913</v>
      </c>
      <c r="AF584" s="62">
        <f t="shared" si="3324"/>
        <v>0.83676521739130427</v>
      </c>
      <c r="AG584" s="62">
        <f t="shared" si="3324"/>
        <v>0.91283478260869555</v>
      </c>
      <c r="AH584" s="62">
        <f t="shared" si="3324"/>
        <v>0</v>
      </c>
      <c r="AI584" s="62">
        <f t="shared" si="3324"/>
        <v>0</v>
      </c>
      <c r="AJ584" s="62" t="e">
        <f t="shared" si="3324"/>
        <v>#DIV/0!</v>
      </c>
      <c r="AK584" s="412"/>
      <c r="AL584" s="14">
        <f t="shared" ref="AL584:BL584" si="3325">AL541/AL550</f>
        <v>8.6956521739130432E-2</v>
      </c>
      <c r="AM584" s="14">
        <f t="shared" si="3325"/>
        <v>8.6956521652173907E-2</v>
      </c>
      <c r="AN584" s="14">
        <f t="shared" si="3325"/>
        <v>8.6956521652173893E-2</v>
      </c>
      <c r="AO584" s="14">
        <f t="shared" si="3325"/>
        <v>8.6956521652173921E-2</v>
      </c>
      <c r="AP584" s="14">
        <f t="shared" si="3325"/>
        <v>8.6956521652173921E-2</v>
      </c>
      <c r="AQ584" s="14">
        <f t="shared" si="3325"/>
        <v>8.6956521652173865E-2</v>
      </c>
      <c r="AR584" s="14">
        <f t="shared" si="3325"/>
        <v>8.6956521652173865E-2</v>
      </c>
      <c r="AS584" s="14">
        <f t="shared" si="3325"/>
        <v>8.6956521652173865E-2</v>
      </c>
      <c r="AT584" s="14">
        <f t="shared" si="3325"/>
        <v>8.6956521652173865E-2</v>
      </c>
      <c r="AU584" s="14">
        <f t="shared" si="3325"/>
        <v>8.6956521652173865E-2</v>
      </c>
      <c r="AV584" s="14">
        <f t="shared" si="3325"/>
        <v>8.6956521652173963E-2</v>
      </c>
      <c r="AW584" s="14">
        <f t="shared" si="3325"/>
        <v>8.6956521652173963E-2</v>
      </c>
      <c r="AX584" s="14">
        <f t="shared" si="3325"/>
        <v>6.2153636286128404E-2</v>
      </c>
      <c r="AY584" s="14">
        <f t="shared" si="3325"/>
        <v>6.2153636286128404E-2</v>
      </c>
      <c r="AZ584" s="14">
        <f t="shared" si="3325"/>
        <v>6.2153636286128404E-2</v>
      </c>
      <c r="BA584" s="14">
        <f t="shared" si="3325"/>
        <v>6.2153636286128404E-2</v>
      </c>
      <c r="BB584" s="14">
        <f t="shared" si="3325"/>
        <v>6.2153636286128404E-2</v>
      </c>
      <c r="BC584" s="14">
        <f t="shared" si="3325"/>
        <v>6.2153636286128404E-2</v>
      </c>
      <c r="BD584" s="14">
        <f t="shared" si="3325"/>
        <v>6.2153636286128404E-2</v>
      </c>
      <c r="BE584" s="14">
        <f t="shared" si="3325"/>
        <v>6.2153636286128404E-2</v>
      </c>
      <c r="BF584" s="14">
        <f t="shared" si="3325"/>
        <v>6.2153636286128404E-2</v>
      </c>
      <c r="BG584" s="14">
        <f t="shared" si="3325"/>
        <v>6.2153636286128404E-2</v>
      </c>
      <c r="BH584" s="14">
        <f t="shared" si="3325"/>
        <v>6.2153636286128404E-2</v>
      </c>
      <c r="BI584" s="14">
        <f t="shared" si="3325"/>
        <v>6.2153636286128404E-2</v>
      </c>
      <c r="BJ584" s="14">
        <f t="shared" si="3325"/>
        <v>0</v>
      </c>
      <c r="BK584" s="14">
        <f t="shared" si="3325"/>
        <v>0</v>
      </c>
      <c r="BL584" s="14" t="e">
        <f t="shared" si="3325"/>
        <v>#DIV/0!</v>
      </c>
      <c r="BM584" s="412"/>
      <c r="BN584" s="14">
        <f t="shared" ref="BN584:CN584" si="3326">BN541/BN550</f>
        <v>0.26086956504347825</v>
      </c>
      <c r="BO584" s="14">
        <f t="shared" si="3326"/>
        <v>0.13043478252173912</v>
      </c>
      <c r="BP584" s="14">
        <f t="shared" si="3326"/>
        <v>8.6956521681159415E-2</v>
      </c>
      <c r="BQ584" s="14">
        <f t="shared" si="3326"/>
        <v>0.26086956495652169</v>
      </c>
      <c r="BR584" s="14">
        <f t="shared" si="3326"/>
        <v>0.13043478247826085</v>
      </c>
      <c r="BS584" s="14">
        <f t="shared" si="3326"/>
        <v>8.6956521652173907E-2</v>
      </c>
      <c r="BT584" s="14">
        <f t="shared" si="3326"/>
        <v>0.26086956495652158</v>
      </c>
      <c r="BU584" s="14">
        <f t="shared" si="3326"/>
        <v>0.13043478247826079</v>
      </c>
      <c r="BV584" s="14">
        <f t="shared" si="3326"/>
        <v>8.6956521652173879E-2</v>
      </c>
      <c r="BW584" s="14">
        <f t="shared" si="3326"/>
        <v>0.2608695649565218</v>
      </c>
      <c r="BX584" s="14">
        <f t="shared" si="3326"/>
        <v>0.1304347824782609</v>
      </c>
      <c r="BY584" s="14">
        <f t="shared" si="3326"/>
        <v>7.104846208498819E-2</v>
      </c>
      <c r="BZ584" s="14">
        <f t="shared" si="3326"/>
        <v>6.2167404386532059E-2</v>
      </c>
      <c r="CA584" s="14">
        <f t="shared" si="3326"/>
        <v>6.2167404386532059E-2</v>
      </c>
      <c r="CB584" s="14">
        <f t="shared" si="3326"/>
        <v>6.2153194694100841E-2</v>
      </c>
      <c r="CC584" s="14">
        <f t="shared" si="3326"/>
        <v>6.2153194694100841E-2</v>
      </c>
      <c r="CD584" s="14">
        <f t="shared" si="3326"/>
        <v>6.2153194694100841E-2</v>
      </c>
      <c r="CE584" s="14">
        <f t="shared" si="3326"/>
        <v>3.1076597347050421E-2</v>
      </c>
      <c r="CF584" s="14">
        <f t="shared" si="3326"/>
        <v>2.0717731564700279E-2</v>
      </c>
      <c r="CG584" s="14">
        <f t="shared" si="3326"/>
        <v>2.0717731564700279E-2</v>
      </c>
      <c r="CH584" s="14">
        <f t="shared" si="3326"/>
        <v>2.0717731564700279E-2</v>
      </c>
      <c r="CI584" s="14">
        <f t="shared" si="3326"/>
        <v>1.5538188277087032E-2</v>
      </c>
      <c r="CJ584" s="14">
        <f t="shared" si="3326"/>
        <v>1.5538188277087032E-2</v>
      </c>
      <c r="CK584" s="14">
        <f t="shared" si="3326"/>
        <v>1.5538188277087032E-2</v>
      </c>
      <c r="CL584" s="14">
        <f t="shared" si="3326"/>
        <v>0</v>
      </c>
      <c r="CM584" s="14">
        <f t="shared" si="3326"/>
        <v>0</v>
      </c>
      <c r="CN584" s="14">
        <f t="shared" si="3326"/>
        <v>0</v>
      </c>
      <c r="CO584" s="412"/>
      <c r="CP584" s="14">
        <f t="shared" ref="CP584:DP584" si="3327">CP541/CP550</f>
        <v>8.6956521739130432E-2</v>
      </c>
      <c r="CQ584" s="14">
        <f t="shared" si="3327"/>
        <v>8.695652169565217E-2</v>
      </c>
      <c r="CR584" s="14">
        <f t="shared" si="3327"/>
        <v>8.6956521681159415E-2</v>
      </c>
      <c r="CS584" s="14">
        <f t="shared" si="3327"/>
        <v>8.6956521673913031E-2</v>
      </c>
      <c r="CT584" s="14">
        <f t="shared" si="3327"/>
        <v>8.6956521669565204E-2</v>
      </c>
      <c r="CU584" s="14">
        <f t="shared" si="3327"/>
        <v>8.6956521666666647E-2</v>
      </c>
      <c r="CV584" s="14">
        <f t="shared" si="3327"/>
        <v>8.6956521664596248E-2</v>
      </c>
      <c r="CW584" s="14">
        <f t="shared" si="3327"/>
        <v>8.6956521663043462E-2</v>
      </c>
      <c r="CX584" s="14">
        <f t="shared" si="3327"/>
        <v>8.6956521661835734E-2</v>
      </c>
      <c r="CY584" s="14">
        <f t="shared" si="3327"/>
        <v>8.6956521660869548E-2</v>
      </c>
      <c r="CZ584" s="14">
        <f t="shared" si="3327"/>
        <v>8.6956521660079042E-2</v>
      </c>
      <c r="DA584" s="14">
        <f t="shared" si="3327"/>
        <v>8.6956521659420291E-2</v>
      </c>
      <c r="DB584" s="14">
        <f t="shared" si="3327"/>
        <v>6.2167846079518002E-2</v>
      </c>
      <c r="DC584" s="14">
        <f t="shared" si="3327"/>
        <v>6.2160741182823206E-2</v>
      </c>
      <c r="DD584" s="14">
        <f t="shared" si="3327"/>
        <v>6.2158372883924937E-2</v>
      </c>
      <c r="DE584" s="14">
        <f t="shared" si="3327"/>
        <v>6.2157188734475809E-2</v>
      </c>
      <c r="DF584" s="14">
        <f t="shared" si="3327"/>
        <v>6.2156478244806329E-2</v>
      </c>
      <c r="DG584" s="14">
        <f t="shared" si="3327"/>
        <v>6.2156004585026667E-2</v>
      </c>
      <c r="DH584" s="14">
        <f t="shared" si="3327"/>
        <v>6.2155666256612632E-2</v>
      </c>
      <c r="DI584" s="14">
        <f t="shared" si="3327"/>
        <v>6.2155412510302106E-2</v>
      </c>
      <c r="DJ584" s="14">
        <f t="shared" si="3327"/>
        <v>6.2155215152060586E-2</v>
      </c>
      <c r="DK584" s="14">
        <f t="shared" si="3327"/>
        <v>6.2155057265467363E-2</v>
      </c>
      <c r="DL584" s="14">
        <f t="shared" si="3327"/>
        <v>6.2154928085527451E-2</v>
      </c>
      <c r="DM584" s="14">
        <f t="shared" si="3327"/>
        <v>6.2154820435577532E-2</v>
      </c>
      <c r="DN584" s="14">
        <f t="shared" si="3327"/>
        <v>0</v>
      </c>
      <c r="DO584" s="14">
        <f t="shared" si="3327"/>
        <v>0</v>
      </c>
      <c r="DP584" s="14">
        <f t="shared" si="3327"/>
        <v>0</v>
      </c>
      <c r="DQ584" s="14"/>
      <c r="DR584" s="14"/>
      <c r="DS584" s="14"/>
      <c r="DT584" s="14"/>
      <c r="DU584" s="14"/>
      <c r="DV584" s="14"/>
      <c r="DW584" s="14"/>
      <c r="DX584" s="14"/>
      <c r="DY584" s="14"/>
      <c r="DZ584" s="14"/>
      <c r="EA584" s="14">
        <f>EA541/EA550</f>
        <v>8.6956521659420291E-2</v>
      </c>
      <c r="EB584" s="14">
        <f>EB541/EB550</f>
        <v>6.2154820435577532E-2</v>
      </c>
      <c r="EC584" s="14"/>
      <c r="ED584" s="429"/>
      <c r="EE584" s="14">
        <f>EE541/EE550</f>
        <v>0</v>
      </c>
      <c r="EF584" s="14">
        <f>EF541/EF550</f>
        <v>0</v>
      </c>
      <c r="EG584" s="14">
        <f>EG541/EG550</f>
        <v>7.6071014492753622E-2</v>
      </c>
      <c r="EK584" s="24"/>
      <c r="EL584" s="47"/>
      <c r="EM584" s="47"/>
      <c r="EN584" s="47"/>
    </row>
    <row r="585" spans="1:149">
      <c r="A585" s="6" t="s">
        <v>23</v>
      </c>
      <c r="B585" s="2" t="s">
        <v>27</v>
      </c>
      <c r="C585" s="3" t="s">
        <v>77</v>
      </c>
      <c r="E585" s="3" t="str">
        <f>C543</f>
        <v>BOnlHrs</v>
      </c>
      <c r="F585" s="4" t="s">
        <v>31</v>
      </c>
      <c r="G585" s="28" t="str">
        <f>C542</f>
        <v>BTotHrs</v>
      </c>
      <c r="H585" s="28"/>
      <c r="I585" s="28"/>
      <c r="J585" s="62">
        <f t="shared" ref="J585:AJ585" si="3328">J543/J542</f>
        <v>0.06</v>
      </c>
      <c r="K585" s="62">
        <f t="shared" si="3328"/>
        <v>0.06</v>
      </c>
      <c r="L585" s="62">
        <f t="shared" si="3328"/>
        <v>5.9999999999999991E-2</v>
      </c>
      <c r="M585" s="62">
        <f t="shared" si="3328"/>
        <v>0.06</v>
      </c>
      <c r="N585" s="62">
        <f t="shared" si="3328"/>
        <v>0.06</v>
      </c>
      <c r="O585" s="62">
        <f t="shared" si="3328"/>
        <v>5.9999999999999991E-2</v>
      </c>
      <c r="P585" s="62">
        <f t="shared" si="3328"/>
        <v>0.06</v>
      </c>
      <c r="Q585" s="62">
        <f t="shared" si="3328"/>
        <v>0.06</v>
      </c>
      <c r="R585" s="62">
        <f t="shared" si="3328"/>
        <v>6.0000000000000005E-2</v>
      </c>
      <c r="S585" s="62">
        <f t="shared" si="3328"/>
        <v>0.06</v>
      </c>
      <c r="T585" s="62">
        <f t="shared" si="3328"/>
        <v>0.06</v>
      </c>
      <c r="U585" s="62">
        <f t="shared" si="3328"/>
        <v>5.9999999999999991E-2</v>
      </c>
      <c r="V585" s="62">
        <f t="shared" si="3328"/>
        <v>0.1</v>
      </c>
      <c r="W585" s="62">
        <f t="shared" si="3328"/>
        <v>0.1</v>
      </c>
      <c r="X585" s="62">
        <f t="shared" si="3328"/>
        <v>0.1</v>
      </c>
      <c r="Y585" s="62">
        <f t="shared" si="3328"/>
        <v>0.1</v>
      </c>
      <c r="Z585" s="62">
        <f t="shared" si="3328"/>
        <v>0.1</v>
      </c>
      <c r="AA585" s="62">
        <f t="shared" si="3328"/>
        <v>0.1</v>
      </c>
      <c r="AB585" s="62">
        <f t="shared" si="3328"/>
        <v>0.1</v>
      </c>
      <c r="AC585" s="62">
        <f t="shared" si="3328"/>
        <v>0.1</v>
      </c>
      <c r="AD585" s="62">
        <f t="shared" si="3328"/>
        <v>0.1</v>
      </c>
      <c r="AE585" s="62">
        <f t="shared" si="3328"/>
        <v>0.1</v>
      </c>
      <c r="AF585" s="62">
        <f t="shared" si="3328"/>
        <v>0.1</v>
      </c>
      <c r="AG585" s="62">
        <f t="shared" si="3328"/>
        <v>0.1</v>
      </c>
      <c r="AH585" s="62">
        <f t="shared" si="3328"/>
        <v>0</v>
      </c>
      <c r="AI585" s="62">
        <f t="shared" si="3328"/>
        <v>0</v>
      </c>
      <c r="AJ585" s="62">
        <f t="shared" si="3328"/>
        <v>0</v>
      </c>
      <c r="AK585" s="412"/>
      <c r="AL585" s="14">
        <f t="shared" ref="AL585:BL585" si="3329">AL543/AL542</f>
        <v>0.06</v>
      </c>
      <c r="AM585" s="14">
        <f t="shared" si="3329"/>
        <v>0.06</v>
      </c>
      <c r="AN585" s="14">
        <f t="shared" si="3329"/>
        <v>5.9999999999999984E-2</v>
      </c>
      <c r="AO585" s="14">
        <f t="shared" si="3329"/>
        <v>6.0000000000000012E-2</v>
      </c>
      <c r="AP585" s="14">
        <f t="shared" si="3329"/>
        <v>5.9999999999999984E-2</v>
      </c>
      <c r="AQ585" s="14">
        <f t="shared" si="3329"/>
        <v>5.9999999999999984E-2</v>
      </c>
      <c r="AR585" s="14">
        <f t="shared" si="3329"/>
        <v>6.0000000000000039E-2</v>
      </c>
      <c r="AS585" s="14">
        <f t="shared" si="3329"/>
        <v>5.9999999999999984E-2</v>
      </c>
      <c r="AT585" s="14">
        <f t="shared" si="3329"/>
        <v>6.0000000000000039E-2</v>
      </c>
      <c r="AU585" s="14">
        <f t="shared" si="3329"/>
        <v>5.9999999999999928E-2</v>
      </c>
      <c r="AV585" s="14">
        <f t="shared" si="3329"/>
        <v>6.0000000000000039E-2</v>
      </c>
      <c r="AW585" s="14">
        <f t="shared" si="3329"/>
        <v>5.9999999999999928E-2</v>
      </c>
      <c r="AX585" s="14">
        <f t="shared" si="3329"/>
        <v>0.1</v>
      </c>
      <c r="AY585" s="14">
        <f t="shared" si="3329"/>
        <v>0.1</v>
      </c>
      <c r="AZ585" s="14">
        <f t="shared" si="3329"/>
        <v>0.1</v>
      </c>
      <c r="BA585" s="14">
        <f t="shared" si="3329"/>
        <v>0.1</v>
      </c>
      <c r="BB585" s="14">
        <f t="shared" si="3329"/>
        <v>0.1</v>
      </c>
      <c r="BC585" s="14">
        <f t="shared" si="3329"/>
        <v>0.1</v>
      </c>
      <c r="BD585" s="14">
        <f t="shared" si="3329"/>
        <v>0.1</v>
      </c>
      <c r="BE585" s="14">
        <f t="shared" si="3329"/>
        <v>0.1</v>
      </c>
      <c r="BF585" s="14">
        <f t="shared" si="3329"/>
        <v>0.1</v>
      </c>
      <c r="BG585" s="14">
        <f t="shared" si="3329"/>
        <v>0.1</v>
      </c>
      <c r="BH585" s="14">
        <f t="shared" si="3329"/>
        <v>0.1</v>
      </c>
      <c r="BI585" s="14">
        <f t="shared" si="3329"/>
        <v>0.1</v>
      </c>
      <c r="BJ585" s="14">
        <f t="shared" si="3329"/>
        <v>0</v>
      </c>
      <c r="BK585" s="14">
        <f t="shared" si="3329"/>
        <v>0</v>
      </c>
      <c r="BL585" s="14">
        <f t="shared" si="3329"/>
        <v>0</v>
      </c>
      <c r="BM585" s="412"/>
      <c r="BN585" s="14">
        <f t="shared" ref="BN585:CN585" si="3330">BN543/BN542</f>
        <v>5.9999999999999991E-2</v>
      </c>
      <c r="BO585" s="14">
        <f t="shared" si="3330"/>
        <v>5.9999999999999991E-2</v>
      </c>
      <c r="BP585" s="14">
        <f t="shared" si="3330"/>
        <v>5.9999999999999991E-2</v>
      </c>
      <c r="BQ585" s="14">
        <f t="shared" si="3330"/>
        <v>5.9999999999999991E-2</v>
      </c>
      <c r="BR585" s="14">
        <f t="shared" si="3330"/>
        <v>5.9999999999999991E-2</v>
      </c>
      <c r="BS585" s="14">
        <f t="shared" si="3330"/>
        <v>5.9999999999999991E-2</v>
      </c>
      <c r="BT585" s="14">
        <f t="shared" si="3330"/>
        <v>6.0000000000000026E-2</v>
      </c>
      <c r="BU585" s="14">
        <f t="shared" si="3330"/>
        <v>6.0000000000000026E-2</v>
      </c>
      <c r="BV585" s="14">
        <f t="shared" si="3330"/>
        <v>6.0000000000000026E-2</v>
      </c>
      <c r="BW585" s="14">
        <f t="shared" si="3330"/>
        <v>5.9999999999999963E-2</v>
      </c>
      <c r="BX585" s="14">
        <f t="shared" si="3330"/>
        <v>5.9999999999999963E-2</v>
      </c>
      <c r="BY585" s="14">
        <f t="shared" si="3330"/>
        <v>5.9999999999999963E-2</v>
      </c>
      <c r="BZ585" s="14">
        <f t="shared" si="3330"/>
        <v>0.1</v>
      </c>
      <c r="CA585" s="14">
        <f t="shared" si="3330"/>
        <v>0.1</v>
      </c>
      <c r="CB585" s="14">
        <f t="shared" si="3330"/>
        <v>0.1</v>
      </c>
      <c r="CC585" s="14">
        <f t="shared" si="3330"/>
        <v>0.29999999999999993</v>
      </c>
      <c r="CD585" s="14">
        <f t="shared" si="3330"/>
        <v>0.29999999999999993</v>
      </c>
      <c r="CE585" s="14">
        <f t="shared" si="3330"/>
        <v>0.29999999999999993</v>
      </c>
      <c r="CF585" s="14">
        <f t="shared" si="3330"/>
        <v>0.29999999999999993</v>
      </c>
      <c r="CG585" s="14">
        <f t="shared" si="3330"/>
        <v>0.29999999999999993</v>
      </c>
      <c r="CH585" s="14">
        <f t="shared" si="3330"/>
        <v>0.29999999999999993</v>
      </c>
      <c r="CI585" s="14">
        <f t="shared" si="3330"/>
        <v>0.29999999999999993</v>
      </c>
      <c r="CJ585" s="14">
        <f t="shared" si="3330"/>
        <v>0.29999999999999993</v>
      </c>
      <c r="CK585" s="14">
        <f t="shared" si="3330"/>
        <v>0.29999999999999993</v>
      </c>
      <c r="CL585" s="14">
        <f t="shared" si="3330"/>
        <v>0</v>
      </c>
      <c r="CM585" s="14">
        <f t="shared" si="3330"/>
        <v>0</v>
      </c>
      <c r="CN585" s="14">
        <f t="shared" si="3330"/>
        <v>0</v>
      </c>
      <c r="CO585" s="412"/>
      <c r="CP585" s="14">
        <f t="shared" ref="CP585:DP585" si="3331">CP543/CP542</f>
        <v>0.06</v>
      </c>
      <c r="CQ585" s="14">
        <f t="shared" si="3331"/>
        <v>0.06</v>
      </c>
      <c r="CR585" s="14">
        <f t="shared" si="3331"/>
        <v>5.9999999999999991E-2</v>
      </c>
      <c r="CS585" s="14">
        <f t="shared" si="3331"/>
        <v>0.06</v>
      </c>
      <c r="CT585" s="14">
        <f t="shared" si="3331"/>
        <v>0.06</v>
      </c>
      <c r="CU585" s="14">
        <f t="shared" si="3331"/>
        <v>5.9999999999999991E-2</v>
      </c>
      <c r="CV585" s="14">
        <f t="shared" si="3331"/>
        <v>0.06</v>
      </c>
      <c r="CW585" s="14">
        <f t="shared" si="3331"/>
        <v>0.06</v>
      </c>
      <c r="CX585" s="14">
        <f t="shared" si="3331"/>
        <v>6.0000000000000005E-2</v>
      </c>
      <c r="CY585" s="14">
        <f t="shared" si="3331"/>
        <v>0.06</v>
      </c>
      <c r="CZ585" s="14">
        <f t="shared" si="3331"/>
        <v>0.06</v>
      </c>
      <c r="DA585" s="14">
        <f t="shared" si="3331"/>
        <v>5.9999999999999991E-2</v>
      </c>
      <c r="DB585" s="14">
        <f t="shared" si="3331"/>
        <v>0.1</v>
      </c>
      <c r="DC585" s="14">
        <f t="shared" si="3331"/>
        <v>0.1</v>
      </c>
      <c r="DD585" s="14">
        <f t="shared" si="3331"/>
        <v>0.1</v>
      </c>
      <c r="DE585" s="14">
        <f t="shared" si="3331"/>
        <v>0.1</v>
      </c>
      <c r="DF585" s="14">
        <f t="shared" si="3331"/>
        <v>0.1</v>
      </c>
      <c r="DG585" s="14">
        <f t="shared" si="3331"/>
        <v>0.1</v>
      </c>
      <c r="DH585" s="14">
        <f t="shared" si="3331"/>
        <v>0.1</v>
      </c>
      <c r="DI585" s="14">
        <f t="shared" si="3331"/>
        <v>0.1</v>
      </c>
      <c r="DJ585" s="14">
        <f t="shared" si="3331"/>
        <v>0.1</v>
      </c>
      <c r="DK585" s="14">
        <f t="shared" si="3331"/>
        <v>0.1</v>
      </c>
      <c r="DL585" s="14">
        <f t="shared" si="3331"/>
        <v>0.1</v>
      </c>
      <c r="DM585" s="14">
        <f t="shared" si="3331"/>
        <v>0.1</v>
      </c>
      <c r="DN585" s="14">
        <f t="shared" si="3331"/>
        <v>0</v>
      </c>
      <c r="DO585" s="14">
        <f t="shared" si="3331"/>
        <v>0</v>
      </c>
      <c r="DP585" s="14">
        <f t="shared" si="3331"/>
        <v>0</v>
      </c>
      <c r="DQ585" s="14"/>
      <c r="DR585" s="14"/>
      <c r="DS585" s="14"/>
      <c r="DT585" s="14"/>
      <c r="DU585" s="14"/>
      <c r="DV585" s="14"/>
      <c r="DW585" s="14"/>
      <c r="DX585" s="14"/>
      <c r="DY585" s="14"/>
      <c r="DZ585" s="14"/>
      <c r="EA585" s="14">
        <f>EA543/EA542</f>
        <v>5.9999999999999991E-2</v>
      </c>
      <c r="EB585" s="14">
        <f>EB543/EB542</f>
        <v>0.1</v>
      </c>
      <c r="EC585" s="14"/>
      <c r="ED585" s="429"/>
      <c r="EE585" s="14">
        <f>EE543/EE542</f>
        <v>0</v>
      </c>
      <c r="EF585" s="14">
        <f>EF543/EF542</f>
        <v>0</v>
      </c>
      <c r="EG585" s="14">
        <f>EG543/EG542</f>
        <v>8.3210059171597628E-2</v>
      </c>
      <c r="EK585" s="24"/>
      <c r="EL585" s="47"/>
      <c r="EM585" s="47"/>
      <c r="EN585" s="47"/>
    </row>
    <row r="586" spans="1:149">
      <c r="A586" s="6" t="s">
        <v>23</v>
      </c>
      <c r="B586" s="2" t="s">
        <v>28</v>
      </c>
      <c r="C586" s="3" t="s">
        <v>78</v>
      </c>
      <c r="E586" s="3" t="str">
        <f>C548</f>
        <v>BColCash</v>
      </c>
      <c r="F586" s="4" t="s">
        <v>31</v>
      </c>
      <c r="G586" s="28" t="str">
        <f>C549</f>
        <v>BFSFunds</v>
      </c>
      <c r="H586" s="28"/>
      <c r="I586" s="28"/>
      <c r="J586" s="62" t="str">
        <f t="shared" ref="J586:AJ586" si="3332">IF(J549&lt;&gt;0,J548/J549,"")</f>
        <v/>
      </c>
      <c r="K586" s="62" t="str">
        <f t="shared" si="3332"/>
        <v/>
      </c>
      <c r="L586" s="62">
        <f t="shared" si="3332"/>
        <v>1.449438202247191</v>
      </c>
      <c r="M586" s="62">
        <f t="shared" si="3332"/>
        <v>1.449438202247191</v>
      </c>
      <c r="N586" s="62">
        <f t="shared" si="3332"/>
        <v>1.449438202247191</v>
      </c>
      <c r="O586" s="62">
        <f t="shared" si="3332"/>
        <v>1.449438202247191</v>
      </c>
      <c r="P586" s="62">
        <f t="shared" si="3332"/>
        <v>1.449438202247191</v>
      </c>
      <c r="Q586" s="62">
        <f t="shared" si="3332"/>
        <v>1.449438202247191</v>
      </c>
      <c r="R586" s="62">
        <f t="shared" si="3332"/>
        <v>1.4644194756554307</v>
      </c>
      <c r="S586" s="62">
        <f t="shared" si="3332"/>
        <v>1.4644194756554307</v>
      </c>
      <c r="T586" s="62">
        <f t="shared" si="3332"/>
        <v>1.4644194756554307</v>
      </c>
      <c r="U586" s="62">
        <f t="shared" si="3332"/>
        <v>1.449438202247191</v>
      </c>
      <c r="V586" s="62" t="str">
        <f t="shared" si="3332"/>
        <v/>
      </c>
      <c r="W586" s="62" t="str">
        <f t="shared" si="3332"/>
        <v/>
      </c>
      <c r="X586" s="62" t="str">
        <f t="shared" si="3332"/>
        <v/>
      </c>
      <c r="Y586" s="62" t="str">
        <f t="shared" si="3332"/>
        <v/>
      </c>
      <c r="Z586" s="62" t="str">
        <f t="shared" si="3332"/>
        <v/>
      </c>
      <c r="AA586" s="62">
        <f t="shared" si="3332"/>
        <v>1.5168539325842696</v>
      </c>
      <c r="AB586" s="62">
        <f t="shared" si="3332"/>
        <v>1.5168539325842696</v>
      </c>
      <c r="AC586" s="62">
        <f t="shared" si="3332"/>
        <v>1.5168539325842696</v>
      </c>
      <c r="AD586" s="62">
        <f t="shared" si="3332"/>
        <v>1.5168539325842696</v>
      </c>
      <c r="AE586" s="62">
        <f t="shared" si="3332"/>
        <v>1.5168539325842696</v>
      </c>
      <c r="AF586" s="62">
        <f t="shared" si="3332"/>
        <v>1.5168539325842696</v>
      </c>
      <c r="AG586" s="62">
        <f t="shared" si="3332"/>
        <v>1.5168539325842696</v>
      </c>
      <c r="AH586" s="62" t="str">
        <f t="shared" si="3332"/>
        <v/>
      </c>
      <c r="AI586" s="62" t="str">
        <f t="shared" si="3332"/>
        <v/>
      </c>
      <c r="AJ586" s="62" t="str">
        <f t="shared" si="3332"/>
        <v/>
      </c>
      <c r="AK586" s="412"/>
      <c r="AL586" s="14"/>
      <c r="AM586" s="14"/>
      <c r="AN586" s="14"/>
      <c r="AO586" s="14"/>
      <c r="AP586" s="14"/>
      <c r="AQ586" s="14"/>
      <c r="AR586" s="14"/>
      <c r="AS586" s="14"/>
      <c r="AT586" s="14"/>
      <c r="AU586" s="14"/>
      <c r="AV586" s="14"/>
      <c r="AW586" s="14"/>
      <c r="AX586" s="14"/>
      <c r="AY586" s="14"/>
      <c r="AZ586" s="14"/>
      <c r="BA586" s="14"/>
      <c r="BB586" s="14"/>
      <c r="BC586" s="14"/>
      <c r="BD586" s="14"/>
      <c r="BE586" s="14"/>
      <c r="BF586" s="14"/>
      <c r="BG586" s="14"/>
      <c r="BH586" s="14"/>
      <c r="BI586" s="14"/>
      <c r="BJ586" s="14"/>
      <c r="BK586" s="14"/>
      <c r="BL586" s="14"/>
      <c r="BM586" s="412"/>
      <c r="BN586" s="14"/>
      <c r="BO586" s="14"/>
      <c r="BP586" s="14"/>
      <c r="BQ586" s="14"/>
      <c r="BR586" s="14"/>
      <c r="BS586" s="14"/>
      <c r="BT586" s="14"/>
      <c r="BU586" s="14"/>
      <c r="BV586" s="14"/>
      <c r="BW586" s="14"/>
      <c r="BX586" s="14"/>
      <c r="BY586" s="14"/>
      <c r="BZ586" s="14"/>
      <c r="CA586" s="14"/>
      <c r="CB586" s="14"/>
      <c r="CC586" s="14"/>
      <c r="CD586" s="14"/>
      <c r="CE586" s="14"/>
      <c r="CF586" s="14"/>
      <c r="CG586" s="14"/>
      <c r="CH586" s="14"/>
      <c r="CI586" s="14"/>
      <c r="CJ586" s="14"/>
      <c r="CK586" s="14"/>
      <c r="CL586" s="14"/>
      <c r="CM586" s="14"/>
      <c r="CN586" s="14"/>
      <c r="CO586" s="412"/>
      <c r="CP586" s="14" t="str">
        <f t="shared" ref="CP586:DP586" si="3333">IF(CP549&lt;&gt;0,CP548/CP549,"")</f>
        <v/>
      </c>
      <c r="CQ586" s="14" t="str">
        <f t="shared" si="3333"/>
        <v/>
      </c>
      <c r="CR586" s="14">
        <f t="shared" si="3333"/>
        <v>1.449438202247191</v>
      </c>
      <c r="CS586" s="14">
        <f t="shared" si="3333"/>
        <v>1.449438202247191</v>
      </c>
      <c r="CT586" s="14">
        <f t="shared" si="3333"/>
        <v>1.449438202247191</v>
      </c>
      <c r="CU586" s="14">
        <f t="shared" si="3333"/>
        <v>1.449438202247191</v>
      </c>
      <c r="CV586" s="14">
        <f t="shared" si="3333"/>
        <v>1.449438202247191</v>
      </c>
      <c r="CW586" s="14">
        <f t="shared" si="3333"/>
        <v>1.449438202247191</v>
      </c>
      <c r="CX586" s="14">
        <f t="shared" si="3333"/>
        <v>1.4644194756554307</v>
      </c>
      <c r="CY586" s="14">
        <f t="shared" si="3333"/>
        <v>1.4644194756554307</v>
      </c>
      <c r="CZ586" s="14">
        <f t="shared" si="3333"/>
        <v>1.4644194756554307</v>
      </c>
      <c r="DA586" s="14">
        <f t="shared" si="3333"/>
        <v>1.449438202247191</v>
      </c>
      <c r="DB586" s="14" t="str">
        <f t="shared" si="3333"/>
        <v/>
      </c>
      <c r="DC586" s="14" t="str">
        <f t="shared" si="3333"/>
        <v/>
      </c>
      <c r="DD586" s="14" t="str">
        <f t="shared" si="3333"/>
        <v/>
      </c>
      <c r="DE586" s="14" t="str">
        <f t="shared" si="3333"/>
        <v/>
      </c>
      <c r="DF586" s="14" t="str">
        <f t="shared" si="3333"/>
        <v/>
      </c>
      <c r="DG586" s="14">
        <f t="shared" si="3333"/>
        <v>1.5168539325842696</v>
      </c>
      <c r="DH586" s="14">
        <f t="shared" si="3333"/>
        <v>1.5168539325842696</v>
      </c>
      <c r="DI586" s="14">
        <f t="shared" si="3333"/>
        <v>1.5168539325842696</v>
      </c>
      <c r="DJ586" s="14">
        <f t="shared" si="3333"/>
        <v>1.5168539325842696</v>
      </c>
      <c r="DK586" s="14">
        <f t="shared" si="3333"/>
        <v>1.5168539325842696</v>
      </c>
      <c r="DL586" s="14">
        <f t="shared" si="3333"/>
        <v>1.5168539325842696</v>
      </c>
      <c r="DM586" s="14">
        <f t="shared" si="3333"/>
        <v>1.5168539325842696</v>
      </c>
      <c r="DN586" s="14" t="str">
        <f t="shared" si="3333"/>
        <v/>
      </c>
      <c r="DO586" s="14" t="str">
        <f t="shared" si="3333"/>
        <v/>
      </c>
      <c r="DP586" s="14" t="str">
        <f t="shared" si="3333"/>
        <v/>
      </c>
      <c r="DQ586" s="14"/>
      <c r="DR586" s="14"/>
      <c r="DS586" s="14"/>
      <c r="DT586" s="14"/>
      <c r="DU586" s="14"/>
      <c r="DV586" s="14"/>
      <c r="DW586" s="14"/>
      <c r="DX586" s="14"/>
      <c r="DY586" s="14"/>
      <c r="DZ586" s="14"/>
      <c r="EA586" s="14">
        <f>IF(EA549&lt;&gt;0,EA548/EA549,"")</f>
        <v>1.449438202247191</v>
      </c>
      <c r="EB586" s="14">
        <f>IF(EB549&lt;&gt;0,EB548/EB549,"")</f>
        <v>1.5168539325842696</v>
      </c>
      <c r="EC586" s="14"/>
      <c r="ED586" s="429"/>
      <c r="EE586" s="14"/>
      <c r="EF586" s="14"/>
      <c r="EG586" s="14">
        <f>IF(EG549&lt;&gt;0,EG548/EG549,"")</f>
        <v>0.5048209028459274</v>
      </c>
      <c r="EK586" s="24"/>
      <c r="EL586" s="65"/>
      <c r="EM586" s="65"/>
      <c r="EN586" s="47"/>
    </row>
    <row r="587" spans="1:149">
      <c r="A587" s="6" t="s">
        <v>29</v>
      </c>
      <c r="G587" s="28"/>
      <c r="H587" s="28"/>
      <c r="I587" s="28"/>
      <c r="J587" s="64"/>
      <c r="K587" s="64"/>
      <c r="L587" s="64"/>
      <c r="M587" s="64"/>
      <c r="N587" s="64"/>
      <c r="O587" s="64"/>
      <c r="P587" s="64"/>
      <c r="Q587" s="64"/>
      <c r="R587" s="64"/>
      <c r="S587" s="64"/>
      <c r="T587" s="64"/>
      <c r="U587" s="64"/>
      <c r="V587" s="64"/>
      <c r="W587" s="64"/>
      <c r="X587" s="64"/>
      <c r="Y587" s="64"/>
      <c r="Z587" s="64"/>
      <c r="AA587" s="64"/>
      <c r="AB587" s="64"/>
      <c r="AC587" s="64"/>
      <c r="AD587" s="64"/>
      <c r="AE587" s="64"/>
      <c r="AF587" s="64"/>
      <c r="AG587" s="64"/>
      <c r="AH587" s="64"/>
      <c r="AI587" s="64"/>
      <c r="AJ587" s="64"/>
      <c r="CY587" s="266"/>
      <c r="CZ587" s="251"/>
      <c r="ED587" s="429"/>
      <c r="EE587" s="23"/>
      <c r="EF587" s="23"/>
      <c r="EG587" s="23"/>
      <c r="EH587" s="25"/>
      <c r="EI587" s="25"/>
      <c r="EJ587" s="25"/>
      <c r="EK587" s="23"/>
    </row>
    <row r="588" spans="1:149">
      <c r="A588" s="6" t="s">
        <v>23</v>
      </c>
      <c r="B588" s="2" t="s">
        <v>24</v>
      </c>
      <c r="C588" s="3" t="s">
        <v>83</v>
      </c>
      <c r="E588" s="4" t="str">
        <f>C561</f>
        <v>AInBusNew</v>
      </c>
      <c r="F588" s="4" t="s">
        <v>31</v>
      </c>
      <c r="G588" s="28" t="str">
        <f>C560</f>
        <v>AAllNew</v>
      </c>
      <c r="H588" s="28"/>
      <c r="I588" s="28"/>
      <c r="J588" s="62">
        <f t="shared" ref="J588:AJ588" si="3334">IF(J560&lt;&gt;0,J561/J560,"")</f>
        <v>0.47619047619047616</v>
      </c>
      <c r="K588" s="62">
        <f t="shared" si="3334"/>
        <v>0.3</v>
      </c>
      <c r="L588" s="62">
        <f t="shared" si="3334"/>
        <v>0.29508196721311475</v>
      </c>
      <c r="M588" s="62">
        <f t="shared" si="3334"/>
        <v>0.35526315789473684</v>
      </c>
      <c r="N588" s="62">
        <f t="shared" si="3334"/>
        <v>0.38202247191011235</v>
      </c>
      <c r="O588" s="62">
        <f t="shared" si="3334"/>
        <v>0.35</v>
      </c>
      <c r="P588" s="62">
        <f t="shared" si="3334"/>
        <v>0.375</v>
      </c>
      <c r="Q588" s="62">
        <f t="shared" si="3334"/>
        <v>0.4041095890410959</v>
      </c>
      <c r="R588" s="62">
        <f t="shared" si="3334"/>
        <v>0.38461538461538464</v>
      </c>
      <c r="S588" s="62">
        <f t="shared" si="3334"/>
        <v>0.37810945273631841</v>
      </c>
      <c r="T588" s="62">
        <f t="shared" si="3334"/>
        <v>0.40692640692640691</v>
      </c>
      <c r="U588" s="62">
        <f t="shared" si="3334"/>
        <v>0.4265232974910394</v>
      </c>
      <c r="V588" s="62">
        <f t="shared" si="3334"/>
        <v>0.23636363636363636</v>
      </c>
      <c r="W588" s="62">
        <f t="shared" si="3334"/>
        <v>0.36220472440944884</v>
      </c>
      <c r="X588" s="62">
        <f t="shared" si="3334"/>
        <v>0.36627906976744184</v>
      </c>
      <c r="Y588" s="62">
        <f t="shared" si="3334"/>
        <v>0.38288288288288286</v>
      </c>
      <c r="Z588" s="62">
        <f t="shared" si="3334"/>
        <v>0.38661710037174724</v>
      </c>
      <c r="AA588" s="62">
        <f t="shared" si="3334"/>
        <v>0.40129449838187703</v>
      </c>
      <c r="AB588" s="62">
        <f t="shared" si="3334"/>
        <v>0.39275766016713093</v>
      </c>
      <c r="AC588" s="62">
        <f t="shared" si="3334"/>
        <v>0.37560975609756098</v>
      </c>
      <c r="AD588" s="62">
        <f t="shared" si="3334"/>
        <v>0.37419354838709679</v>
      </c>
      <c r="AE588" s="62">
        <f t="shared" si="3334"/>
        <v>0.37401574803149606</v>
      </c>
      <c r="AF588" s="62">
        <f t="shared" si="3334"/>
        <v>0.36624775583482944</v>
      </c>
      <c r="AG588" s="62">
        <f t="shared" si="3334"/>
        <v>0.36677631578947367</v>
      </c>
      <c r="AH588" s="62">
        <f t="shared" si="3334"/>
        <v>0.23684210526315788</v>
      </c>
      <c r="AI588" s="62">
        <f t="shared" si="3334"/>
        <v>0.4</v>
      </c>
      <c r="AJ588" s="62" t="str">
        <f t="shared" si="3334"/>
        <v/>
      </c>
      <c r="AK588" s="412"/>
      <c r="AL588" s="14">
        <f t="shared" ref="AL588:BL588" si="3335">IF(AL560&lt;&gt;0,AL561/AL560,"")</f>
        <v>0.47619047619047616</v>
      </c>
      <c r="AM588" s="14">
        <f t="shared" si="3335"/>
        <v>0.10526315789473684</v>
      </c>
      <c r="AN588" s="14">
        <f t="shared" si="3335"/>
        <v>0.2857142857142857</v>
      </c>
      <c r="AO588" s="14">
        <f t="shared" si="3335"/>
        <v>0.6</v>
      </c>
      <c r="AP588" s="14">
        <f t="shared" si="3335"/>
        <v>0.53846153846153844</v>
      </c>
      <c r="AQ588" s="14">
        <f t="shared" si="3335"/>
        <v>9.0909090909090912E-2</v>
      </c>
      <c r="AR588" s="14">
        <f t="shared" si="3335"/>
        <v>0.58333333333333337</v>
      </c>
      <c r="AS588" s="14">
        <f t="shared" si="3335"/>
        <v>0.5</v>
      </c>
      <c r="AT588" s="14">
        <f t="shared" si="3335"/>
        <v>0.2608695652173913</v>
      </c>
      <c r="AU588" s="14">
        <f t="shared" si="3335"/>
        <v>0.34375</v>
      </c>
      <c r="AV588" s="14">
        <f t="shared" si="3335"/>
        <v>0.6</v>
      </c>
      <c r="AW588" s="14">
        <f t="shared" si="3335"/>
        <v>0.52083333333333337</v>
      </c>
      <c r="AX588" s="14">
        <f t="shared" si="3335"/>
        <v>0.23636363636363636</v>
      </c>
      <c r="AY588" s="14">
        <f t="shared" si="3335"/>
        <v>0.45833333333333331</v>
      </c>
      <c r="AZ588" s="14">
        <f t="shared" si="3335"/>
        <v>0.37777777777777777</v>
      </c>
      <c r="BA588" s="14">
        <f t="shared" si="3335"/>
        <v>0.44</v>
      </c>
      <c r="BB588" s="14">
        <f t="shared" si="3335"/>
        <v>0.40425531914893614</v>
      </c>
      <c r="BC588" s="14">
        <f t="shared" si="3335"/>
        <v>0.5</v>
      </c>
      <c r="BD588" s="14">
        <f t="shared" si="3335"/>
        <v>0.34</v>
      </c>
      <c r="BE588" s="14">
        <f t="shared" si="3335"/>
        <v>0.25490196078431371</v>
      </c>
      <c r="BF588" s="14">
        <f t="shared" si="3335"/>
        <v>0.36363636363636365</v>
      </c>
      <c r="BG588" s="14">
        <f t="shared" si="3335"/>
        <v>0.37209302325581395</v>
      </c>
      <c r="BH588" s="14">
        <f t="shared" si="3335"/>
        <v>0.2857142857142857</v>
      </c>
      <c r="BI588" s="14">
        <f t="shared" si="3335"/>
        <v>0.37254901960784315</v>
      </c>
      <c r="BJ588" s="14">
        <f t="shared" si="3335"/>
        <v>0.23684210526315788</v>
      </c>
      <c r="BK588" s="14">
        <f t="shared" si="3335"/>
        <v>0.53191489361702127</v>
      </c>
      <c r="BL588" s="14" t="str">
        <f t="shared" si="3335"/>
        <v/>
      </c>
      <c r="BM588" s="412"/>
      <c r="BN588" s="14">
        <f t="shared" ref="BN588:CN588" si="3336">IF(BN560&lt;&gt;0,BN561/BN560,"")</f>
        <v>0.29508196721311475</v>
      </c>
      <c r="BO588" s="14">
        <f t="shared" si="3336"/>
        <v>0.29508196721311475</v>
      </c>
      <c r="BP588" s="14">
        <f t="shared" si="3336"/>
        <v>0.29508196721311475</v>
      </c>
      <c r="BQ588" s="14">
        <f t="shared" si="3336"/>
        <v>0.4358974358974359</v>
      </c>
      <c r="BR588" s="14">
        <f t="shared" si="3336"/>
        <v>0.4358974358974359</v>
      </c>
      <c r="BS588" s="14">
        <f t="shared" si="3336"/>
        <v>0.4358974358974359</v>
      </c>
      <c r="BT588" s="14">
        <f t="shared" si="3336"/>
        <v>0.43478260869565216</v>
      </c>
      <c r="BU588" s="14">
        <f t="shared" si="3336"/>
        <v>0.43478260869565216</v>
      </c>
      <c r="BV588" s="14">
        <f t="shared" si="3336"/>
        <v>0.43478260869565216</v>
      </c>
      <c r="BW588" s="14">
        <f t="shared" si="3336"/>
        <v>0.49090909090909091</v>
      </c>
      <c r="BX588" s="14">
        <f t="shared" si="3336"/>
        <v>0.49090909090909091</v>
      </c>
      <c r="BY588" s="14">
        <f t="shared" si="3336"/>
        <v>0.49090909090909091</v>
      </c>
      <c r="BZ588" s="14">
        <f t="shared" si="3336"/>
        <v>0.36627906976744184</v>
      </c>
      <c r="CA588" s="14">
        <f t="shared" si="3336"/>
        <v>0.36627906976744184</v>
      </c>
      <c r="CB588" s="14">
        <f t="shared" si="3336"/>
        <v>0.36627906976744184</v>
      </c>
      <c r="CC588" s="14">
        <f t="shared" si="3336"/>
        <v>0.44525547445255476</v>
      </c>
      <c r="CD588" s="14">
        <f t="shared" si="3336"/>
        <v>0.44525547445255476</v>
      </c>
      <c r="CE588" s="14">
        <f t="shared" si="3336"/>
        <v>0.44525547445255476</v>
      </c>
      <c r="CF588" s="14">
        <f t="shared" si="3336"/>
        <v>0.32051282051282054</v>
      </c>
      <c r="CG588" s="14">
        <f t="shared" si="3336"/>
        <v>0.32051282051282054</v>
      </c>
      <c r="CH588" s="14">
        <f t="shared" si="3336"/>
        <v>0.32051282051282054</v>
      </c>
      <c r="CI588" s="14">
        <f t="shared" si="3336"/>
        <v>0.34265734265734266</v>
      </c>
      <c r="CJ588" s="14">
        <f t="shared" si="3336"/>
        <v>0.34265734265734266</v>
      </c>
      <c r="CK588" s="14">
        <f t="shared" si="3336"/>
        <v>0.34265734265734266</v>
      </c>
      <c r="CL588" s="14">
        <f t="shared" si="3336"/>
        <v>0.4</v>
      </c>
      <c r="CM588" s="14">
        <f t="shared" si="3336"/>
        <v>0.4</v>
      </c>
      <c r="CN588" s="14">
        <f t="shared" si="3336"/>
        <v>0.4</v>
      </c>
      <c r="CO588" s="412"/>
      <c r="CP588" s="14">
        <f t="shared" ref="CP588:DP588" si="3337">IF(CP560&lt;&gt;0,CP561/CP560,"")</f>
        <v>0.47619047619047616</v>
      </c>
      <c r="CQ588" s="14">
        <f t="shared" si="3337"/>
        <v>0.3</v>
      </c>
      <c r="CR588" s="14">
        <f t="shared" si="3337"/>
        <v>0.29508196721311475</v>
      </c>
      <c r="CS588" s="14">
        <f t="shared" si="3337"/>
        <v>0.35526315789473684</v>
      </c>
      <c r="CT588" s="14">
        <f t="shared" si="3337"/>
        <v>0.38202247191011235</v>
      </c>
      <c r="CU588" s="14">
        <f t="shared" si="3337"/>
        <v>0.35</v>
      </c>
      <c r="CV588" s="14">
        <f t="shared" si="3337"/>
        <v>0.375</v>
      </c>
      <c r="CW588" s="14">
        <f t="shared" si="3337"/>
        <v>0.4041095890410959</v>
      </c>
      <c r="CX588" s="14">
        <f t="shared" si="3337"/>
        <v>0.38461538461538464</v>
      </c>
      <c r="CY588" s="14">
        <f t="shared" si="3337"/>
        <v>0.37810945273631841</v>
      </c>
      <c r="CZ588" s="14">
        <f t="shared" si="3337"/>
        <v>0.40692640692640691</v>
      </c>
      <c r="DA588" s="14">
        <f t="shared" si="3337"/>
        <v>0.4265232974910394</v>
      </c>
      <c r="DB588" s="14">
        <f t="shared" si="3337"/>
        <v>0.23636363636363636</v>
      </c>
      <c r="DC588" s="14">
        <f t="shared" si="3337"/>
        <v>0.36220472440944884</v>
      </c>
      <c r="DD588" s="14">
        <f t="shared" si="3337"/>
        <v>0.36627906976744184</v>
      </c>
      <c r="DE588" s="14">
        <f t="shared" si="3337"/>
        <v>0.38288288288288286</v>
      </c>
      <c r="DF588" s="14">
        <f t="shared" si="3337"/>
        <v>0.38661710037174724</v>
      </c>
      <c r="DG588" s="14">
        <f t="shared" si="3337"/>
        <v>0.40129449838187703</v>
      </c>
      <c r="DH588" s="14">
        <f t="shared" si="3337"/>
        <v>0.39275766016713093</v>
      </c>
      <c r="DI588" s="14">
        <f t="shared" si="3337"/>
        <v>0.37560975609756098</v>
      </c>
      <c r="DJ588" s="14">
        <f t="shared" si="3337"/>
        <v>0.37419354838709679</v>
      </c>
      <c r="DK588" s="14">
        <f t="shared" si="3337"/>
        <v>0.37401574803149606</v>
      </c>
      <c r="DL588" s="14">
        <f t="shared" si="3337"/>
        <v>0.36624775583482944</v>
      </c>
      <c r="DM588" s="14">
        <f t="shared" si="3337"/>
        <v>0.36677631578947367</v>
      </c>
      <c r="DN588" s="14">
        <f t="shared" si="3337"/>
        <v>0.23684210526315788</v>
      </c>
      <c r="DO588" s="14">
        <f t="shared" si="3337"/>
        <v>0.4</v>
      </c>
      <c r="DP588" s="14">
        <f t="shared" si="3337"/>
        <v>0.4</v>
      </c>
      <c r="DQ588" s="14"/>
      <c r="DR588" s="14"/>
      <c r="DS588" s="14"/>
      <c r="DT588" s="14"/>
      <c r="DU588" s="14"/>
      <c r="DV588" s="14"/>
      <c r="DW588" s="14"/>
      <c r="DX588" s="14"/>
      <c r="DY588" s="14"/>
      <c r="ED588" s="429"/>
      <c r="EE588" s="23"/>
      <c r="EF588" s="23"/>
      <c r="EG588" s="23"/>
      <c r="EH588" s="14">
        <f>IF(EH560&lt;&gt;0,EH561/EH560,"")</f>
        <v>0.53191489361702127</v>
      </c>
      <c r="EI588" s="109">
        <f>IF(EI560&lt;&gt;0,EI561/EI560,"0%")</f>
        <v>0.4</v>
      </c>
      <c r="EJ588" s="14">
        <f>IF(EJ560&lt;&gt;0,EJ561/EJ560,"")</f>
        <v>0.4</v>
      </c>
      <c r="EK588" s="24"/>
      <c r="EL588" s="47">
        <f t="shared" ref="EL588:EN592" si="3338">+EH588-EE581</f>
        <v>0.15747543173361317</v>
      </c>
      <c r="EM588" s="47">
        <f t="shared" si="3338"/>
        <v>2.5560538116591924E-2</v>
      </c>
      <c r="EN588" s="47">
        <f t="shared" si="3338"/>
        <v>2.5560538116591924E-2</v>
      </c>
      <c r="EO588" s="46" t="str">
        <f>IF(EH588&lt;0,,IF(EH588&lt;EE581,"È",IF(EH588=EE581,"Æ","Ç")))</f>
        <v>Ç</v>
      </c>
      <c r="EP588" s="46" t="str">
        <f>IF(EI588&lt;0,,IF(EI588&lt;EF581,"È",IF(EI588=EF581,"Æ","Ç")))</f>
        <v>Ç</v>
      </c>
      <c r="EQ588" s="2">
        <f t="shared" ref="EQ588:ES592" si="3339">IF(EH588/EE581&gt;=0.9,1,IF(EH588/EE581&lt;0.75,3,2))</f>
        <v>1</v>
      </c>
      <c r="ER588" s="2">
        <f t="shared" si="3339"/>
        <v>1</v>
      </c>
      <c r="ES588" s="2">
        <f t="shared" si="3339"/>
        <v>1</v>
      </c>
    </row>
    <row r="589" spans="1:149">
      <c r="A589" s="6" t="s">
        <v>23</v>
      </c>
      <c r="B589" s="2" t="s">
        <v>25</v>
      </c>
      <c r="C589" s="3" t="s">
        <v>79</v>
      </c>
      <c r="E589" s="4" t="str">
        <f>C576</f>
        <v>ASEE</v>
      </c>
      <c r="F589" s="4" t="s">
        <v>31</v>
      </c>
      <c r="G589" s="28" t="str">
        <f>C575</f>
        <v>ASUniq</v>
      </c>
      <c r="H589" s="28"/>
      <c r="I589" s="28"/>
      <c r="J589" s="62">
        <f>IF(J575&lt;&gt;0,J576/J575,"")</f>
        <v>0.21621621621621623</v>
      </c>
      <c r="K589" s="62">
        <f>IF(K575&lt;&gt;0,K576/K575,"")</f>
        <v>0.20588235294117646</v>
      </c>
      <c r="L589" s="62">
        <f>IF(L575&lt;&gt;0,L576/L575,"")</f>
        <v>5.7142857142857141E-2</v>
      </c>
      <c r="M589" s="62">
        <f>IF(M575&lt;&gt;0,M576/M575,"")</f>
        <v>9.5238095238095233E-2</v>
      </c>
      <c r="N589" s="62">
        <f>IF(N575&lt;&gt;0,N576/N575,"")</f>
        <v>6.25E-2</v>
      </c>
      <c r="O589" s="62">
        <f>IF(O575&lt;&gt;"",O576/O575,"")</f>
        <v>0.14285714285714285</v>
      </c>
      <c r="P589" s="62">
        <f t="shared" ref="P589:AJ589" si="3340">IF(P575&lt;&gt;"",P576/P575,"")</f>
        <v>0.17647058823529413</v>
      </c>
      <c r="Q589" s="62">
        <f t="shared" si="3340"/>
        <v>0.11904761904761904</v>
      </c>
      <c r="R589" s="62">
        <f t="shared" si="3340"/>
        <v>0.30303030303030304</v>
      </c>
      <c r="S589" s="62">
        <f t="shared" si="3340"/>
        <v>5.7142857142857141E-2</v>
      </c>
      <c r="T589" s="62">
        <f t="shared" si="3340"/>
        <v>0.11764705882352941</v>
      </c>
      <c r="U589" s="62">
        <f t="shared" si="3340"/>
        <v>1.4084507042253521E-2</v>
      </c>
      <c r="V589" s="62">
        <f t="shared" si="3340"/>
        <v>0.18333333333333332</v>
      </c>
      <c r="W589" s="62">
        <f t="shared" si="3340"/>
        <v>0.16279069767441862</v>
      </c>
      <c r="X589" s="62">
        <f t="shared" si="3340"/>
        <v>0.265625</v>
      </c>
      <c r="Y589" s="62">
        <f t="shared" si="3340"/>
        <v>0.15625</v>
      </c>
      <c r="Z589" s="62">
        <f t="shared" si="3340"/>
        <v>0.1111111111111111</v>
      </c>
      <c r="AA589" s="62">
        <f t="shared" si="3340"/>
        <v>0.17391304347826086</v>
      </c>
      <c r="AB589" s="62">
        <f t="shared" si="3340"/>
        <v>0.24528301886792453</v>
      </c>
      <c r="AC589" s="62">
        <f t="shared" si="3340"/>
        <v>0.2</v>
      </c>
      <c r="AD589" s="62">
        <f t="shared" si="3340"/>
        <v>0.13636363636363635</v>
      </c>
      <c r="AE589" s="62">
        <f t="shared" si="3340"/>
        <v>0.10869565217391304</v>
      </c>
      <c r="AF589" s="62">
        <f t="shared" si="3340"/>
        <v>5.5555555555555552E-2</v>
      </c>
      <c r="AG589" s="62">
        <f t="shared" si="3340"/>
        <v>7.1428571428571425E-2</v>
      </c>
      <c r="AH589" s="62">
        <f t="shared" si="3340"/>
        <v>0.32743362831858408</v>
      </c>
      <c r="AI589" s="62">
        <f t="shared" si="3340"/>
        <v>0.20512820512820512</v>
      </c>
      <c r="AJ589" s="62" t="str">
        <f t="shared" si="3340"/>
        <v/>
      </c>
      <c r="AK589" s="412"/>
      <c r="AL589" s="14">
        <f t="shared" ref="AL589:BL589" si="3341">IF(AL575&lt;&gt;0,AL576/AL575,"")</f>
        <v>0.21621621621621623</v>
      </c>
      <c r="AM589" s="14">
        <f t="shared" si="3341"/>
        <v>0.20588235294117646</v>
      </c>
      <c r="AN589" s="14">
        <f t="shared" si="3341"/>
        <v>5.7142857142857141E-2</v>
      </c>
      <c r="AO589" s="14">
        <f t="shared" si="3341"/>
        <v>9.5238095238095233E-2</v>
      </c>
      <c r="AP589" s="14">
        <f t="shared" si="3341"/>
        <v>6.25E-2</v>
      </c>
      <c r="AQ589" s="14">
        <f t="shared" si="3341"/>
        <v>0.14285714285714285</v>
      </c>
      <c r="AR589" s="14">
        <f t="shared" si="3341"/>
        <v>0.17647058823529413</v>
      </c>
      <c r="AS589" s="14">
        <f t="shared" si="3341"/>
        <v>0.11904761904761904</v>
      </c>
      <c r="AT589" s="14">
        <f t="shared" si="3341"/>
        <v>0.30303030303030304</v>
      </c>
      <c r="AU589" s="14">
        <f t="shared" si="3341"/>
        <v>5.7142857142857141E-2</v>
      </c>
      <c r="AV589" s="14">
        <f t="shared" si="3341"/>
        <v>0.11764705882352941</v>
      </c>
      <c r="AW589" s="14">
        <f t="shared" si="3341"/>
        <v>1.4084507042253521E-2</v>
      </c>
      <c r="AX589" s="14">
        <f t="shared" si="3341"/>
        <v>0.18333333333333332</v>
      </c>
      <c r="AY589" s="14">
        <f t="shared" si="3341"/>
        <v>0.16279069767441862</v>
      </c>
      <c r="AZ589" s="14">
        <f t="shared" si="3341"/>
        <v>0.265625</v>
      </c>
      <c r="BA589" s="14">
        <f t="shared" si="3341"/>
        <v>0.15625</v>
      </c>
      <c r="BB589" s="14">
        <f t="shared" si="3341"/>
        <v>0.1111111111111111</v>
      </c>
      <c r="BC589" s="14">
        <f t="shared" si="3341"/>
        <v>0.17391304347826086</v>
      </c>
      <c r="BD589" s="14">
        <f t="shared" si="3341"/>
        <v>0.24528301886792453</v>
      </c>
      <c r="BE589" s="14">
        <f t="shared" si="3341"/>
        <v>0.2</v>
      </c>
      <c r="BF589" s="14">
        <f t="shared" si="3341"/>
        <v>0.13636363636363635</v>
      </c>
      <c r="BG589" s="14">
        <f t="shared" si="3341"/>
        <v>0.10869565217391304</v>
      </c>
      <c r="BH589" s="14">
        <f t="shared" si="3341"/>
        <v>5.5555555555555552E-2</v>
      </c>
      <c r="BI589" s="14">
        <f t="shared" si="3341"/>
        <v>7.1428571428571425E-2</v>
      </c>
      <c r="BJ589" s="14">
        <f t="shared" si="3341"/>
        <v>0.32743362831858408</v>
      </c>
      <c r="BK589" s="14">
        <f t="shared" si="3341"/>
        <v>0.20512820512820512</v>
      </c>
      <c r="BL589" s="14" t="e">
        <f t="shared" si="3341"/>
        <v>#VALUE!</v>
      </c>
      <c r="BM589" s="412"/>
      <c r="BN589" s="14">
        <f t="shared" ref="BN589:CN589" si="3342">IF(BN575&lt;&gt;0,BN576/BN575,"")</f>
        <v>0.21621621621621623</v>
      </c>
      <c r="BO589" s="14">
        <f t="shared" si="3342"/>
        <v>0.21126760563380281</v>
      </c>
      <c r="BP589" s="14">
        <f t="shared" si="3342"/>
        <v>0.16037735849056603</v>
      </c>
      <c r="BQ589" s="14">
        <f t="shared" si="3342"/>
        <v>9.5238095238095233E-2</v>
      </c>
      <c r="BR589" s="14">
        <f t="shared" si="3342"/>
        <v>8.1081081081081086E-2</v>
      </c>
      <c r="BS589" s="14">
        <f t="shared" si="3342"/>
        <v>9.8039215686274508E-2</v>
      </c>
      <c r="BT589" s="14">
        <f t="shared" si="3342"/>
        <v>0.17647058823529413</v>
      </c>
      <c r="BU589" s="14">
        <f t="shared" si="3342"/>
        <v>0.13559322033898305</v>
      </c>
      <c r="BV589" s="14">
        <f t="shared" si="3342"/>
        <v>0.19565217391304349</v>
      </c>
      <c r="BW589" s="14">
        <f t="shared" si="3342"/>
        <v>5.7142857142857141E-2</v>
      </c>
      <c r="BX589" s="14">
        <f t="shared" si="3342"/>
        <v>8.6956521739130432E-2</v>
      </c>
      <c r="BY589" s="14">
        <f t="shared" si="3342"/>
        <v>0.05</v>
      </c>
      <c r="BZ589" s="14">
        <f t="shared" si="3342"/>
        <v>0.18333333333333332</v>
      </c>
      <c r="CA589" s="14">
        <f t="shared" si="3342"/>
        <v>0.17123287671232876</v>
      </c>
      <c r="CB589" s="14">
        <f t="shared" si="3342"/>
        <v>0.2</v>
      </c>
      <c r="CC589" s="14">
        <f t="shared" si="3342"/>
        <v>0.15625</v>
      </c>
      <c r="CD589" s="14">
        <f t="shared" si="3342"/>
        <v>0.14000000000000001</v>
      </c>
      <c r="CE589" s="14">
        <f t="shared" si="3342"/>
        <v>0.14795918367346939</v>
      </c>
      <c r="CF589" s="14">
        <f t="shared" si="3342"/>
        <v>0.24528301886792453</v>
      </c>
      <c r="CG589" s="14">
        <f t="shared" si="3342"/>
        <v>0.22123893805309736</v>
      </c>
      <c r="CH589" s="14">
        <f t="shared" si="3342"/>
        <v>0.18994413407821228</v>
      </c>
      <c r="CI589" s="14">
        <f t="shared" si="3342"/>
        <v>0.10869565217391304</v>
      </c>
      <c r="CJ589" s="14">
        <f t="shared" si="3342"/>
        <v>0.08</v>
      </c>
      <c r="CK589" s="14">
        <f t="shared" si="3342"/>
        <v>7.6923076923076927E-2</v>
      </c>
      <c r="CL589" s="14">
        <f t="shared" si="3342"/>
        <v>0.32743362831858408</v>
      </c>
      <c r="CM589" s="14">
        <f t="shared" si="3342"/>
        <v>0.26521739130434785</v>
      </c>
      <c r="CN589" s="14" t="e">
        <f t="shared" si="3342"/>
        <v>#VALUE!</v>
      </c>
      <c r="CO589" s="412"/>
      <c r="CP589" s="14">
        <f t="shared" ref="CP589:DP589" si="3343">IF(CP575&lt;&gt;0,CP576/CP575,"")</f>
        <v>0.21621621621621623</v>
      </c>
      <c r="CQ589" s="14">
        <f t="shared" si="3343"/>
        <v>0.21126760563380281</v>
      </c>
      <c r="CR589" s="14">
        <f t="shared" si="3343"/>
        <v>0.16037735849056603</v>
      </c>
      <c r="CS589" s="14">
        <f t="shared" si="3343"/>
        <v>0.14960629921259844</v>
      </c>
      <c r="CT589" s="14">
        <f t="shared" si="3343"/>
        <v>0.13986013986013987</v>
      </c>
      <c r="CU589" s="14">
        <f t="shared" si="3343"/>
        <v>0.14012738853503184</v>
      </c>
      <c r="CV589" s="14">
        <f t="shared" si="3343"/>
        <v>0.14367816091954022</v>
      </c>
      <c r="CW589" s="14">
        <f t="shared" si="3343"/>
        <v>0.1388888888888889</v>
      </c>
      <c r="CX589" s="14">
        <f t="shared" si="3343"/>
        <v>0.1606425702811245</v>
      </c>
      <c r="CY589" s="14">
        <f t="shared" si="3343"/>
        <v>0.14788732394366197</v>
      </c>
      <c r="CZ589" s="14">
        <f t="shared" si="3343"/>
        <v>0.14465408805031446</v>
      </c>
      <c r="DA589" s="14">
        <f t="shared" si="3343"/>
        <v>0.12082262210796915</v>
      </c>
      <c r="DB589" s="14">
        <f t="shared" si="3343"/>
        <v>0.18333333333333332</v>
      </c>
      <c r="DC589" s="14">
        <f t="shared" si="3343"/>
        <v>0.17123287671232876</v>
      </c>
      <c r="DD589" s="14">
        <f t="shared" si="3343"/>
        <v>0.2</v>
      </c>
      <c r="DE589" s="14">
        <f t="shared" si="3343"/>
        <v>0.18627450980392157</v>
      </c>
      <c r="DF589" s="14">
        <f t="shared" si="3343"/>
        <v>0.17499999999999999</v>
      </c>
      <c r="DG589" s="14">
        <f t="shared" si="3343"/>
        <v>0.1748768472906404</v>
      </c>
      <c r="DH589" s="14">
        <f t="shared" si="3343"/>
        <v>0.18300653594771241</v>
      </c>
      <c r="DI589" s="14">
        <f t="shared" si="3343"/>
        <v>0.18497109826589594</v>
      </c>
      <c r="DJ589" s="14">
        <f t="shared" si="3343"/>
        <v>0.17948717948717949</v>
      </c>
      <c r="DK589" s="14">
        <f t="shared" si="3343"/>
        <v>0.17432646592709986</v>
      </c>
      <c r="DL589" s="14">
        <f t="shared" si="3343"/>
        <v>0.16496350364963502</v>
      </c>
      <c r="DM589" s="14">
        <f t="shared" si="3343"/>
        <v>0.15789473684210525</v>
      </c>
      <c r="DN589" s="14">
        <f t="shared" si="3343"/>
        <v>0.32743362831858408</v>
      </c>
      <c r="DO589" s="14">
        <f t="shared" si="3343"/>
        <v>0.26521739130434785</v>
      </c>
      <c r="DP589" s="14" t="e">
        <f t="shared" si="3343"/>
        <v>#VALUE!</v>
      </c>
      <c r="DQ589" s="14"/>
      <c r="DR589" s="14"/>
      <c r="DS589" s="14"/>
      <c r="DT589" s="14"/>
      <c r="DU589" s="14"/>
      <c r="DV589" s="14"/>
      <c r="DW589" s="14"/>
      <c r="DX589" s="14"/>
      <c r="DY589" s="14"/>
      <c r="ED589" s="429"/>
      <c r="EE589" s="23"/>
      <c r="EF589" s="23"/>
      <c r="EG589" s="23"/>
      <c r="EH589" s="14">
        <f>IF(EH575&lt;&gt;0,EH576/EH575,"")</f>
        <v>0.20512820512820512</v>
      </c>
      <c r="EI589" s="109">
        <f>IF(EI562&lt;&gt;0,EI563/EI562,"0%")</f>
        <v>0.26521739130434785</v>
      </c>
      <c r="EJ589" s="14">
        <f>IF(EJ575&lt;&gt;0,EJ563/EJ562,"")</f>
        <v>0.26521739130434785</v>
      </c>
      <c r="EK589" s="24"/>
      <c r="EL589" s="47">
        <f t="shared" si="3338"/>
        <v>0.12034559643255295</v>
      </c>
      <c r="EM589" s="47">
        <f t="shared" si="3338"/>
        <v>0.15217391304347827</v>
      </c>
      <c r="EN589" s="47">
        <f t="shared" si="3338"/>
        <v>9.5652173913043509E-2</v>
      </c>
      <c r="EO589" s="46" t="str">
        <f t="shared" ref="EO589:EP592" si="3344">IF(EH589&lt;0,,IF(EH589&lt;EE582,"È",IF(EH589=EE582,"Æ","Ç")))</f>
        <v>Ç</v>
      </c>
      <c r="EP589" s="46" t="str">
        <f t="shared" si="3344"/>
        <v>Ç</v>
      </c>
      <c r="EQ589" s="2">
        <f t="shared" si="3339"/>
        <v>1</v>
      </c>
      <c r="ER589" s="2">
        <f t="shared" si="3339"/>
        <v>1</v>
      </c>
      <c r="ES589" s="2">
        <f t="shared" si="3339"/>
        <v>1</v>
      </c>
    </row>
    <row r="590" spans="1:149">
      <c r="A590" s="6" t="s">
        <v>23</v>
      </c>
      <c r="B590" s="2" t="s">
        <v>160</v>
      </c>
      <c r="C590" s="3" t="s">
        <v>80</v>
      </c>
      <c r="E590" s="3" t="str">
        <f>C565</f>
        <v>ASatRate</v>
      </c>
      <c r="F590" s="3" t="s">
        <v>32</v>
      </c>
      <c r="G590" s="28" t="str">
        <f>C560</f>
        <v>AAllNew</v>
      </c>
      <c r="H590" s="63" t="s">
        <v>31</v>
      </c>
      <c r="I590" s="28" t="str">
        <f>C564</f>
        <v>ASatResp</v>
      </c>
      <c r="J590" s="62">
        <f t="shared" ref="J590:AJ590" si="3345">IF(J560&lt;&gt;0,J565*J564/J560,"")</f>
        <v>0</v>
      </c>
      <c r="K590" s="62">
        <f t="shared" si="3345"/>
        <v>3.4999999999999996E-2</v>
      </c>
      <c r="L590" s="62">
        <f t="shared" si="3345"/>
        <v>2.9508196721311473E-2</v>
      </c>
      <c r="M590" s="62">
        <f t="shared" si="3345"/>
        <v>6.3157894736842107E-2</v>
      </c>
      <c r="N590" s="62">
        <f t="shared" si="3345"/>
        <v>4.49438202247191E-2</v>
      </c>
      <c r="O590" s="62">
        <f t="shared" si="3345"/>
        <v>3.7999999999999999E-2</v>
      </c>
      <c r="P590" s="62">
        <f t="shared" si="3345"/>
        <v>8.9285714285714281E-3</v>
      </c>
      <c r="Q590" s="62">
        <f t="shared" si="3345"/>
        <v>6.8493150684931503E-3</v>
      </c>
      <c r="R590" s="62">
        <f t="shared" si="3345"/>
        <v>4.7337278106508875E-2</v>
      </c>
      <c r="S590" s="62">
        <f t="shared" si="3345"/>
        <v>3.5820895522388062E-2</v>
      </c>
      <c r="T590" s="62">
        <f t="shared" si="3345"/>
        <v>1.4718614718614718E-2</v>
      </c>
      <c r="U590" s="62">
        <f t="shared" si="3345"/>
        <v>1.4336917562724014E-2</v>
      </c>
      <c r="V590" s="62">
        <f t="shared" si="3345"/>
        <v>0.14890909090909091</v>
      </c>
      <c r="W590" s="62">
        <f t="shared" si="3345"/>
        <v>5.1811023622047245E-2</v>
      </c>
      <c r="X590" s="62">
        <f t="shared" si="3345"/>
        <v>2.2093023255813953E-2</v>
      </c>
      <c r="Y590" s="62">
        <f t="shared" si="3345"/>
        <v>3.0585585585585585E-2</v>
      </c>
      <c r="Z590" s="62">
        <f t="shared" si="3345"/>
        <v>3.0446096654275091E-2</v>
      </c>
      <c r="AA590" s="62">
        <f t="shared" si="3345"/>
        <v>3.1682847896440131E-2</v>
      </c>
      <c r="AB590" s="62">
        <f t="shared" si="3345"/>
        <v>1.3927576601671309E-2</v>
      </c>
      <c r="AC590" s="62">
        <f t="shared" si="3345"/>
        <v>2.7219512195121951E-2</v>
      </c>
      <c r="AD590" s="62">
        <f t="shared" si="3345"/>
        <v>3.0967741935483867E-2</v>
      </c>
      <c r="AE590" s="62">
        <f t="shared" si="3345"/>
        <v>2.3149606299212599E-2</v>
      </c>
      <c r="AF590" s="62">
        <f t="shared" si="3345"/>
        <v>1.7971274685816874E-2</v>
      </c>
      <c r="AG590" s="62">
        <f t="shared" si="3345"/>
        <v>2.5723684210526315E-2</v>
      </c>
      <c r="AH590" s="62">
        <f t="shared" si="3345"/>
        <v>0.34631578947368419</v>
      </c>
      <c r="AI590" s="62">
        <f t="shared" si="3345"/>
        <v>5.8823529411764705E-2</v>
      </c>
      <c r="AJ590" s="62" t="str">
        <f t="shared" si="3345"/>
        <v/>
      </c>
      <c r="AK590" s="412"/>
      <c r="AL590" s="14">
        <f t="shared" ref="AL590:BL590" si="3346">IF(AL560&lt;&gt;0,AL565*AL564/AL560,"")</f>
        <v>0</v>
      </c>
      <c r="AM590" s="14">
        <f t="shared" si="3346"/>
        <v>7.3684210526315783E-2</v>
      </c>
      <c r="AN590" s="14">
        <f t="shared" si="3346"/>
        <v>8.5714285714285701E-2</v>
      </c>
      <c r="AO590" s="14">
        <f t="shared" si="3346"/>
        <v>0.32</v>
      </c>
      <c r="AP590" s="14">
        <f t="shared" si="3346"/>
        <v>1.2307692307692318E-2</v>
      </c>
      <c r="AQ590" s="14">
        <f t="shared" si="3346"/>
        <v>0.34545454545454546</v>
      </c>
      <c r="AR590" s="14">
        <f t="shared" si="3346"/>
        <v>8.3333333333333329E-2</v>
      </c>
      <c r="AS590" s="14">
        <f t="shared" si="3346"/>
        <v>2.9411764705882353E-2</v>
      </c>
      <c r="AT590" s="14">
        <f t="shared" si="3346"/>
        <v>0.34782608695652173</v>
      </c>
      <c r="AU590" s="14">
        <f t="shared" si="3346"/>
        <v>0.22500000000000001</v>
      </c>
      <c r="AV590" s="14">
        <f t="shared" si="3346"/>
        <v>0.11333333333333333</v>
      </c>
      <c r="AW590" s="14">
        <f t="shared" si="3346"/>
        <v>8.3333333333333329E-2</v>
      </c>
      <c r="AX590" s="14">
        <f t="shared" si="3346"/>
        <v>0.14890909090909091</v>
      </c>
      <c r="AY590" s="14">
        <f t="shared" si="3346"/>
        <v>9.1388888888888895E-2</v>
      </c>
      <c r="AZ590" s="14">
        <f t="shared" si="3346"/>
        <v>8.4444444444444447E-2</v>
      </c>
      <c r="BA590" s="14">
        <f t="shared" si="3346"/>
        <v>0.1358</v>
      </c>
      <c r="BB590" s="14">
        <f t="shared" si="3346"/>
        <v>0.17425531914893616</v>
      </c>
      <c r="BC590" s="14">
        <f t="shared" si="3346"/>
        <v>0.24475000000000002</v>
      </c>
      <c r="BD590" s="14">
        <f t="shared" si="3346"/>
        <v>0.1</v>
      </c>
      <c r="BE590" s="14">
        <f t="shared" si="3346"/>
        <v>0.21882352941176472</v>
      </c>
      <c r="BF590" s="14">
        <f t="shared" si="3346"/>
        <v>0.26181818181818178</v>
      </c>
      <c r="BG590" s="14">
        <f t="shared" si="3346"/>
        <v>0.27348837209302324</v>
      </c>
      <c r="BH590" s="14">
        <f t="shared" si="3346"/>
        <v>0.20428571428571429</v>
      </c>
      <c r="BI590" s="14">
        <f t="shared" si="3346"/>
        <v>0.3066666666666667</v>
      </c>
      <c r="BJ590" s="14">
        <f t="shared" si="3346"/>
        <v>0.34631578947368419</v>
      </c>
      <c r="BK590" s="14">
        <f t="shared" si="3346"/>
        <v>6.3829787234042611E-3</v>
      </c>
      <c r="BL590" s="14" t="str">
        <f t="shared" si="3346"/>
        <v/>
      </c>
      <c r="BM590" s="412"/>
      <c r="BN590" s="14">
        <f t="shared" ref="BN590:CN590" si="3347">IF(BN560&lt;&gt;0,BN565*BN564/BN560,"")</f>
        <v>5.2459016393442609E-2</v>
      </c>
      <c r="BO590" s="14">
        <f t="shared" si="3347"/>
        <v>5.2459016393442609E-2</v>
      </c>
      <c r="BP590" s="14">
        <f t="shared" si="3347"/>
        <v>5.2459016393442609E-2</v>
      </c>
      <c r="BQ590" s="14">
        <f t="shared" si="3347"/>
        <v>0.22461538461538461</v>
      </c>
      <c r="BR590" s="14">
        <f t="shared" si="3347"/>
        <v>0.22461538461538461</v>
      </c>
      <c r="BS590" s="14">
        <f t="shared" si="3347"/>
        <v>0.22461538461538461</v>
      </c>
      <c r="BT590" s="14">
        <f t="shared" si="3347"/>
        <v>0.14492753623188406</v>
      </c>
      <c r="BU590" s="14">
        <f t="shared" si="3347"/>
        <v>0.14492753623188406</v>
      </c>
      <c r="BV590" s="14">
        <f t="shared" si="3347"/>
        <v>0.14492753623188406</v>
      </c>
      <c r="BW590" s="14">
        <f t="shared" si="3347"/>
        <v>0.13272727272727272</v>
      </c>
      <c r="BX590" s="14">
        <f t="shared" si="3347"/>
        <v>0.13272727272727272</v>
      </c>
      <c r="BY590" s="14">
        <f t="shared" si="3347"/>
        <v>0.13272727272727272</v>
      </c>
      <c r="BZ590" s="14">
        <f t="shared" si="3347"/>
        <v>0.10796511627906977</v>
      </c>
      <c r="CA590" s="14">
        <f t="shared" si="3347"/>
        <v>0.10796511627906977</v>
      </c>
      <c r="CB590" s="14">
        <f t="shared" si="3347"/>
        <v>0.10796511627906977</v>
      </c>
      <c r="CC590" s="14">
        <f t="shared" si="3347"/>
        <v>0.18080291970802922</v>
      </c>
      <c r="CD590" s="14">
        <f t="shared" si="3347"/>
        <v>0.18080291970802922</v>
      </c>
      <c r="CE590" s="14">
        <f t="shared" si="3347"/>
        <v>0.18080291970802922</v>
      </c>
      <c r="CF590" s="14">
        <f t="shared" si="3347"/>
        <v>0.19589743589743588</v>
      </c>
      <c r="CG590" s="14">
        <f t="shared" si="3347"/>
        <v>0.19589743589743588</v>
      </c>
      <c r="CH590" s="14">
        <f t="shared" si="3347"/>
        <v>0.19589743589743588</v>
      </c>
      <c r="CI590" s="14">
        <f t="shared" si="3347"/>
        <v>0.26160839160839161</v>
      </c>
      <c r="CJ590" s="14">
        <f t="shared" si="3347"/>
        <v>0.26160839160839161</v>
      </c>
      <c r="CK590" s="14">
        <f t="shared" si="3347"/>
        <v>0.26160839160839161</v>
      </c>
      <c r="CL590" s="14">
        <f t="shared" si="3347"/>
        <v>0.15835294117647059</v>
      </c>
      <c r="CM590" s="14">
        <f t="shared" si="3347"/>
        <v>0.15835294117647059</v>
      </c>
      <c r="CN590" s="14">
        <f t="shared" si="3347"/>
        <v>0.15835294117647059</v>
      </c>
      <c r="CO590" s="412"/>
      <c r="CP590" s="14">
        <f t="shared" ref="CP590:DP590" si="3348">IF(CP560&lt;&gt;0,CP565*CP564/CP560,"")</f>
        <v>0</v>
      </c>
      <c r="CQ590" s="14">
        <f t="shared" si="3348"/>
        <v>3.4999999999999996E-2</v>
      </c>
      <c r="CR590" s="14">
        <f t="shared" si="3348"/>
        <v>5.2459016393442609E-2</v>
      </c>
      <c r="CS590" s="14">
        <f t="shared" si="3348"/>
        <v>0.10526315789473684</v>
      </c>
      <c r="CT590" s="14">
        <f t="shared" si="3348"/>
        <v>0.1348314606741573</v>
      </c>
      <c r="CU590" s="14">
        <f t="shared" si="3348"/>
        <v>0.158</v>
      </c>
      <c r="CV590" s="14">
        <f t="shared" si="3348"/>
        <v>0.15</v>
      </c>
      <c r="CW590" s="14">
        <f t="shared" si="3348"/>
        <v>0.12191780821917808</v>
      </c>
      <c r="CX590" s="14">
        <f t="shared" si="3348"/>
        <v>0.15266272189349112</v>
      </c>
      <c r="CY590" s="14">
        <f t="shared" si="3348"/>
        <v>0.16417910447761194</v>
      </c>
      <c r="CZ590" s="14">
        <f t="shared" si="3348"/>
        <v>0.15757575757575756</v>
      </c>
      <c r="DA590" s="14">
        <f t="shared" si="3348"/>
        <v>0.14480286738351253</v>
      </c>
      <c r="DB590" s="14">
        <f t="shared" si="3348"/>
        <v>0.14890909090909091</v>
      </c>
      <c r="DC590" s="14">
        <f t="shared" si="3348"/>
        <v>0.1162992125984252</v>
      </c>
      <c r="DD590" s="14">
        <f t="shared" si="3348"/>
        <v>0.10796511627906977</v>
      </c>
      <c r="DE590" s="14">
        <f t="shared" si="3348"/>
        <v>0.11423423423423423</v>
      </c>
      <c r="DF590" s="14">
        <f t="shared" si="3348"/>
        <v>0.12472118959107806</v>
      </c>
      <c r="DG590" s="14">
        <f t="shared" si="3348"/>
        <v>0.14025889967637539</v>
      </c>
      <c r="DH590" s="14">
        <f t="shared" si="3348"/>
        <v>0.1346518105849582</v>
      </c>
      <c r="DI590" s="14">
        <f t="shared" si="3348"/>
        <v>0.14512195121951219</v>
      </c>
      <c r="DJ590" s="14">
        <f t="shared" si="3348"/>
        <v>0.15892473118279571</v>
      </c>
      <c r="DK590" s="14">
        <f t="shared" si="3348"/>
        <v>0.16862204724409452</v>
      </c>
      <c r="DL590" s="14">
        <f t="shared" si="3348"/>
        <v>0.17175942549371637</v>
      </c>
      <c r="DM590" s="14">
        <f t="shared" si="3348"/>
        <v>0.18307565789473687</v>
      </c>
      <c r="DN590" s="14">
        <f t="shared" si="3348"/>
        <v>0.34631578947368419</v>
      </c>
      <c r="DO590" s="14">
        <f t="shared" si="3348"/>
        <v>0.21364705882352941</v>
      </c>
      <c r="DP590" s="14">
        <f t="shared" si="3348"/>
        <v>0.21364705882352941</v>
      </c>
      <c r="DQ590" s="14"/>
      <c r="DR590" s="14"/>
      <c r="DS590" s="14"/>
      <c r="DT590" s="14"/>
      <c r="DU590" s="14"/>
      <c r="DV590" s="14"/>
      <c r="DW590" s="14"/>
      <c r="DX590" s="14"/>
      <c r="DY590" s="14"/>
      <c r="ED590" s="429"/>
      <c r="EE590" s="23"/>
      <c r="EF590" s="23"/>
      <c r="EG590" s="23"/>
      <c r="EH590" s="14">
        <f>IF(EH564&lt;&gt;0,EH565*EH564/EH564,"")</f>
        <v>6.0000000000000053E-2</v>
      </c>
      <c r="EI590" s="109">
        <f>IF(EI564&lt;&gt;0,EI565*EI564/EI564,"0%")</f>
        <v>0.70842105263157895</v>
      </c>
      <c r="EJ590" s="14">
        <f>IF(EJ564&lt;&gt;0,EJ565*EJ564/EJ564,"")</f>
        <v>0.95578947368421052</v>
      </c>
      <c r="EK590" s="24"/>
      <c r="EL590" s="47" t="e">
        <f t="shared" si="3338"/>
        <v>#DIV/0!</v>
      </c>
      <c r="EM590" s="47" t="e">
        <f t="shared" si="3338"/>
        <v>#DIV/0!</v>
      </c>
      <c r="EN590" s="47">
        <f t="shared" si="3338"/>
        <v>5.7894736842105665E-3</v>
      </c>
      <c r="EO590" s="46" t="e">
        <f t="shared" si="3344"/>
        <v>#DIV/0!</v>
      </c>
      <c r="EP590" s="46" t="e">
        <f t="shared" si="3344"/>
        <v>#DIV/0!</v>
      </c>
      <c r="EQ590" s="2" t="e">
        <f t="shared" si="3339"/>
        <v>#DIV/0!</v>
      </c>
      <c r="ER590" s="2" t="e">
        <f t="shared" si="3339"/>
        <v>#DIV/0!</v>
      </c>
      <c r="ES590" s="2">
        <f t="shared" si="3339"/>
        <v>1</v>
      </c>
    </row>
    <row r="591" spans="1:149">
      <c r="A591" s="6" t="s">
        <v>23</v>
      </c>
      <c r="B591" s="2" t="s">
        <v>26</v>
      </c>
      <c r="C591" s="3" t="s">
        <v>85</v>
      </c>
      <c r="E591" s="3" t="str">
        <f>C566</f>
        <v>ASpec1</v>
      </c>
      <c r="F591" s="4" t="s">
        <v>31</v>
      </c>
      <c r="G591" s="28" t="str">
        <f>C575</f>
        <v>ASUniq</v>
      </c>
      <c r="H591" s="28"/>
      <c r="I591" s="28"/>
      <c r="J591" s="62">
        <f>IF(J575&lt;&gt;0,J566/J575,"")</f>
        <v>0</v>
      </c>
      <c r="K591" s="62">
        <f>IF(K575&lt;&gt;0,K566/K575,"")</f>
        <v>0</v>
      </c>
      <c r="L591" s="62">
        <f>IF(L575&lt;&gt;0,L566/L575,"")</f>
        <v>0</v>
      </c>
      <c r="M591" s="62">
        <f>IF(M575&lt;&gt;0,M566/M575,"")</f>
        <v>0</v>
      </c>
      <c r="N591" s="62">
        <f>IF(N575&lt;&gt;0,N566/N575,"")</f>
        <v>0</v>
      </c>
      <c r="O591" s="62">
        <f>IF(O575&lt;&gt;"",O566/O575,"")</f>
        <v>0</v>
      </c>
      <c r="P591" s="62">
        <f t="shared" ref="P591:AJ591" si="3349">IF(P575&lt;&gt;"",P566/P575,"")</f>
        <v>0</v>
      </c>
      <c r="Q591" s="62">
        <f t="shared" si="3349"/>
        <v>2.3809523809523808E-2</v>
      </c>
      <c r="R591" s="62">
        <f t="shared" si="3349"/>
        <v>3.0303030303030304E-2</v>
      </c>
      <c r="S591" s="62">
        <f t="shared" si="3349"/>
        <v>2.8571428571428571E-2</v>
      </c>
      <c r="T591" s="62">
        <f t="shared" si="3349"/>
        <v>2.9411764705882353E-2</v>
      </c>
      <c r="U591" s="62">
        <f t="shared" si="3349"/>
        <v>0.26760563380281688</v>
      </c>
      <c r="V591" s="62">
        <f t="shared" si="3349"/>
        <v>0.05</v>
      </c>
      <c r="W591" s="62">
        <f t="shared" si="3349"/>
        <v>3.4883720930232558E-2</v>
      </c>
      <c r="X591" s="62">
        <f t="shared" si="3349"/>
        <v>4.6875E-2</v>
      </c>
      <c r="Y591" s="62">
        <f t="shared" si="3349"/>
        <v>4.1666666666666664E-2</v>
      </c>
      <c r="Z591" s="62">
        <f t="shared" si="3349"/>
        <v>9.2592592592592587E-2</v>
      </c>
      <c r="AA591" s="62">
        <f t="shared" si="3349"/>
        <v>0.15217391304347827</v>
      </c>
      <c r="AB591" s="62">
        <f t="shared" si="3349"/>
        <v>0.15094339622641509</v>
      </c>
      <c r="AC591" s="62">
        <f t="shared" si="3349"/>
        <v>0.15</v>
      </c>
      <c r="AD591" s="62">
        <f t="shared" si="3349"/>
        <v>0.18181818181818182</v>
      </c>
      <c r="AE591" s="62">
        <f t="shared" si="3349"/>
        <v>0.28260869565217389</v>
      </c>
      <c r="AF591" s="62">
        <f t="shared" si="3349"/>
        <v>0.24074074074074073</v>
      </c>
      <c r="AG591" s="62">
        <f t="shared" si="3349"/>
        <v>0.23214285714285715</v>
      </c>
      <c r="AH591" s="62">
        <f t="shared" si="3349"/>
        <v>1.7699115044247787E-2</v>
      </c>
      <c r="AI591" s="62">
        <f t="shared" si="3349"/>
        <v>1.7094017094017096E-2</v>
      </c>
      <c r="AJ591" s="62" t="str">
        <f t="shared" si="3349"/>
        <v/>
      </c>
      <c r="AK591" s="412"/>
      <c r="AL591" s="14">
        <f t="shared" ref="AL591:BL591" si="3350">IF(AL575&lt;&gt;0,AL566/AL575,"")</f>
        <v>0</v>
      </c>
      <c r="AM591" s="14">
        <f t="shared" si="3350"/>
        <v>0</v>
      </c>
      <c r="AN591" s="14">
        <f t="shared" si="3350"/>
        <v>0</v>
      </c>
      <c r="AO591" s="14">
        <f t="shared" si="3350"/>
        <v>0</v>
      </c>
      <c r="AP591" s="14">
        <f t="shared" si="3350"/>
        <v>0</v>
      </c>
      <c r="AQ591" s="14">
        <f t="shared" si="3350"/>
        <v>0</v>
      </c>
      <c r="AR591" s="14">
        <f t="shared" si="3350"/>
        <v>0</v>
      </c>
      <c r="AS591" s="14">
        <f t="shared" si="3350"/>
        <v>2.3809523809523808E-2</v>
      </c>
      <c r="AT591" s="14">
        <f t="shared" si="3350"/>
        <v>0</v>
      </c>
      <c r="AU591" s="14">
        <f t="shared" si="3350"/>
        <v>0</v>
      </c>
      <c r="AV591" s="14">
        <f t="shared" si="3350"/>
        <v>0</v>
      </c>
      <c r="AW591" s="14">
        <f t="shared" si="3350"/>
        <v>0.25352112676056338</v>
      </c>
      <c r="AX591" s="14">
        <f t="shared" si="3350"/>
        <v>0.05</v>
      </c>
      <c r="AY591" s="14">
        <f t="shared" si="3350"/>
        <v>0</v>
      </c>
      <c r="AZ591" s="14">
        <f t="shared" si="3350"/>
        <v>0</v>
      </c>
      <c r="BA591" s="14">
        <f t="shared" si="3350"/>
        <v>1.0416666666666666E-2</v>
      </c>
      <c r="BB591" s="14">
        <f t="shared" si="3350"/>
        <v>1.8518518518518517E-2</v>
      </c>
      <c r="BC591" s="14">
        <f t="shared" si="3350"/>
        <v>4.3478260869565216E-2</v>
      </c>
      <c r="BD591" s="14">
        <f t="shared" si="3350"/>
        <v>1.8867924528301886E-2</v>
      </c>
      <c r="BE591" s="14">
        <f t="shared" si="3350"/>
        <v>1.6666666666666666E-2</v>
      </c>
      <c r="BF591" s="14">
        <f t="shared" si="3350"/>
        <v>4.5454545454545456E-2</v>
      </c>
      <c r="BG591" s="14">
        <f t="shared" si="3350"/>
        <v>2.1739130434782608E-2</v>
      </c>
      <c r="BH591" s="14">
        <f t="shared" si="3350"/>
        <v>0</v>
      </c>
      <c r="BI591" s="14">
        <f t="shared" si="3350"/>
        <v>0</v>
      </c>
      <c r="BJ591" s="14">
        <f t="shared" si="3350"/>
        <v>1.7699115044247787E-2</v>
      </c>
      <c r="BK591" s="14">
        <f t="shared" si="3350"/>
        <v>0</v>
      </c>
      <c r="BL591" s="14" t="e">
        <f t="shared" si="3350"/>
        <v>#VALUE!</v>
      </c>
      <c r="BM591" s="412"/>
      <c r="BN591" s="14">
        <f t="shared" ref="BN591:CN591" si="3351">IF(BN575&lt;&gt;0,BN566/BN575,"")</f>
        <v>0</v>
      </c>
      <c r="BO591" s="14">
        <f t="shared" si="3351"/>
        <v>0</v>
      </c>
      <c r="BP591" s="14">
        <f t="shared" si="3351"/>
        <v>0</v>
      </c>
      <c r="BQ591" s="14">
        <f t="shared" si="3351"/>
        <v>0</v>
      </c>
      <c r="BR591" s="14">
        <f t="shared" si="3351"/>
        <v>0</v>
      </c>
      <c r="BS591" s="14">
        <f t="shared" si="3351"/>
        <v>0</v>
      </c>
      <c r="BT591" s="14">
        <f t="shared" si="3351"/>
        <v>5.8823529411764705E-2</v>
      </c>
      <c r="BU591" s="14">
        <f t="shared" si="3351"/>
        <v>1.6949152542372881E-2</v>
      </c>
      <c r="BV591" s="14">
        <f t="shared" si="3351"/>
        <v>1.0869565217391304E-2</v>
      </c>
      <c r="BW591" s="14">
        <f t="shared" si="3351"/>
        <v>0.51428571428571423</v>
      </c>
      <c r="BX591" s="14">
        <f t="shared" si="3351"/>
        <v>0.2608695652173913</v>
      </c>
      <c r="BY591" s="14">
        <f t="shared" si="3351"/>
        <v>0.12857142857142856</v>
      </c>
      <c r="BZ591" s="14">
        <f t="shared" si="3351"/>
        <v>0.05</v>
      </c>
      <c r="CA591" s="14">
        <f t="shared" si="3351"/>
        <v>2.0547945205479451E-2</v>
      </c>
      <c r="CB591" s="14">
        <f t="shared" si="3351"/>
        <v>1.4285714285714285E-2</v>
      </c>
      <c r="CC591" s="14">
        <f t="shared" si="3351"/>
        <v>4.1666666666666664E-2</v>
      </c>
      <c r="CD591" s="14">
        <f t="shared" si="3351"/>
        <v>2.6666666666666668E-2</v>
      </c>
      <c r="CE591" s="14">
        <f t="shared" si="3351"/>
        <v>2.0408163265306121E-2</v>
      </c>
      <c r="CF591" s="14">
        <f t="shared" si="3351"/>
        <v>9.4339622641509441E-2</v>
      </c>
      <c r="CG591" s="14">
        <f t="shared" si="3351"/>
        <v>4.4247787610619468E-2</v>
      </c>
      <c r="CH591" s="14">
        <f t="shared" si="3351"/>
        <v>2.7932960893854747E-2</v>
      </c>
      <c r="CI591" s="14">
        <f t="shared" si="3351"/>
        <v>2.1739130434782608E-2</v>
      </c>
      <c r="CJ591" s="14">
        <f t="shared" si="3351"/>
        <v>0.01</v>
      </c>
      <c r="CK591" s="14">
        <f t="shared" si="3351"/>
        <v>6.41025641025641E-3</v>
      </c>
      <c r="CL591" s="14">
        <f t="shared" si="3351"/>
        <v>1.7699115044247787E-2</v>
      </c>
      <c r="CM591" s="14">
        <f t="shared" si="3351"/>
        <v>8.6956521739130436E-3</v>
      </c>
      <c r="CN591" s="14" t="e">
        <f t="shared" si="3351"/>
        <v>#VALUE!</v>
      </c>
      <c r="CO591" s="412"/>
      <c r="CP591" s="14">
        <f t="shared" ref="CP591:DP591" si="3352">IF(CP575&lt;&gt;0,CP566/CP575,"")</f>
        <v>0</v>
      </c>
      <c r="CQ591" s="14">
        <f t="shared" si="3352"/>
        <v>0</v>
      </c>
      <c r="CR591" s="14">
        <f t="shared" si="3352"/>
        <v>0</v>
      </c>
      <c r="CS591" s="14">
        <f t="shared" si="3352"/>
        <v>0</v>
      </c>
      <c r="CT591" s="14">
        <f t="shared" si="3352"/>
        <v>0</v>
      </c>
      <c r="CU591" s="14">
        <f t="shared" si="3352"/>
        <v>0</v>
      </c>
      <c r="CV591" s="14">
        <f t="shared" si="3352"/>
        <v>0</v>
      </c>
      <c r="CW591" s="14">
        <f t="shared" si="3352"/>
        <v>4.6296296296296294E-3</v>
      </c>
      <c r="CX591" s="14">
        <f t="shared" si="3352"/>
        <v>4.0160642570281121E-3</v>
      </c>
      <c r="CY591" s="14">
        <f t="shared" si="3352"/>
        <v>3.5211267605633804E-3</v>
      </c>
      <c r="CZ591" s="14">
        <f t="shared" si="3352"/>
        <v>3.1446540880503146E-3</v>
      </c>
      <c r="DA591" s="14">
        <f t="shared" si="3352"/>
        <v>4.8843187660668377E-2</v>
      </c>
      <c r="DB591" s="14">
        <f t="shared" si="3352"/>
        <v>0.05</v>
      </c>
      <c r="DC591" s="14">
        <f t="shared" si="3352"/>
        <v>2.0547945205479451E-2</v>
      </c>
      <c r="DD591" s="14">
        <f t="shared" si="3352"/>
        <v>1.4285714285714285E-2</v>
      </c>
      <c r="DE591" s="14">
        <f t="shared" si="3352"/>
        <v>1.3071895424836602E-2</v>
      </c>
      <c r="DF591" s="14">
        <f t="shared" si="3352"/>
        <v>1.3888888888888888E-2</v>
      </c>
      <c r="DG591" s="14">
        <f t="shared" si="3352"/>
        <v>1.7241379310344827E-2</v>
      </c>
      <c r="DH591" s="14">
        <f t="shared" si="3352"/>
        <v>1.7429193899782137E-2</v>
      </c>
      <c r="DI591" s="14">
        <f t="shared" si="3352"/>
        <v>1.7341040462427744E-2</v>
      </c>
      <c r="DJ591" s="14">
        <f t="shared" si="3352"/>
        <v>2.0512820512820513E-2</v>
      </c>
      <c r="DK591" s="14">
        <f t="shared" si="3352"/>
        <v>2.0602218700475437E-2</v>
      </c>
      <c r="DL591" s="14">
        <f t="shared" si="3352"/>
        <v>1.8978102189781021E-2</v>
      </c>
      <c r="DM591" s="14">
        <f t="shared" si="3352"/>
        <v>1.7543859649122806E-2</v>
      </c>
      <c r="DN591" s="14">
        <f t="shared" si="3352"/>
        <v>1.7699115044247787E-2</v>
      </c>
      <c r="DO591" s="14">
        <f t="shared" si="3352"/>
        <v>8.6956521739130436E-3</v>
      </c>
      <c r="DP591" s="14" t="e">
        <f t="shared" si="3352"/>
        <v>#VALUE!</v>
      </c>
      <c r="DQ591" s="14"/>
      <c r="DR591" s="14"/>
      <c r="DS591" s="14"/>
      <c r="DT591" s="14"/>
      <c r="DU591" s="14"/>
      <c r="DV591" s="14"/>
      <c r="DW591" s="14"/>
      <c r="DX591" s="14"/>
      <c r="DY591" s="14"/>
      <c r="ED591" s="429"/>
      <c r="EE591" s="23"/>
      <c r="EF591" s="23"/>
      <c r="EG591" s="23"/>
      <c r="EH591" s="14">
        <f>IF(EH562&lt;&gt;0,EH566/EH562,"0%")</f>
        <v>0</v>
      </c>
      <c r="EI591" s="14">
        <f>IF(EI562&lt;&gt;0,EI566/EI562,"0%")</f>
        <v>8.6956521739130436E-3</v>
      </c>
      <c r="EJ591" s="14">
        <f>IF(EJ562&lt;&gt;0,EJ566/EJ562,"0%")</f>
        <v>8.6956521739130436E-3</v>
      </c>
      <c r="EK591" s="24"/>
      <c r="EL591" s="47">
        <f t="shared" si="3338"/>
        <v>0</v>
      </c>
      <c r="EM591" s="47">
        <f t="shared" si="3338"/>
        <v>8.6956521739130436E-3</v>
      </c>
      <c r="EN591" s="47">
        <f t="shared" si="3338"/>
        <v>-6.7375362318840573E-2</v>
      </c>
      <c r="EO591" s="46" t="str">
        <f t="shared" si="3344"/>
        <v>Æ</v>
      </c>
      <c r="EP591" s="46" t="str">
        <f t="shared" si="3344"/>
        <v>Ç</v>
      </c>
      <c r="EQ591" s="2" t="e">
        <f t="shared" si="3339"/>
        <v>#DIV/0!</v>
      </c>
      <c r="ER591" s="2" t="e">
        <f t="shared" si="3339"/>
        <v>#DIV/0!</v>
      </c>
      <c r="ES591" s="2">
        <f t="shared" si="3339"/>
        <v>3</v>
      </c>
    </row>
    <row r="592" spans="1:149">
      <c r="A592" s="6" t="s">
        <v>23</v>
      </c>
      <c r="B592" s="2" t="s">
        <v>27</v>
      </c>
      <c r="C592" s="3" t="s">
        <v>81</v>
      </c>
      <c r="E592" s="3" t="str">
        <f>C568</f>
        <v>AOnlHrs</v>
      </c>
      <c r="F592" s="4" t="s">
        <v>31</v>
      </c>
      <c r="G592" s="28" t="str">
        <f>C567</f>
        <v>ATotHrs</v>
      </c>
      <c r="H592" s="28"/>
      <c r="I592" s="28"/>
      <c r="J592" s="62">
        <f t="shared" ref="J592:AJ592" si="3353">IF(J567&lt;&gt;0,J568/J567,"")</f>
        <v>3.0927835051546393E-2</v>
      </c>
      <c r="K592" s="62">
        <f t="shared" si="3353"/>
        <v>3.9702233250620347E-2</v>
      </c>
      <c r="L592" s="62">
        <f t="shared" si="3353"/>
        <v>4.8957988752894477E-2</v>
      </c>
      <c r="M592" s="62">
        <f t="shared" si="3353"/>
        <v>5.5868922911630405E-2</v>
      </c>
      <c r="N592" s="62">
        <f t="shared" si="3353"/>
        <v>6.3209076175040527E-2</v>
      </c>
      <c r="O592" s="62">
        <f t="shared" si="3353"/>
        <v>5.7766891202286182E-2</v>
      </c>
      <c r="P592" s="62">
        <f t="shared" si="3353"/>
        <v>5.238178941817543E-2</v>
      </c>
      <c r="Q592" s="62">
        <f t="shared" si="3353"/>
        <v>5.1251170881841293E-2</v>
      </c>
      <c r="R592" s="62">
        <f t="shared" si="3353"/>
        <v>5.4711580801409074E-2</v>
      </c>
      <c r="S592" s="62">
        <f t="shared" si="3353"/>
        <v>4.9392170000957213E-2</v>
      </c>
      <c r="T592" s="62">
        <f t="shared" si="3353"/>
        <v>4.4541926775771887E-2</v>
      </c>
      <c r="U592" s="62">
        <f t="shared" si="3353"/>
        <v>6.8087791879952314E-2</v>
      </c>
      <c r="V592" s="62">
        <f t="shared" si="3353"/>
        <v>0.10033880635913474</v>
      </c>
      <c r="W592" s="62">
        <f t="shared" si="3353"/>
        <v>7.174581482746839E-2</v>
      </c>
      <c r="X592" s="62">
        <f t="shared" si="3353"/>
        <v>7.1245597182196599E-2</v>
      </c>
      <c r="Y592" s="62">
        <f t="shared" si="3353"/>
        <v>9.2300989606024772E-2</v>
      </c>
      <c r="Z592" s="62">
        <f t="shared" si="3353"/>
        <v>0.12115375117301329</v>
      </c>
      <c r="AA592" s="62">
        <f t="shared" si="3353"/>
        <v>0.15149608775999684</v>
      </c>
      <c r="AB592" s="62">
        <f t="shared" si="3353"/>
        <v>0.15805788494795575</v>
      </c>
      <c r="AC592" s="62">
        <f t="shared" si="3353"/>
        <v>0.15242553191489361</v>
      </c>
      <c r="AD592" s="62">
        <f t="shared" si="3353"/>
        <v>0.16432577420141428</v>
      </c>
      <c r="AE592" s="62">
        <f t="shared" si="3353"/>
        <v>0.17298251657910602</v>
      </c>
      <c r="AF592" s="62">
        <f t="shared" si="3353"/>
        <v>0.17297446080648013</v>
      </c>
      <c r="AG592" s="62">
        <f t="shared" si="3353"/>
        <v>0.17087378640776699</v>
      </c>
      <c r="AH592" s="62">
        <f t="shared" si="3353"/>
        <v>0.20833333333333331</v>
      </c>
      <c r="AI592" s="62">
        <f t="shared" si="3353"/>
        <v>0.20843933852758786</v>
      </c>
      <c r="AJ592" s="62" t="str">
        <f t="shared" si="3353"/>
        <v/>
      </c>
      <c r="AK592" s="412"/>
      <c r="AL592" s="14">
        <f t="shared" ref="AL592:BL592" si="3354">IF(AL567&lt;&gt;0,AL568/AL567,"")</f>
        <v>3.0927835051546393E-2</v>
      </c>
      <c r="AM592" s="14">
        <f t="shared" si="3354"/>
        <v>4.784688995215311E-2</v>
      </c>
      <c r="AN592" s="14">
        <f t="shared" si="3354"/>
        <v>6.7460317460317457E-2</v>
      </c>
      <c r="AO592" s="14">
        <f t="shared" si="3354"/>
        <v>8.5714285714285715E-2</v>
      </c>
      <c r="AP592" s="14">
        <f t="shared" si="3354"/>
        <v>0.10906040268456382</v>
      </c>
      <c r="AQ592" s="14">
        <f t="shared" si="3354"/>
        <v>1.7241379310344827E-2</v>
      </c>
      <c r="AR592" s="14">
        <f t="shared" si="3354"/>
        <v>1.8987341772151899E-2</v>
      </c>
      <c r="AS592" s="14">
        <f t="shared" si="3354"/>
        <v>4.7645739910313886E-2</v>
      </c>
      <c r="AT592" s="14">
        <f t="shared" si="3354"/>
        <v>7.0763500931098719E-2</v>
      </c>
      <c r="AU592" s="14">
        <f t="shared" si="3354"/>
        <v>1.393983859134261E-2</v>
      </c>
      <c r="AV592" s="14">
        <f t="shared" si="3354"/>
        <v>8.5287846481876001E-3</v>
      </c>
      <c r="AW592" s="14">
        <f t="shared" si="3354"/>
        <v>0.1840465309513919</v>
      </c>
      <c r="AX592" s="14">
        <f t="shared" si="3354"/>
        <v>0.10033880635913474</v>
      </c>
      <c r="AY592" s="14">
        <f t="shared" si="3354"/>
        <v>4.9555016181229768E-2</v>
      </c>
      <c r="AZ592" s="14">
        <f t="shared" si="3354"/>
        <v>7.006197790353004E-2</v>
      </c>
      <c r="BA592" s="14">
        <f t="shared" si="3354"/>
        <v>0.16587412587412589</v>
      </c>
      <c r="BB592" s="14">
        <f t="shared" si="3354"/>
        <v>0.23205741626794257</v>
      </c>
      <c r="BC592" s="14">
        <f t="shared" si="3354"/>
        <v>0.26995757809487075</v>
      </c>
      <c r="BD592" s="14">
        <f t="shared" si="3354"/>
        <v>0.19006520905255089</v>
      </c>
      <c r="BE592" s="14">
        <f t="shared" si="3354"/>
        <v>0.11492504888116437</v>
      </c>
      <c r="BF592" s="14">
        <f t="shared" si="3354"/>
        <v>0.23715277777777782</v>
      </c>
      <c r="BG592" s="14">
        <f t="shared" si="3354"/>
        <v>0.23831431726168584</v>
      </c>
      <c r="BH592" s="14">
        <f t="shared" si="3354"/>
        <v>0.17288979407105654</v>
      </c>
      <c r="BI592" s="14">
        <f t="shared" si="3354"/>
        <v>0.14628308400460313</v>
      </c>
      <c r="BJ592" s="14">
        <f t="shared" si="3354"/>
        <v>0.20833333333333331</v>
      </c>
      <c r="BK592" s="14">
        <f t="shared" si="3354"/>
        <v>0.20852889410384276</v>
      </c>
      <c r="BL592" s="14" t="str">
        <f t="shared" si="3354"/>
        <v/>
      </c>
      <c r="BM592" s="412"/>
      <c r="BN592" s="14">
        <f t="shared" ref="BN592:CN592" si="3355">IF(BN567&lt;&gt;0,BN568/BN567,"")</f>
        <v>4.8957988752894477E-2</v>
      </c>
      <c r="BO592" s="14">
        <f t="shared" si="3355"/>
        <v>4.8957988752894477E-2</v>
      </c>
      <c r="BP592" s="14">
        <f t="shared" si="3355"/>
        <v>4.8957988752894477E-2</v>
      </c>
      <c r="BQ592" s="14">
        <f t="shared" si="3355"/>
        <v>7.1961620469083165E-2</v>
      </c>
      <c r="BR592" s="14">
        <f t="shared" si="3355"/>
        <v>7.1961620469083165E-2</v>
      </c>
      <c r="BS592" s="14">
        <f t="shared" si="3355"/>
        <v>7.1961620469083165E-2</v>
      </c>
      <c r="BT592" s="14">
        <f t="shared" si="3355"/>
        <v>5.1135005973715654E-2</v>
      </c>
      <c r="BU592" s="14">
        <f t="shared" si="3355"/>
        <v>5.1135005973715654E-2</v>
      </c>
      <c r="BV592" s="14">
        <f t="shared" si="3355"/>
        <v>5.1135005973715654E-2</v>
      </c>
      <c r="BW592" s="14">
        <f t="shared" si="3355"/>
        <v>9.1558817848174615E-2</v>
      </c>
      <c r="BX592" s="14">
        <f t="shared" si="3355"/>
        <v>9.1558817848174615E-2</v>
      </c>
      <c r="BY592" s="14">
        <f t="shared" si="3355"/>
        <v>9.1558817848174615E-2</v>
      </c>
      <c r="BZ592" s="14">
        <f t="shared" si="3355"/>
        <v>7.1245597182196599E-2</v>
      </c>
      <c r="CA592" s="14">
        <f t="shared" si="3355"/>
        <v>7.1245597182196599E-2</v>
      </c>
      <c r="CB592" s="14">
        <f t="shared" si="3355"/>
        <v>7.1245597182196599E-2</v>
      </c>
      <c r="CC592" s="14">
        <f t="shared" si="3355"/>
        <v>0.228962213121088</v>
      </c>
      <c r="CD592" s="14">
        <f t="shared" si="3355"/>
        <v>0.228962213121088</v>
      </c>
      <c r="CE592" s="14">
        <f t="shared" si="3355"/>
        <v>0.228962213121088</v>
      </c>
      <c r="CF592" s="14">
        <f t="shared" si="3355"/>
        <v>0.18527315914489312</v>
      </c>
      <c r="CG592" s="14">
        <f t="shared" si="3355"/>
        <v>0.18527315914489312</v>
      </c>
      <c r="CH592" s="14">
        <f t="shared" si="3355"/>
        <v>0.18527315914489312</v>
      </c>
      <c r="CI592" s="14">
        <f t="shared" si="3355"/>
        <v>0.18978729398506833</v>
      </c>
      <c r="CJ592" s="14">
        <f t="shared" si="3355"/>
        <v>0.18978729398506833</v>
      </c>
      <c r="CK592" s="14">
        <f t="shared" si="3355"/>
        <v>0.18978729398506833</v>
      </c>
      <c r="CL592" s="14">
        <f t="shared" si="3355"/>
        <v>0.20843933852758786</v>
      </c>
      <c r="CM592" s="14">
        <f t="shared" si="3355"/>
        <v>0.20843933852758786</v>
      </c>
      <c r="CN592" s="14">
        <f t="shared" si="3355"/>
        <v>0.20843933852758786</v>
      </c>
      <c r="CO592" s="412"/>
      <c r="CP592" s="14">
        <f t="shared" ref="CP592:DP592" si="3356">IF(CP567&lt;&gt;0,CP568/CP567,"")</f>
        <v>3.0927835051546393E-2</v>
      </c>
      <c r="CQ592" s="14">
        <f t="shared" si="3356"/>
        <v>3.9702233250620347E-2</v>
      </c>
      <c r="CR592" s="14">
        <f t="shared" si="3356"/>
        <v>4.8957988752894477E-2</v>
      </c>
      <c r="CS592" s="14">
        <f t="shared" si="3356"/>
        <v>5.5868922911630405E-2</v>
      </c>
      <c r="CT592" s="14">
        <f t="shared" si="3356"/>
        <v>6.3209076175040527E-2</v>
      </c>
      <c r="CU592" s="14">
        <f t="shared" si="3356"/>
        <v>5.7766891202286182E-2</v>
      </c>
      <c r="CV592" s="14">
        <f t="shared" si="3356"/>
        <v>5.238178941817543E-2</v>
      </c>
      <c r="CW592" s="14">
        <f t="shared" si="3356"/>
        <v>5.1251170881841293E-2</v>
      </c>
      <c r="CX592" s="14">
        <f t="shared" si="3356"/>
        <v>5.4711580801409074E-2</v>
      </c>
      <c r="CY592" s="14">
        <f t="shared" si="3356"/>
        <v>4.9392170000957213E-2</v>
      </c>
      <c r="CZ592" s="14">
        <f t="shared" si="3356"/>
        <v>4.4541926775771887E-2</v>
      </c>
      <c r="DA592" s="14">
        <f t="shared" si="3356"/>
        <v>6.8087791879952314E-2</v>
      </c>
      <c r="DB592" s="14">
        <f t="shared" si="3356"/>
        <v>0.10033880635913474</v>
      </c>
      <c r="DC592" s="14">
        <f t="shared" si="3356"/>
        <v>7.174581482746839E-2</v>
      </c>
      <c r="DD592" s="14">
        <f t="shared" si="3356"/>
        <v>7.1245597182196599E-2</v>
      </c>
      <c r="DE592" s="14">
        <f t="shared" si="3356"/>
        <v>9.2300989606024772E-2</v>
      </c>
      <c r="DF592" s="14">
        <f t="shared" si="3356"/>
        <v>0.12115375117301329</v>
      </c>
      <c r="DG592" s="14">
        <f t="shared" si="3356"/>
        <v>0.15149608775999684</v>
      </c>
      <c r="DH592" s="14">
        <f t="shared" si="3356"/>
        <v>0.15805788494795575</v>
      </c>
      <c r="DI592" s="14">
        <f t="shared" si="3356"/>
        <v>0.15242553191489361</v>
      </c>
      <c r="DJ592" s="14">
        <f t="shared" si="3356"/>
        <v>0.16432577420141428</v>
      </c>
      <c r="DK592" s="14">
        <f t="shared" si="3356"/>
        <v>0.17298251657910602</v>
      </c>
      <c r="DL592" s="14">
        <f t="shared" si="3356"/>
        <v>0.17297446080648013</v>
      </c>
      <c r="DM592" s="14">
        <f t="shared" si="3356"/>
        <v>0.17087378640776699</v>
      </c>
      <c r="DN592" s="14">
        <f t="shared" si="3356"/>
        <v>0.20833333333333331</v>
      </c>
      <c r="DO592" s="14">
        <f t="shared" si="3356"/>
        <v>0.20843933852758786</v>
      </c>
      <c r="DP592" s="14">
        <f t="shared" si="3356"/>
        <v>0.20843933852758786</v>
      </c>
      <c r="DQ592" s="14"/>
      <c r="DR592" s="14"/>
      <c r="DS592" s="14"/>
      <c r="DT592" s="14"/>
      <c r="DU592" s="14"/>
      <c r="DV592" s="14"/>
      <c r="DW592" s="14"/>
      <c r="DX592" s="14"/>
      <c r="DY592" s="14"/>
      <c r="ED592" s="429"/>
      <c r="EE592" s="23"/>
      <c r="EF592" s="23"/>
      <c r="EG592" s="23"/>
      <c r="EH592" s="14">
        <f>IF(EH567&lt;&gt;0,EH568/EH567,"")</f>
        <v>0.20852889410384276</v>
      </c>
      <c r="EI592" s="109">
        <f>IF(EI567&lt;&gt;0,EI568/EI567,"0%")</f>
        <v>0.20843933852758786</v>
      </c>
      <c r="EJ592" s="14">
        <f>IF(EJ567&lt;&gt;0,EJ568/EJ567,"")</f>
        <v>0.20843933852758786</v>
      </c>
      <c r="EK592" s="24"/>
      <c r="EL592" s="47">
        <f t="shared" si="3338"/>
        <v>0.20852889410384276</v>
      </c>
      <c r="EM592" s="47">
        <f t="shared" si="3338"/>
        <v>0.20843933852758786</v>
      </c>
      <c r="EN592" s="47">
        <f t="shared" si="3338"/>
        <v>0.12522927935599024</v>
      </c>
      <c r="EO592" s="46" t="str">
        <f t="shared" si="3344"/>
        <v>Ç</v>
      </c>
      <c r="EP592" s="46" t="str">
        <f t="shared" si="3344"/>
        <v>Ç</v>
      </c>
      <c r="EQ592" s="2" t="e">
        <f t="shared" si="3339"/>
        <v>#DIV/0!</v>
      </c>
      <c r="ER592" s="2" t="e">
        <f t="shared" si="3339"/>
        <v>#DIV/0!</v>
      </c>
      <c r="ES592" s="2">
        <f t="shared" si="3339"/>
        <v>1</v>
      </c>
    </row>
    <row r="593" spans="1:149">
      <c r="A593" s="6" t="s">
        <v>23</v>
      </c>
      <c r="B593" s="2" t="s">
        <v>28</v>
      </c>
      <c r="C593" s="3" t="s">
        <v>82</v>
      </c>
      <c r="E593" s="3" t="str">
        <f>C573</f>
        <v>AColCash</v>
      </c>
      <c r="F593" s="4" t="s">
        <v>31</v>
      </c>
      <c r="G593" s="28" t="str">
        <f>C574</f>
        <v>AFSFunds</v>
      </c>
      <c r="H593" s="28"/>
      <c r="I593" s="28"/>
      <c r="J593" s="62" t="str">
        <f t="shared" ref="J593:AJ593" si="3357">IF(J574&lt;&gt;0,J573/J574,"")</f>
        <v/>
      </c>
      <c r="K593" s="62" t="str">
        <f t="shared" si="3357"/>
        <v/>
      </c>
      <c r="L593" s="62" t="str">
        <f t="shared" si="3357"/>
        <v/>
      </c>
      <c r="M593" s="62" t="str">
        <f t="shared" si="3357"/>
        <v/>
      </c>
      <c r="N593" s="62" t="str">
        <f t="shared" si="3357"/>
        <v/>
      </c>
      <c r="O593" s="62" t="str">
        <f t="shared" si="3357"/>
        <v/>
      </c>
      <c r="P593" s="62" t="str">
        <f t="shared" si="3357"/>
        <v/>
      </c>
      <c r="Q593" s="62" t="str">
        <f t="shared" si="3357"/>
        <v/>
      </c>
      <c r="R593" s="62">
        <f t="shared" si="3357"/>
        <v>1.290749063670412</v>
      </c>
      <c r="S593" s="62">
        <f t="shared" si="3357"/>
        <v>1.290749063670412</v>
      </c>
      <c r="T593" s="62">
        <f t="shared" si="3357"/>
        <v>1.290749063670412</v>
      </c>
      <c r="U593" s="62">
        <f t="shared" si="3357"/>
        <v>1.290749063670412</v>
      </c>
      <c r="V593" s="62" t="str">
        <f t="shared" si="3357"/>
        <v/>
      </c>
      <c r="W593" s="62" t="str">
        <f t="shared" si="3357"/>
        <v/>
      </c>
      <c r="X593" s="62" t="str">
        <f t="shared" si="3357"/>
        <v/>
      </c>
      <c r="Y593" s="62" t="str">
        <f t="shared" si="3357"/>
        <v/>
      </c>
      <c r="Z593" s="62" t="str">
        <f t="shared" si="3357"/>
        <v/>
      </c>
      <c r="AA593" s="62" t="str">
        <f t="shared" si="3357"/>
        <v/>
      </c>
      <c r="AB593" s="62">
        <f t="shared" si="3357"/>
        <v>2.0605210998877665</v>
      </c>
      <c r="AC593" s="62" t="str">
        <f t="shared" si="3357"/>
        <v/>
      </c>
      <c r="AD593" s="62" t="str">
        <f t="shared" si="3357"/>
        <v/>
      </c>
      <c r="AE593" s="62" t="str">
        <f t="shared" si="3357"/>
        <v/>
      </c>
      <c r="AF593" s="62" t="str">
        <f t="shared" si="3357"/>
        <v/>
      </c>
      <c r="AG593" s="62" t="str">
        <f t="shared" si="3357"/>
        <v/>
      </c>
      <c r="AH593" s="62">
        <f t="shared" si="3357"/>
        <v>0.64050394546389633</v>
      </c>
      <c r="AI593" s="62" t="str">
        <f t="shared" si="3357"/>
        <v/>
      </c>
      <c r="AJ593" s="62" t="str">
        <f t="shared" si="3357"/>
        <v/>
      </c>
      <c r="AK593" s="412"/>
      <c r="AL593" s="14"/>
      <c r="AM593" s="14"/>
      <c r="AN593" s="14"/>
      <c r="AO593" s="14"/>
      <c r="AP593" s="14"/>
      <c r="AQ593" s="14"/>
      <c r="AR593" s="14"/>
      <c r="AS593" s="14"/>
      <c r="AT593" s="14"/>
      <c r="AU593" s="14"/>
      <c r="AV593" s="14"/>
      <c r="AW593" s="14"/>
      <c r="AX593" s="14"/>
      <c r="AY593" s="14"/>
      <c r="AZ593" s="14"/>
      <c r="BA593" s="14"/>
      <c r="BB593" s="14"/>
      <c r="BC593" s="14"/>
      <c r="BD593" s="14"/>
      <c r="BE593" s="14"/>
      <c r="BF593" s="14"/>
      <c r="BG593" s="14"/>
      <c r="BH593" s="14"/>
      <c r="BI593" s="14"/>
      <c r="BJ593" s="14"/>
      <c r="BK593" s="14"/>
      <c r="BL593" s="14"/>
      <c r="BM593" s="412"/>
      <c r="BN593" s="14"/>
      <c r="BO593" s="14"/>
      <c r="BP593" s="14"/>
      <c r="BQ593" s="14"/>
      <c r="BR593" s="14"/>
      <c r="BS593" s="14"/>
      <c r="BT593" s="14"/>
      <c r="BU593" s="14"/>
      <c r="BV593" s="14"/>
      <c r="BW593" s="14"/>
      <c r="BX593" s="14"/>
      <c r="BY593" s="14"/>
      <c r="BZ593" s="14"/>
      <c r="CA593" s="14"/>
      <c r="CB593" s="14"/>
      <c r="CC593" s="14"/>
      <c r="CD593" s="14"/>
      <c r="CE593" s="14"/>
      <c r="CF593" s="14"/>
      <c r="CG593" s="14"/>
      <c r="CH593" s="14"/>
      <c r="CI593" s="14"/>
      <c r="CJ593" s="14"/>
      <c r="CK593" s="14"/>
      <c r="CL593" s="14"/>
      <c r="CM593" s="14"/>
      <c r="CN593" s="14"/>
      <c r="CO593" s="412"/>
      <c r="CP593" s="14" t="str">
        <f t="shared" ref="CP593:DP593" si="3358">IF(CP574&lt;&gt;0,CP573/CP574,"")</f>
        <v/>
      </c>
      <c r="CQ593" s="14" t="str">
        <f t="shared" si="3358"/>
        <v/>
      </c>
      <c r="CR593" s="14" t="str">
        <f t="shared" si="3358"/>
        <v/>
      </c>
      <c r="CS593" s="14" t="str">
        <f t="shared" si="3358"/>
        <v/>
      </c>
      <c r="CT593" s="14" t="str">
        <f t="shared" si="3358"/>
        <v/>
      </c>
      <c r="CU593" s="14" t="str">
        <f t="shared" si="3358"/>
        <v/>
      </c>
      <c r="CV593" s="14" t="str">
        <f t="shared" si="3358"/>
        <v/>
      </c>
      <c r="CW593" s="14" t="str">
        <f t="shared" si="3358"/>
        <v/>
      </c>
      <c r="CX593" s="14">
        <f t="shared" si="3358"/>
        <v>1.290749063670412</v>
      </c>
      <c r="CY593" s="14">
        <f t="shared" si="3358"/>
        <v>1.290749063670412</v>
      </c>
      <c r="CZ593" s="14">
        <f t="shared" si="3358"/>
        <v>1.290749063670412</v>
      </c>
      <c r="DA593" s="14">
        <f t="shared" si="3358"/>
        <v>1.290749063670412</v>
      </c>
      <c r="DB593" s="14" t="str">
        <f t="shared" si="3358"/>
        <v/>
      </c>
      <c r="DC593" s="14" t="str">
        <f t="shared" si="3358"/>
        <v/>
      </c>
      <c r="DD593" s="14" t="str">
        <f t="shared" si="3358"/>
        <v/>
      </c>
      <c r="DE593" s="14" t="str">
        <f t="shared" si="3358"/>
        <v/>
      </c>
      <c r="DF593" s="14" t="str">
        <f t="shared" si="3358"/>
        <v/>
      </c>
      <c r="DG593" s="14" t="str">
        <f t="shared" si="3358"/>
        <v/>
      </c>
      <c r="DH593" s="14">
        <f t="shared" si="3358"/>
        <v>2.0605210998877665</v>
      </c>
      <c r="DI593" s="14" t="str">
        <f t="shared" si="3358"/>
        <v/>
      </c>
      <c r="DJ593" s="14" t="str">
        <f t="shared" si="3358"/>
        <v/>
      </c>
      <c r="DK593" s="14" t="str">
        <f t="shared" si="3358"/>
        <v/>
      </c>
      <c r="DL593" s="14" t="str">
        <f t="shared" si="3358"/>
        <v/>
      </c>
      <c r="DM593" s="14" t="str">
        <f t="shared" si="3358"/>
        <v/>
      </c>
      <c r="DN593" s="14">
        <f t="shared" si="3358"/>
        <v>0.64050394546389633</v>
      </c>
      <c r="DO593" s="14" t="str">
        <f t="shared" si="3358"/>
        <v/>
      </c>
      <c r="DP593" s="14" t="str">
        <f t="shared" si="3358"/>
        <v/>
      </c>
      <c r="DQ593" s="14"/>
      <c r="DR593" s="14"/>
      <c r="DS593" s="14"/>
      <c r="DT593" s="14"/>
      <c r="DU593" s="14"/>
      <c r="DV593" s="14"/>
      <c r="DW593" s="14"/>
      <c r="DX593" s="14"/>
      <c r="DY593" s="14"/>
      <c r="ED593" s="429"/>
      <c r="EE593" s="23"/>
      <c r="EF593" s="23"/>
      <c r="EG593" s="23"/>
      <c r="EH593" s="24" t="s">
        <v>97</v>
      </c>
      <c r="EI593" s="24" t="s">
        <v>97</v>
      </c>
      <c r="EJ593" s="14" t="str">
        <f>IF(EJ574&lt;&gt;0,EJ573/EJ574,"")</f>
        <v/>
      </c>
      <c r="EK593" s="24"/>
      <c r="EL593" s="24" t="s">
        <v>97</v>
      </c>
      <c r="EM593" s="24" t="s">
        <v>97</v>
      </c>
      <c r="EN593" s="47" t="str">
        <f>IF(EJ593="","",+EJ593-EG586)</f>
        <v/>
      </c>
      <c r="EO593" s="100" t="s">
        <v>97</v>
      </c>
      <c r="EP593" s="100" t="s">
        <v>97</v>
      </c>
      <c r="EQ593" s="24" t="s">
        <v>97</v>
      </c>
      <c r="ER593" s="24" t="s">
        <v>97</v>
      </c>
      <c r="ES593" s="2" t="e">
        <f>IF(EJ593/EG586&gt;=0.9,1,IF(EJ593/EG586&lt;0.75,3,2))</f>
        <v>#VALUE!</v>
      </c>
    </row>
    <row r="594" spans="1:149">
      <c r="ED594" s="429"/>
      <c r="EE594" s="23"/>
      <c r="EF594" s="23"/>
      <c r="EG594" s="23"/>
      <c r="EH594" s="23"/>
      <c r="EI594" s="23"/>
      <c r="EJ594" s="23"/>
      <c r="EK594" s="23"/>
    </row>
    <row r="595" spans="1:149" ht="13.5" thickBot="1">
      <c r="A595" s="6" t="s">
        <v>182</v>
      </c>
      <c r="C595" s="3" t="s">
        <v>187</v>
      </c>
      <c r="E595" s="107">
        <f>I595</f>
        <v>40391</v>
      </c>
      <c r="G595" s="132" t="s">
        <v>161</v>
      </c>
      <c r="I595" s="107">
        <f>$I$1</f>
        <v>40391</v>
      </c>
      <c r="J595" s="669" t="s">
        <v>95</v>
      </c>
      <c r="K595" s="669"/>
      <c r="L595" s="669"/>
      <c r="M595" s="669"/>
      <c r="N595" s="669"/>
      <c r="O595" s="669"/>
      <c r="P595" s="669"/>
      <c r="Q595" s="669"/>
      <c r="R595" s="669"/>
      <c r="S595" s="669"/>
      <c r="T595" s="669"/>
      <c r="U595" s="669"/>
      <c r="V595" s="669"/>
      <c r="W595" s="669"/>
      <c r="X595" s="669"/>
      <c r="Y595" s="669"/>
      <c r="Z595" s="669"/>
      <c r="AA595" s="669"/>
      <c r="AB595" s="669"/>
      <c r="AC595" s="669"/>
      <c r="AD595" s="669"/>
      <c r="AE595" s="669"/>
      <c r="AF595" s="669"/>
      <c r="AG595" s="669"/>
      <c r="AH595" s="669"/>
      <c r="AI595" s="669"/>
      <c r="AJ595" s="669"/>
      <c r="AL595" s="669" t="s">
        <v>115</v>
      </c>
      <c r="AM595" s="669"/>
      <c r="AN595" s="669"/>
      <c r="AO595" s="669"/>
      <c r="AP595" s="669"/>
      <c r="AQ595" s="669"/>
      <c r="AR595" s="669"/>
      <c r="AS595" s="669"/>
      <c r="AT595" s="669"/>
      <c r="AU595" s="669"/>
      <c r="AV595" s="669"/>
      <c r="AW595" s="669"/>
      <c r="AX595" s="669"/>
      <c r="AY595" s="669"/>
      <c r="AZ595" s="669"/>
      <c r="BA595" s="669"/>
      <c r="BB595" s="669"/>
      <c r="BC595" s="669"/>
      <c r="BD595" s="669"/>
      <c r="BE595" s="669"/>
      <c r="BF595" s="669"/>
      <c r="BG595" s="669"/>
      <c r="BH595" s="669"/>
      <c r="BI595" s="669"/>
      <c r="BJ595" s="669"/>
      <c r="BK595" s="669"/>
      <c r="BL595" s="669"/>
      <c r="BN595" s="669" t="s">
        <v>116</v>
      </c>
      <c r="BO595" s="669"/>
      <c r="BP595" s="669"/>
      <c r="BQ595" s="669"/>
      <c r="BR595" s="669"/>
      <c r="BS595" s="669"/>
      <c r="BT595" s="669"/>
      <c r="BU595" s="669"/>
      <c r="BV595" s="669"/>
      <c r="BW595" s="669"/>
      <c r="BX595" s="669"/>
      <c r="BY595" s="669"/>
      <c r="BZ595" s="669"/>
      <c r="CA595" s="669"/>
      <c r="CB595" s="669"/>
      <c r="CC595" s="669"/>
      <c r="CD595" s="669"/>
      <c r="CE595" s="669"/>
      <c r="CF595" s="669"/>
      <c r="CG595" s="669"/>
      <c r="CH595" s="669"/>
      <c r="CI595" s="669"/>
      <c r="CJ595" s="669"/>
      <c r="CK595" s="669"/>
      <c r="CL595" s="669"/>
      <c r="CM595" s="669"/>
      <c r="CN595" s="669"/>
      <c r="CP595" s="669" t="s">
        <v>117</v>
      </c>
      <c r="CQ595" s="669"/>
      <c r="CR595" s="669"/>
      <c r="CS595" s="669"/>
      <c r="CT595" s="669"/>
      <c r="CU595" s="669"/>
      <c r="CV595" s="669"/>
      <c r="CW595" s="669"/>
      <c r="CX595" s="669"/>
      <c r="CY595" s="669"/>
      <c r="CZ595" s="669"/>
      <c r="DA595" s="669"/>
      <c r="DB595" s="669"/>
      <c r="DC595" s="669"/>
      <c r="DD595" s="669"/>
      <c r="DE595" s="669"/>
      <c r="DF595" s="669"/>
      <c r="DG595" s="669"/>
      <c r="DH595" s="669"/>
      <c r="DI595" s="669"/>
      <c r="DJ595" s="669"/>
      <c r="DK595" s="669"/>
      <c r="DL595" s="669"/>
      <c r="DM595" s="669"/>
      <c r="DN595" s="669"/>
      <c r="DO595" s="669"/>
      <c r="DP595" s="669"/>
      <c r="DQ595" s="578"/>
      <c r="DR595" s="578"/>
      <c r="DS595" s="578"/>
      <c r="DT595" s="578"/>
      <c r="DU595" s="578"/>
      <c r="DV595" s="578"/>
      <c r="DW595" s="578"/>
      <c r="DX595" s="578"/>
      <c r="DY595" s="578"/>
      <c r="DZ595" s="670" t="s">
        <v>118</v>
      </c>
      <c r="EA595" s="671"/>
      <c r="EB595" s="672"/>
      <c r="EC595" s="579"/>
      <c r="ED595" s="427"/>
      <c r="EE595" s="669" t="s">
        <v>112</v>
      </c>
      <c r="EF595" s="669"/>
      <c r="EG595" s="669"/>
      <c r="EH595" s="669" t="s">
        <v>111</v>
      </c>
      <c r="EI595" s="669"/>
      <c r="EJ595" s="669"/>
      <c r="EK595" s="45">
        <f>IF(MONTH(I595)&gt;9,MONTH(I595)-9,MONTH(I595)+3)</f>
        <v>11</v>
      </c>
      <c r="EL595" s="673" t="s">
        <v>119</v>
      </c>
      <c r="EM595" s="674"/>
      <c r="EN595" s="674"/>
      <c r="EO595" s="674"/>
      <c r="EP595" s="674"/>
      <c r="EQ595" s="674"/>
      <c r="ER595" s="674"/>
      <c r="ES595" s="674"/>
    </row>
    <row r="596" spans="1:149" ht="26.25" thickBot="1">
      <c r="A596" s="665" t="s">
        <v>19</v>
      </c>
      <c r="B596" s="665"/>
      <c r="C596" s="8" t="s">
        <v>34</v>
      </c>
      <c r="D596" s="9"/>
      <c r="E596" s="10" t="s">
        <v>93</v>
      </c>
      <c r="F596" s="1"/>
      <c r="G596" s="17" t="s">
        <v>90</v>
      </c>
      <c r="H596" s="1"/>
      <c r="I596" s="1" t="s">
        <v>96</v>
      </c>
      <c r="J596" s="13">
        <v>39630</v>
      </c>
      <c r="K596" s="13">
        <v>39661</v>
      </c>
      <c r="L596" s="13">
        <v>39692</v>
      </c>
      <c r="M596" s="13">
        <v>39722</v>
      </c>
      <c r="N596" s="13">
        <v>39753</v>
      </c>
      <c r="O596" s="13">
        <v>39783</v>
      </c>
      <c r="P596" s="13">
        <v>39814</v>
      </c>
      <c r="Q596" s="13">
        <v>39845</v>
      </c>
      <c r="R596" s="13">
        <v>39873</v>
      </c>
      <c r="S596" s="13">
        <v>39904</v>
      </c>
      <c r="T596" s="13">
        <v>39934</v>
      </c>
      <c r="U596" s="13">
        <v>39965</v>
      </c>
      <c r="V596" s="13">
        <v>39995</v>
      </c>
      <c r="W596" s="13">
        <v>40026</v>
      </c>
      <c r="X596" s="13">
        <v>40057</v>
      </c>
      <c r="Y596" s="13">
        <v>40087</v>
      </c>
      <c r="Z596" s="13">
        <v>40118</v>
      </c>
      <c r="AA596" s="13">
        <v>40148</v>
      </c>
      <c r="AB596" s="13">
        <v>40179</v>
      </c>
      <c r="AC596" s="13">
        <v>40210</v>
      </c>
      <c r="AD596" s="13">
        <v>40238</v>
      </c>
      <c r="AE596" s="13">
        <v>40269</v>
      </c>
      <c r="AF596" s="13">
        <v>40299</v>
      </c>
      <c r="AG596" s="13">
        <v>40330</v>
      </c>
      <c r="AH596" s="13">
        <v>40360</v>
      </c>
      <c r="AI596" s="13">
        <v>40391</v>
      </c>
      <c r="AJ596" s="13">
        <v>40422</v>
      </c>
      <c r="AK596" s="406"/>
      <c r="AL596" s="13">
        <v>39630</v>
      </c>
      <c r="AM596" s="13">
        <v>39661</v>
      </c>
      <c r="AN596" s="13">
        <v>39692</v>
      </c>
      <c r="AO596" s="13">
        <v>39722</v>
      </c>
      <c r="AP596" s="13">
        <v>39753</v>
      </c>
      <c r="AQ596" s="13">
        <v>39783</v>
      </c>
      <c r="AR596" s="13">
        <v>39814</v>
      </c>
      <c r="AS596" s="13">
        <v>39845</v>
      </c>
      <c r="AT596" s="13">
        <v>39873</v>
      </c>
      <c r="AU596" s="13">
        <v>39904</v>
      </c>
      <c r="AV596" s="13">
        <v>39934</v>
      </c>
      <c r="AW596" s="13">
        <v>39965</v>
      </c>
      <c r="AX596" s="13">
        <v>39995</v>
      </c>
      <c r="AY596" s="13">
        <v>40026</v>
      </c>
      <c r="AZ596" s="13">
        <v>40057</v>
      </c>
      <c r="BA596" s="13">
        <v>40087</v>
      </c>
      <c r="BB596" s="13">
        <v>40118</v>
      </c>
      <c r="BC596" s="13">
        <v>40148</v>
      </c>
      <c r="BD596" s="13">
        <v>40179</v>
      </c>
      <c r="BE596" s="13">
        <v>40210</v>
      </c>
      <c r="BF596" s="13">
        <v>40238</v>
      </c>
      <c r="BG596" s="13">
        <v>40269</v>
      </c>
      <c r="BH596" s="13">
        <v>40299</v>
      </c>
      <c r="BI596" s="13">
        <v>40330</v>
      </c>
      <c r="BJ596" s="13">
        <v>40360</v>
      </c>
      <c r="BK596" s="13">
        <v>40391</v>
      </c>
      <c r="BL596" s="13">
        <v>40422</v>
      </c>
      <c r="BM596" s="406"/>
      <c r="BN596" s="13">
        <v>39630</v>
      </c>
      <c r="BO596" s="13">
        <v>39661</v>
      </c>
      <c r="BP596" s="13">
        <v>39692</v>
      </c>
      <c r="BQ596" s="13">
        <v>39722</v>
      </c>
      <c r="BR596" s="13">
        <v>39753</v>
      </c>
      <c r="BS596" s="13">
        <v>39783</v>
      </c>
      <c r="BT596" s="13">
        <v>39814</v>
      </c>
      <c r="BU596" s="13">
        <v>39845</v>
      </c>
      <c r="BV596" s="13">
        <v>39873</v>
      </c>
      <c r="BW596" s="13">
        <v>39904</v>
      </c>
      <c r="BX596" s="13">
        <v>39934</v>
      </c>
      <c r="BY596" s="13">
        <v>39965</v>
      </c>
      <c r="BZ596" s="13">
        <v>39995</v>
      </c>
      <c r="CA596" s="13">
        <v>40026</v>
      </c>
      <c r="CB596" s="13">
        <v>40057</v>
      </c>
      <c r="CC596" s="13">
        <v>40087</v>
      </c>
      <c r="CD596" s="13">
        <v>40118</v>
      </c>
      <c r="CE596" s="13">
        <v>40148</v>
      </c>
      <c r="CF596" s="13">
        <v>40179</v>
      </c>
      <c r="CG596" s="13">
        <v>40210</v>
      </c>
      <c r="CH596" s="13">
        <v>40238</v>
      </c>
      <c r="CI596" s="13">
        <v>40269</v>
      </c>
      <c r="CJ596" s="13">
        <v>40299</v>
      </c>
      <c r="CK596" s="13">
        <v>40330</v>
      </c>
      <c r="CL596" s="13">
        <v>40360</v>
      </c>
      <c r="CM596" s="13">
        <v>40391</v>
      </c>
      <c r="CN596" s="13">
        <v>40422</v>
      </c>
      <c r="CO596" s="420"/>
      <c r="CP596" s="13">
        <v>39630</v>
      </c>
      <c r="CQ596" s="13">
        <v>39661</v>
      </c>
      <c r="CR596" s="13">
        <v>39692</v>
      </c>
      <c r="CS596" s="13">
        <v>39722</v>
      </c>
      <c r="CT596" s="13">
        <v>39753</v>
      </c>
      <c r="CU596" s="13">
        <v>39783</v>
      </c>
      <c r="CV596" s="13">
        <v>39814</v>
      </c>
      <c r="CW596" s="13">
        <v>39845</v>
      </c>
      <c r="CX596" s="13">
        <v>39873</v>
      </c>
      <c r="CY596" s="13">
        <v>39904</v>
      </c>
      <c r="CZ596" s="13">
        <v>39934</v>
      </c>
      <c r="DA596" s="13">
        <v>39965</v>
      </c>
      <c r="DB596" s="13">
        <v>39995</v>
      </c>
      <c r="DC596" s="13">
        <v>40026</v>
      </c>
      <c r="DD596" s="13">
        <v>40057</v>
      </c>
      <c r="DE596" s="13">
        <v>40087</v>
      </c>
      <c r="DF596" s="13">
        <v>40118</v>
      </c>
      <c r="DG596" s="13">
        <v>40148</v>
      </c>
      <c r="DH596" s="13">
        <v>40179</v>
      </c>
      <c r="DI596" s="13">
        <v>40210</v>
      </c>
      <c r="DJ596" s="13">
        <v>40238</v>
      </c>
      <c r="DK596" s="13">
        <v>40269</v>
      </c>
      <c r="DL596" s="13">
        <v>40299</v>
      </c>
      <c r="DM596" s="13">
        <v>40330</v>
      </c>
      <c r="DN596" s="13">
        <v>40360</v>
      </c>
      <c r="DO596" s="13">
        <v>40391</v>
      </c>
      <c r="DP596" s="13">
        <v>40422</v>
      </c>
      <c r="DQ596" s="580"/>
      <c r="DR596" s="580"/>
      <c r="DS596" s="580"/>
      <c r="DT596" s="580"/>
      <c r="DU596" s="580"/>
      <c r="DV596" s="580"/>
      <c r="DW596" s="580"/>
      <c r="DX596" s="580"/>
      <c r="DY596" s="580"/>
      <c r="DZ596" s="1">
        <v>2008</v>
      </c>
      <c r="EA596" s="135">
        <v>2009</v>
      </c>
      <c r="EB596" s="135">
        <v>2010</v>
      </c>
      <c r="EC596" s="577"/>
      <c r="ED596" s="428"/>
      <c r="EE596" s="115" t="s">
        <v>89</v>
      </c>
      <c r="EF596" s="115" t="s">
        <v>110</v>
      </c>
      <c r="EG596" s="115" t="s">
        <v>128</v>
      </c>
      <c r="EH596" s="115" t="s">
        <v>89</v>
      </c>
      <c r="EI596" s="115" t="s">
        <v>110</v>
      </c>
      <c r="EJ596" s="115" t="s">
        <v>91</v>
      </c>
      <c r="EK596" s="45">
        <f>IF(MONTH(I595)&gt;6,MONTH(I595)-6,MONTH(I595)+6)</f>
        <v>2</v>
      </c>
      <c r="EL596" s="115" t="s">
        <v>124</v>
      </c>
      <c r="EM596" s="115" t="s">
        <v>125</v>
      </c>
      <c r="EN596" s="115" t="s">
        <v>126</v>
      </c>
      <c r="EO596" s="115" t="s">
        <v>122</v>
      </c>
      <c r="EP596" s="115" t="s">
        <v>123</v>
      </c>
      <c r="EQ596" s="115" t="s">
        <v>120</v>
      </c>
      <c r="ER596" s="115" t="s">
        <v>127</v>
      </c>
      <c r="ES596" s="115" t="s">
        <v>121</v>
      </c>
    </row>
    <row r="597" spans="1:149">
      <c r="A597" s="36" t="s">
        <v>20</v>
      </c>
      <c r="B597" s="36"/>
      <c r="C597" s="37"/>
      <c r="D597" s="37"/>
      <c r="E597" s="37"/>
      <c r="F597" s="37"/>
      <c r="G597" s="37"/>
      <c r="H597" s="37"/>
      <c r="I597" s="37"/>
      <c r="J597" s="38"/>
      <c r="K597" s="38"/>
      <c r="L597" s="10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407"/>
      <c r="AL597" s="38"/>
      <c r="AM597" s="38"/>
      <c r="AN597" s="38"/>
      <c r="AO597" s="38"/>
      <c r="AP597" s="38"/>
      <c r="AQ597" s="38"/>
      <c r="AR597" s="38"/>
      <c r="AS597" s="38"/>
      <c r="AT597" s="38"/>
      <c r="AU597" s="38"/>
      <c r="AV597" s="38"/>
      <c r="AW597" s="38"/>
      <c r="AX597" s="38"/>
      <c r="AY597" s="38"/>
      <c r="AZ597" s="38"/>
      <c r="BA597" s="38"/>
      <c r="BB597" s="38"/>
      <c r="BC597" s="38"/>
      <c r="BD597" s="38"/>
      <c r="BE597" s="38"/>
      <c r="BF597" s="38"/>
      <c r="BG597" s="38"/>
      <c r="BH597" s="38"/>
      <c r="BI597" s="38"/>
      <c r="BJ597" s="38"/>
      <c r="BK597" s="38"/>
      <c r="BL597" s="38"/>
      <c r="BM597" s="407"/>
      <c r="BN597" s="39"/>
      <c r="BO597" s="39"/>
      <c r="BP597" s="39"/>
      <c r="BQ597" s="39"/>
      <c r="BR597" s="39"/>
      <c r="BS597" s="39"/>
      <c r="BT597" s="39"/>
      <c r="BU597" s="39"/>
      <c r="BV597" s="39"/>
      <c r="BW597" s="39"/>
      <c r="BX597" s="39"/>
      <c r="BY597" s="39"/>
      <c r="BZ597" s="39"/>
      <c r="CA597" s="39"/>
      <c r="CB597" s="39"/>
      <c r="CC597" s="39"/>
      <c r="CD597" s="39"/>
      <c r="CE597" s="39"/>
      <c r="CF597" s="39"/>
      <c r="CG597" s="39"/>
      <c r="CH597" s="39"/>
      <c r="CI597" s="39"/>
      <c r="CJ597" s="39"/>
      <c r="CK597" s="39"/>
      <c r="CL597" s="39"/>
      <c r="CM597" s="39"/>
      <c r="CN597" s="39"/>
      <c r="CO597" s="407"/>
      <c r="CP597" s="38"/>
      <c r="CQ597" s="38"/>
      <c r="CR597" s="38"/>
      <c r="CS597" s="38"/>
      <c r="CT597" s="38"/>
      <c r="CU597" s="38"/>
      <c r="CV597" s="38"/>
      <c r="CW597" s="38"/>
      <c r="CX597" s="38"/>
      <c r="CY597" s="38"/>
      <c r="CZ597" s="38"/>
      <c r="DA597" s="38"/>
      <c r="DB597" s="38"/>
      <c r="DC597" s="38"/>
      <c r="DD597" s="38"/>
      <c r="DE597" s="38"/>
      <c r="DF597" s="38"/>
      <c r="DG597" s="38"/>
      <c r="DH597" s="38"/>
      <c r="DI597" s="38"/>
      <c r="DJ597" s="38"/>
      <c r="DK597" s="38"/>
      <c r="DL597" s="38"/>
      <c r="DM597" s="38"/>
      <c r="DN597" s="38"/>
      <c r="DO597" s="38"/>
      <c r="DP597" s="38"/>
      <c r="DQ597" s="38"/>
      <c r="DR597" s="38"/>
      <c r="DS597" s="38"/>
      <c r="DT597" s="38"/>
      <c r="DU597" s="38"/>
      <c r="DV597" s="38"/>
      <c r="DW597" s="38"/>
      <c r="DX597" s="38"/>
      <c r="DY597" s="38"/>
      <c r="DZ597" s="37"/>
      <c r="EA597" s="37"/>
      <c r="EB597" s="37"/>
      <c r="EC597" s="37"/>
      <c r="ED597" s="408"/>
      <c r="EE597" s="40"/>
      <c r="EF597" s="37"/>
      <c r="EG597" s="37"/>
      <c r="EH597" s="37"/>
      <c r="EI597" s="110" t="s">
        <v>155</v>
      </c>
      <c r="EJ597" s="110">
        <f>IF(I595&lt;M596,2008,IF(AND(I595&gt;=M596,I595&lt;=X596),2009,2010))</f>
        <v>2010</v>
      </c>
      <c r="EK597" s="40"/>
      <c r="EL597" s="37"/>
      <c r="EM597" s="37"/>
      <c r="EN597" s="37"/>
      <c r="EO597" s="37"/>
      <c r="EP597" s="37"/>
      <c r="EQ597" s="37"/>
      <c r="ER597" s="37"/>
      <c r="ES597" s="37"/>
    </row>
    <row r="598" spans="1:149">
      <c r="A598" s="134" t="s">
        <v>22</v>
      </c>
      <c r="B598" s="2" t="s">
        <v>0</v>
      </c>
      <c r="C598" s="3" t="s">
        <v>35</v>
      </c>
      <c r="E598" s="3" t="s">
        <v>16</v>
      </c>
      <c r="F598" s="1"/>
      <c r="G598" s="1" t="s">
        <v>91</v>
      </c>
      <c r="H598" s="1"/>
      <c r="I598" s="202">
        <v>126</v>
      </c>
      <c r="J598" s="211">
        <v>140</v>
      </c>
      <c r="K598" s="211">
        <v>154</v>
      </c>
      <c r="L598" s="211">
        <v>168</v>
      </c>
      <c r="M598" s="204">
        <v>11.666666666666666</v>
      </c>
      <c r="N598" s="203">
        <v>23.333333366666665</v>
      </c>
      <c r="O598" s="203">
        <v>35.000000066666665</v>
      </c>
      <c r="P598" s="203">
        <v>46.666666766666665</v>
      </c>
      <c r="Q598" s="203">
        <v>58.333333466666666</v>
      </c>
      <c r="R598" s="203">
        <v>70.000000166666666</v>
      </c>
      <c r="S598" s="203">
        <v>81.666666866666674</v>
      </c>
      <c r="T598" s="203">
        <v>93.333333566666681</v>
      </c>
      <c r="U598" s="203">
        <v>105.00000026666669</v>
      </c>
      <c r="V598" s="203">
        <v>116.6666669666667</v>
      </c>
      <c r="W598" s="203">
        <v>128.3333336666667</v>
      </c>
      <c r="X598" s="203">
        <v>140.00000036666671</v>
      </c>
      <c r="Y598" s="219">
        <f>237/12</f>
        <v>19.75</v>
      </c>
      <c r="Z598" s="246">
        <f>Y598+19.75</f>
        <v>39.5</v>
      </c>
      <c r="AA598" s="376">
        <f t="shared" ref="AA598:AJ598" si="3359">Z598+19.75</f>
        <v>59.25</v>
      </c>
      <c r="AB598" s="376">
        <f t="shared" si="3359"/>
        <v>79</v>
      </c>
      <c r="AC598" s="376">
        <f t="shared" si="3359"/>
        <v>98.75</v>
      </c>
      <c r="AD598" s="376">
        <f t="shared" si="3359"/>
        <v>118.5</v>
      </c>
      <c r="AE598" s="376">
        <f t="shared" si="3359"/>
        <v>138.25</v>
      </c>
      <c r="AF598" s="376">
        <f t="shared" si="3359"/>
        <v>158</v>
      </c>
      <c r="AG598" s="376">
        <f t="shared" si="3359"/>
        <v>177.75</v>
      </c>
      <c r="AH598" s="376">
        <f t="shared" si="3359"/>
        <v>197.5</v>
      </c>
      <c r="AI598" s="376">
        <f t="shared" si="3359"/>
        <v>217.25</v>
      </c>
      <c r="AJ598" s="376">
        <f t="shared" si="3359"/>
        <v>237</v>
      </c>
      <c r="AK598" s="408"/>
      <c r="AL598" s="48">
        <f>J598-I598</f>
        <v>14</v>
      </c>
      <c r="AM598" s="48">
        <f t="shared" ref="AM598:AM604" si="3360">K598-J598</f>
        <v>14</v>
      </c>
      <c r="AN598" s="48">
        <f t="shared" ref="AN598:AN604" si="3361">L598-K598</f>
        <v>14</v>
      </c>
      <c r="AO598" s="48">
        <f>M598</f>
        <v>11.666666666666666</v>
      </c>
      <c r="AP598" s="48">
        <f t="shared" ref="AP598:AP604" si="3362">N598-M598</f>
        <v>11.666666699999999</v>
      </c>
      <c r="AQ598" s="48">
        <f t="shared" ref="AQ598:AQ604" si="3363">O598-N598</f>
        <v>11.6666667</v>
      </c>
      <c r="AR598" s="48">
        <f t="shared" ref="AR598:AR604" si="3364">P598-O598</f>
        <v>11.6666667</v>
      </c>
      <c r="AS598" s="48">
        <f t="shared" ref="AS598:AS604" si="3365">Q598-P598</f>
        <v>11.6666667</v>
      </c>
      <c r="AT598" s="48">
        <f t="shared" ref="AT598:AT604" si="3366">R598-Q598</f>
        <v>11.6666667</v>
      </c>
      <c r="AU598" s="48">
        <f t="shared" ref="AU598:AU604" si="3367">S598-R598</f>
        <v>11.666666700000007</v>
      </c>
      <c r="AV598" s="48">
        <f t="shared" ref="AV598:AV604" si="3368">T598-S598</f>
        <v>11.666666700000007</v>
      </c>
      <c r="AW598" s="48">
        <f t="shared" ref="AW598:AW604" si="3369">U598-T598</f>
        <v>11.666666700000007</v>
      </c>
      <c r="AX598" s="48">
        <f>V598-U598</f>
        <v>11.666666700000007</v>
      </c>
      <c r="AY598" s="48">
        <f t="shared" ref="AY598:AY604" si="3370">W598-V598</f>
        <v>11.666666700000007</v>
      </c>
      <c r="AZ598" s="48">
        <f t="shared" ref="AZ598:AZ604" si="3371">X598-W598</f>
        <v>11.666666700000007</v>
      </c>
      <c r="BA598" s="48">
        <f>Y598</f>
        <v>19.75</v>
      </c>
      <c r="BB598" s="48">
        <f t="shared" ref="BB598:BB604" si="3372">Z598-Y598</f>
        <v>19.75</v>
      </c>
      <c r="BC598" s="48">
        <f t="shared" ref="BC598:BC604" si="3373">AA598-Z598</f>
        <v>19.75</v>
      </c>
      <c r="BD598" s="48">
        <f t="shared" ref="BD598:BD604" si="3374">AB598-AA598</f>
        <v>19.75</v>
      </c>
      <c r="BE598" s="48">
        <f t="shared" ref="BE598:BE604" si="3375">AC598-AB598</f>
        <v>19.75</v>
      </c>
      <c r="BF598" s="48">
        <f t="shared" ref="BF598:BF604" si="3376">AD598-AC598</f>
        <v>19.75</v>
      </c>
      <c r="BG598" s="48">
        <f t="shared" ref="BG598:BG604" si="3377">AE598-AD598</f>
        <v>19.75</v>
      </c>
      <c r="BH598" s="48">
        <f t="shared" ref="BH598:BH604" si="3378">AF598-AE598</f>
        <v>19.75</v>
      </c>
      <c r="BI598" s="48">
        <f t="shared" ref="BI598:BI604" si="3379">AG598-AF598</f>
        <v>19.75</v>
      </c>
      <c r="BJ598" s="48">
        <f t="shared" ref="BJ598:BL602" si="3380">AH598-AG598</f>
        <v>19.75</v>
      </c>
      <c r="BK598" s="48">
        <f t="shared" si="3380"/>
        <v>19.75</v>
      </c>
      <c r="BL598" s="48">
        <f t="shared" si="3380"/>
        <v>19.75</v>
      </c>
      <c r="BM598" s="408"/>
      <c r="BN598" s="48">
        <f>BP598</f>
        <v>42</v>
      </c>
      <c r="BO598" s="48">
        <f>BP598</f>
        <v>42</v>
      </c>
      <c r="BP598" s="48">
        <f>SUM(AL598:AN598)</f>
        <v>42</v>
      </c>
      <c r="BQ598" s="48">
        <f>BS598</f>
        <v>35.000000066666665</v>
      </c>
      <c r="BR598" s="48">
        <f>BS598</f>
        <v>35.000000066666665</v>
      </c>
      <c r="BS598" s="48">
        <f>SUM(AO598:AQ598)</f>
        <v>35.000000066666665</v>
      </c>
      <c r="BT598" s="48">
        <f>BV598</f>
        <v>35.000000100000001</v>
      </c>
      <c r="BU598" s="48">
        <f>BV598</f>
        <v>35.000000100000001</v>
      </c>
      <c r="BV598" s="48">
        <f>SUM(AR598:AT598)</f>
        <v>35.000000100000001</v>
      </c>
      <c r="BW598" s="48">
        <f>BY598</f>
        <v>35.000000100000022</v>
      </c>
      <c r="BX598" s="48">
        <f>BY598</f>
        <v>35.000000100000022</v>
      </c>
      <c r="BY598" s="48">
        <f>SUM(AU598:AW598)</f>
        <v>35.000000100000022</v>
      </c>
      <c r="BZ598" s="48">
        <f>CB598</f>
        <v>35.000000100000022</v>
      </c>
      <c r="CA598" s="48">
        <f>CB598</f>
        <v>35.000000100000022</v>
      </c>
      <c r="CB598" s="48">
        <f>SUM(AX598:AZ598)</f>
        <v>35.000000100000022</v>
      </c>
      <c r="CC598" s="48">
        <f>CE598</f>
        <v>59.25</v>
      </c>
      <c r="CD598" s="48">
        <f>CE598</f>
        <v>59.25</v>
      </c>
      <c r="CE598" s="48">
        <f>SUM(BA598:BC598)</f>
        <v>59.25</v>
      </c>
      <c r="CF598" s="48">
        <f>CH598</f>
        <v>59.25</v>
      </c>
      <c r="CG598" s="48">
        <f>CH598</f>
        <v>59.25</v>
      </c>
      <c r="CH598" s="48">
        <f>SUM(BD598:BF598)</f>
        <v>59.25</v>
      </c>
      <c r="CI598" s="48">
        <f>CK598</f>
        <v>59.25</v>
      </c>
      <c r="CJ598" s="48">
        <f>CK598</f>
        <v>59.25</v>
      </c>
      <c r="CK598" s="48">
        <f>SUM(BG598:BI598)</f>
        <v>59.25</v>
      </c>
      <c r="CL598" s="48">
        <f>CN598</f>
        <v>59.25</v>
      </c>
      <c r="CM598" s="48">
        <f>CN598</f>
        <v>59.25</v>
      </c>
      <c r="CN598" s="48">
        <f t="shared" ref="CN598:CN605" si="3381">SUM(BJ598:BL598)</f>
        <v>59.25</v>
      </c>
      <c r="CO598" s="406"/>
      <c r="CP598" s="48">
        <f t="shared" ref="CP598:CR602" si="3382">I598+AL598</f>
        <v>140</v>
      </c>
      <c r="CQ598" s="48">
        <f t="shared" si="3382"/>
        <v>154</v>
      </c>
      <c r="CR598" s="48">
        <f t="shared" si="3382"/>
        <v>168</v>
      </c>
      <c r="CS598" s="48">
        <f>AO598</f>
        <v>11.666666666666666</v>
      </c>
      <c r="CT598" s="48">
        <f t="shared" ref="CT598:DD602" si="3383">M598+AP598</f>
        <v>23.333333366666665</v>
      </c>
      <c r="CU598" s="48">
        <f t="shared" si="3383"/>
        <v>35.000000066666665</v>
      </c>
      <c r="CV598" s="48">
        <f t="shared" si="3383"/>
        <v>46.666666766666665</v>
      </c>
      <c r="CW598" s="48">
        <f t="shared" si="3383"/>
        <v>58.333333466666666</v>
      </c>
      <c r="CX598" s="48">
        <f t="shared" si="3383"/>
        <v>70.000000166666666</v>
      </c>
      <c r="CY598" s="48">
        <f t="shared" si="3383"/>
        <v>81.666666866666674</v>
      </c>
      <c r="CZ598" s="48">
        <f t="shared" si="3383"/>
        <v>93.333333566666681</v>
      </c>
      <c r="DA598" s="48">
        <f t="shared" si="3383"/>
        <v>105.00000026666669</v>
      </c>
      <c r="DB598" s="48">
        <f t="shared" si="3383"/>
        <v>116.6666669666667</v>
      </c>
      <c r="DC598" s="48">
        <f t="shared" si="3383"/>
        <v>128.3333336666667</v>
      </c>
      <c r="DD598" s="48">
        <f t="shared" si="3383"/>
        <v>140.00000036666671</v>
      </c>
      <c r="DE598" s="48">
        <f>+BA598</f>
        <v>19.75</v>
      </c>
      <c r="DF598" s="48">
        <f t="shared" ref="DF598:DP602" si="3384">Y598+BB598</f>
        <v>39.5</v>
      </c>
      <c r="DG598" s="48">
        <f t="shared" si="3384"/>
        <v>59.25</v>
      </c>
      <c r="DH598" s="48">
        <f t="shared" si="3384"/>
        <v>79</v>
      </c>
      <c r="DI598" s="48">
        <f t="shared" si="3384"/>
        <v>98.75</v>
      </c>
      <c r="DJ598" s="48">
        <f t="shared" si="3384"/>
        <v>118.5</v>
      </c>
      <c r="DK598" s="48">
        <f t="shared" si="3384"/>
        <v>138.25</v>
      </c>
      <c r="DL598" s="48">
        <f t="shared" si="3384"/>
        <v>158</v>
      </c>
      <c r="DM598" s="48">
        <f t="shared" si="3384"/>
        <v>177.75</v>
      </c>
      <c r="DN598" s="48">
        <f t="shared" si="3384"/>
        <v>197.5</v>
      </c>
      <c r="DO598" s="48">
        <f t="shared" si="3384"/>
        <v>217.25</v>
      </c>
      <c r="DP598" s="48">
        <f t="shared" si="3384"/>
        <v>237</v>
      </c>
      <c r="DQ598" s="48"/>
      <c r="DR598" s="48"/>
      <c r="DS598" s="48"/>
      <c r="DT598" s="48"/>
      <c r="DU598" s="48"/>
      <c r="DV598" s="48"/>
      <c r="DW598" s="48"/>
      <c r="DX598" s="48"/>
      <c r="DY598" s="48"/>
      <c r="DZ598" s="1">
        <f>'Input &amp; Calc'!L598</f>
        <v>168</v>
      </c>
      <c r="EA598" s="49">
        <f>DD598</f>
        <v>140.00000036666671</v>
      </c>
      <c r="EB598" s="50">
        <f>DP598</f>
        <v>237</v>
      </c>
      <c r="EC598" s="50"/>
      <c r="ED598" s="408"/>
      <c r="EE598" s="51">
        <f t="shared" ref="EE598:EE613" si="3385">HLOOKUP($I$1,Month,ROW()-1)</f>
        <v>19.75</v>
      </c>
      <c r="EF598" s="51">
        <f t="shared" ref="EF598:EG613" si="3386">HLOOKUP($I$1,Qtr,ROW()-1)</f>
        <v>59.25</v>
      </c>
      <c r="EG598" s="51">
        <f>HLOOKUP($EJ$3,Budget,ROW()-1)</f>
        <v>237</v>
      </c>
      <c r="EH598" s="40"/>
      <c r="EI598" s="110" t="s">
        <v>154</v>
      </c>
      <c r="EJ598" s="110">
        <f>IF(AND(I595&gt;=J596,I595&lt;=U596),2009,2010)</f>
        <v>2010</v>
      </c>
      <c r="EK598" s="675" t="s">
        <v>129</v>
      </c>
      <c r="EL598" s="37"/>
      <c r="EM598" s="37"/>
      <c r="EN598" s="37"/>
      <c r="EO598" s="49"/>
      <c r="EP598" s="49"/>
      <c r="EQ598" s="49"/>
      <c r="ER598" s="1"/>
      <c r="ES598" s="1"/>
    </row>
    <row r="599" spans="1:149">
      <c r="A599" s="134" t="s">
        <v>22</v>
      </c>
      <c r="B599" s="2" t="s">
        <v>1</v>
      </c>
      <c r="C599" s="3" t="s">
        <v>36</v>
      </c>
      <c r="E599" s="3" t="s">
        <v>16</v>
      </c>
      <c r="F599" s="1"/>
      <c r="G599" s="1" t="s">
        <v>91</v>
      </c>
      <c r="H599" s="1"/>
      <c r="I599" s="202">
        <v>11.25</v>
      </c>
      <c r="J599" s="205">
        <v>12.5</v>
      </c>
      <c r="K599" s="205">
        <v>13.75</v>
      </c>
      <c r="L599" s="205">
        <v>15</v>
      </c>
      <c r="M599" s="204">
        <v>3.3333333333333335</v>
      </c>
      <c r="N599" s="203">
        <v>6.6666666633333334</v>
      </c>
      <c r="O599" s="203">
        <v>9.9999999933333328</v>
      </c>
      <c r="P599" s="203">
        <v>13.333333323333333</v>
      </c>
      <c r="Q599" s="203">
        <v>16.666666653333333</v>
      </c>
      <c r="R599" s="203">
        <v>19.999999983333332</v>
      </c>
      <c r="S599" s="203">
        <v>23.33333331333333</v>
      </c>
      <c r="T599" s="203">
        <v>26.666666643333329</v>
      </c>
      <c r="U599" s="203">
        <v>29.999999973333328</v>
      </c>
      <c r="V599" s="203">
        <v>33.333333303333326</v>
      </c>
      <c r="W599" s="203">
        <v>36.666666633333328</v>
      </c>
      <c r="X599" s="203">
        <v>39.99999996333333</v>
      </c>
      <c r="Y599" s="219">
        <f>65/12</f>
        <v>5.416666666666667</v>
      </c>
      <c r="Z599" s="246">
        <f>Y599+5.41667</f>
        <v>10.833336666666668</v>
      </c>
      <c r="AA599" s="376">
        <f t="shared" ref="AA599:AJ599" si="3387">Z599+5.41667</f>
        <v>16.250006666666668</v>
      </c>
      <c r="AB599" s="376">
        <f t="shared" si="3387"/>
        <v>21.666676666666667</v>
      </c>
      <c r="AC599" s="376">
        <f t="shared" si="3387"/>
        <v>27.083346666666667</v>
      </c>
      <c r="AD599" s="376">
        <f t="shared" si="3387"/>
        <v>32.500016666666667</v>
      </c>
      <c r="AE599" s="376">
        <f t="shared" si="3387"/>
        <v>37.916686666666664</v>
      </c>
      <c r="AF599" s="376">
        <f t="shared" si="3387"/>
        <v>43.33335666666666</v>
      </c>
      <c r="AG599" s="376">
        <f t="shared" si="3387"/>
        <v>48.750026666666656</v>
      </c>
      <c r="AH599" s="376">
        <f t="shared" si="3387"/>
        <v>54.166696666666653</v>
      </c>
      <c r="AI599" s="376">
        <f t="shared" si="3387"/>
        <v>59.583366666666649</v>
      </c>
      <c r="AJ599" s="263">
        <f t="shared" si="3387"/>
        <v>65.000036666666645</v>
      </c>
      <c r="AK599" s="408"/>
      <c r="AL599" s="48">
        <f>J599-I599</f>
        <v>1.25</v>
      </c>
      <c r="AM599" s="48">
        <f t="shared" si="3360"/>
        <v>1.25</v>
      </c>
      <c r="AN599" s="48">
        <f t="shared" si="3361"/>
        <v>1.25</v>
      </c>
      <c r="AO599" s="48">
        <f>M599</f>
        <v>3.3333333333333335</v>
      </c>
      <c r="AP599" s="48">
        <f t="shared" si="3362"/>
        <v>3.3333333299999999</v>
      </c>
      <c r="AQ599" s="48">
        <f t="shared" si="3363"/>
        <v>3.3333333299999994</v>
      </c>
      <c r="AR599" s="48">
        <f t="shared" si="3364"/>
        <v>3.3333333300000003</v>
      </c>
      <c r="AS599" s="48">
        <f t="shared" si="3365"/>
        <v>3.3333333300000003</v>
      </c>
      <c r="AT599" s="48">
        <f t="shared" si="3366"/>
        <v>3.3333333299999985</v>
      </c>
      <c r="AU599" s="48">
        <f t="shared" si="3367"/>
        <v>3.3333333299999985</v>
      </c>
      <c r="AV599" s="48">
        <f t="shared" si="3368"/>
        <v>3.3333333299999985</v>
      </c>
      <c r="AW599" s="48">
        <f t="shared" si="3369"/>
        <v>3.3333333299999985</v>
      </c>
      <c r="AX599" s="48">
        <f>V599-U599</f>
        <v>3.3333333299999985</v>
      </c>
      <c r="AY599" s="48">
        <f t="shared" si="3370"/>
        <v>3.3333333300000021</v>
      </c>
      <c r="AZ599" s="48">
        <f t="shared" si="3371"/>
        <v>3.3333333300000021</v>
      </c>
      <c r="BA599" s="48">
        <f>Y599</f>
        <v>5.416666666666667</v>
      </c>
      <c r="BB599" s="48">
        <f t="shared" si="3372"/>
        <v>5.4166700000000008</v>
      </c>
      <c r="BC599" s="48">
        <f t="shared" si="3373"/>
        <v>5.4166699999999999</v>
      </c>
      <c r="BD599" s="48">
        <f t="shared" si="3374"/>
        <v>5.4166699999999999</v>
      </c>
      <c r="BE599" s="48">
        <f t="shared" si="3375"/>
        <v>5.4166699999999999</v>
      </c>
      <c r="BF599" s="48">
        <f t="shared" si="3376"/>
        <v>5.4166699999999999</v>
      </c>
      <c r="BG599" s="48">
        <f t="shared" si="3377"/>
        <v>5.4166699999999963</v>
      </c>
      <c r="BH599" s="48">
        <f t="shared" si="3378"/>
        <v>5.4166699999999963</v>
      </c>
      <c r="BI599" s="48">
        <f t="shared" si="3379"/>
        <v>5.4166699999999963</v>
      </c>
      <c r="BJ599" s="48">
        <f t="shared" si="3380"/>
        <v>5.4166699999999963</v>
      </c>
      <c r="BK599" s="48">
        <f t="shared" si="3380"/>
        <v>5.4166699999999963</v>
      </c>
      <c r="BL599" s="48">
        <f t="shared" si="3380"/>
        <v>5.4166699999999963</v>
      </c>
      <c r="BM599" s="408"/>
      <c r="BN599" s="48">
        <f t="shared" ref="BN599:BN613" si="3388">BP599</f>
        <v>3.75</v>
      </c>
      <c r="BO599" s="48">
        <f t="shared" ref="BO599:BO613" si="3389">BP599</f>
        <v>3.75</v>
      </c>
      <c r="BP599" s="48">
        <f t="shared" ref="BP599:BP605" si="3390">SUM(AL599:AN599)</f>
        <v>3.75</v>
      </c>
      <c r="BQ599" s="48">
        <f t="shared" ref="BQ599:BQ613" si="3391">BS599</f>
        <v>9.9999999933333328</v>
      </c>
      <c r="BR599" s="48">
        <f t="shared" ref="BR599:BR613" si="3392">BS599</f>
        <v>9.9999999933333328</v>
      </c>
      <c r="BS599" s="48">
        <f t="shared" ref="BS599:BS605" si="3393">SUM(AO599:AQ599)</f>
        <v>9.9999999933333328</v>
      </c>
      <c r="BT599" s="48">
        <f t="shared" ref="BT599:BT613" si="3394">BV599</f>
        <v>9.9999999899999992</v>
      </c>
      <c r="BU599" s="48">
        <f t="shared" ref="BU599:BU613" si="3395">BV599</f>
        <v>9.9999999899999992</v>
      </c>
      <c r="BV599" s="48">
        <f t="shared" ref="BV599:BV605" si="3396">SUM(AR599:AT599)</f>
        <v>9.9999999899999992</v>
      </c>
      <c r="BW599" s="48">
        <f t="shared" ref="BW599:BW613" si="3397">BY599</f>
        <v>9.9999999899999956</v>
      </c>
      <c r="BX599" s="48">
        <f t="shared" ref="BX599:BX613" si="3398">BY599</f>
        <v>9.9999999899999956</v>
      </c>
      <c r="BY599" s="48">
        <f t="shared" ref="BY599:BY605" si="3399">SUM(AU599:AW599)</f>
        <v>9.9999999899999956</v>
      </c>
      <c r="BZ599" s="48">
        <f t="shared" ref="BZ599:BZ613" si="3400">CB599</f>
        <v>9.9999999900000027</v>
      </c>
      <c r="CA599" s="48">
        <f t="shared" ref="CA599:CA613" si="3401">CB599</f>
        <v>9.9999999900000027</v>
      </c>
      <c r="CB599" s="48">
        <f>SUM(AX599:AZ599)</f>
        <v>9.9999999900000027</v>
      </c>
      <c r="CC599" s="48">
        <f t="shared" ref="CC599:CC613" si="3402">CE599</f>
        <v>16.250006666666668</v>
      </c>
      <c r="CD599" s="48">
        <f t="shared" ref="CD599:CD613" si="3403">CE599</f>
        <v>16.250006666666668</v>
      </c>
      <c r="CE599" s="48">
        <f t="shared" ref="CE599:CE604" si="3404">SUM(BA599:BC599)</f>
        <v>16.250006666666668</v>
      </c>
      <c r="CF599" s="48">
        <f t="shared" ref="CF599:CF609" si="3405">CH599</f>
        <v>16.25001</v>
      </c>
      <c r="CG599" s="48">
        <f t="shared" ref="CG599:CG609" si="3406">CH599</f>
        <v>16.25001</v>
      </c>
      <c r="CH599" s="48">
        <f t="shared" ref="CH599:CH604" si="3407">SUM(BD599:BF599)</f>
        <v>16.25001</v>
      </c>
      <c r="CI599" s="48">
        <f t="shared" ref="CI599:CI609" si="3408">CK599</f>
        <v>16.250009999999989</v>
      </c>
      <c r="CJ599" s="48">
        <f t="shared" ref="CJ599:CJ609" si="3409">CK599</f>
        <v>16.250009999999989</v>
      </c>
      <c r="CK599" s="48">
        <f t="shared" ref="CK599:CK604" si="3410">SUM(BG599:BI599)</f>
        <v>16.250009999999989</v>
      </c>
      <c r="CL599" s="48">
        <f t="shared" ref="CL599:CL609" si="3411">CN599</f>
        <v>16.250009999999989</v>
      </c>
      <c r="CM599" s="48">
        <f t="shared" ref="CM599:CM609" si="3412">CN599</f>
        <v>16.250009999999989</v>
      </c>
      <c r="CN599" s="48">
        <f t="shared" si="3381"/>
        <v>16.250009999999989</v>
      </c>
      <c r="CO599" s="406"/>
      <c r="CP599" s="48">
        <f t="shared" si="3382"/>
        <v>12.5</v>
      </c>
      <c r="CQ599" s="48">
        <f t="shared" si="3382"/>
        <v>13.75</v>
      </c>
      <c r="CR599" s="48">
        <f t="shared" si="3382"/>
        <v>15</v>
      </c>
      <c r="CS599" s="48">
        <f>AO599</f>
        <v>3.3333333333333335</v>
      </c>
      <c r="CT599" s="48">
        <f t="shared" si="3383"/>
        <v>6.6666666633333334</v>
      </c>
      <c r="CU599" s="48">
        <f t="shared" si="3383"/>
        <v>9.9999999933333328</v>
      </c>
      <c r="CV599" s="48">
        <f t="shared" si="3383"/>
        <v>13.333333323333333</v>
      </c>
      <c r="CW599" s="48">
        <f t="shared" si="3383"/>
        <v>16.666666653333333</v>
      </c>
      <c r="CX599" s="48">
        <f t="shared" si="3383"/>
        <v>19.999999983333332</v>
      </c>
      <c r="CY599" s="48">
        <f t="shared" si="3383"/>
        <v>23.33333331333333</v>
      </c>
      <c r="CZ599" s="48">
        <f t="shared" si="3383"/>
        <v>26.666666643333329</v>
      </c>
      <c r="DA599" s="48">
        <f t="shared" si="3383"/>
        <v>29.999999973333328</v>
      </c>
      <c r="DB599" s="48">
        <f t="shared" si="3383"/>
        <v>33.333333303333326</v>
      </c>
      <c r="DC599" s="48">
        <f t="shared" si="3383"/>
        <v>36.666666633333328</v>
      </c>
      <c r="DD599" s="48">
        <f t="shared" si="3383"/>
        <v>39.99999996333333</v>
      </c>
      <c r="DE599" s="48">
        <f>+BA599</f>
        <v>5.416666666666667</v>
      </c>
      <c r="DF599" s="48">
        <f t="shared" si="3384"/>
        <v>10.833336666666668</v>
      </c>
      <c r="DG599" s="48">
        <f t="shared" si="3384"/>
        <v>16.250006666666668</v>
      </c>
      <c r="DH599" s="48">
        <f t="shared" si="3384"/>
        <v>21.666676666666667</v>
      </c>
      <c r="DI599" s="48">
        <f t="shared" si="3384"/>
        <v>27.083346666666667</v>
      </c>
      <c r="DJ599" s="48">
        <f t="shared" si="3384"/>
        <v>32.500016666666667</v>
      </c>
      <c r="DK599" s="48">
        <f t="shared" si="3384"/>
        <v>37.916686666666664</v>
      </c>
      <c r="DL599" s="48">
        <f t="shared" si="3384"/>
        <v>43.33335666666666</v>
      </c>
      <c r="DM599" s="48">
        <f t="shared" si="3384"/>
        <v>48.750026666666656</v>
      </c>
      <c r="DN599" s="48">
        <f t="shared" si="3384"/>
        <v>54.166696666666653</v>
      </c>
      <c r="DO599" s="48">
        <f t="shared" si="3384"/>
        <v>59.583366666666649</v>
      </c>
      <c r="DP599" s="48">
        <f t="shared" si="3384"/>
        <v>65.000036666666645</v>
      </c>
      <c r="DQ599" s="48"/>
      <c r="DR599" s="48"/>
      <c r="DS599" s="48"/>
      <c r="DT599" s="48"/>
      <c r="DU599" s="48"/>
      <c r="DV599" s="48"/>
      <c r="DW599" s="48"/>
      <c r="DX599" s="48"/>
      <c r="DY599" s="48"/>
      <c r="DZ599" s="1">
        <f>'Input &amp; Calc'!L599</f>
        <v>15</v>
      </c>
      <c r="EA599" s="49">
        <f>DD599</f>
        <v>39.99999996333333</v>
      </c>
      <c r="EB599" s="50">
        <f>DP599</f>
        <v>65.000036666666645</v>
      </c>
      <c r="EC599" s="50"/>
      <c r="ED599" s="408"/>
      <c r="EE599" s="51">
        <f t="shared" si="3385"/>
        <v>5.4166699999999963</v>
      </c>
      <c r="EF599" s="51">
        <f t="shared" si="3386"/>
        <v>16.250009999999989</v>
      </c>
      <c r="EG599" s="51">
        <f>HLOOKUP($EJ$3,Budget,ROW()-1)</f>
        <v>65.000036666666645</v>
      </c>
      <c r="EH599" s="40"/>
      <c r="EI599" s="111" t="s">
        <v>157</v>
      </c>
      <c r="EJ599" s="113">
        <f>HLOOKUP($I$1,YTD,47)</f>
        <v>70</v>
      </c>
      <c r="EK599" s="675"/>
      <c r="EL599" s="37"/>
      <c r="EM599" s="37"/>
      <c r="EN599" s="37"/>
      <c r="EO599" s="49"/>
      <c r="EP599" s="49"/>
      <c r="EQ599" s="49"/>
      <c r="ER599" s="1"/>
      <c r="ES599" s="1"/>
    </row>
    <row r="600" spans="1:149">
      <c r="A600" s="134" t="s">
        <v>22</v>
      </c>
      <c r="B600" s="2" t="s">
        <v>2</v>
      </c>
      <c r="C600" s="3" t="s">
        <v>37</v>
      </c>
      <c r="E600" s="3" t="s">
        <v>16</v>
      </c>
      <c r="F600" s="1"/>
      <c r="G600" s="1" t="s">
        <v>91</v>
      </c>
      <c r="H600" s="1"/>
      <c r="I600" s="202">
        <v>18.72</v>
      </c>
      <c r="J600" s="205">
        <v>20.799999999999997</v>
      </c>
      <c r="K600" s="205">
        <v>22.879999999999995</v>
      </c>
      <c r="L600" s="205">
        <v>24.959999999999994</v>
      </c>
      <c r="M600" s="204">
        <v>5.833333333333333</v>
      </c>
      <c r="N600" s="203">
        <v>11.666666663333334</v>
      </c>
      <c r="O600" s="203">
        <v>17.499999993333333</v>
      </c>
      <c r="P600" s="203">
        <v>23.333333323333335</v>
      </c>
      <c r="Q600" s="203">
        <v>29.166666653333337</v>
      </c>
      <c r="R600" s="203">
        <v>34.999999983333339</v>
      </c>
      <c r="S600" s="203">
        <v>40.833333313333341</v>
      </c>
      <c r="T600" s="203">
        <v>46.666666643333343</v>
      </c>
      <c r="U600" s="203">
        <v>52.499999973333345</v>
      </c>
      <c r="V600" s="203">
        <v>58.333333303333347</v>
      </c>
      <c r="W600" s="203">
        <v>64.16666663333335</v>
      </c>
      <c r="X600" s="203">
        <v>69.999999963333352</v>
      </c>
      <c r="Y600" s="219">
        <f>87/12</f>
        <v>7.25</v>
      </c>
      <c r="Z600" s="246">
        <f>Y600+7.25</f>
        <v>14.5</v>
      </c>
      <c r="AA600" s="376">
        <f t="shared" ref="AA600:AJ600" si="3413">Z600+7.25</f>
        <v>21.75</v>
      </c>
      <c r="AB600" s="376">
        <f t="shared" si="3413"/>
        <v>29</v>
      </c>
      <c r="AC600" s="376">
        <f t="shared" si="3413"/>
        <v>36.25</v>
      </c>
      <c r="AD600" s="376">
        <f t="shared" si="3413"/>
        <v>43.5</v>
      </c>
      <c r="AE600" s="376">
        <f t="shared" si="3413"/>
        <v>50.75</v>
      </c>
      <c r="AF600" s="376">
        <f t="shared" si="3413"/>
        <v>58</v>
      </c>
      <c r="AG600" s="376">
        <f t="shared" si="3413"/>
        <v>65.25</v>
      </c>
      <c r="AH600" s="376">
        <f t="shared" si="3413"/>
        <v>72.5</v>
      </c>
      <c r="AI600" s="376">
        <f t="shared" si="3413"/>
        <v>79.75</v>
      </c>
      <c r="AJ600" s="376">
        <f t="shared" si="3413"/>
        <v>87</v>
      </c>
      <c r="AK600" s="408"/>
      <c r="AL600" s="48">
        <f>J600-I600</f>
        <v>2.0799999999999983</v>
      </c>
      <c r="AM600" s="48">
        <f t="shared" si="3360"/>
        <v>2.0799999999999983</v>
      </c>
      <c r="AN600" s="48">
        <f t="shared" si="3361"/>
        <v>2.0799999999999983</v>
      </c>
      <c r="AO600" s="48">
        <f>M600</f>
        <v>5.833333333333333</v>
      </c>
      <c r="AP600" s="48">
        <f t="shared" si="3362"/>
        <v>5.8333333300000012</v>
      </c>
      <c r="AQ600" s="48">
        <f t="shared" si="3363"/>
        <v>5.8333333299999985</v>
      </c>
      <c r="AR600" s="48">
        <f t="shared" si="3364"/>
        <v>5.8333333300000021</v>
      </c>
      <c r="AS600" s="48">
        <f t="shared" si="3365"/>
        <v>5.8333333300000021</v>
      </c>
      <c r="AT600" s="48">
        <f t="shared" si="3366"/>
        <v>5.8333333300000021</v>
      </c>
      <c r="AU600" s="48">
        <f t="shared" si="3367"/>
        <v>5.8333333300000021</v>
      </c>
      <c r="AV600" s="48">
        <f t="shared" si="3368"/>
        <v>5.8333333300000021</v>
      </c>
      <c r="AW600" s="48">
        <f t="shared" si="3369"/>
        <v>5.8333333300000021</v>
      </c>
      <c r="AX600" s="48">
        <f>V600-U600</f>
        <v>5.8333333300000021</v>
      </c>
      <c r="AY600" s="48">
        <f t="shared" si="3370"/>
        <v>5.8333333300000021</v>
      </c>
      <c r="AZ600" s="48">
        <f t="shared" si="3371"/>
        <v>5.8333333300000021</v>
      </c>
      <c r="BA600" s="48">
        <f>Y600</f>
        <v>7.25</v>
      </c>
      <c r="BB600" s="48">
        <f t="shared" si="3372"/>
        <v>7.25</v>
      </c>
      <c r="BC600" s="48">
        <f t="shared" si="3373"/>
        <v>7.25</v>
      </c>
      <c r="BD600" s="48">
        <f t="shared" si="3374"/>
        <v>7.25</v>
      </c>
      <c r="BE600" s="48">
        <f t="shared" si="3375"/>
        <v>7.25</v>
      </c>
      <c r="BF600" s="48">
        <f t="shared" si="3376"/>
        <v>7.25</v>
      </c>
      <c r="BG600" s="48">
        <f t="shared" si="3377"/>
        <v>7.25</v>
      </c>
      <c r="BH600" s="48">
        <f t="shared" si="3378"/>
        <v>7.25</v>
      </c>
      <c r="BI600" s="48">
        <f t="shared" si="3379"/>
        <v>7.25</v>
      </c>
      <c r="BJ600" s="48">
        <f t="shared" si="3380"/>
        <v>7.25</v>
      </c>
      <c r="BK600" s="48">
        <f t="shared" si="3380"/>
        <v>7.25</v>
      </c>
      <c r="BL600" s="48">
        <f t="shared" si="3380"/>
        <v>7.25</v>
      </c>
      <c r="BM600" s="408"/>
      <c r="BN600" s="48">
        <f t="shared" si="3388"/>
        <v>6.2399999999999949</v>
      </c>
      <c r="BO600" s="48">
        <f t="shared" si="3389"/>
        <v>6.2399999999999949</v>
      </c>
      <c r="BP600" s="48">
        <f t="shared" si="3390"/>
        <v>6.2399999999999949</v>
      </c>
      <c r="BQ600" s="48">
        <f t="shared" si="3391"/>
        <v>17.499999993333333</v>
      </c>
      <c r="BR600" s="48">
        <f t="shared" si="3392"/>
        <v>17.499999993333333</v>
      </c>
      <c r="BS600" s="48">
        <f t="shared" si="3393"/>
        <v>17.499999993333333</v>
      </c>
      <c r="BT600" s="48">
        <f t="shared" si="3394"/>
        <v>17.499999990000006</v>
      </c>
      <c r="BU600" s="48">
        <f t="shared" si="3395"/>
        <v>17.499999990000006</v>
      </c>
      <c r="BV600" s="48">
        <f t="shared" si="3396"/>
        <v>17.499999990000006</v>
      </c>
      <c r="BW600" s="48">
        <f t="shared" si="3397"/>
        <v>17.499999990000006</v>
      </c>
      <c r="BX600" s="48">
        <f t="shared" si="3398"/>
        <v>17.499999990000006</v>
      </c>
      <c r="BY600" s="48">
        <f t="shared" si="3399"/>
        <v>17.499999990000006</v>
      </c>
      <c r="BZ600" s="48">
        <f t="shared" si="3400"/>
        <v>17.499999990000006</v>
      </c>
      <c r="CA600" s="48">
        <f t="shared" si="3401"/>
        <v>17.499999990000006</v>
      </c>
      <c r="CB600" s="48">
        <f>SUM(AX600:AZ600)</f>
        <v>17.499999990000006</v>
      </c>
      <c r="CC600" s="48">
        <f t="shared" si="3402"/>
        <v>21.75</v>
      </c>
      <c r="CD600" s="48">
        <f t="shared" si="3403"/>
        <v>21.75</v>
      </c>
      <c r="CE600" s="48">
        <f t="shared" si="3404"/>
        <v>21.75</v>
      </c>
      <c r="CF600" s="48">
        <f t="shared" si="3405"/>
        <v>21.75</v>
      </c>
      <c r="CG600" s="48">
        <f t="shared" si="3406"/>
        <v>21.75</v>
      </c>
      <c r="CH600" s="48">
        <f t="shared" si="3407"/>
        <v>21.75</v>
      </c>
      <c r="CI600" s="48">
        <f t="shared" si="3408"/>
        <v>21.75</v>
      </c>
      <c r="CJ600" s="48">
        <f t="shared" si="3409"/>
        <v>21.75</v>
      </c>
      <c r="CK600" s="48">
        <f t="shared" si="3410"/>
        <v>21.75</v>
      </c>
      <c r="CL600" s="48">
        <f t="shared" si="3411"/>
        <v>21.75</v>
      </c>
      <c r="CM600" s="48">
        <f t="shared" si="3412"/>
        <v>21.75</v>
      </c>
      <c r="CN600" s="48">
        <f t="shared" si="3381"/>
        <v>21.75</v>
      </c>
      <c r="CO600" s="406"/>
      <c r="CP600" s="48">
        <f t="shared" si="3382"/>
        <v>20.799999999999997</v>
      </c>
      <c r="CQ600" s="48">
        <f t="shared" si="3382"/>
        <v>22.879999999999995</v>
      </c>
      <c r="CR600" s="48">
        <f t="shared" si="3382"/>
        <v>24.959999999999994</v>
      </c>
      <c r="CS600" s="48">
        <f>AO600</f>
        <v>5.833333333333333</v>
      </c>
      <c r="CT600" s="48">
        <f t="shared" si="3383"/>
        <v>11.666666663333334</v>
      </c>
      <c r="CU600" s="48">
        <f t="shared" si="3383"/>
        <v>17.499999993333333</v>
      </c>
      <c r="CV600" s="48">
        <f t="shared" si="3383"/>
        <v>23.333333323333335</v>
      </c>
      <c r="CW600" s="48">
        <f t="shared" si="3383"/>
        <v>29.166666653333337</v>
      </c>
      <c r="CX600" s="48">
        <f t="shared" si="3383"/>
        <v>34.999999983333339</v>
      </c>
      <c r="CY600" s="48">
        <f t="shared" si="3383"/>
        <v>40.833333313333341</v>
      </c>
      <c r="CZ600" s="48">
        <f t="shared" si="3383"/>
        <v>46.666666643333343</v>
      </c>
      <c r="DA600" s="48">
        <f t="shared" si="3383"/>
        <v>52.499999973333345</v>
      </c>
      <c r="DB600" s="48">
        <f t="shared" si="3383"/>
        <v>58.333333303333347</v>
      </c>
      <c r="DC600" s="48">
        <f t="shared" si="3383"/>
        <v>64.16666663333335</v>
      </c>
      <c r="DD600" s="48">
        <f t="shared" si="3383"/>
        <v>69.999999963333352</v>
      </c>
      <c r="DE600" s="48">
        <f>+BA600</f>
        <v>7.25</v>
      </c>
      <c r="DF600" s="48">
        <f t="shared" si="3384"/>
        <v>14.5</v>
      </c>
      <c r="DG600" s="48">
        <f t="shared" si="3384"/>
        <v>21.75</v>
      </c>
      <c r="DH600" s="48">
        <f t="shared" si="3384"/>
        <v>29</v>
      </c>
      <c r="DI600" s="48">
        <f t="shared" si="3384"/>
        <v>36.25</v>
      </c>
      <c r="DJ600" s="48">
        <f t="shared" si="3384"/>
        <v>43.5</v>
      </c>
      <c r="DK600" s="48">
        <f t="shared" si="3384"/>
        <v>50.75</v>
      </c>
      <c r="DL600" s="48">
        <f t="shared" si="3384"/>
        <v>58</v>
      </c>
      <c r="DM600" s="48">
        <f t="shared" si="3384"/>
        <v>65.25</v>
      </c>
      <c r="DN600" s="48">
        <f t="shared" si="3384"/>
        <v>72.5</v>
      </c>
      <c r="DO600" s="48">
        <f t="shared" si="3384"/>
        <v>79.75</v>
      </c>
      <c r="DP600" s="48">
        <f t="shared" si="3384"/>
        <v>87</v>
      </c>
      <c r="DQ600" s="48"/>
      <c r="DR600" s="48"/>
      <c r="DS600" s="48"/>
      <c r="DT600" s="48"/>
      <c r="DU600" s="48"/>
      <c r="DV600" s="48"/>
      <c r="DW600" s="48"/>
      <c r="DX600" s="48"/>
      <c r="DY600" s="48"/>
      <c r="DZ600" s="1">
        <f>'Input &amp; Calc'!L600</f>
        <v>24.959999999999994</v>
      </c>
      <c r="EA600" s="49">
        <f>DD600</f>
        <v>69.999999963333352</v>
      </c>
      <c r="EB600" s="50">
        <f>DP600</f>
        <v>87</v>
      </c>
      <c r="EC600" s="50"/>
      <c r="ED600" s="408"/>
      <c r="EE600" s="51">
        <f t="shared" si="3385"/>
        <v>7.25</v>
      </c>
      <c r="EF600" s="51">
        <f t="shared" si="3386"/>
        <v>21.75</v>
      </c>
      <c r="EG600" s="51">
        <f>HLOOKUP($EJ$3,Budget,ROW()-1)</f>
        <v>87</v>
      </c>
      <c r="EH600" s="40"/>
      <c r="EI600" s="112" t="s">
        <v>156</v>
      </c>
      <c r="EJ600" s="113">
        <f>HLOOKUP($I$1,YTD,48)</f>
        <v>0</v>
      </c>
      <c r="EK600" s="675"/>
      <c r="EL600" s="37"/>
      <c r="EM600" s="37"/>
      <c r="EN600" s="37"/>
      <c r="EO600" s="49"/>
      <c r="EP600" s="49"/>
      <c r="EQ600" s="49"/>
      <c r="ER600" s="1"/>
      <c r="ES600" s="1"/>
    </row>
    <row r="601" spans="1:149">
      <c r="A601" s="134" t="s">
        <v>22</v>
      </c>
      <c r="B601" s="2" t="s">
        <v>3</v>
      </c>
      <c r="C601" s="3" t="s">
        <v>38</v>
      </c>
      <c r="E601" s="3" t="s">
        <v>16</v>
      </c>
      <c r="F601" s="1"/>
      <c r="G601" s="1" t="s">
        <v>91</v>
      </c>
      <c r="H601" s="1"/>
      <c r="I601" s="202">
        <v>5.22</v>
      </c>
      <c r="J601" s="211">
        <v>5.8</v>
      </c>
      <c r="K601" s="211">
        <v>6.38</v>
      </c>
      <c r="L601" s="211">
        <v>6.96</v>
      </c>
      <c r="M601" s="204">
        <v>0.58333333333333337</v>
      </c>
      <c r="N601" s="203">
        <v>1.1666666633333334</v>
      </c>
      <c r="O601" s="203">
        <v>1.7499999933333332</v>
      </c>
      <c r="P601" s="203">
        <v>2.3333333233333331</v>
      </c>
      <c r="Q601" s="203">
        <v>2.916666653333333</v>
      </c>
      <c r="R601" s="203">
        <v>3.4999999833333328</v>
      </c>
      <c r="S601" s="203">
        <v>4.0833333133333332</v>
      </c>
      <c r="T601" s="203">
        <v>4.6666666433333335</v>
      </c>
      <c r="U601" s="203">
        <v>5.2499999733333338</v>
      </c>
      <c r="V601" s="203">
        <v>5.8333333033333341</v>
      </c>
      <c r="W601" s="203">
        <v>6.4166666333333344</v>
      </c>
      <c r="X601" s="203">
        <v>6.9999999633333347</v>
      </c>
      <c r="Y601" s="219">
        <f>16/12</f>
        <v>1.3333333333333333</v>
      </c>
      <c r="Z601" s="246">
        <f>Y601+1.33333</f>
        <v>2.6666633333333332</v>
      </c>
      <c r="AA601" s="376">
        <f t="shared" ref="AA601:AJ601" si="3414">Z601+1.33333</f>
        <v>3.9999933333333333</v>
      </c>
      <c r="AB601" s="376">
        <f t="shared" si="3414"/>
        <v>5.3333233333333334</v>
      </c>
      <c r="AC601" s="376">
        <f t="shared" si="3414"/>
        <v>6.6666533333333335</v>
      </c>
      <c r="AD601" s="376">
        <f t="shared" si="3414"/>
        <v>7.9999833333333337</v>
      </c>
      <c r="AE601" s="376">
        <f t="shared" si="3414"/>
        <v>9.3333133333333329</v>
      </c>
      <c r="AF601" s="376">
        <f t="shared" si="3414"/>
        <v>10.666643333333333</v>
      </c>
      <c r="AG601" s="376">
        <f t="shared" si="3414"/>
        <v>11.999973333333333</v>
      </c>
      <c r="AH601" s="376">
        <f t="shared" si="3414"/>
        <v>13.333303333333333</v>
      </c>
      <c r="AI601" s="376">
        <f t="shared" si="3414"/>
        <v>14.666633333333333</v>
      </c>
      <c r="AJ601" s="263">
        <f t="shared" si="3414"/>
        <v>15.999963333333334</v>
      </c>
      <c r="AK601" s="408"/>
      <c r="AL601" s="48">
        <f>J601-I601</f>
        <v>0.58000000000000007</v>
      </c>
      <c r="AM601" s="48">
        <f t="shared" si="3360"/>
        <v>0.58000000000000007</v>
      </c>
      <c r="AN601" s="48">
        <f t="shared" si="3361"/>
        <v>0.58000000000000007</v>
      </c>
      <c r="AO601" s="48">
        <f>M601</f>
        <v>0.58333333333333337</v>
      </c>
      <c r="AP601" s="48">
        <f t="shared" si="3362"/>
        <v>0.58333332999999998</v>
      </c>
      <c r="AQ601" s="48">
        <f t="shared" si="3363"/>
        <v>0.58333332999999987</v>
      </c>
      <c r="AR601" s="48">
        <f t="shared" si="3364"/>
        <v>0.58333332999999987</v>
      </c>
      <c r="AS601" s="48">
        <f t="shared" si="3365"/>
        <v>0.58333332999999987</v>
      </c>
      <c r="AT601" s="48">
        <f t="shared" si="3366"/>
        <v>0.58333332999999987</v>
      </c>
      <c r="AU601" s="48">
        <f t="shared" si="3367"/>
        <v>0.58333333000000032</v>
      </c>
      <c r="AV601" s="48">
        <f t="shared" si="3368"/>
        <v>0.58333333000000032</v>
      </c>
      <c r="AW601" s="48">
        <f t="shared" si="3369"/>
        <v>0.58333333000000032</v>
      </c>
      <c r="AX601" s="48">
        <f>V601-U601</f>
        <v>0.58333333000000032</v>
      </c>
      <c r="AY601" s="48">
        <f t="shared" si="3370"/>
        <v>0.58333333000000032</v>
      </c>
      <c r="AZ601" s="48">
        <f t="shared" si="3371"/>
        <v>0.58333333000000032</v>
      </c>
      <c r="BA601" s="48">
        <f>Y601</f>
        <v>1.3333333333333333</v>
      </c>
      <c r="BB601" s="48">
        <f t="shared" si="3372"/>
        <v>1.3333299999999999</v>
      </c>
      <c r="BC601" s="48">
        <f t="shared" si="3373"/>
        <v>1.3333300000000001</v>
      </c>
      <c r="BD601" s="48">
        <f t="shared" si="3374"/>
        <v>1.3333300000000001</v>
      </c>
      <c r="BE601" s="48">
        <f t="shared" si="3375"/>
        <v>1.3333300000000001</v>
      </c>
      <c r="BF601" s="48">
        <f t="shared" si="3376"/>
        <v>1.3333300000000001</v>
      </c>
      <c r="BG601" s="48">
        <f t="shared" si="3377"/>
        <v>1.3333299999999992</v>
      </c>
      <c r="BH601" s="48">
        <f t="shared" si="3378"/>
        <v>1.3333300000000001</v>
      </c>
      <c r="BI601" s="48">
        <f t="shared" si="3379"/>
        <v>1.3333300000000001</v>
      </c>
      <c r="BJ601" s="48">
        <f t="shared" si="3380"/>
        <v>1.3333300000000001</v>
      </c>
      <c r="BK601" s="48">
        <f t="shared" si="3380"/>
        <v>1.3333300000000001</v>
      </c>
      <c r="BL601" s="48">
        <f t="shared" si="3380"/>
        <v>1.3333300000000001</v>
      </c>
      <c r="BM601" s="408"/>
      <c r="BN601" s="48">
        <f t="shared" si="3388"/>
        <v>1.7400000000000002</v>
      </c>
      <c r="BO601" s="48">
        <f t="shared" si="3389"/>
        <v>1.7400000000000002</v>
      </c>
      <c r="BP601" s="48">
        <f t="shared" si="3390"/>
        <v>1.7400000000000002</v>
      </c>
      <c r="BQ601" s="48">
        <f t="shared" si="3391"/>
        <v>1.7499999933333332</v>
      </c>
      <c r="BR601" s="48">
        <f t="shared" si="3392"/>
        <v>1.7499999933333332</v>
      </c>
      <c r="BS601" s="48">
        <f t="shared" si="3393"/>
        <v>1.7499999933333332</v>
      </c>
      <c r="BT601" s="48">
        <f t="shared" si="3394"/>
        <v>1.7499999899999996</v>
      </c>
      <c r="BU601" s="48">
        <f t="shared" si="3395"/>
        <v>1.7499999899999996</v>
      </c>
      <c r="BV601" s="48">
        <f t="shared" si="3396"/>
        <v>1.7499999899999996</v>
      </c>
      <c r="BW601" s="48">
        <f t="shared" si="3397"/>
        <v>1.7499999900000009</v>
      </c>
      <c r="BX601" s="48">
        <f t="shared" si="3398"/>
        <v>1.7499999900000009</v>
      </c>
      <c r="BY601" s="48">
        <f t="shared" si="3399"/>
        <v>1.7499999900000009</v>
      </c>
      <c r="BZ601" s="48">
        <f t="shared" si="3400"/>
        <v>1.7499999900000009</v>
      </c>
      <c r="CA601" s="48">
        <f t="shared" si="3401"/>
        <v>1.7499999900000009</v>
      </c>
      <c r="CB601" s="48">
        <f>SUM(AX601:AZ601)</f>
        <v>1.7499999900000009</v>
      </c>
      <c r="CC601" s="48">
        <f t="shared" si="3402"/>
        <v>3.9999933333333333</v>
      </c>
      <c r="CD601" s="48">
        <f t="shared" si="3403"/>
        <v>3.9999933333333333</v>
      </c>
      <c r="CE601" s="48">
        <f t="shared" si="3404"/>
        <v>3.9999933333333333</v>
      </c>
      <c r="CF601" s="48">
        <f t="shared" si="3405"/>
        <v>3.9999900000000004</v>
      </c>
      <c r="CG601" s="48">
        <f t="shared" si="3406"/>
        <v>3.9999900000000004</v>
      </c>
      <c r="CH601" s="48">
        <f t="shared" si="3407"/>
        <v>3.9999900000000004</v>
      </c>
      <c r="CI601" s="48">
        <f t="shared" si="3408"/>
        <v>3.9999899999999995</v>
      </c>
      <c r="CJ601" s="48">
        <f t="shared" si="3409"/>
        <v>3.9999899999999995</v>
      </c>
      <c r="CK601" s="48">
        <f t="shared" si="3410"/>
        <v>3.9999899999999995</v>
      </c>
      <c r="CL601" s="48">
        <f t="shared" si="3411"/>
        <v>3.9999900000000004</v>
      </c>
      <c r="CM601" s="48">
        <f t="shared" si="3412"/>
        <v>3.9999900000000004</v>
      </c>
      <c r="CN601" s="48">
        <f t="shared" si="3381"/>
        <v>3.9999900000000004</v>
      </c>
      <c r="CO601" s="406"/>
      <c r="CP601" s="48">
        <f t="shared" si="3382"/>
        <v>5.8</v>
      </c>
      <c r="CQ601" s="48">
        <f t="shared" si="3382"/>
        <v>6.38</v>
      </c>
      <c r="CR601" s="48">
        <f t="shared" si="3382"/>
        <v>6.96</v>
      </c>
      <c r="CS601" s="48">
        <f>AO601</f>
        <v>0.58333333333333337</v>
      </c>
      <c r="CT601" s="48">
        <f t="shared" si="3383"/>
        <v>1.1666666633333334</v>
      </c>
      <c r="CU601" s="48">
        <f t="shared" si="3383"/>
        <v>1.7499999933333332</v>
      </c>
      <c r="CV601" s="48">
        <f t="shared" si="3383"/>
        <v>2.3333333233333331</v>
      </c>
      <c r="CW601" s="48">
        <f t="shared" si="3383"/>
        <v>2.916666653333333</v>
      </c>
      <c r="CX601" s="48">
        <f t="shared" si="3383"/>
        <v>3.4999999833333328</v>
      </c>
      <c r="CY601" s="48">
        <f t="shared" si="3383"/>
        <v>4.0833333133333332</v>
      </c>
      <c r="CZ601" s="48">
        <f t="shared" si="3383"/>
        <v>4.6666666433333335</v>
      </c>
      <c r="DA601" s="48">
        <f t="shared" si="3383"/>
        <v>5.2499999733333338</v>
      </c>
      <c r="DB601" s="48">
        <f t="shared" si="3383"/>
        <v>5.8333333033333341</v>
      </c>
      <c r="DC601" s="48">
        <f t="shared" si="3383"/>
        <v>6.4166666333333344</v>
      </c>
      <c r="DD601" s="48">
        <f t="shared" si="3383"/>
        <v>6.9999999633333347</v>
      </c>
      <c r="DE601" s="48">
        <f>+BA601</f>
        <v>1.3333333333333333</v>
      </c>
      <c r="DF601" s="48">
        <f t="shared" si="3384"/>
        <v>2.6666633333333332</v>
      </c>
      <c r="DG601" s="48">
        <f t="shared" si="3384"/>
        <v>3.9999933333333333</v>
      </c>
      <c r="DH601" s="48">
        <f t="shared" si="3384"/>
        <v>5.3333233333333334</v>
      </c>
      <c r="DI601" s="48">
        <f t="shared" si="3384"/>
        <v>6.6666533333333335</v>
      </c>
      <c r="DJ601" s="48">
        <f t="shared" si="3384"/>
        <v>7.9999833333333337</v>
      </c>
      <c r="DK601" s="48">
        <f t="shared" si="3384"/>
        <v>9.3333133333333329</v>
      </c>
      <c r="DL601" s="48">
        <f t="shared" si="3384"/>
        <v>10.666643333333333</v>
      </c>
      <c r="DM601" s="48">
        <f t="shared" si="3384"/>
        <v>11.999973333333333</v>
      </c>
      <c r="DN601" s="48">
        <f t="shared" si="3384"/>
        <v>13.333303333333333</v>
      </c>
      <c r="DO601" s="48">
        <f t="shared" si="3384"/>
        <v>14.666633333333333</v>
      </c>
      <c r="DP601" s="48">
        <f t="shared" si="3384"/>
        <v>15.999963333333334</v>
      </c>
      <c r="DQ601" s="48"/>
      <c r="DR601" s="48"/>
      <c r="DS601" s="48"/>
      <c r="DT601" s="48"/>
      <c r="DU601" s="48"/>
      <c r="DV601" s="48"/>
      <c r="DW601" s="48"/>
      <c r="DX601" s="48"/>
      <c r="DY601" s="48"/>
      <c r="DZ601" s="1">
        <f>'Input &amp; Calc'!L601</f>
        <v>6.96</v>
      </c>
      <c r="EA601" s="49">
        <f>DD601</f>
        <v>6.9999999633333347</v>
      </c>
      <c r="EB601" s="50">
        <f>DP601</f>
        <v>15.999963333333334</v>
      </c>
      <c r="EC601" s="50"/>
      <c r="ED601" s="408"/>
      <c r="EE601" s="51">
        <f t="shared" si="3385"/>
        <v>1.3333300000000001</v>
      </c>
      <c r="EF601" s="51">
        <f t="shared" si="3386"/>
        <v>3.9999900000000004</v>
      </c>
      <c r="EG601" s="51">
        <f>HLOOKUP($EJ$3,Budget,ROW()-1)</f>
        <v>15.999963333333334</v>
      </c>
      <c r="EH601" s="40"/>
      <c r="EI601" s="114" t="s">
        <v>158</v>
      </c>
      <c r="EJ601" s="133">
        <f>I595</f>
        <v>40391</v>
      </c>
      <c r="EK601" s="675"/>
      <c r="EL601" s="37"/>
      <c r="EM601" s="37"/>
      <c r="EN601" s="37"/>
      <c r="EO601" s="49"/>
      <c r="EP601" s="49"/>
      <c r="EQ601" s="49"/>
      <c r="ER601" s="1"/>
      <c r="ES601" s="1"/>
    </row>
    <row r="602" spans="1:149" ht="13.5" thickBot="1">
      <c r="A602" s="134" t="s">
        <v>22</v>
      </c>
      <c r="B602" s="2" t="s">
        <v>94</v>
      </c>
      <c r="C602" s="3" t="s">
        <v>39</v>
      </c>
      <c r="E602" s="3" t="s">
        <v>16</v>
      </c>
      <c r="F602" s="1"/>
      <c r="G602" s="1" t="s">
        <v>91</v>
      </c>
      <c r="H602" s="1"/>
      <c r="I602" s="209">
        <v>2.1749999999999998</v>
      </c>
      <c r="J602" s="209">
        <v>2.4166666669999999</v>
      </c>
      <c r="K602" s="209">
        <v>2.6583333339999999</v>
      </c>
      <c r="L602" s="209">
        <v>2.900000001</v>
      </c>
      <c r="M602" s="210">
        <v>0.125</v>
      </c>
      <c r="N602" s="209">
        <v>0.25</v>
      </c>
      <c r="O602" s="209">
        <v>0.375</v>
      </c>
      <c r="P602" s="209">
        <v>0.5</v>
      </c>
      <c r="Q602" s="209">
        <v>0.625</v>
      </c>
      <c r="R602" s="209">
        <v>0.75</v>
      </c>
      <c r="S602" s="209">
        <v>0.875</v>
      </c>
      <c r="T602" s="209">
        <v>1</v>
      </c>
      <c r="U602" s="209">
        <v>1.125</v>
      </c>
      <c r="V602" s="209">
        <v>1.25</v>
      </c>
      <c r="W602" s="209">
        <v>1.375</v>
      </c>
      <c r="X602" s="209">
        <v>1.5</v>
      </c>
      <c r="Y602" s="221">
        <f>4/12</f>
        <v>0.33333333333333331</v>
      </c>
      <c r="Z602" s="246">
        <f>Y602+0.33333</f>
        <v>0.66666333333333339</v>
      </c>
      <c r="AA602" s="376">
        <f t="shared" ref="AA602:AJ602" si="3415">Z602+0.33333</f>
        <v>0.9999933333333334</v>
      </c>
      <c r="AB602" s="376">
        <f t="shared" si="3415"/>
        <v>1.3333233333333334</v>
      </c>
      <c r="AC602" s="376">
        <f t="shared" si="3415"/>
        <v>1.6666533333333335</v>
      </c>
      <c r="AD602" s="376">
        <f t="shared" si="3415"/>
        <v>1.9999833333333337</v>
      </c>
      <c r="AE602" s="376">
        <f t="shared" si="3415"/>
        <v>2.3333133333333338</v>
      </c>
      <c r="AF602" s="376">
        <f t="shared" si="3415"/>
        <v>2.6666433333333339</v>
      </c>
      <c r="AG602" s="376">
        <f t="shared" si="3415"/>
        <v>2.999973333333334</v>
      </c>
      <c r="AH602" s="376">
        <f t="shared" si="3415"/>
        <v>3.3333033333333342</v>
      </c>
      <c r="AI602" s="376">
        <f t="shared" si="3415"/>
        <v>3.6666333333333343</v>
      </c>
      <c r="AJ602" s="189">
        <f t="shared" si="3415"/>
        <v>3.9999633333333344</v>
      </c>
      <c r="AK602" s="416"/>
      <c r="AL602" s="118">
        <f>J602-I602</f>
        <v>0.24166666700000006</v>
      </c>
      <c r="AM602" s="118">
        <f t="shared" si="3360"/>
        <v>0.24166666700000006</v>
      </c>
      <c r="AN602" s="118">
        <f t="shared" si="3361"/>
        <v>0.24166666700000006</v>
      </c>
      <c r="AO602" s="119">
        <f>M602</f>
        <v>0.125</v>
      </c>
      <c r="AP602" s="118">
        <f t="shared" si="3362"/>
        <v>0.125</v>
      </c>
      <c r="AQ602" s="118">
        <f t="shared" si="3363"/>
        <v>0.125</v>
      </c>
      <c r="AR602" s="118">
        <f t="shared" si="3364"/>
        <v>0.125</v>
      </c>
      <c r="AS602" s="118">
        <f t="shared" si="3365"/>
        <v>0.125</v>
      </c>
      <c r="AT602" s="118">
        <f t="shared" si="3366"/>
        <v>0.125</v>
      </c>
      <c r="AU602" s="118">
        <f t="shared" si="3367"/>
        <v>0.125</v>
      </c>
      <c r="AV602" s="118">
        <f t="shared" si="3368"/>
        <v>0.125</v>
      </c>
      <c r="AW602" s="118">
        <f t="shared" si="3369"/>
        <v>0.125</v>
      </c>
      <c r="AX602" s="118">
        <f>V602-U602</f>
        <v>0.125</v>
      </c>
      <c r="AY602" s="118">
        <f t="shared" si="3370"/>
        <v>0.125</v>
      </c>
      <c r="AZ602" s="118">
        <f t="shared" si="3371"/>
        <v>0.125</v>
      </c>
      <c r="BA602" s="118">
        <f>Y602</f>
        <v>0.33333333333333331</v>
      </c>
      <c r="BB602" s="118">
        <f t="shared" si="3372"/>
        <v>0.33333000000000007</v>
      </c>
      <c r="BC602" s="118">
        <f t="shared" si="3373"/>
        <v>0.33333000000000002</v>
      </c>
      <c r="BD602" s="118">
        <f t="shared" si="3374"/>
        <v>0.33333000000000002</v>
      </c>
      <c r="BE602" s="118">
        <f t="shared" si="3375"/>
        <v>0.33333000000000013</v>
      </c>
      <c r="BF602" s="118">
        <f t="shared" si="3376"/>
        <v>0.33333000000000013</v>
      </c>
      <c r="BG602" s="118">
        <f t="shared" si="3377"/>
        <v>0.33333000000000013</v>
      </c>
      <c r="BH602" s="118">
        <f t="shared" si="3378"/>
        <v>0.33333000000000013</v>
      </c>
      <c r="BI602" s="118">
        <f t="shared" si="3379"/>
        <v>0.33333000000000013</v>
      </c>
      <c r="BJ602" s="118">
        <f t="shared" si="3380"/>
        <v>0.33333000000000013</v>
      </c>
      <c r="BK602" s="118">
        <f t="shared" si="3380"/>
        <v>0.33333000000000013</v>
      </c>
      <c r="BL602" s="118">
        <f t="shared" si="3380"/>
        <v>0.33333000000000013</v>
      </c>
      <c r="BM602" s="409"/>
      <c r="BN602" s="119">
        <f t="shared" si="3388"/>
        <v>0.72500000100000017</v>
      </c>
      <c r="BO602" s="119">
        <f t="shared" si="3389"/>
        <v>0.72500000100000017</v>
      </c>
      <c r="BP602" s="119">
        <f t="shared" si="3390"/>
        <v>0.72500000100000017</v>
      </c>
      <c r="BQ602" s="119">
        <f t="shared" si="3391"/>
        <v>0.375</v>
      </c>
      <c r="BR602" s="119">
        <f t="shared" si="3392"/>
        <v>0.375</v>
      </c>
      <c r="BS602" s="119">
        <f t="shared" si="3393"/>
        <v>0.375</v>
      </c>
      <c r="BT602" s="119">
        <f t="shared" si="3394"/>
        <v>0.375</v>
      </c>
      <c r="BU602" s="119">
        <f t="shared" si="3395"/>
        <v>0.375</v>
      </c>
      <c r="BV602" s="119">
        <f t="shared" si="3396"/>
        <v>0.375</v>
      </c>
      <c r="BW602" s="119">
        <f t="shared" si="3397"/>
        <v>0.375</v>
      </c>
      <c r="BX602" s="119">
        <f t="shared" si="3398"/>
        <v>0.375</v>
      </c>
      <c r="BY602" s="119">
        <f t="shared" si="3399"/>
        <v>0.375</v>
      </c>
      <c r="BZ602" s="119">
        <f t="shared" si="3400"/>
        <v>0.375</v>
      </c>
      <c r="CA602" s="119">
        <f t="shared" si="3401"/>
        <v>0.375</v>
      </c>
      <c r="CB602" s="119">
        <f>SUM(AX602:AZ602)</f>
        <v>0.375</v>
      </c>
      <c r="CC602" s="119">
        <f t="shared" si="3402"/>
        <v>0.9999933333333334</v>
      </c>
      <c r="CD602" s="119">
        <f t="shared" si="3403"/>
        <v>0.9999933333333334</v>
      </c>
      <c r="CE602" s="119">
        <f t="shared" si="3404"/>
        <v>0.9999933333333334</v>
      </c>
      <c r="CF602" s="119">
        <f t="shared" si="3405"/>
        <v>0.99999000000000027</v>
      </c>
      <c r="CG602" s="119">
        <f t="shared" si="3406"/>
        <v>0.99999000000000027</v>
      </c>
      <c r="CH602" s="119">
        <f t="shared" si="3407"/>
        <v>0.99999000000000027</v>
      </c>
      <c r="CI602" s="119">
        <f t="shared" si="3408"/>
        <v>0.99999000000000038</v>
      </c>
      <c r="CJ602" s="119">
        <f t="shared" si="3409"/>
        <v>0.99999000000000038</v>
      </c>
      <c r="CK602" s="119">
        <f t="shared" si="3410"/>
        <v>0.99999000000000038</v>
      </c>
      <c r="CL602" s="119">
        <f t="shared" si="3411"/>
        <v>0.99999000000000038</v>
      </c>
      <c r="CM602" s="119">
        <f t="shared" si="3412"/>
        <v>0.99999000000000038</v>
      </c>
      <c r="CN602" s="48">
        <f t="shared" si="3381"/>
        <v>0.99999000000000038</v>
      </c>
      <c r="CO602" s="421"/>
      <c r="CP602" s="118">
        <f t="shared" si="3382"/>
        <v>2.4166666669999999</v>
      </c>
      <c r="CQ602" s="118">
        <f t="shared" si="3382"/>
        <v>2.6583333339999999</v>
      </c>
      <c r="CR602" s="118">
        <f t="shared" si="3382"/>
        <v>2.900000001</v>
      </c>
      <c r="CS602" s="118">
        <f>AO602</f>
        <v>0.125</v>
      </c>
      <c r="CT602" s="118">
        <f t="shared" si="3383"/>
        <v>0.25</v>
      </c>
      <c r="CU602" s="118">
        <f t="shared" si="3383"/>
        <v>0.375</v>
      </c>
      <c r="CV602" s="118">
        <f t="shared" si="3383"/>
        <v>0.5</v>
      </c>
      <c r="CW602" s="118">
        <f t="shared" si="3383"/>
        <v>0.625</v>
      </c>
      <c r="CX602" s="118">
        <f t="shared" si="3383"/>
        <v>0.75</v>
      </c>
      <c r="CY602" s="118">
        <f t="shared" si="3383"/>
        <v>0.875</v>
      </c>
      <c r="CZ602" s="118">
        <f t="shared" si="3383"/>
        <v>1</v>
      </c>
      <c r="DA602" s="118">
        <f t="shared" si="3383"/>
        <v>1.125</v>
      </c>
      <c r="DB602" s="118">
        <f t="shared" si="3383"/>
        <v>1.25</v>
      </c>
      <c r="DC602" s="118">
        <f t="shared" si="3383"/>
        <v>1.375</v>
      </c>
      <c r="DD602" s="118">
        <f t="shared" si="3383"/>
        <v>1.5</v>
      </c>
      <c r="DE602" s="118">
        <f>+BA602</f>
        <v>0.33333333333333331</v>
      </c>
      <c r="DF602" s="118">
        <f t="shared" si="3384"/>
        <v>0.66666333333333339</v>
      </c>
      <c r="DG602" s="118">
        <f t="shared" si="3384"/>
        <v>0.9999933333333334</v>
      </c>
      <c r="DH602" s="118">
        <f t="shared" si="3384"/>
        <v>1.3333233333333334</v>
      </c>
      <c r="DI602" s="118">
        <f t="shared" si="3384"/>
        <v>1.6666533333333335</v>
      </c>
      <c r="DJ602" s="118">
        <f t="shared" si="3384"/>
        <v>1.9999833333333337</v>
      </c>
      <c r="DK602" s="118">
        <f t="shared" si="3384"/>
        <v>2.3333133333333338</v>
      </c>
      <c r="DL602" s="118">
        <f t="shared" si="3384"/>
        <v>2.6666433333333339</v>
      </c>
      <c r="DM602" s="118">
        <f t="shared" si="3384"/>
        <v>2.999973333333334</v>
      </c>
      <c r="DN602" s="118">
        <f t="shared" si="3384"/>
        <v>3.3333033333333342</v>
      </c>
      <c r="DO602" s="118">
        <f t="shared" si="3384"/>
        <v>3.6666333333333343</v>
      </c>
      <c r="DP602" s="118">
        <f t="shared" si="3384"/>
        <v>3.9999633333333344</v>
      </c>
      <c r="DQ602" s="118"/>
      <c r="DR602" s="118"/>
      <c r="DS602" s="118"/>
      <c r="DT602" s="118"/>
      <c r="DU602" s="118"/>
      <c r="DV602" s="118"/>
      <c r="DW602" s="118"/>
      <c r="DX602" s="118"/>
      <c r="DY602" s="118"/>
      <c r="DZ602" s="121">
        <f>'Input &amp; Calc'!L602</f>
        <v>2.900000001</v>
      </c>
      <c r="EA602" s="122">
        <f>DD602</f>
        <v>1.5</v>
      </c>
      <c r="EB602" s="120">
        <f>DP602</f>
        <v>3.9999633333333344</v>
      </c>
      <c r="EC602" s="120"/>
      <c r="ED602" s="409"/>
      <c r="EE602" s="118">
        <f t="shared" si="3385"/>
        <v>0.33333000000000013</v>
      </c>
      <c r="EF602" s="118">
        <f t="shared" si="3386"/>
        <v>0.99999000000000038</v>
      </c>
      <c r="EG602" s="118">
        <f>HLOOKUP($EJ$3,Budget,ROW()-1)</f>
        <v>3.9999633333333344</v>
      </c>
      <c r="EH602" s="40"/>
      <c r="EI602" s="1"/>
      <c r="EJ602" s="1"/>
      <c r="EK602" s="675"/>
      <c r="EL602" s="37"/>
      <c r="EM602" s="37"/>
      <c r="EN602" s="37"/>
      <c r="EO602" s="49"/>
      <c r="EP602" s="49"/>
      <c r="EQ602" s="49"/>
      <c r="ER602" s="1"/>
      <c r="ES602" s="1"/>
    </row>
    <row r="603" spans="1:149">
      <c r="A603" s="6" t="s">
        <v>23</v>
      </c>
      <c r="B603" s="2" t="s">
        <v>5</v>
      </c>
      <c r="C603" s="3" t="s">
        <v>42</v>
      </c>
      <c r="E603" s="3" t="s">
        <v>16</v>
      </c>
      <c r="G603" s="3" t="s">
        <v>91</v>
      </c>
      <c r="I603" s="206"/>
      <c r="J603" s="203">
        <v>8.3333333333333339</v>
      </c>
      <c r="K603" s="203">
        <v>16.666666663333334</v>
      </c>
      <c r="L603" s="203">
        <v>24.999999993333333</v>
      </c>
      <c r="M603" s="203">
        <v>33.333333323333335</v>
      </c>
      <c r="N603" s="203">
        <v>41.666666653333337</v>
      </c>
      <c r="O603" s="203">
        <v>49.999999983333339</v>
      </c>
      <c r="P603" s="203">
        <v>58.333333313333341</v>
      </c>
      <c r="Q603" s="203">
        <v>66.666666643333343</v>
      </c>
      <c r="R603" s="203">
        <v>74.999999973333345</v>
      </c>
      <c r="S603" s="203">
        <v>83.333333303333347</v>
      </c>
      <c r="T603" s="203">
        <v>91.66666663333335</v>
      </c>
      <c r="U603" s="203">
        <v>99.999999963333352</v>
      </c>
      <c r="V603" s="219">
        <f>100/12</f>
        <v>8.3333333333333339</v>
      </c>
      <c r="W603" s="246">
        <f>V603+8.33333</f>
        <v>16.666663333333332</v>
      </c>
      <c r="X603" s="376">
        <f t="shared" ref="X603:AG603" si="3416">W603+8.33333</f>
        <v>24.999993333333332</v>
      </c>
      <c r="Y603" s="376">
        <f t="shared" si="3416"/>
        <v>33.333323333333333</v>
      </c>
      <c r="Z603" s="376">
        <f t="shared" si="3416"/>
        <v>41.666653333333329</v>
      </c>
      <c r="AA603" s="376">
        <f t="shared" si="3416"/>
        <v>49.999983333333333</v>
      </c>
      <c r="AB603" s="376">
        <f t="shared" si="3416"/>
        <v>58.333313333333336</v>
      </c>
      <c r="AC603" s="376">
        <f t="shared" si="3416"/>
        <v>66.66664333333334</v>
      </c>
      <c r="AD603" s="376">
        <f t="shared" si="3416"/>
        <v>74.999973333333344</v>
      </c>
      <c r="AE603" s="376">
        <f t="shared" si="3416"/>
        <v>83.333303333333347</v>
      </c>
      <c r="AF603" s="376">
        <f t="shared" si="3416"/>
        <v>91.666633333333351</v>
      </c>
      <c r="AG603" s="254">
        <f t="shared" si="3416"/>
        <v>99.999963333333355</v>
      </c>
      <c r="AH603" s="31">
        <f>150/12</f>
        <v>12.5</v>
      </c>
      <c r="AI603" s="19">
        <f>AH603+AH603</f>
        <v>25</v>
      </c>
      <c r="AJ603" s="19"/>
      <c r="AK603" s="408"/>
      <c r="AL603" s="40">
        <f>J603</f>
        <v>8.3333333333333339</v>
      </c>
      <c r="AM603" s="40">
        <f t="shared" si="3360"/>
        <v>8.3333333300000003</v>
      </c>
      <c r="AN603" s="40">
        <f t="shared" si="3361"/>
        <v>8.3333333299999985</v>
      </c>
      <c r="AO603" s="40">
        <f>M603-L603</f>
        <v>8.3333333300000021</v>
      </c>
      <c r="AP603" s="40">
        <f t="shared" si="3362"/>
        <v>8.3333333300000021</v>
      </c>
      <c r="AQ603" s="40">
        <f t="shared" si="3363"/>
        <v>8.3333333300000021</v>
      </c>
      <c r="AR603" s="40">
        <f t="shared" si="3364"/>
        <v>8.3333333300000021</v>
      </c>
      <c r="AS603" s="40">
        <f t="shared" si="3365"/>
        <v>8.3333333300000021</v>
      </c>
      <c r="AT603" s="40">
        <f t="shared" si="3366"/>
        <v>8.3333333300000021</v>
      </c>
      <c r="AU603" s="40">
        <f t="shared" si="3367"/>
        <v>8.3333333300000021</v>
      </c>
      <c r="AV603" s="40">
        <f t="shared" si="3368"/>
        <v>8.3333333300000021</v>
      </c>
      <c r="AW603" s="40">
        <f t="shared" si="3369"/>
        <v>8.3333333300000021</v>
      </c>
      <c r="AX603" s="40">
        <f>V603</f>
        <v>8.3333333333333339</v>
      </c>
      <c r="AY603" s="40">
        <f t="shared" si="3370"/>
        <v>8.3333299999999983</v>
      </c>
      <c r="AZ603" s="40">
        <f t="shared" si="3371"/>
        <v>8.3333300000000001</v>
      </c>
      <c r="BA603" s="40">
        <f>Y603-X603</f>
        <v>8.3333300000000001</v>
      </c>
      <c r="BB603" s="40">
        <f t="shared" si="3372"/>
        <v>8.3333299999999966</v>
      </c>
      <c r="BC603" s="40">
        <f t="shared" si="3373"/>
        <v>8.3333300000000037</v>
      </c>
      <c r="BD603" s="40">
        <f t="shared" si="3374"/>
        <v>8.3333300000000037</v>
      </c>
      <c r="BE603" s="40">
        <f t="shared" si="3375"/>
        <v>8.3333300000000037</v>
      </c>
      <c r="BF603" s="40">
        <f t="shared" si="3376"/>
        <v>8.3333300000000037</v>
      </c>
      <c r="BG603" s="40">
        <f t="shared" si="3377"/>
        <v>8.3333300000000037</v>
      </c>
      <c r="BH603" s="40">
        <f t="shared" si="3378"/>
        <v>8.3333300000000037</v>
      </c>
      <c r="BI603" s="40">
        <f t="shared" si="3379"/>
        <v>8.3333300000000037</v>
      </c>
      <c r="BJ603" s="40">
        <f>AH603</f>
        <v>12.5</v>
      </c>
      <c r="BK603" s="40">
        <f t="shared" ref="BK603:BM604" si="3417">AI603</f>
        <v>25</v>
      </c>
      <c r="BL603" s="40">
        <f t="shared" si="3417"/>
        <v>0</v>
      </c>
      <c r="BM603" s="40">
        <f t="shared" si="3417"/>
        <v>0</v>
      </c>
      <c r="BN603" s="48">
        <f t="shared" si="3388"/>
        <v>24.999999993333333</v>
      </c>
      <c r="BO603" s="48">
        <f t="shared" si="3389"/>
        <v>24.999999993333333</v>
      </c>
      <c r="BP603" s="48">
        <f t="shared" si="3390"/>
        <v>24.999999993333333</v>
      </c>
      <c r="BQ603" s="48">
        <f t="shared" si="3391"/>
        <v>24.999999990000006</v>
      </c>
      <c r="BR603" s="48">
        <f t="shared" si="3392"/>
        <v>24.999999990000006</v>
      </c>
      <c r="BS603" s="48">
        <f t="shared" si="3393"/>
        <v>24.999999990000006</v>
      </c>
      <c r="BT603" s="48">
        <f t="shared" si="3394"/>
        <v>24.999999990000006</v>
      </c>
      <c r="BU603" s="48">
        <f t="shared" si="3395"/>
        <v>24.999999990000006</v>
      </c>
      <c r="BV603" s="48">
        <f t="shared" si="3396"/>
        <v>24.999999990000006</v>
      </c>
      <c r="BW603" s="48">
        <f t="shared" si="3397"/>
        <v>24.999999990000006</v>
      </c>
      <c r="BX603" s="48">
        <f t="shared" si="3398"/>
        <v>24.999999990000006</v>
      </c>
      <c r="BY603" s="48">
        <f t="shared" si="3399"/>
        <v>24.999999990000006</v>
      </c>
      <c r="BZ603" s="48">
        <f t="shared" si="3400"/>
        <v>24.999993333333332</v>
      </c>
      <c r="CA603" s="48">
        <f t="shared" si="3401"/>
        <v>24.999993333333332</v>
      </c>
      <c r="CB603" s="48">
        <f>X603</f>
        <v>24.999993333333332</v>
      </c>
      <c r="CC603" s="48">
        <f t="shared" si="3402"/>
        <v>24.99999</v>
      </c>
      <c r="CD603" s="48">
        <f t="shared" si="3403"/>
        <v>24.99999</v>
      </c>
      <c r="CE603" s="48">
        <f t="shared" si="3404"/>
        <v>24.99999</v>
      </c>
      <c r="CF603" s="48">
        <f t="shared" si="3405"/>
        <v>24.999990000000011</v>
      </c>
      <c r="CG603" s="48">
        <f t="shared" si="3406"/>
        <v>24.999990000000011</v>
      </c>
      <c r="CH603" s="48">
        <f t="shared" si="3407"/>
        <v>24.999990000000011</v>
      </c>
      <c r="CI603" s="48">
        <f t="shared" si="3408"/>
        <v>24.999990000000011</v>
      </c>
      <c r="CJ603" s="48">
        <f t="shared" si="3409"/>
        <v>24.999990000000011</v>
      </c>
      <c r="CK603" s="48">
        <f t="shared" si="3410"/>
        <v>24.999990000000011</v>
      </c>
      <c r="CL603" s="48">
        <f t="shared" si="3411"/>
        <v>37.5</v>
      </c>
      <c r="CM603" s="48">
        <f t="shared" si="3412"/>
        <v>37.5</v>
      </c>
      <c r="CN603" s="48">
        <f>150/4</f>
        <v>37.5</v>
      </c>
      <c r="CO603" s="406"/>
      <c r="CP603" s="48">
        <f>+AL603</f>
        <v>8.3333333333333339</v>
      </c>
      <c r="CQ603" s="48">
        <f t="shared" ref="CQ603:DA603" si="3418">+CP603+AM603</f>
        <v>16.666666663333334</v>
      </c>
      <c r="CR603" s="48">
        <f t="shared" si="3418"/>
        <v>24.999999993333333</v>
      </c>
      <c r="CS603" s="48">
        <f t="shared" si="3418"/>
        <v>33.333333323333335</v>
      </c>
      <c r="CT603" s="48">
        <f t="shared" si="3418"/>
        <v>41.666666653333337</v>
      </c>
      <c r="CU603" s="48">
        <f t="shared" si="3418"/>
        <v>49.999999983333339</v>
      </c>
      <c r="CV603" s="48">
        <f t="shared" si="3418"/>
        <v>58.333333313333341</v>
      </c>
      <c r="CW603" s="48">
        <f t="shared" si="3418"/>
        <v>66.666666643333343</v>
      </c>
      <c r="CX603" s="48">
        <f t="shared" si="3418"/>
        <v>74.999999973333345</v>
      </c>
      <c r="CY603" s="48">
        <f t="shared" si="3418"/>
        <v>83.333333303333347</v>
      </c>
      <c r="CZ603" s="48">
        <f t="shared" si="3418"/>
        <v>91.66666663333335</v>
      </c>
      <c r="DA603" s="48">
        <f t="shared" si="3418"/>
        <v>99.999999963333352</v>
      </c>
      <c r="DB603" s="48">
        <f>AX603</f>
        <v>8.3333333333333339</v>
      </c>
      <c r="DC603" s="48">
        <f t="shared" ref="DC603:DM603" si="3419">+DB603+AY603</f>
        <v>16.666663333333332</v>
      </c>
      <c r="DD603" s="48">
        <f t="shared" si="3419"/>
        <v>24.999993333333332</v>
      </c>
      <c r="DE603" s="48">
        <f t="shared" si="3419"/>
        <v>33.333323333333333</v>
      </c>
      <c r="DF603" s="48">
        <f t="shared" si="3419"/>
        <v>41.666653333333329</v>
      </c>
      <c r="DG603" s="48">
        <f t="shared" si="3419"/>
        <v>49.999983333333333</v>
      </c>
      <c r="DH603" s="48">
        <f t="shared" si="3419"/>
        <v>58.333313333333336</v>
      </c>
      <c r="DI603" s="48">
        <f t="shared" si="3419"/>
        <v>66.66664333333334</v>
      </c>
      <c r="DJ603" s="48">
        <f t="shared" si="3419"/>
        <v>74.999973333333344</v>
      </c>
      <c r="DK603" s="48">
        <f t="shared" si="3419"/>
        <v>83.333303333333347</v>
      </c>
      <c r="DL603" s="48">
        <f t="shared" si="3419"/>
        <v>91.666633333333351</v>
      </c>
      <c r="DM603" s="48">
        <f t="shared" si="3419"/>
        <v>99.999963333333355</v>
      </c>
      <c r="DN603" s="48">
        <f>+BJ603</f>
        <v>12.5</v>
      </c>
      <c r="DO603" s="48">
        <f>+DN603+BK603</f>
        <v>37.5</v>
      </c>
      <c r="DP603" s="48">
        <f>+DO603+BL603</f>
        <v>37.5</v>
      </c>
      <c r="DQ603" s="48"/>
      <c r="DR603" s="48"/>
      <c r="DS603" s="48"/>
      <c r="DT603" s="48"/>
      <c r="DU603" s="48"/>
      <c r="DV603" s="48"/>
      <c r="DW603" s="48"/>
      <c r="DX603" s="48"/>
      <c r="DY603" s="48"/>
      <c r="EA603" s="52">
        <f t="shared" ref="EA603:EA617" si="3420">DA603</f>
        <v>99.999999963333352</v>
      </c>
      <c r="EB603" s="52">
        <f t="shared" ref="EB603:EB616" si="3421">DM603</f>
        <v>99.999963333333355</v>
      </c>
      <c r="EC603" s="52"/>
      <c r="ED603" s="429"/>
      <c r="EE603" s="51">
        <f t="shared" si="3385"/>
        <v>25</v>
      </c>
      <c r="EF603" s="51">
        <f t="shared" si="3386"/>
        <v>37.5</v>
      </c>
      <c r="EG603" s="51">
        <v>150</v>
      </c>
      <c r="EH603" s="54"/>
      <c r="EI603" s="54"/>
      <c r="EJ603" s="54"/>
      <c r="EK603" s="675"/>
      <c r="EL603" s="53"/>
      <c r="EM603" s="53"/>
      <c r="EN603" s="53"/>
      <c r="EO603" s="49"/>
      <c r="EP603" s="49"/>
      <c r="EQ603" s="49"/>
    </row>
    <row r="604" spans="1:149">
      <c r="A604" s="6" t="s">
        <v>23</v>
      </c>
      <c r="B604" s="2" t="s">
        <v>4</v>
      </c>
      <c r="C604" s="3" t="s">
        <v>43</v>
      </c>
      <c r="E604" s="3" t="s">
        <v>16</v>
      </c>
      <c r="F604" s="44"/>
      <c r="G604" s="3" t="s">
        <v>91</v>
      </c>
      <c r="I604" s="206"/>
      <c r="J604" s="203">
        <v>3.75</v>
      </c>
      <c r="K604" s="203">
        <v>7.5</v>
      </c>
      <c r="L604" s="203">
        <v>11.25</v>
      </c>
      <c r="M604" s="203">
        <v>15</v>
      </c>
      <c r="N604" s="203">
        <v>18.75</v>
      </c>
      <c r="O604" s="203">
        <v>22.5</v>
      </c>
      <c r="P604" s="203">
        <v>26.25</v>
      </c>
      <c r="Q604" s="203">
        <v>30</v>
      </c>
      <c r="R604" s="203">
        <v>33.75</v>
      </c>
      <c r="S604" s="203">
        <v>37.5</v>
      </c>
      <c r="T604" s="203">
        <v>41.25</v>
      </c>
      <c r="U604" s="203">
        <v>45</v>
      </c>
      <c r="V604" s="219">
        <f>50/12</f>
        <v>4.166666666666667</v>
      </c>
      <c r="W604" s="246">
        <f>V604+4.166667</f>
        <v>8.3333336666666682</v>
      </c>
      <c r="X604" s="376">
        <f t="shared" ref="X604:AG604" si="3422">W604+4.166667</f>
        <v>12.500000666666669</v>
      </c>
      <c r="Y604" s="376">
        <f t="shared" si="3422"/>
        <v>16.666667666666669</v>
      </c>
      <c r="Z604" s="376">
        <f t="shared" si="3422"/>
        <v>20.833334666666669</v>
      </c>
      <c r="AA604" s="376">
        <f t="shared" si="3422"/>
        <v>25.00000166666667</v>
      </c>
      <c r="AB604" s="376">
        <f t="shared" si="3422"/>
        <v>29.16666866666667</v>
      </c>
      <c r="AC604" s="376">
        <f t="shared" si="3422"/>
        <v>33.33333566666667</v>
      </c>
      <c r="AD604" s="376">
        <f t="shared" si="3422"/>
        <v>37.500002666666674</v>
      </c>
      <c r="AE604" s="376">
        <f t="shared" si="3422"/>
        <v>41.666669666666678</v>
      </c>
      <c r="AF604" s="376">
        <f t="shared" si="3422"/>
        <v>45.833336666666682</v>
      </c>
      <c r="AG604" s="189">
        <f t="shared" si="3422"/>
        <v>50.000003666666686</v>
      </c>
      <c r="AH604" s="31">
        <f>75/12</f>
        <v>6.25</v>
      </c>
      <c r="AI604" s="19">
        <f>AH604+AH604</f>
        <v>12.5</v>
      </c>
      <c r="AJ604" s="19"/>
      <c r="AK604" s="408"/>
      <c r="AL604" s="40">
        <f>J604</f>
        <v>3.75</v>
      </c>
      <c r="AM604" s="40">
        <f t="shared" si="3360"/>
        <v>3.75</v>
      </c>
      <c r="AN604" s="40">
        <f t="shared" si="3361"/>
        <v>3.75</v>
      </c>
      <c r="AO604" s="40">
        <f>M604-L604</f>
        <v>3.75</v>
      </c>
      <c r="AP604" s="40">
        <f t="shared" si="3362"/>
        <v>3.75</v>
      </c>
      <c r="AQ604" s="40">
        <f t="shared" si="3363"/>
        <v>3.75</v>
      </c>
      <c r="AR604" s="40">
        <f t="shared" si="3364"/>
        <v>3.75</v>
      </c>
      <c r="AS604" s="40">
        <f t="shared" si="3365"/>
        <v>3.75</v>
      </c>
      <c r="AT604" s="40">
        <f t="shared" si="3366"/>
        <v>3.75</v>
      </c>
      <c r="AU604" s="40">
        <f t="shared" si="3367"/>
        <v>3.75</v>
      </c>
      <c r="AV604" s="40">
        <f t="shared" si="3368"/>
        <v>3.75</v>
      </c>
      <c r="AW604" s="40">
        <f t="shared" si="3369"/>
        <v>3.75</v>
      </c>
      <c r="AX604" s="40">
        <f>V604</f>
        <v>4.166666666666667</v>
      </c>
      <c r="AY604" s="40">
        <f t="shared" si="3370"/>
        <v>4.1666670000000012</v>
      </c>
      <c r="AZ604" s="40">
        <f t="shared" si="3371"/>
        <v>4.1666670000000003</v>
      </c>
      <c r="BA604" s="40">
        <f>Y604-X604</f>
        <v>4.1666670000000003</v>
      </c>
      <c r="BB604" s="40">
        <f t="shared" si="3372"/>
        <v>4.1666670000000003</v>
      </c>
      <c r="BC604" s="40">
        <f t="shared" si="3373"/>
        <v>4.1666670000000003</v>
      </c>
      <c r="BD604" s="40">
        <f t="shared" si="3374"/>
        <v>4.1666670000000003</v>
      </c>
      <c r="BE604" s="40">
        <f t="shared" si="3375"/>
        <v>4.1666670000000003</v>
      </c>
      <c r="BF604" s="40">
        <f t="shared" si="3376"/>
        <v>4.1666670000000039</v>
      </c>
      <c r="BG604" s="40">
        <f t="shared" si="3377"/>
        <v>4.1666670000000039</v>
      </c>
      <c r="BH604" s="40">
        <f t="shared" si="3378"/>
        <v>4.1666670000000039</v>
      </c>
      <c r="BI604" s="40">
        <f t="shared" si="3379"/>
        <v>4.1666670000000039</v>
      </c>
      <c r="BJ604" s="40">
        <f>AH604</f>
        <v>6.25</v>
      </c>
      <c r="BK604" s="40">
        <f t="shared" si="3417"/>
        <v>12.5</v>
      </c>
      <c r="BL604" s="40">
        <f t="shared" si="3417"/>
        <v>0</v>
      </c>
      <c r="BM604" s="408"/>
      <c r="BN604" s="48">
        <f t="shared" si="3388"/>
        <v>11.25</v>
      </c>
      <c r="BO604" s="48">
        <f t="shared" si="3389"/>
        <v>11.25</v>
      </c>
      <c r="BP604" s="48">
        <f t="shared" si="3390"/>
        <v>11.25</v>
      </c>
      <c r="BQ604" s="48">
        <f t="shared" si="3391"/>
        <v>11.25</v>
      </c>
      <c r="BR604" s="48">
        <f t="shared" si="3392"/>
        <v>11.25</v>
      </c>
      <c r="BS604" s="48">
        <f t="shared" si="3393"/>
        <v>11.25</v>
      </c>
      <c r="BT604" s="48">
        <f t="shared" si="3394"/>
        <v>11.25</v>
      </c>
      <c r="BU604" s="48">
        <f t="shared" si="3395"/>
        <v>11.25</v>
      </c>
      <c r="BV604" s="48">
        <f t="shared" si="3396"/>
        <v>11.25</v>
      </c>
      <c r="BW604" s="48">
        <f t="shared" si="3397"/>
        <v>11.25</v>
      </c>
      <c r="BX604" s="48">
        <f t="shared" si="3398"/>
        <v>11.25</v>
      </c>
      <c r="BY604" s="48">
        <f t="shared" si="3399"/>
        <v>11.25</v>
      </c>
      <c r="BZ604" s="48">
        <f t="shared" si="3400"/>
        <v>12.500000666666669</v>
      </c>
      <c r="CA604" s="48">
        <f t="shared" si="3401"/>
        <v>12.500000666666669</v>
      </c>
      <c r="CB604" s="48">
        <f t="shared" ref="CB604:CB619" si="3423">X604</f>
        <v>12.500000666666669</v>
      </c>
      <c r="CC604" s="48">
        <f t="shared" si="3402"/>
        <v>12.500001000000001</v>
      </c>
      <c r="CD604" s="48">
        <f t="shared" si="3403"/>
        <v>12.500001000000001</v>
      </c>
      <c r="CE604" s="48">
        <f t="shared" si="3404"/>
        <v>12.500001000000001</v>
      </c>
      <c r="CF604" s="48">
        <f t="shared" si="3405"/>
        <v>12.500001000000005</v>
      </c>
      <c r="CG604" s="48">
        <f t="shared" si="3406"/>
        <v>12.500001000000005</v>
      </c>
      <c r="CH604" s="48">
        <f t="shared" si="3407"/>
        <v>12.500001000000005</v>
      </c>
      <c r="CI604" s="48">
        <f t="shared" si="3408"/>
        <v>12.500001000000012</v>
      </c>
      <c r="CJ604" s="48">
        <f t="shared" si="3409"/>
        <v>12.500001000000012</v>
      </c>
      <c r="CK604" s="48">
        <f t="shared" si="3410"/>
        <v>12.500001000000012</v>
      </c>
      <c r="CL604" s="48">
        <f t="shared" si="3411"/>
        <v>18.75</v>
      </c>
      <c r="CM604" s="48">
        <f t="shared" si="3412"/>
        <v>18.75</v>
      </c>
      <c r="CN604" s="48">
        <f>75/4</f>
        <v>18.75</v>
      </c>
      <c r="CO604" s="406"/>
      <c r="CP604" s="48">
        <f t="shared" ref="CP604:DA604" si="3424">I604+AL604</f>
        <v>3.75</v>
      </c>
      <c r="CQ604" s="48">
        <f t="shared" si="3424"/>
        <v>7.5</v>
      </c>
      <c r="CR604" s="48">
        <f t="shared" si="3424"/>
        <v>11.25</v>
      </c>
      <c r="CS604" s="48">
        <f t="shared" si="3424"/>
        <v>15</v>
      </c>
      <c r="CT604" s="48">
        <f t="shared" si="3424"/>
        <v>18.75</v>
      </c>
      <c r="CU604" s="48">
        <f t="shared" si="3424"/>
        <v>22.5</v>
      </c>
      <c r="CV604" s="48">
        <f t="shared" si="3424"/>
        <v>26.25</v>
      </c>
      <c r="CW604" s="48">
        <f t="shared" si="3424"/>
        <v>30</v>
      </c>
      <c r="CX604" s="48">
        <f t="shared" si="3424"/>
        <v>33.75</v>
      </c>
      <c r="CY604" s="48">
        <f t="shared" si="3424"/>
        <v>37.5</v>
      </c>
      <c r="CZ604" s="48">
        <f t="shared" si="3424"/>
        <v>41.25</v>
      </c>
      <c r="DA604" s="48">
        <f t="shared" si="3424"/>
        <v>45</v>
      </c>
      <c r="DB604" s="48">
        <f>AX604</f>
        <v>4.166666666666667</v>
      </c>
      <c r="DC604" s="48">
        <f t="shared" ref="DC604:DM604" si="3425">V604+AY604</f>
        <v>8.3333336666666682</v>
      </c>
      <c r="DD604" s="48">
        <f t="shared" si="3425"/>
        <v>12.500000666666669</v>
      </c>
      <c r="DE604" s="48">
        <f t="shared" si="3425"/>
        <v>16.666667666666669</v>
      </c>
      <c r="DF604" s="48">
        <f t="shared" si="3425"/>
        <v>20.833334666666669</v>
      </c>
      <c r="DG604" s="48">
        <f t="shared" si="3425"/>
        <v>25.00000166666667</v>
      </c>
      <c r="DH604" s="48">
        <f t="shared" si="3425"/>
        <v>29.16666866666667</v>
      </c>
      <c r="DI604" s="48">
        <f t="shared" si="3425"/>
        <v>33.33333566666667</v>
      </c>
      <c r="DJ604" s="48">
        <f t="shared" si="3425"/>
        <v>37.500002666666674</v>
      </c>
      <c r="DK604" s="48">
        <f t="shared" si="3425"/>
        <v>41.666669666666678</v>
      </c>
      <c r="DL604" s="48">
        <f t="shared" si="3425"/>
        <v>45.833336666666682</v>
      </c>
      <c r="DM604" s="48">
        <f t="shared" si="3425"/>
        <v>50.000003666666686</v>
      </c>
      <c r="DN604" s="48">
        <f>BJ604</f>
        <v>6.25</v>
      </c>
      <c r="DO604" s="48">
        <f>AH604+BK604</f>
        <v>18.75</v>
      </c>
      <c r="DP604" s="48">
        <f>AI604+BL604</f>
        <v>12.5</v>
      </c>
      <c r="DQ604" s="48"/>
      <c r="DR604" s="48"/>
      <c r="DS604" s="48"/>
      <c r="DT604" s="48"/>
      <c r="DU604" s="48"/>
      <c r="DV604" s="48"/>
      <c r="DW604" s="48"/>
      <c r="DX604" s="48"/>
      <c r="DY604" s="48"/>
      <c r="EA604" s="52">
        <f t="shared" si="3420"/>
        <v>45</v>
      </c>
      <c r="EB604" s="52">
        <f t="shared" si="3421"/>
        <v>50.000003666666686</v>
      </c>
      <c r="EC604" s="52"/>
      <c r="ED604" s="429"/>
      <c r="EE604" s="51">
        <f t="shared" si="3385"/>
        <v>12.5</v>
      </c>
      <c r="EF604" s="51">
        <f t="shared" si="3386"/>
        <v>18.75</v>
      </c>
      <c r="EG604" s="51">
        <v>75</v>
      </c>
      <c r="EH604" s="54"/>
      <c r="EI604" s="54"/>
      <c r="EJ604" s="126"/>
      <c r="EK604" s="675"/>
      <c r="EL604" s="53"/>
      <c r="EM604" s="53"/>
      <c r="EN604" s="53"/>
      <c r="EO604" s="49"/>
      <c r="EP604" s="49"/>
      <c r="EQ604" s="49"/>
    </row>
    <row r="605" spans="1:149">
      <c r="A605" s="6" t="s">
        <v>23</v>
      </c>
      <c r="B605" s="2" t="s">
        <v>6</v>
      </c>
      <c r="C605" s="3" t="s">
        <v>44</v>
      </c>
      <c r="E605" s="3" t="s">
        <v>16</v>
      </c>
      <c r="G605" s="3" t="s">
        <v>89</v>
      </c>
      <c r="I605" s="206"/>
      <c r="J605" s="203">
        <v>2.0833333333333335</v>
      </c>
      <c r="K605" s="203">
        <f>J605</f>
        <v>2.0833333333333335</v>
      </c>
      <c r="L605" s="246">
        <f t="shared" ref="L605:U605" si="3426">K605</f>
        <v>2.0833333333333335</v>
      </c>
      <c r="M605" s="246">
        <f t="shared" si="3426"/>
        <v>2.0833333333333335</v>
      </c>
      <c r="N605" s="246">
        <f t="shared" si="3426"/>
        <v>2.0833333333333335</v>
      </c>
      <c r="O605" s="246">
        <f t="shared" si="3426"/>
        <v>2.0833333333333335</v>
      </c>
      <c r="P605" s="246">
        <f t="shared" si="3426"/>
        <v>2.0833333333333335</v>
      </c>
      <c r="Q605" s="246">
        <f t="shared" si="3426"/>
        <v>2.0833333333333335</v>
      </c>
      <c r="R605" s="246">
        <f t="shared" si="3426"/>
        <v>2.0833333333333335</v>
      </c>
      <c r="S605" s="246">
        <f t="shared" si="3426"/>
        <v>2.0833333333333335</v>
      </c>
      <c r="T605" s="246">
        <f t="shared" si="3426"/>
        <v>2.0833333333333335</v>
      </c>
      <c r="U605" s="246">
        <f t="shared" si="3426"/>
        <v>2.0833333333333335</v>
      </c>
      <c r="V605" s="246">
        <f>19/12</f>
        <v>1.5833333333333333</v>
      </c>
      <c r="W605" s="246">
        <f>V605+1.58333</f>
        <v>3.1666633333333332</v>
      </c>
      <c r="X605" s="376">
        <f t="shared" ref="X605:AG605" si="3427">W605+1.58333</f>
        <v>4.7499933333333333</v>
      </c>
      <c r="Y605" s="376">
        <f t="shared" si="3427"/>
        <v>6.3333233333333334</v>
      </c>
      <c r="Z605" s="376">
        <f t="shared" si="3427"/>
        <v>7.9166533333333335</v>
      </c>
      <c r="AA605" s="376">
        <f t="shared" si="3427"/>
        <v>9.4999833333333328</v>
      </c>
      <c r="AB605" s="376">
        <f t="shared" si="3427"/>
        <v>11.083313333333333</v>
      </c>
      <c r="AC605" s="376">
        <f t="shared" si="3427"/>
        <v>12.666643333333333</v>
      </c>
      <c r="AD605" s="376">
        <f t="shared" si="3427"/>
        <v>14.249973333333333</v>
      </c>
      <c r="AE605" s="376">
        <f t="shared" si="3427"/>
        <v>15.833303333333333</v>
      </c>
      <c r="AF605" s="376">
        <f t="shared" si="3427"/>
        <v>17.416633333333333</v>
      </c>
      <c r="AG605" s="189">
        <f t="shared" si="3427"/>
        <v>18.999963333333334</v>
      </c>
      <c r="AH605" s="31"/>
      <c r="AI605" s="19"/>
      <c r="AJ605" s="19"/>
      <c r="AK605" s="408"/>
      <c r="AL605" s="40">
        <f>J605</f>
        <v>2.0833333333333335</v>
      </c>
      <c r="AM605" s="40">
        <f t="shared" ref="AM605:AW605" si="3428">K605</f>
        <v>2.0833333333333335</v>
      </c>
      <c r="AN605" s="40">
        <f t="shared" si="3428"/>
        <v>2.0833333333333335</v>
      </c>
      <c r="AO605" s="40">
        <f t="shared" si="3428"/>
        <v>2.0833333333333335</v>
      </c>
      <c r="AP605" s="40">
        <f t="shared" si="3428"/>
        <v>2.0833333333333335</v>
      </c>
      <c r="AQ605" s="40">
        <f t="shared" si="3428"/>
        <v>2.0833333333333335</v>
      </c>
      <c r="AR605" s="40">
        <f t="shared" si="3428"/>
        <v>2.0833333333333335</v>
      </c>
      <c r="AS605" s="40">
        <f t="shared" si="3428"/>
        <v>2.0833333333333335</v>
      </c>
      <c r="AT605" s="40">
        <f t="shared" si="3428"/>
        <v>2.0833333333333335</v>
      </c>
      <c r="AU605" s="40">
        <f t="shared" si="3428"/>
        <v>2.0833333333333335</v>
      </c>
      <c r="AV605" s="40">
        <f t="shared" si="3428"/>
        <v>2.0833333333333335</v>
      </c>
      <c r="AW605" s="40">
        <f t="shared" si="3428"/>
        <v>2.0833333333333335</v>
      </c>
      <c r="AX605" s="40">
        <f>V605</f>
        <v>1.5833333333333333</v>
      </c>
      <c r="AY605" s="40">
        <f>W605-SUM($AX605:AX605)</f>
        <v>1.5833299999999999</v>
      </c>
      <c r="AZ605" s="40">
        <f>X605-SUM($AX605:AY605)</f>
        <v>1.5833300000000001</v>
      </c>
      <c r="BA605" s="40">
        <f>Y605-SUM($AX605:AZ605)</f>
        <v>1.5833300000000001</v>
      </c>
      <c r="BB605" s="40">
        <f>Z605-SUM($AX605:BA605)</f>
        <v>1.5833300000000001</v>
      </c>
      <c r="BC605" s="40">
        <f>AA605-SUM($AX605:BB605)</f>
        <v>1.5833299999999992</v>
      </c>
      <c r="BD605" s="40">
        <f>AB605-SUM($AX605:BC605)</f>
        <v>1.5833300000000001</v>
      </c>
      <c r="BE605" s="40">
        <f>AC605-SUM($AX605:BD605)</f>
        <v>1.5833300000000001</v>
      </c>
      <c r="BF605" s="40">
        <f>AD605-SUM($AX605:BE605)</f>
        <v>1.5833300000000001</v>
      </c>
      <c r="BG605" s="40">
        <f>AE605-SUM($AX605:BF605)</f>
        <v>1.5833300000000001</v>
      </c>
      <c r="BH605" s="40">
        <f>AF605-SUM($AX605:BG605)</f>
        <v>1.5833300000000001</v>
      </c>
      <c r="BI605" s="40">
        <f>AG605-SUM($AX605:BH605)</f>
        <v>1.5833300000000001</v>
      </c>
      <c r="BJ605" s="40">
        <v>0</v>
      </c>
      <c r="BK605" s="40">
        <v>0</v>
      </c>
      <c r="BL605" s="40">
        <v>0</v>
      </c>
      <c r="BM605" s="408"/>
      <c r="BN605" s="48">
        <f t="shared" si="3388"/>
        <v>6.25</v>
      </c>
      <c r="BO605" s="48">
        <f t="shared" si="3389"/>
        <v>6.25</v>
      </c>
      <c r="BP605" s="48">
        <f t="shared" si="3390"/>
        <v>6.25</v>
      </c>
      <c r="BQ605" s="48">
        <f t="shared" si="3391"/>
        <v>6.25</v>
      </c>
      <c r="BR605" s="48">
        <f t="shared" si="3392"/>
        <v>6.25</v>
      </c>
      <c r="BS605" s="48">
        <f t="shared" si="3393"/>
        <v>6.25</v>
      </c>
      <c r="BT605" s="48">
        <f t="shared" si="3394"/>
        <v>6.25</v>
      </c>
      <c r="BU605" s="48">
        <f t="shared" si="3395"/>
        <v>6.25</v>
      </c>
      <c r="BV605" s="48">
        <f t="shared" si="3396"/>
        <v>6.25</v>
      </c>
      <c r="BW605" s="48">
        <f t="shared" si="3397"/>
        <v>6.25</v>
      </c>
      <c r="BX605" s="48">
        <f t="shared" si="3398"/>
        <v>6.25</v>
      </c>
      <c r="BY605" s="48">
        <f t="shared" si="3399"/>
        <v>6.25</v>
      </c>
      <c r="BZ605" s="48">
        <f t="shared" si="3400"/>
        <v>4.7499933333333333</v>
      </c>
      <c r="CA605" s="48">
        <f t="shared" si="3401"/>
        <v>4.7499933333333333</v>
      </c>
      <c r="CB605" s="48">
        <f t="shared" si="3423"/>
        <v>4.7499933333333333</v>
      </c>
      <c r="CC605" s="48">
        <f t="shared" si="3402"/>
        <v>4.7499899999999995</v>
      </c>
      <c r="CD605" s="48">
        <f t="shared" si="3403"/>
        <v>4.7499899999999995</v>
      </c>
      <c r="CE605" s="48">
        <f>SUM(BA605:BC605)</f>
        <v>4.7499899999999995</v>
      </c>
      <c r="CF605" s="48">
        <f t="shared" si="3405"/>
        <v>4.7499900000000004</v>
      </c>
      <c r="CG605" s="48">
        <f t="shared" si="3406"/>
        <v>4.7499900000000004</v>
      </c>
      <c r="CH605" s="48">
        <f>SUM(BD605:BF605)</f>
        <v>4.7499900000000004</v>
      </c>
      <c r="CI605" s="48">
        <f t="shared" si="3408"/>
        <v>4.7499900000000004</v>
      </c>
      <c r="CJ605" s="48">
        <f t="shared" si="3409"/>
        <v>4.7499900000000004</v>
      </c>
      <c r="CK605" s="48">
        <f>SUM(BG605:BI605)</f>
        <v>4.7499900000000004</v>
      </c>
      <c r="CL605" s="48">
        <f t="shared" si="3411"/>
        <v>0</v>
      </c>
      <c r="CM605" s="48">
        <f t="shared" si="3412"/>
        <v>0</v>
      </c>
      <c r="CN605" s="48">
        <f t="shared" si="3381"/>
        <v>0</v>
      </c>
      <c r="CO605" s="406"/>
      <c r="CP605" s="48">
        <f>AL605</f>
        <v>2.0833333333333335</v>
      </c>
      <c r="CQ605" s="48">
        <f t="shared" ref="CQ605:DA605" si="3429">CP605+AM605</f>
        <v>4.166666666666667</v>
      </c>
      <c r="CR605" s="48">
        <f t="shared" si="3429"/>
        <v>6.25</v>
      </c>
      <c r="CS605" s="48">
        <f t="shared" si="3429"/>
        <v>8.3333333333333339</v>
      </c>
      <c r="CT605" s="48">
        <f t="shared" si="3429"/>
        <v>10.416666666666668</v>
      </c>
      <c r="CU605" s="48">
        <f t="shared" si="3429"/>
        <v>12.500000000000002</v>
      </c>
      <c r="CV605" s="48">
        <f t="shared" si="3429"/>
        <v>14.583333333333336</v>
      </c>
      <c r="CW605" s="48">
        <f t="shared" si="3429"/>
        <v>16.666666666666668</v>
      </c>
      <c r="CX605" s="48">
        <f t="shared" si="3429"/>
        <v>18.75</v>
      </c>
      <c r="CY605" s="48">
        <f t="shared" si="3429"/>
        <v>20.833333333333332</v>
      </c>
      <c r="CZ605" s="48">
        <f t="shared" si="3429"/>
        <v>22.916666666666664</v>
      </c>
      <c r="DA605" s="48">
        <f t="shared" si="3429"/>
        <v>24.999999999999996</v>
      </c>
      <c r="DB605" s="48">
        <f>AX605</f>
        <v>1.5833333333333333</v>
      </c>
      <c r="DC605" s="48">
        <f t="shared" ref="DC605:DM605" si="3430">DB605+AY605</f>
        <v>3.1666633333333332</v>
      </c>
      <c r="DD605" s="48">
        <f t="shared" si="3430"/>
        <v>4.7499933333333333</v>
      </c>
      <c r="DE605" s="48">
        <f t="shared" si="3430"/>
        <v>6.3333233333333334</v>
      </c>
      <c r="DF605" s="48">
        <f t="shared" si="3430"/>
        <v>7.9166533333333335</v>
      </c>
      <c r="DG605" s="48">
        <f t="shared" si="3430"/>
        <v>9.4999833333333328</v>
      </c>
      <c r="DH605" s="48">
        <f t="shared" si="3430"/>
        <v>11.083313333333333</v>
      </c>
      <c r="DI605" s="48">
        <f t="shared" si="3430"/>
        <v>12.666643333333333</v>
      </c>
      <c r="DJ605" s="48">
        <f t="shared" si="3430"/>
        <v>14.249973333333333</v>
      </c>
      <c r="DK605" s="48">
        <f t="shared" si="3430"/>
        <v>15.833303333333333</v>
      </c>
      <c r="DL605" s="48">
        <f t="shared" si="3430"/>
        <v>17.416633333333333</v>
      </c>
      <c r="DM605" s="48">
        <f t="shared" si="3430"/>
        <v>18.999963333333334</v>
      </c>
      <c r="DN605" s="48">
        <f>BJ605</f>
        <v>0</v>
      </c>
      <c r="DO605" s="48">
        <f>DN605+BK605</f>
        <v>0</v>
      </c>
      <c r="DP605" s="48">
        <f>DO605+BL605</f>
        <v>0</v>
      </c>
      <c r="DQ605" s="48"/>
      <c r="DR605" s="48"/>
      <c r="DS605" s="48"/>
      <c r="DT605" s="48"/>
      <c r="DU605" s="48"/>
      <c r="DV605" s="48"/>
      <c r="DW605" s="48"/>
      <c r="DX605" s="48"/>
      <c r="DY605" s="48"/>
      <c r="EA605" s="52">
        <f t="shared" si="3420"/>
        <v>24.999999999999996</v>
      </c>
      <c r="EB605" s="52">
        <f t="shared" si="3421"/>
        <v>18.999963333333334</v>
      </c>
      <c r="EC605" s="52"/>
      <c r="ED605" s="429"/>
      <c r="EE605" s="51">
        <f t="shared" si="3385"/>
        <v>0</v>
      </c>
      <c r="EF605" s="51">
        <f t="shared" si="3386"/>
        <v>0</v>
      </c>
      <c r="EG605" s="51">
        <f t="shared" ref="EG605:EG613" si="3431">HLOOKUP($EJ$4,Budget,ROW()-1)</f>
        <v>18.999963333333334</v>
      </c>
      <c r="EH605" s="54"/>
      <c r="EI605" s="54"/>
      <c r="EJ605" s="54"/>
      <c r="EK605" s="675"/>
      <c r="EL605" s="53"/>
      <c r="EM605" s="53"/>
      <c r="EN605" s="53"/>
      <c r="EO605" s="49"/>
      <c r="EP605" s="49"/>
      <c r="EQ605" s="49"/>
    </row>
    <row r="606" spans="1:149">
      <c r="A606" s="15" t="s">
        <v>23</v>
      </c>
      <c r="B606" s="14" t="s">
        <v>7</v>
      </c>
      <c r="C606" s="16" t="s">
        <v>45</v>
      </c>
      <c r="D606" s="16"/>
      <c r="E606" s="16" t="s">
        <v>16</v>
      </c>
      <c r="F606" s="16"/>
      <c r="G606" s="16" t="s">
        <v>89</v>
      </c>
      <c r="H606" s="16"/>
      <c r="I606" s="207"/>
      <c r="J606" s="208">
        <v>1</v>
      </c>
      <c r="K606" s="208">
        <v>1</v>
      </c>
      <c r="L606" s="208">
        <v>1</v>
      </c>
      <c r="M606" s="208">
        <v>1</v>
      </c>
      <c r="N606" s="208">
        <v>1</v>
      </c>
      <c r="O606" s="208">
        <v>1</v>
      </c>
      <c r="P606" s="208">
        <v>1</v>
      </c>
      <c r="Q606" s="208">
        <v>1</v>
      </c>
      <c r="R606" s="208">
        <v>1</v>
      </c>
      <c r="S606" s="208">
        <v>1</v>
      </c>
      <c r="T606" s="208">
        <v>1</v>
      </c>
      <c r="U606" s="208">
        <v>1</v>
      </c>
      <c r="V606" s="220">
        <f>$AG606</f>
        <v>0.95</v>
      </c>
      <c r="W606" s="250">
        <f t="shared" ref="W606:AF606" si="3432">$AG606</f>
        <v>0.95</v>
      </c>
      <c r="X606" s="250">
        <f t="shared" si="3432"/>
        <v>0.95</v>
      </c>
      <c r="Y606" s="250">
        <f t="shared" si="3432"/>
        <v>0.95</v>
      </c>
      <c r="Z606" s="250">
        <f t="shared" si="3432"/>
        <v>0.95</v>
      </c>
      <c r="AA606" s="250">
        <f t="shared" si="3432"/>
        <v>0.95</v>
      </c>
      <c r="AB606" s="250">
        <f t="shared" si="3432"/>
        <v>0.95</v>
      </c>
      <c r="AC606" s="250">
        <f t="shared" si="3432"/>
        <v>0.95</v>
      </c>
      <c r="AD606" s="250">
        <f t="shared" si="3432"/>
        <v>0.95</v>
      </c>
      <c r="AE606" s="250">
        <f t="shared" si="3432"/>
        <v>0.95</v>
      </c>
      <c r="AF606" s="250">
        <f t="shared" si="3432"/>
        <v>0.95</v>
      </c>
      <c r="AG606" s="250">
        <v>0.95</v>
      </c>
      <c r="AH606" s="33">
        <v>0.95</v>
      </c>
      <c r="AI606" s="220">
        <v>0.95</v>
      </c>
      <c r="AJ606" s="220">
        <v>0.95</v>
      </c>
      <c r="AK606" s="412"/>
      <c r="AL606" s="55">
        <f>J606</f>
        <v>1</v>
      </c>
      <c r="AM606" s="55">
        <f t="shared" ref="AM606:AW606" si="3433">K606</f>
        <v>1</v>
      </c>
      <c r="AN606" s="55">
        <f t="shared" si="3433"/>
        <v>1</v>
      </c>
      <c r="AO606" s="55">
        <f t="shared" si="3433"/>
        <v>1</v>
      </c>
      <c r="AP606" s="55">
        <f t="shared" si="3433"/>
        <v>1</v>
      </c>
      <c r="AQ606" s="55">
        <f t="shared" si="3433"/>
        <v>1</v>
      </c>
      <c r="AR606" s="55">
        <f t="shared" si="3433"/>
        <v>1</v>
      </c>
      <c r="AS606" s="55">
        <f t="shared" si="3433"/>
        <v>1</v>
      </c>
      <c r="AT606" s="55">
        <f t="shared" si="3433"/>
        <v>1</v>
      </c>
      <c r="AU606" s="55">
        <f t="shared" si="3433"/>
        <v>1</v>
      </c>
      <c r="AV606" s="55">
        <f t="shared" si="3433"/>
        <v>1</v>
      </c>
      <c r="AW606" s="55">
        <f t="shared" si="3433"/>
        <v>1</v>
      </c>
      <c r="AX606" s="55">
        <f>V606</f>
        <v>0.95</v>
      </c>
      <c r="AY606" s="55">
        <f t="shared" ref="AY606:BI606" si="3434">W606</f>
        <v>0.95</v>
      </c>
      <c r="AZ606" s="55">
        <f t="shared" si="3434"/>
        <v>0.95</v>
      </c>
      <c r="BA606" s="55">
        <f t="shared" si="3434"/>
        <v>0.95</v>
      </c>
      <c r="BB606" s="55">
        <f t="shared" si="3434"/>
        <v>0.95</v>
      </c>
      <c r="BC606" s="55">
        <f t="shared" si="3434"/>
        <v>0.95</v>
      </c>
      <c r="BD606" s="55">
        <f t="shared" si="3434"/>
        <v>0.95</v>
      </c>
      <c r="BE606" s="55">
        <f t="shared" si="3434"/>
        <v>0.95</v>
      </c>
      <c r="BF606" s="55">
        <f t="shared" si="3434"/>
        <v>0.95</v>
      </c>
      <c r="BG606" s="55">
        <f t="shared" si="3434"/>
        <v>0.95</v>
      </c>
      <c r="BH606" s="55">
        <f t="shared" si="3434"/>
        <v>0.95</v>
      </c>
      <c r="BI606" s="55">
        <f t="shared" si="3434"/>
        <v>0.95</v>
      </c>
      <c r="BJ606" s="55">
        <f>AH606</f>
        <v>0.95</v>
      </c>
      <c r="BK606" s="55">
        <f t="shared" ref="BK606:BL606" si="3435">AI606</f>
        <v>0.95</v>
      </c>
      <c r="BL606" s="55">
        <f t="shared" si="3435"/>
        <v>0.95</v>
      </c>
      <c r="BM606" s="410"/>
      <c r="BN606" s="56">
        <f t="shared" si="3388"/>
        <v>1</v>
      </c>
      <c r="BO606" s="56">
        <f t="shared" si="3389"/>
        <v>1</v>
      </c>
      <c r="BP606" s="56">
        <f>(AL606*AL605+AM606*AM605+AN606*AN605)/BP605</f>
        <v>1</v>
      </c>
      <c r="BQ606" s="56">
        <f t="shared" si="3391"/>
        <v>1</v>
      </c>
      <c r="BR606" s="56">
        <f t="shared" si="3392"/>
        <v>1</v>
      </c>
      <c r="BS606" s="56">
        <f>(AO606*AO605+AP606*AP605+AQ606*AQ605)/BS605</f>
        <v>1</v>
      </c>
      <c r="BT606" s="56">
        <f t="shared" si="3394"/>
        <v>1</v>
      </c>
      <c r="BU606" s="56">
        <f t="shared" si="3395"/>
        <v>1</v>
      </c>
      <c r="BV606" s="56">
        <f>(AR606*AR605+AS606*AS605+AT606*AT605)/BV605</f>
        <v>1</v>
      </c>
      <c r="BW606" s="56">
        <f t="shared" si="3397"/>
        <v>1</v>
      </c>
      <c r="BX606" s="56">
        <f t="shared" si="3398"/>
        <v>1</v>
      </c>
      <c r="BY606" s="56">
        <f>(AU606*AU605+AV606*AV605+AW606*AW605)/BY605</f>
        <v>1</v>
      </c>
      <c r="BZ606" s="56">
        <f t="shared" si="3400"/>
        <v>0.95</v>
      </c>
      <c r="CA606" s="56">
        <f t="shared" si="3401"/>
        <v>0.95</v>
      </c>
      <c r="CB606" s="99">
        <f t="shared" si="3423"/>
        <v>0.95</v>
      </c>
      <c r="CC606" s="99">
        <f t="shared" ref="CC606:CK606" si="3436">Y606</f>
        <v>0.95</v>
      </c>
      <c r="CD606" s="99">
        <f t="shared" si="3436"/>
        <v>0.95</v>
      </c>
      <c r="CE606" s="99">
        <f t="shared" si="3436"/>
        <v>0.95</v>
      </c>
      <c r="CF606" s="99">
        <f t="shared" si="3436"/>
        <v>0.95</v>
      </c>
      <c r="CG606" s="99">
        <f t="shared" si="3436"/>
        <v>0.95</v>
      </c>
      <c r="CH606" s="99">
        <f t="shared" si="3436"/>
        <v>0.95</v>
      </c>
      <c r="CI606" s="99">
        <f t="shared" si="3436"/>
        <v>0.95</v>
      </c>
      <c r="CJ606" s="99">
        <f t="shared" si="3436"/>
        <v>0.95</v>
      </c>
      <c r="CK606" s="99">
        <f t="shared" si="3436"/>
        <v>0.95</v>
      </c>
      <c r="CL606" s="56">
        <v>0.95</v>
      </c>
      <c r="CM606" s="56">
        <v>0.95</v>
      </c>
      <c r="CN606" s="56">
        <v>0.95</v>
      </c>
      <c r="CO606" s="422"/>
      <c r="CP606" s="56">
        <f t="shared" ref="CP606:DA606" si="3437">CP619/CP605</f>
        <v>1</v>
      </c>
      <c r="CQ606" s="56">
        <f t="shared" si="3437"/>
        <v>1</v>
      </c>
      <c r="CR606" s="56">
        <f t="shared" si="3437"/>
        <v>1</v>
      </c>
      <c r="CS606" s="56">
        <f t="shared" si="3437"/>
        <v>1</v>
      </c>
      <c r="CT606" s="56">
        <f t="shared" si="3437"/>
        <v>1</v>
      </c>
      <c r="CU606" s="56">
        <f t="shared" si="3437"/>
        <v>1</v>
      </c>
      <c r="CV606" s="56">
        <f t="shared" si="3437"/>
        <v>1</v>
      </c>
      <c r="CW606" s="56">
        <f t="shared" si="3437"/>
        <v>1</v>
      </c>
      <c r="CX606" s="56">
        <f t="shared" si="3437"/>
        <v>1</v>
      </c>
      <c r="CY606" s="56">
        <f t="shared" si="3437"/>
        <v>1</v>
      </c>
      <c r="CZ606" s="56">
        <f t="shared" si="3437"/>
        <v>1</v>
      </c>
      <c r="DA606" s="56">
        <f t="shared" si="3437"/>
        <v>1</v>
      </c>
      <c r="DB606" s="56">
        <f>0.95</f>
        <v>0.95</v>
      </c>
      <c r="DC606" s="56">
        <f t="shared" ref="DC606:DP606" si="3438">DB606</f>
        <v>0.95</v>
      </c>
      <c r="DD606" s="56">
        <f t="shared" si="3438"/>
        <v>0.95</v>
      </c>
      <c r="DE606" s="56">
        <f t="shared" si="3438"/>
        <v>0.95</v>
      </c>
      <c r="DF606" s="56">
        <f t="shared" si="3438"/>
        <v>0.95</v>
      </c>
      <c r="DG606" s="56">
        <f t="shared" si="3438"/>
        <v>0.95</v>
      </c>
      <c r="DH606" s="56">
        <f t="shared" si="3438"/>
        <v>0.95</v>
      </c>
      <c r="DI606" s="56">
        <f t="shared" si="3438"/>
        <v>0.95</v>
      </c>
      <c r="DJ606" s="56">
        <f t="shared" si="3438"/>
        <v>0.95</v>
      </c>
      <c r="DK606" s="56">
        <f t="shared" si="3438"/>
        <v>0.95</v>
      </c>
      <c r="DL606" s="56">
        <f t="shared" si="3438"/>
        <v>0.95</v>
      </c>
      <c r="DM606" s="56">
        <f t="shared" si="3438"/>
        <v>0.95</v>
      </c>
      <c r="DN606" s="56">
        <f t="shared" si="3438"/>
        <v>0.95</v>
      </c>
      <c r="DO606" s="56">
        <f t="shared" si="3438"/>
        <v>0.95</v>
      </c>
      <c r="DP606" s="56">
        <f t="shared" si="3438"/>
        <v>0.95</v>
      </c>
      <c r="DQ606" s="56"/>
      <c r="DR606" s="56"/>
      <c r="DS606" s="56"/>
      <c r="DT606" s="56"/>
      <c r="DU606" s="56"/>
      <c r="DV606" s="56"/>
      <c r="DW606" s="56"/>
      <c r="DX606" s="56"/>
      <c r="DY606" s="56"/>
      <c r="DZ606" s="14"/>
      <c r="EA606" s="55">
        <f t="shared" si="3420"/>
        <v>1</v>
      </c>
      <c r="EB606" s="55">
        <f t="shared" si="3421"/>
        <v>0.95</v>
      </c>
      <c r="EC606" s="55"/>
      <c r="ED606" s="430"/>
      <c r="EE606" s="56">
        <f t="shared" si="3385"/>
        <v>0.95</v>
      </c>
      <c r="EF606" s="56">
        <f t="shared" si="3386"/>
        <v>0.95</v>
      </c>
      <c r="EG606" s="56">
        <f t="shared" si="3386"/>
        <v>0.95</v>
      </c>
      <c r="EH606" s="57"/>
      <c r="EI606" s="57"/>
      <c r="EJ606" s="57"/>
      <c r="EK606" s="675"/>
      <c r="EL606" s="55"/>
      <c r="EM606" s="55"/>
      <c r="EN606" s="55"/>
      <c r="EO606" s="49"/>
      <c r="EP606" s="49"/>
      <c r="EQ606" s="49"/>
      <c r="ER606" s="14"/>
      <c r="ES606" s="14"/>
    </row>
    <row r="607" spans="1:149">
      <c r="A607" s="6" t="s">
        <v>23</v>
      </c>
      <c r="B607" s="2" t="s">
        <v>8</v>
      </c>
      <c r="C607" s="3" t="s">
        <v>86</v>
      </c>
      <c r="E607" s="3" t="s">
        <v>16</v>
      </c>
      <c r="G607" s="3" t="s">
        <v>91</v>
      </c>
      <c r="I607" s="206"/>
      <c r="J607" s="203">
        <v>1</v>
      </c>
      <c r="K607" s="203">
        <v>2</v>
      </c>
      <c r="L607" s="203">
        <v>3</v>
      </c>
      <c r="M607" s="203">
        <v>4</v>
      </c>
      <c r="N607" s="203">
        <v>5</v>
      </c>
      <c r="O607" s="203">
        <v>6</v>
      </c>
      <c r="P607" s="203">
        <v>7</v>
      </c>
      <c r="Q607" s="203">
        <v>8</v>
      </c>
      <c r="R607" s="203">
        <v>9</v>
      </c>
      <c r="S607" s="203">
        <v>10</v>
      </c>
      <c r="T607" s="203">
        <v>11</v>
      </c>
      <c r="U607" s="203">
        <v>12</v>
      </c>
      <c r="V607" s="219">
        <f>14/12</f>
        <v>1.1666666666666667</v>
      </c>
      <c r="W607" s="246">
        <f>V607+1.16667</f>
        <v>2.3333366666666668</v>
      </c>
      <c r="X607" s="376">
        <f t="shared" ref="X607:AG607" si="3439">W607+1.16667</f>
        <v>3.5000066666666667</v>
      </c>
      <c r="Y607" s="376">
        <f t="shared" si="3439"/>
        <v>4.6666766666666666</v>
      </c>
      <c r="Z607" s="376">
        <f t="shared" si="3439"/>
        <v>5.8333466666666665</v>
      </c>
      <c r="AA607" s="376">
        <f t="shared" si="3439"/>
        <v>7.0000166666666663</v>
      </c>
      <c r="AB607" s="376">
        <f t="shared" si="3439"/>
        <v>8.1666866666666671</v>
      </c>
      <c r="AC607" s="376">
        <f t="shared" si="3439"/>
        <v>9.333356666666667</v>
      </c>
      <c r="AD607" s="376">
        <f t="shared" si="3439"/>
        <v>10.500026666666667</v>
      </c>
      <c r="AE607" s="376">
        <f t="shared" si="3439"/>
        <v>11.666696666666667</v>
      </c>
      <c r="AF607" s="376">
        <f t="shared" si="3439"/>
        <v>12.833366666666667</v>
      </c>
      <c r="AG607" s="263">
        <f t="shared" si="3439"/>
        <v>14.000036666666666</v>
      </c>
      <c r="AH607" s="31"/>
      <c r="AI607" s="19"/>
      <c r="AJ607" s="19"/>
      <c r="AK607" s="408"/>
      <c r="AL607" s="40">
        <f>J607</f>
        <v>1</v>
      </c>
      <c r="AM607" s="40">
        <f>K607-J607</f>
        <v>1</v>
      </c>
      <c r="AN607" s="40">
        <f t="shared" ref="AN607:AN613" si="3440">L607-K607</f>
        <v>1</v>
      </c>
      <c r="AO607" s="40">
        <f t="shared" ref="AO607:AO613" si="3441">M607-L607</f>
        <v>1</v>
      </c>
      <c r="AP607" s="40">
        <f t="shared" ref="AP607:AP613" si="3442">N607-M607</f>
        <v>1</v>
      </c>
      <c r="AQ607" s="40">
        <f t="shared" ref="AQ607:AQ613" si="3443">O607-N607</f>
        <v>1</v>
      </c>
      <c r="AR607" s="40">
        <f t="shared" ref="AR607:AR613" si="3444">P607-O607</f>
        <v>1</v>
      </c>
      <c r="AS607" s="40">
        <f t="shared" ref="AS607:AS613" si="3445">Q607-P607</f>
        <v>1</v>
      </c>
      <c r="AT607" s="40">
        <f t="shared" ref="AT607:AT613" si="3446">R607-Q607</f>
        <v>1</v>
      </c>
      <c r="AU607" s="40">
        <f t="shared" ref="AU607:AU613" si="3447">S607-R607</f>
        <v>1</v>
      </c>
      <c r="AV607" s="40">
        <f t="shared" ref="AV607:AV613" si="3448">T607-S607</f>
        <v>1</v>
      </c>
      <c r="AW607" s="40">
        <f t="shared" ref="AW607:AW613" si="3449">U607-T607</f>
        <v>1</v>
      </c>
      <c r="AX607" s="40">
        <f>14/12</f>
        <v>1.1666666666666667</v>
      </c>
      <c r="AY607" s="40">
        <f t="shared" ref="AY607:BI607" si="3450">14/12</f>
        <v>1.1666666666666667</v>
      </c>
      <c r="AZ607" s="40">
        <f t="shared" si="3450"/>
        <v>1.1666666666666667</v>
      </c>
      <c r="BA607" s="40">
        <f t="shared" si="3450"/>
        <v>1.1666666666666667</v>
      </c>
      <c r="BB607" s="40">
        <f t="shared" si="3450"/>
        <v>1.1666666666666667</v>
      </c>
      <c r="BC607" s="40">
        <f t="shared" si="3450"/>
        <v>1.1666666666666667</v>
      </c>
      <c r="BD607" s="40">
        <f t="shared" si="3450"/>
        <v>1.1666666666666667</v>
      </c>
      <c r="BE607" s="40">
        <f t="shared" si="3450"/>
        <v>1.1666666666666667</v>
      </c>
      <c r="BF607" s="40">
        <f t="shared" si="3450"/>
        <v>1.1666666666666667</v>
      </c>
      <c r="BG607" s="40">
        <f t="shared" si="3450"/>
        <v>1.1666666666666667</v>
      </c>
      <c r="BH607" s="40">
        <f t="shared" si="3450"/>
        <v>1.1666666666666667</v>
      </c>
      <c r="BI607" s="40">
        <f t="shared" si="3450"/>
        <v>1.1666666666666667</v>
      </c>
      <c r="BJ607" s="40">
        <f t="shared" ref="BJ607:BJ612" si="3451">AH607</f>
        <v>0</v>
      </c>
      <c r="BK607" s="40">
        <f t="shared" ref="BK607:BK613" si="3452">AI607-AH607</f>
        <v>0</v>
      </c>
      <c r="BL607" s="40">
        <f t="shared" ref="BL607:BL613" si="3453">AJ607-AI607</f>
        <v>0</v>
      </c>
      <c r="BM607" s="408"/>
      <c r="BN607" s="48">
        <f t="shared" si="3388"/>
        <v>3</v>
      </c>
      <c r="BO607" s="48">
        <f t="shared" si="3389"/>
        <v>3</v>
      </c>
      <c r="BP607" s="48">
        <f t="shared" ref="BP607:BP612" si="3454">SUM(AL607:AN607)</f>
        <v>3</v>
      </c>
      <c r="BQ607" s="48">
        <f t="shared" si="3391"/>
        <v>3</v>
      </c>
      <c r="BR607" s="48">
        <f t="shared" si="3392"/>
        <v>3</v>
      </c>
      <c r="BS607" s="48">
        <f t="shared" ref="BS607:BS613" si="3455">SUM(AO607:AQ607)</f>
        <v>3</v>
      </c>
      <c r="BT607" s="48">
        <f t="shared" si="3394"/>
        <v>3</v>
      </c>
      <c r="BU607" s="48">
        <f t="shared" si="3395"/>
        <v>3</v>
      </c>
      <c r="BV607" s="48">
        <f t="shared" ref="BV607:BV613" si="3456">SUM(AR607:AT607)</f>
        <v>3</v>
      </c>
      <c r="BW607" s="48">
        <f t="shared" si="3397"/>
        <v>3</v>
      </c>
      <c r="BX607" s="48">
        <f t="shared" si="3398"/>
        <v>3</v>
      </c>
      <c r="BY607" s="48">
        <f t="shared" ref="BY607:BY613" si="3457">SUM(AU607:AW607)</f>
        <v>3</v>
      </c>
      <c r="BZ607" s="48">
        <f>14/12*3</f>
        <v>3.5</v>
      </c>
      <c r="CA607" s="48">
        <f>14/12*3</f>
        <v>3.5</v>
      </c>
      <c r="CB607" s="99">
        <f t="shared" si="3423"/>
        <v>3.5000066666666667</v>
      </c>
      <c r="CC607" s="48">
        <f>CB607*2</f>
        <v>7.0000133333333334</v>
      </c>
      <c r="CD607" s="48">
        <f>CB607*2</f>
        <v>7.0000133333333334</v>
      </c>
      <c r="CE607" s="48">
        <f>SUM(BA607:BC607)</f>
        <v>3.5</v>
      </c>
      <c r="CF607" s="48">
        <f t="shared" si="3405"/>
        <v>3.5</v>
      </c>
      <c r="CG607" s="48">
        <f t="shared" si="3406"/>
        <v>3.5</v>
      </c>
      <c r="CH607" s="48">
        <f>SUM(BD607:BF607)</f>
        <v>3.5</v>
      </c>
      <c r="CI607" s="48">
        <f t="shared" si="3408"/>
        <v>3.5</v>
      </c>
      <c r="CJ607" s="48">
        <f t="shared" si="3409"/>
        <v>3.5</v>
      </c>
      <c r="CK607" s="48">
        <f>SUM(BG607:BI607)</f>
        <v>3.5</v>
      </c>
      <c r="CL607" s="48">
        <f t="shared" si="3411"/>
        <v>0</v>
      </c>
      <c r="CM607" s="48">
        <f t="shared" si="3412"/>
        <v>0</v>
      </c>
      <c r="CN607" s="48">
        <f>SUM(BJ607:BL607)</f>
        <v>0</v>
      </c>
      <c r="CO607" s="406"/>
      <c r="CP607" s="48">
        <f>AL607</f>
        <v>1</v>
      </c>
      <c r="CQ607" s="48">
        <f t="shared" ref="CQ607:CQ613" si="3458">CP607+AM607</f>
        <v>2</v>
      </c>
      <c r="CR607" s="48">
        <f t="shared" ref="CR607:CR613" si="3459">CQ607+AN607</f>
        <v>3</v>
      </c>
      <c r="CS607" s="48">
        <f t="shared" ref="CS607:CS613" si="3460">CR607+AO607</f>
        <v>4</v>
      </c>
      <c r="CT607" s="48">
        <f t="shared" ref="CT607:CT613" si="3461">CS607+AP607</f>
        <v>5</v>
      </c>
      <c r="CU607" s="48">
        <f t="shared" ref="CU607:CU613" si="3462">CT607+AQ607</f>
        <v>6</v>
      </c>
      <c r="CV607" s="48">
        <f t="shared" ref="CV607:CV613" si="3463">CU607+AR607</f>
        <v>7</v>
      </c>
      <c r="CW607" s="48">
        <f t="shared" ref="CW607:CW613" si="3464">CV607+AS607</f>
        <v>8</v>
      </c>
      <c r="CX607" s="48">
        <f t="shared" ref="CX607:CX613" si="3465">CW607+AT607</f>
        <v>9</v>
      </c>
      <c r="CY607" s="48">
        <f t="shared" ref="CY607:CY613" si="3466">CX607+AU607</f>
        <v>10</v>
      </c>
      <c r="CZ607" s="48">
        <f t="shared" ref="CZ607:CZ613" si="3467">CY607+AV607</f>
        <v>11</v>
      </c>
      <c r="DA607" s="48">
        <f t="shared" ref="DA607:DA613" si="3468">CZ607+AW607</f>
        <v>12</v>
      </c>
      <c r="DB607" s="48">
        <f>14/12</f>
        <v>1.1666666666666667</v>
      </c>
      <c r="DC607" s="48">
        <f>DB607+1.166</f>
        <v>2.3326666666666664</v>
      </c>
      <c r="DD607" s="48">
        <f t="shared" ref="DD607:DM607" si="3469">DC607+1.166</f>
        <v>3.4986666666666664</v>
      </c>
      <c r="DE607" s="48">
        <f t="shared" si="3469"/>
        <v>4.6646666666666663</v>
      </c>
      <c r="DF607" s="48">
        <f t="shared" si="3469"/>
        <v>5.8306666666666658</v>
      </c>
      <c r="DG607" s="48">
        <f t="shared" si="3469"/>
        <v>6.9966666666666661</v>
      </c>
      <c r="DH607" s="48">
        <f t="shared" si="3469"/>
        <v>8.1626666666666665</v>
      </c>
      <c r="DI607" s="48">
        <f t="shared" si="3469"/>
        <v>9.3286666666666669</v>
      </c>
      <c r="DJ607" s="48">
        <f t="shared" si="3469"/>
        <v>10.494666666666667</v>
      </c>
      <c r="DK607" s="48">
        <f t="shared" si="3469"/>
        <v>11.660666666666668</v>
      </c>
      <c r="DL607" s="48">
        <f t="shared" si="3469"/>
        <v>12.826666666666668</v>
      </c>
      <c r="DM607" s="48">
        <f t="shared" si="3469"/>
        <v>13.992666666666668</v>
      </c>
      <c r="DN607" s="48">
        <f t="shared" ref="DN607:DN612" si="3470">BJ607</f>
        <v>0</v>
      </c>
      <c r="DO607" s="48">
        <f>DN607+BK607</f>
        <v>0</v>
      </c>
      <c r="DP607" s="48">
        <f>DO607+BL607</f>
        <v>0</v>
      </c>
      <c r="DQ607" s="48"/>
      <c r="DR607" s="48"/>
      <c r="DS607" s="48"/>
      <c r="DT607" s="48"/>
      <c r="DU607" s="48"/>
      <c r="DV607" s="48"/>
      <c r="DW607" s="48"/>
      <c r="DX607" s="48"/>
      <c r="DY607" s="48"/>
      <c r="EA607" s="52">
        <f t="shared" si="3420"/>
        <v>12</v>
      </c>
      <c r="EB607" s="52">
        <f t="shared" si="3421"/>
        <v>13.992666666666668</v>
      </c>
      <c r="EC607" s="52"/>
      <c r="ED607" s="429"/>
      <c r="EE607" s="40">
        <f t="shared" si="3385"/>
        <v>0</v>
      </c>
      <c r="EF607" s="40">
        <f t="shared" si="3386"/>
        <v>0</v>
      </c>
      <c r="EG607" s="51">
        <f t="shared" si="3431"/>
        <v>13.992666666666668</v>
      </c>
      <c r="EH607" s="54"/>
      <c r="EI607" s="54"/>
      <c r="EJ607" s="54"/>
      <c r="EK607" s="675"/>
      <c r="EL607" s="53"/>
      <c r="EM607" s="53"/>
      <c r="EN607" s="53"/>
      <c r="EO607" s="49"/>
      <c r="EP607" s="49"/>
      <c r="EQ607" s="49"/>
    </row>
    <row r="608" spans="1:149">
      <c r="A608" s="6" t="s">
        <v>23</v>
      </c>
      <c r="B608" s="2" t="s">
        <v>9</v>
      </c>
      <c r="C608" s="3" t="s">
        <v>46</v>
      </c>
      <c r="E608" s="3" t="s">
        <v>16</v>
      </c>
      <c r="G608" s="3" t="s">
        <v>91</v>
      </c>
      <c r="I608" s="206"/>
      <c r="J608" s="203">
        <v>70</v>
      </c>
      <c r="K608" s="203">
        <v>140</v>
      </c>
      <c r="L608" s="203">
        <v>210</v>
      </c>
      <c r="M608" s="203">
        <v>280</v>
      </c>
      <c r="N608" s="203">
        <v>350</v>
      </c>
      <c r="O608" s="203">
        <v>420</v>
      </c>
      <c r="P608" s="203">
        <v>490</v>
      </c>
      <c r="Q608" s="203">
        <v>560</v>
      </c>
      <c r="R608" s="203">
        <v>630</v>
      </c>
      <c r="S608" s="203">
        <v>700</v>
      </c>
      <c r="T608" s="203">
        <v>770</v>
      </c>
      <c r="U608" s="203">
        <v>840</v>
      </c>
      <c r="V608" s="376">
        <f>1614/12</f>
        <v>134.5</v>
      </c>
      <c r="W608" s="376">
        <f>V608+134.5</f>
        <v>269</v>
      </c>
      <c r="X608" s="376">
        <f t="shared" ref="X608:AG608" si="3471">W608+134.5</f>
        <v>403.5</v>
      </c>
      <c r="Y608" s="376">
        <f t="shared" si="3471"/>
        <v>538</v>
      </c>
      <c r="Z608" s="376">
        <f t="shared" si="3471"/>
        <v>672.5</v>
      </c>
      <c r="AA608" s="376">
        <f t="shared" si="3471"/>
        <v>807</v>
      </c>
      <c r="AB608" s="376">
        <f t="shared" si="3471"/>
        <v>941.5</v>
      </c>
      <c r="AC608" s="376">
        <f t="shared" si="3471"/>
        <v>1076</v>
      </c>
      <c r="AD608" s="376">
        <f t="shared" si="3471"/>
        <v>1210.5</v>
      </c>
      <c r="AE608" s="376">
        <f t="shared" si="3471"/>
        <v>1345</v>
      </c>
      <c r="AF608" s="376">
        <f t="shared" si="3471"/>
        <v>1479.5</v>
      </c>
      <c r="AG608" s="376">
        <f t="shared" si="3471"/>
        <v>1614</v>
      </c>
      <c r="AH608" s="31">
        <f>2069/12</f>
        <v>172.41666666666666</v>
      </c>
      <c r="AI608" s="19">
        <f>AH608+AH608</f>
        <v>344.83333333333331</v>
      </c>
      <c r="AJ608" s="19">
        <f>+AI608+AH608</f>
        <v>517.25</v>
      </c>
      <c r="AK608" s="408"/>
      <c r="AL608" s="40">
        <f t="shared" ref="AL608:AL613" si="3472">J608</f>
        <v>70</v>
      </c>
      <c r="AM608" s="40">
        <f t="shared" ref="AM608:AM613" si="3473">K608-J608</f>
        <v>70</v>
      </c>
      <c r="AN608" s="40">
        <f t="shared" si="3440"/>
        <v>70</v>
      </c>
      <c r="AO608" s="40">
        <f t="shared" si="3441"/>
        <v>70</v>
      </c>
      <c r="AP608" s="40">
        <f t="shared" si="3442"/>
        <v>70</v>
      </c>
      <c r="AQ608" s="40">
        <f t="shared" si="3443"/>
        <v>70</v>
      </c>
      <c r="AR608" s="40">
        <f t="shared" si="3444"/>
        <v>70</v>
      </c>
      <c r="AS608" s="40">
        <f t="shared" si="3445"/>
        <v>70</v>
      </c>
      <c r="AT608" s="40">
        <f t="shared" si="3446"/>
        <v>70</v>
      </c>
      <c r="AU608" s="40">
        <f t="shared" si="3447"/>
        <v>70</v>
      </c>
      <c r="AV608" s="40">
        <f t="shared" si="3448"/>
        <v>70</v>
      </c>
      <c r="AW608" s="40">
        <f t="shared" si="3449"/>
        <v>70</v>
      </c>
      <c r="AX608" s="40">
        <f t="shared" ref="AX608:AX613" si="3474">V608</f>
        <v>134.5</v>
      </c>
      <c r="AY608" s="40">
        <f t="shared" ref="AY608:AY613" si="3475">W608-V608</f>
        <v>134.5</v>
      </c>
      <c r="AZ608" s="40">
        <f t="shared" ref="AZ608:AZ613" si="3476">X608-W608</f>
        <v>134.5</v>
      </c>
      <c r="BA608" s="40">
        <f t="shared" ref="BA608:BA613" si="3477">Y608-X608</f>
        <v>134.5</v>
      </c>
      <c r="BB608" s="40">
        <f t="shared" ref="BB608:BB613" si="3478">Z608-Y608</f>
        <v>134.5</v>
      </c>
      <c r="BC608" s="40">
        <f t="shared" ref="BC608:BC613" si="3479">AA608-Z608</f>
        <v>134.5</v>
      </c>
      <c r="BD608" s="40">
        <f t="shared" ref="BD608:BD613" si="3480">AB608-AA608</f>
        <v>134.5</v>
      </c>
      <c r="BE608" s="40">
        <f t="shared" ref="BE608:BE613" si="3481">AC608-AB608</f>
        <v>134.5</v>
      </c>
      <c r="BF608" s="40">
        <f t="shared" ref="BF608:BF613" si="3482">AD608-AC608</f>
        <v>134.5</v>
      </c>
      <c r="BG608" s="40">
        <f t="shared" ref="BG608:BG613" si="3483">AE608-AD608</f>
        <v>134.5</v>
      </c>
      <c r="BH608" s="40">
        <f t="shared" ref="BH608:BH613" si="3484">AF608-AE608</f>
        <v>134.5</v>
      </c>
      <c r="BI608" s="40">
        <f t="shared" ref="BI608:BI613" si="3485">AG608-AF608</f>
        <v>134.5</v>
      </c>
      <c r="BJ608" s="40">
        <f t="shared" si="3451"/>
        <v>172.41666666666666</v>
      </c>
      <c r="BK608" s="40">
        <f t="shared" ref="BK608" si="3486">AI608</f>
        <v>344.83333333333331</v>
      </c>
      <c r="BL608" s="40">
        <f t="shared" ref="BL608" si="3487">AJ608</f>
        <v>517.25</v>
      </c>
      <c r="BM608" s="40">
        <f t="shared" ref="BM608" si="3488">AK608</f>
        <v>0</v>
      </c>
      <c r="BN608" s="40">
        <f t="shared" ref="BN608" si="3489">AL608</f>
        <v>70</v>
      </c>
      <c r="BO608" s="40">
        <f t="shared" ref="BO608" si="3490">AM608</f>
        <v>70</v>
      </c>
      <c r="BP608" s="40">
        <f t="shared" ref="BP608" si="3491">AN608</f>
        <v>70</v>
      </c>
      <c r="BQ608" s="40">
        <f t="shared" ref="BQ608" si="3492">AO608</f>
        <v>70</v>
      </c>
      <c r="BR608" s="40">
        <f t="shared" ref="BR608" si="3493">AP608</f>
        <v>70</v>
      </c>
      <c r="BS608" s="40">
        <f t="shared" ref="BS608" si="3494">AQ608</f>
        <v>70</v>
      </c>
      <c r="BT608" s="40">
        <f t="shared" ref="BT608" si="3495">AR608</f>
        <v>70</v>
      </c>
      <c r="BU608" s="40">
        <f t="shared" ref="BU608" si="3496">AS608</f>
        <v>70</v>
      </c>
      <c r="BV608" s="40">
        <f t="shared" ref="BV608" si="3497">AT608</f>
        <v>70</v>
      </c>
      <c r="BW608" s="40">
        <f t="shared" ref="BW608" si="3498">AU608</f>
        <v>70</v>
      </c>
      <c r="BX608" s="40">
        <f t="shared" ref="BX608" si="3499">AV608</f>
        <v>70</v>
      </c>
      <c r="BY608" s="40">
        <f t="shared" ref="BY608" si="3500">AW608</f>
        <v>70</v>
      </c>
      <c r="BZ608" s="40">
        <f t="shared" ref="BZ608" si="3501">AX608</f>
        <v>134.5</v>
      </c>
      <c r="CA608" s="40">
        <f t="shared" ref="CA608" si="3502">AY608</f>
        <v>134.5</v>
      </c>
      <c r="CB608" s="40">
        <f t="shared" ref="CB608" si="3503">AZ608</f>
        <v>134.5</v>
      </c>
      <c r="CC608" s="40">
        <f t="shared" ref="CC608" si="3504">BA608</f>
        <v>134.5</v>
      </c>
      <c r="CD608" s="40">
        <f t="shared" ref="CD608" si="3505">BB608</f>
        <v>134.5</v>
      </c>
      <c r="CE608" s="40">
        <f t="shared" ref="CE608" si="3506">BC608</f>
        <v>134.5</v>
      </c>
      <c r="CF608" s="40">
        <f t="shared" ref="CF608" si="3507">BD608</f>
        <v>134.5</v>
      </c>
      <c r="CG608" s="40">
        <f t="shared" ref="CG608" si="3508">BE608</f>
        <v>134.5</v>
      </c>
      <c r="CH608" s="40">
        <f t="shared" ref="CH608" si="3509">BF608</f>
        <v>134.5</v>
      </c>
      <c r="CI608" s="40">
        <f t="shared" ref="CI608" si="3510">BG608</f>
        <v>134.5</v>
      </c>
      <c r="CJ608" s="40">
        <f t="shared" ref="CJ608" si="3511">BH608</f>
        <v>134.5</v>
      </c>
      <c r="CK608" s="56">
        <f>IF(CK607=0,0,(BG608*BG607+BH608*BH607+BI608*BI607)/CK607)</f>
        <v>134.50000000000003</v>
      </c>
      <c r="CL608" s="48">
        <f t="shared" si="3411"/>
        <v>517.25</v>
      </c>
      <c r="CM608" s="48">
        <f t="shared" si="3412"/>
        <v>517.25</v>
      </c>
      <c r="CN608" s="48">
        <f>2069/4</f>
        <v>517.25</v>
      </c>
      <c r="CO608" s="406"/>
      <c r="CP608" s="48">
        <f t="shared" ref="CP608:CP613" si="3512">AL608</f>
        <v>70</v>
      </c>
      <c r="CQ608" s="48">
        <f t="shared" si="3458"/>
        <v>140</v>
      </c>
      <c r="CR608" s="48">
        <f t="shared" si="3459"/>
        <v>210</v>
      </c>
      <c r="CS608" s="48">
        <f t="shared" si="3460"/>
        <v>280</v>
      </c>
      <c r="CT608" s="48">
        <f t="shared" si="3461"/>
        <v>350</v>
      </c>
      <c r="CU608" s="48">
        <f t="shared" si="3462"/>
        <v>420</v>
      </c>
      <c r="CV608" s="48">
        <f t="shared" si="3463"/>
        <v>490</v>
      </c>
      <c r="CW608" s="48">
        <f t="shared" si="3464"/>
        <v>560</v>
      </c>
      <c r="CX608" s="48">
        <f t="shared" si="3465"/>
        <v>630</v>
      </c>
      <c r="CY608" s="48">
        <f t="shared" si="3466"/>
        <v>700</v>
      </c>
      <c r="CZ608" s="48">
        <f t="shared" si="3467"/>
        <v>770</v>
      </c>
      <c r="DA608" s="48">
        <f t="shared" si="3468"/>
        <v>840</v>
      </c>
      <c r="DB608" s="48">
        <f t="shared" ref="DB608:DB613" si="3513">AX608</f>
        <v>134.5</v>
      </c>
      <c r="DC608" s="48">
        <f t="shared" ref="DC608:DC613" si="3514">DB608+AY608</f>
        <v>269</v>
      </c>
      <c r="DD608" s="48">
        <f t="shared" ref="DD608:DD613" si="3515">DC608+AZ608</f>
        <v>403.5</v>
      </c>
      <c r="DE608" s="48">
        <f t="shared" ref="DE608:DE613" si="3516">DD608+BA608</f>
        <v>538</v>
      </c>
      <c r="DF608" s="48">
        <f t="shared" ref="DF608:DF613" si="3517">DE608+BB608</f>
        <v>672.5</v>
      </c>
      <c r="DG608" s="48">
        <f t="shared" ref="DG608:DG613" si="3518">DF608+BC608</f>
        <v>807</v>
      </c>
      <c r="DH608" s="48">
        <f t="shared" ref="DH608:DH613" si="3519">DG608+BD608</f>
        <v>941.5</v>
      </c>
      <c r="DI608" s="48">
        <f t="shared" ref="DI608:DI613" si="3520">DH608+BE608</f>
        <v>1076</v>
      </c>
      <c r="DJ608" s="48">
        <f t="shared" ref="DJ608:DJ613" si="3521">DI608+BF608</f>
        <v>1210.5</v>
      </c>
      <c r="DK608" s="48">
        <f t="shared" ref="DK608:DK613" si="3522">DJ608+BG608</f>
        <v>1345</v>
      </c>
      <c r="DL608" s="48">
        <f t="shared" ref="DL608:DL613" si="3523">DK608+BH608</f>
        <v>1479.5</v>
      </c>
      <c r="DM608" s="48">
        <f t="shared" ref="DM608:DM613" si="3524">DL608+BI608</f>
        <v>1614</v>
      </c>
      <c r="DN608" s="48">
        <f t="shared" si="3470"/>
        <v>172.41666666666666</v>
      </c>
      <c r="DO608" s="48">
        <f t="shared" ref="DO608:DO613" si="3525">DN608+BK608</f>
        <v>517.25</v>
      </c>
      <c r="DP608" s="48">
        <f t="shared" ref="DP608:DP613" si="3526">DO608+BL608</f>
        <v>1034.5</v>
      </c>
      <c r="DQ608" s="48"/>
      <c r="DR608" s="48"/>
      <c r="DS608" s="48"/>
      <c r="DT608" s="48"/>
      <c r="DU608" s="48"/>
      <c r="DV608" s="48"/>
      <c r="DW608" s="48"/>
      <c r="DX608" s="48"/>
      <c r="DY608" s="48"/>
      <c r="EA608" s="52">
        <f t="shared" si="3420"/>
        <v>840</v>
      </c>
      <c r="EB608" s="52">
        <f t="shared" si="3421"/>
        <v>1614</v>
      </c>
      <c r="EC608" s="52"/>
      <c r="ED608" s="429"/>
      <c r="EE608" s="40">
        <f t="shared" si="3385"/>
        <v>344.83333333333331</v>
      </c>
      <c r="EF608" s="40">
        <f t="shared" si="3386"/>
        <v>517.25</v>
      </c>
      <c r="EG608" s="51">
        <v>1069</v>
      </c>
      <c r="EH608" s="54"/>
      <c r="EI608" s="54"/>
      <c r="EJ608" s="54"/>
      <c r="EK608" s="675"/>
      <c r="EL608" s="53"/>
      <c r="EM608" s="53"/>
      <c r="EN608" s="53"/>
      <c r="EO608" s="49"/>
      <c r="EP608" s="49"/>
      <c r="EQ608" s="49"/>
    </row>
    <row r="609" spans="1:149">
      <c r="A609" s="6" t="s">
        <v>23</v>
      </c>
      <c r="B609" s="2" t="s">
        <v>10</v>
      </c>
      <c r="C609" s="3" t="s">
        <v>47</v>
      </c>
      <c r="E609" s="3" t="s">
        <v>16</v>
      </c>
      <c r="G609" s="3" t="s">
        <v>91</v>
      </c>
      <c r="I609" s="206"/>
      <c r="J609" s="203">
        <f>J608*0.1</f>
        <v>7</v>
      </c>
      <c r="K609" s="203">
        <f t="shared" ref="K609:U609" si="3527">K608*0.1</f>
        <v>14</v>
      </c>
      <c r="L609" s="203">
        <f t="shared" si="3527"/>
        <v>21</v>
      </c>
      <c r="M609" s="203">
        <f t="shared" si="3527"/>
        <v>28</v>
      </c>
      <c r="N609" s="203">
        <f t="shared" si="3527"/>
        <v>35</v>
      </c>
      <c r="O609" s="203">
        <f t="shared" si="3527"/>
        <v>42</v>
      </c>
      <c r="P609" s="203">
        <f t="shared" si="3527"/>
        <v>49</v>
      </c>
      <c r="Q609" s="203">
        <f t="shared" si="3527"/>
        <v>56</v>
      </c>
      <c r="R609" s="203">
        <f t="shared" si="3527"/>
        <v>63</v>
      </c>
      <c r="S609" s="203">
        <f t="shared" si="3527"/>
        <v>70</v>
      </c>
      <c r="T609" s="203">
        <f t="shared" si="3527"/>
        <v>77</v>
      </c>
      <c r="U609" s="203">
        <f t="shared" si="3527"/>
        <v>84</v>
      </c>
      <c r="V609" s="219">
        <f>161/12</f>
        <v>13.416666666666666</v>
      </c>
      <c r="W609" s="246">
        <f>V609+13.4167</f>
        <v>26.833366666666667</v>
      </c>
      <c r="X609" s="376">
        <f t="shared" ref="X609:AG609" si="3528">W609+13.4167</f>
        <v>40.250066666666669</v>
      </c>
      <c r="Y609" s="376">
        <f t="shared" si="3528"/>
        <v>53.666766666666668</v>
      </c>
      <c r="Z609" s="376">
        <f t="shared" si="3528"/>
        <v>67.083466666666666</v>
      </c>
      <c r="AA609" s="376">
        <f t="shared" si="3528"/>
        <v>80.500166666666672</v>
      </c>
      <c r="AB609" s="376">
        <f t="shared" si="3528"/>
        <v>93.916866666666678</v>
      </c>
      <c r="AC609" s="376">
        <f t="shared" si="3528"/>
        <v>107.33356666666668</v>
      </c>
      <c r="AD609" s="376">
        <f t="shared" si="3528"/>
        <v>120.75026666666669</v>
      </c>
      <c r="AE609" s="376">
        <f t="shared" si="3528"/>
        <v>134.1669666666667</v>
      </c>
      <c r="AF609" s="376">
        <f t="shared" si="3528"/>
        <v>147.58366666666669</v>
      </c>
      <c r="AG609" s="263">
        <f t="shared" si="3528"/>
        <v>161.00036666666668</v>
      </c>
      <c r="AH609" s="31"/>
      <c r="AI609" s="19"/>
      <c r="AJ609" s="19"/>
      <c r="AK609" s="408"/>
      <c r="AL609" s="40">
        <f t="shared" si="3472"/>
        <v>7</v>
      </c>
      <c r="AM609" s="40">
        <f t="shared" si="3473"/>
        <v>7</v>
      </c>
      <c r="AN609" s="40">
        <f t="shared" si="3440"/>
        <v>7</v>
      </c>
      <c r="AO609" s="40">
        <f t="shared" si="3441"/>
        <v>7</v>
      </c>
      <c r="AP609" s="40">
        <f t="shared" si="3442"/>
        <v>7</v>
      </c>
      <c r="AQ609" s="40">
        <f t="shared" si="3443"/>
        <v>7</v>
      </c>
      <c r="AR609" s="40">
        <f t="shared" si="3444"/>
        <v>7</v>
      </c>
      <c r="AS609" s="40">
        <f t="shared" si="3445"/>
        <v>7</v>
      </c>
      <c r="AT609" s="40">
        <f t="shared" si="3446"/>
        <v>7</v>
      </c>
      <c r="AU609" s="40">
        <f t="shared" si="3447"/>
        <v>7</v>
      </c>
      <c r="AV609" s="40">
        <f t="shared" si="3448"/>
        <v>7</v>
      </c>
      <c r="AW609" s="40">
        <f t="shared" si="3449"/>
        <v>7</v>
      </c>
      <c r="AX609" s="40">
        <f t="shared" si="3474"/>
        <v>13.416666666666666</v>
      </c>
      <c r="AY609" s="40">
        <f t="shared" si="3475"/>
        <v>13.416700000000001</v>
      </c>
      <c r="AZ609" s="40">
        <f t="shared" si="3476"/>
        <v>13.416700000000002</v>
      </c>
      <c r="BA609" s="40">
        <f t="shared" si="3477"/>
        <v>13.416699999999999</v>
      </c>
      <c r="BB609" s="40">
        <f t="shared" si="3478"/>
        <v>13.416699999999999</v>
      </c>
      <c r="BC609" s="40">
        <f t="shared" si="3479"/>
        <v>13.416700000000006</v>
      </c>
      <c r="BD609" s="40">
        <f t="shared" si="3480"/>
        <v>13.416700000000006</v>
      </c>
      <c r="BE609" s="40">
        <f t="shared" si="3481"/>
        <v>13.416700000000006</v>
      </c>
      <c r="BF609" s="40">
        <f t="shared" si="3482"/>
        <v>13.416700000000006</v>
      </c>
      <c r="BG609" s="40">
        <f t="shared" si="3483"/>
        <v>13.416700000000006</v>
      </c>
      <c r="BH609" s="40">
        <f t="shared" si="3484"/>
        <v>13.416699999999992</v>
      </c>
      <c r="BI609" s="40">
        <f t="shared" si="3485"/>
        <v>13.416699999999992</v>
      </c>
      <c r="BJ609" s="40">
        <f t="shared" si="3451"/>
        <v>0</v>
      </c>
      <c r="BK609" s="40">
        <f t="shared" si="3452"/>
        <v>0</v>
      </c>
      <c r="BL609" s="40">
        <f t="shared" si="3453"/>
        <v>0</v>
      </c>
      <c r="BM609" s="408"/>
      <c r="BN609" s="48">
        <f t="shared" si="3388"/>
        <v>21</v>
      </c>
      <c r="BO609" s="48">
        <f t="shared" si="3389"/>
        <v>21</v>
      </c>
      <c r="BP609" s="48">
        <f t="shared" si="3454"/>
        <v>21</v>
      </c>
      <c r="BQ609" s="48">
        <f t="shared" si="3391"/>
        <v>21</v>
      </c>
      <c r="BR609" s="48">
        <f t="shared" si="3392"/>
        <v>21</v>
      </c>
      <c r="BS609" s="48">
        <f t="shared" si="3455"/>
        <v>21</v>
      </c>
      <c r="BT609" s="48">
        <f t="shared" si="3394"/>
        <v>21</v>
      </c>
      <c r="BU609" s="48">
        <f t="shared" si="3395"/>
        <v>21</v>
      </c>
      <c r="BV609" s="48">
        <f t="shared" si="3456"/>
        <v>21</v>
      </c>
      <c r="BW609" s="48">
        <f t="shared" si="3397"/>
        <v>21</v>
      </c>
      <c r="BX609" s="48">
        <f t="shared" si="3398"/>
        <v>21</v>
      </c>
      <c r="BY609" s="48">
        <f t="shared" si="3457"/>
        <v>21</v>
      </c>
      <c r="BZ609" s="48">
        <f>BZ608*0.1</f>
        <v>13.450000000000001</v>
      </c>
      <c r="CA609" s="48">
        <f>CA608*0.1</f>
        <v>13.450000000000001</v>
      </c>
      <c r="CB609" s="99">
        <f t="shared" si="3423"/>
        <v>40.250066666666669</v>
      </c>
      <c r="CC609" s="48">
        <f>CC608*0.1</f>
        <v>13.450000000000001</v>
      </c>
      <c r="CD609" s="48">
        <f>CD608*0.1</f>
        <v>13.450000000000001</v>
      </c>
      <c r="CE609" s="48">
        <f>SUM(BA609:BC609)</f>
        <v>40.250100000000003</v>
      </c>
      <c r="CF609" s="48">
        <f t="shared" si="3405"/>
        <v>40.250100000000018</v>
      </c>
      <c r="CG609" s="48">
        <f t="shared" si="3406"/>
        <v>40.250100000000018</v>
      </c>
      <c r="CH609" s="48">
        <f>SUM(BD609:BF609)</f>
        <v>40.250100000000018</v>
      </c>
      <c r="CI609" s="48">
        <f t="shared" si="3408"/>
        <v>40.250099999999989</v>
      </c>
      <c r="CJ609" s="48">
        <f t="shared" si="3409"/>
        <v>40.250099999999989</v>
      </c>
      <c r="CK609" s="48">
        <f>SUM(BG609:BI609)</f>
        <v>40.250099999999989</v>
      </c>
      <c r="CL609" s="48">
        <f t="shared" si="3411"/>
        <v>0</v>
      </c>
      <c r="CM609" s="48">
        <f t="shared" si="3412"/>
        <v>0</v>
      </c>
      <c r="CN609" s="48">
        <f>SUM(BJ609:BL609)</f>
        <v>0</v>
      </c>
      <c r="CO609" s="406"/>
      <c r="CP609" s="48">
        <f t="shared" si="3512"/>
        <v>7</v>
      </c>
      <c r="CQ609" s="48">
        <f t="shared" si="3458"/>
        <v>14</v>
      </c>
      <c r="CR609" s="48">
        <f t="shared" si="3459"/>
        <v>21</v>
      </c>
      <c r="CS609" s="48">
        <f t="shared" si="3460"/>
        <v>28</v>
      </c>
      <c r="CT609" s="48">
        <f t="shared" si="3461"/>
        <v>35</v>
      </c>
      <c r="CU609" s="48">
        <f t="shared" si="3462"/>
        <v>42</v>
      </c>
      <c r="CV609" s="48">
        <f t="shared" si="3463"/>
        <v>49</v>
      </c>
      <c r="CW609" s="48">
        <f t="shared" si="3464"/>
        <v>56</v>
      </c>
      <c r="CX609" s="48">
        <f t="shared" si="3465"/>
        <v>63</v>
      </c>
      <c r="CY609" s="48">
        <f t="shared" si="3466"/>
        <v>70</v>
      </c>
      <c r="CZ609" s="48">
        <f t="shared" si="3467"/>
        <v>77</v>
      </c>
      <c r="DA609" s="48">
        <f t="shared" si="3468"/>
        <v>84</v>
      </c>
      <c r="DB609" s="48">
        <f t="shared" si="3513"/>
        <v>13.416666666666666</v>
      </c>
      <c r="DC609" s="48">
        <f t="shared" si="3514"/>
        <v>26.833366666666667</v>
      </c>
      <c r="DD609" s="48">
        <f t="shared" si="3515"/>
        <v>40.250066666666669</v>
      </c>
      <c r="DE609" s="48">
        <f t="shared" si="3516"/>
        <v>53.666766666666668</v>
      </c>
      <c r="DF609" s="48">
        <f t="shared" si="3517"/>
        <v>67.083466666666666</v>
      </c>
      <c r="DG609" s="48">
        <f t="shared" si="3518"/>
        <v>80.500166666666672</v>
      </c>
      <c r="DH609" s="48">
        <f t="shared" si="3519"/>
        <v>93.916866666666678</v>
      </c>
      <c r="DI609" s="48">
        <f t="shared" si="3520"/>
        <v>107.33356666666668</v>
      </c>
      <c r="DJ609" s="48">
        <f t="shared" si="3521"/>
        <v>120.75026666666669</v>
      </c>
      <c r="DK609" s="48">
        <f t="shared" si="3522"/>
        <v>134.1669666666667</v>
      </c>
      <c r="DL609" s="48">
        <f t="shared" si="3523"/>
        <v>147.58366666666669</v>
      </c>
      <c r="DM609" s="48">
        <f t="shared" si="3524"/>
        <v>161.00036666666668</v>
      </c>
      <c r="DN609" s="48">
        <f t="shared" si="3470"/>
        <v>0</v>
      </c>
      <c r="DO609" s="48">
        <f t="shared" si="3525"/>
        <v>0</v>
      </c>
      <c r="DP609" s="48">
        <f t="shared" si="3526"/>
        <v>0</v>
      </c>
      <c r="DQ609" s="48"/>
      <c r="DR609" s="48"/>
      <c r="DS609" s="48"/>
      <c r="DT609" s="48"/>
      <c r="DU609" s="48"/>
      <c r="DV609" s="48"/>
      <c r="DW609" s="48"/>
      <c r="DX609" s="48"/>
      <c r="DY609" s="48"/>
      <c r="EA609" s="52">
        <f t="shared" si="3420"/>
        <v>84</v>
      </c>
      <c r="EB609" s="52">
        <f t="shared" si="3421"/>
        <v>161.00036666666668</v>
      </c>
      <c r="EC609" s="52"/>
      <c r="ED609" s="429"/>
      <c r="EE609" s="40">
        <f t="shared" si="3385"/>
        <v>0</v>
      </c>
      <c r="EF609" s="40">
        <f t="shared" si="3386"/>
        <v>0</v>
      </c>
      <c r="EG609" s="51">
        <f t="shared" si="3431"/>
        <v>161.00036666666668</v>
      </c>
      <c r="EH609" s="54"/>
      <c r="EI609" s="54"/>
      <c r="EJ609" s="54"/>
      <c r="EK609" s="675"/>
      <c r="EL609" s="53"/>
      <c r="EM609" s="53"/>
      <c r="EN609" s="53"/>
      <c r="EO609" s="49"/>
      <c r="EP609" s="49"/>
      <c r="EQ609" s="49"/>
    </row>
    <row r="610" spans="1:149">
      <c r="A610" s="6" t="s">
        <v>23</v>
      </c>
      <c r="B610" s="2" t="s">
        <v>11</v>
      </c>
      <c r="C610" s="3" t="s">
        <v>48</v>
      </c>
      <c r="E610" s="3" t="s">
        <v>16</v>
      </c>
      <c r="G610" s="3" t="s">
        <v>91</v>
      </c>
      <c r="I610" s="206"/>
      <c r="J610" s="203">
        <v>20.833333333333332</v>
      </c>
      <c r="K610" s="203">
        <v>41.666666633333335</v>
      </c>
      <c r="L610" s="203">
        <v>62.499999933333335</v>
      </c>
      <c r="M610" s="203">
        <v>83.333333233333335</v>
      </c>
      <c r="N610" s="203">
        <v>104.16666653333334</v>
      </c>
      <c r="O610" s="203">
        <v>124.99999983333333</v>
      </c>
      <c r="P610" s="203">
        <v>145.83333313333333</v>
      </c>
      <c r="Q610" s="203">
        <v>166.66666643333332</v>
      </c>
      <c r="R610" s="203">
        <v>187.49999973333331</v>
      </c>
      <c r="S610" s="203">
        <v>208.3333330333333</v>
      </c>
      <c r="T610" s="203">
        <v>229.1666663333333</v>
      </c>
      <c r="U610" s="203">
        <v>249.99999963333329</v>
      </c>
      <c r="V610" s="219">
        <f>90/12</f>
        <v>7.5</v>
      </c>
      <c r="W610" s="246">
        <f>V610+7.5</f>
        <v>15</v>
      </c>
      <c r="X610" s="376">
        <f t="shared" ref="X610:AG610" si="3529">W610+7.5</f>
        <v>22.5</v>
      </c>
      <c r="Y610" s="376">
        <f t="shared" si="3529"/>
        <v>30</v>
      </c>
      <c r="Z610" s="376">
        <f t="shared" si="3529"/>
        <v>37.5</v>
      </c>
      <c r="AA610" s="376">
        <f t="shared" si="3529"/>
        <v>45</v>
      </c>
      <c r="AB610" s="376">
        <f t="shared" si="3529"/>
        <v>52.5</v>
      </c>
      <c r="AC610" s="376">
        <f t="shared" si="3529"/>
        <v>60</v>
      </c>
      <c r="AD610" s="376">
        <f t="shared" si="3529"/>
        <v>67.5</v>
      </c>
      <c r="AE610" s="376">
        <f t="shared" si="3529"/>
        <v>75</v>
      </c>
      <c r="AF610" s="376">
        <f t="shared" si="3529"/>
        <v>82.5</v>
      </c>
      <c r="AG610" s="376">
        <f t="shared" si="3529"/>
        <v>90</v>
      </c>
      <c r="AH610" s="31"/>
      <c r="AI610" s="19"/>
      <c r="AJ610" s="19"/>
      <c r="AK610" s="408"/>
      <c r="AL610" s="40">
        <f t="shared" si="3472"/>
        <v>20.833333333333332</v>
      </c>
      <c r="AM610" s="40">
        <f t="shared" si="3473"/>
        <v>20.833333300000003</v>
      </c>
      <c r="AN610" s="40">
        <f t="shared" si="3440"/>
        <v>20.8333333</v>
      </c>
      <c r="AO610" s="40">
        <f t="shared" si="3441"/>
        <v>20.8333333</v>
      </c>
      <c r="AP610" s="40">
        <f t="shared" si="3442"/>
        <v>20.833333300000007</v>
      </c>
      <c r="AQ610" s="40">
        <f t="shared" si="3443"/>
        <v>20.833333299999993</v>
      </c>
      <c r="AR610" s="40">
        <f t="shared" si="3444"/>
        <v>20.833333299999993</v>
      </c>
      <c r="AS610" s="40">
        <f t="shared" si="3445"/>
        <v>20.833333299999993</v>
      </c>
      <c r="AT610" s="40">
        <f t="shared" si="3446"/>
        <v>20.833333299999993</v>
      </c>
      <c r="AU610" s="40">
        <f t="shared" si="3447"/>
        <v>20.833333299999993</v>
      </c>
      <c r="AV610" s="40">
        <f t="shared" si="3448"/>
        <v>20.833333299999993</v>
      </c>
      <c r="AW610" s="40">
        <f t="shared" si="3449"/>
        <v>20.833333299999993</v>
      </c>
      <c r="AX610" s="40">
        <f t="shared" si="3474"/>
        <v>7.5</v>
      </c>
      <c r="AY610" s="40">
        <f t="shared" si="3475"/>
        <v>7.5</v>
      </c>
      <c r="AZ610" s="40">
        <f t="shared" si="3476"/>
        <v>7.5</v>
      </c>
      <c r="BA610" s="40">
        <f t="shared" si="3477"/>
        <v>7.5</v>
      </c>
      <c r="BB610" s="40">
        <f t="shared" si="3478"/>
        <v>7.5</v>
      </c>
      <c r="BC610" s="40">
        <f t="shared" si="3479"/>
        <v>7.5</v>
      </c>
      <c r="BD610" s="40">
        <f t="shared" si="3480"/>
        <v>7.5</v>
      </c>
      <c r="BE610" s="40">
        <f t="shared" si="3481"/>
        <v>7.5</v>
      </c>
      <c r="BF610" s="40">
        <f t="shared" si="3482"/>
        <v>7.5</v>
      </c>
      <c r="BG610" s="40">
        <f t="shared" si="3483"/>
        <v>7.5</v>
      </c>
      <c r="BH610" s="40">
        <f t="shared" si="3484"/>
        <v>7.5</v>
      </c>
      <c r="BI610" s="40">
        <f t="shared" si="3485"/>
        <v>7.5</v>
      </c>
      <c r="BJ610" s="40">
        <f t="shared" si="3451"/>
        <v>0</v>
      </c>
      <c r="BK610" s="40">
        <f t="shared" si="3452"/>
        <v>0</v>
      </c>
      <c r="BL610" s="40">
        <f t="shared" si="3453"/>
        <v>0</v>
      </c>
      <c r="BM610" s="408"/>
      <c r="BN610" s="48">
        <f t="shared" si="3388"/>
        <v>62.499999933333335</v>
      </c>
      <c r="BO610" s="48">
        <f t="shared" si="3389"/>
        <v>62.499999933333335</v>
      </c>
      <c r="BP610" s="48">
        <f t="shared" si="3454"/>
        <v>62.499999933333335</v>
      </c>
      <c r="BQ610" s="48">
        <f t="shared" si="3391"/>
        <v>62.499999899999999</v>
      </c>
      <c r="BR610" s="48">
        <f t="shared" si="3392"/>
        <v>62.499999899999999</v>
      </c>
      <c r="BS610" s="48">
        <f t="shared" si="3455"/>
        <v>62.499999899999999</v>
      </c>
      <c r="BT610" s="48">
        <f t="shared" si="3394"/>
        <v>62.499999899999978</v>
      </c>
      <c r="BU610" s="48">
        <f t="shared" si="3395"/>
        <v>62.499999899999978</v>
      </c>
      <c r="BV610" s="48">
        <f t="shared" si="3456"/>
        <v>62.499999899999978</v>
      </c>
      <c r="BW610" s="48">
        <f t="shared" si="3397"/>
        <v>62.499999899999978</v>
      </c>
      <c r="BX610" s="48">
        <f t="shared" si="3398"/>
        <v>62.499999899999978</v>
      </c>
      <c r="BY610" s="48">
        <f t="shared" si="3457"/>
        <v>62.499999899999978</v>
      </c>
      <c r="BZ610" s="48">
        <f t="shared" si="3400"/>
        <v>22.5</v>
      </c>
      <c r="CA610" s="48">
        <f t="shared" si="3401"/>
        <v>22.5</v>
      </c>
      <c r="CB610" s="99">
        <f t="shared" si="3423"/>
        <v>22.5</v>
      </c>
      <c r="CC610" s="48">
        <f t="shared" si="3402"/>
        <v>45</v>
      </c>
      <c r="CD610" s="48">
        <f t="shared" si="3403"/>
        <v>45</v>
      </c>
      <c r="CE610" s="48">
        <f>AA610</f>
        <v>45</v>
      </c>
      <c r="CF610" s="48">
        <f>CH610</f>
        <v>67.5</v>
      </c>
      <c r="CG610" s="48">
        <f>CH610</f>
        <v>67.5</v>
      </c>
      <c r="CH610" s="48">
        <f>AD610</f>
        <v>67.5</v>
      </c>
      <c r="CI610" s="48">
        <f>CK610</f>
        <v>90</v>
      </c>
      <c r="CJ610" s="48">
        <f>CK610</f>
        <v>90</v>
      </c>
      <c r="CK610" s="48">
        <f>AG610</f>
        <v>90</v>
      </c>
      <c r="CL610" s="48">
        <f>CN610</f>
        <v>0</v>
      </c>
      <c r="CM610" s="48">
        <f>CN610</f>
        <v>0</v>
      </c>
      <c r="CN610" s="48">
        <f>AJ610</f>
        <v>0</v>
      </c>
      <c r="CO610" s="406"/>
      <c r="CP610" s="48">
        <f t="shared" si="3512"/>
        <v>20.833333333333332</v>
      </c>
      <c r="CQ610" s="48">
        <f t="shared" si="3458"/>
        <v>41.666666633333335</v>
      </c>
      <c r="CR610" s="48">
        <f t="shared" si="3459"/>
        <v>62.499999933333335</v>
      </c>
      <c r="CS610" s="48">
        <f t="shared" si="3460"/>
        <v>83.333333233333335</v>
      </c>
      <c r="CT610" s="48">
        <f t="shared" si="3461"/>
        <v>104.16666653333334</v>
      </c>
      <c r="CU610" s="48">
        <f t="shared" si="3462"/>
        <v>124.99999983333333</v>
      </c>
      <c r="CV610" s="48">
        <f t="shared" si="3463"/>
        <v>145.83333313333333</v>
      </c>
      <c r="CW610" s="48">
        <f t="shared" si="3464"/>
        <v>166.66666643333332</v>
      </c>
      <c r="CX610" s="48">
        <f t="shared" si="3465"/>
        <v>187.49999973333331</v>
      </c>
      <c r="CY610" s="48">
        <f t="shared" si="3466"/>
        <v>208.3333330333333</v>
      </c>
      <c r="CZ610" s="48">
        <f t="shared" si="3467"/>
        <v>229.1666663333333</v>
      </c>
      <c r="DA610" s="48">
        <f t="shared" si="3468"/>
        <v>249.99999963333329</v>
      </c>
      <c r="DB610" s="48">
        <f t="shared" si="3513"/>
        <v>7.5</v>
      </c>
      <c r="DC610" s="48">
        <f t="shared" si="3514"/>
        <v>15</v>
      </c>
      <c r="DD610" s="48">
        <f t="shared" si="3515"/>
        <v>22.5</v>
      </c>
      <c r="DE610" s="48">
        <f t="shared" si="3516"/>
        <v>30</v>
      </c>
      <c r="DF610" s="48">
        <f t="shared" si="3517"/>
        <v>37.5</v>
      </c>
      <c r="DG610" s="48">
        <f t="shared" si="3518"/>
        <v>45</v>
      </c>
      <c r="DH610" s="48">
        <f t="shared" si="3519"/>
        <v>52.5</v>
      </c>
      <c r="DI610" s="48">
        <f t="shared" si="3520"/>
        <v>60</v>
      </c>
      <c r="DJ610" s="48">
        <f t="shared" si="3521"/>
        <v>67.5</v>
      </c>
      <c r="DK610" s="48">
        <f t="shared" si="3522"/>
        <v>75</v>
      </c>
      <c r="DL610" s="48">
        <f t="shared" si="3523"/>
        <v>82.5</v>
      </c>
      <c r="DM610" s="48">
        <f t="shared" si="3524"/>
        <v>90</v>
      </c>
      <c r="DN610" s="48">
        <f t="shared" si="3470"/>
        <v>0</v>
      </c>
      <c r="DO610" s="48">
        <f t="shared" si="3525"/>
        <v>0</v>
      </c>
      <c r="DP610" s="48">
        <f t="shared" si="3526"/>
        <v>0</v>
      </c>
      <c r="DQ610" s="48"/>
      <c r="DR610" s="48"/>
      <c r="DS610" s="48"/>
      <c r="DT610" s="48"/>
      <c r="DU610" s="48"/>
      <c r="DV610" s="48"/>
      <c r="DW610" s="48"/>
      <c r="DX610" s="48"/>
      <c r="DY610" s="48"/>
      <c r="EA610" s="52">
        <f t="shared" si="3420"/>
        <v>249.99999963333329</v>
      </c>
      <c r="EB610" s="52">
        <f t="shared" si="3421"/>
        <v>90</v>
      </c>
      <c r="EC610" s="52"/>
      <c r="ED610" s="429"/>
      <c r="EE610" s="40">
        <f t="shared" si="3385"/>
        <v>0</v>
      </c>
      <c r="EF610" s="40">
        <f t="shared" si="3386"/>
        <v>0</v>
      </c>
      <c r="EG610" s="51">
        <f t="shared" si="3431"/>
        <v>90</v>
      </c>
      <c r="EH610" s="54"/>
      <c r="EI610" s="54"/>
      <c r="EJ610" s="54"/>
      <c r="EK610" s="675"/>
      <c r="EL610" s="53"/>
      <c r="EM610" s="53"/>
      <c r="EN610" s="53"/>
      <c r="EO610" s="49"/>
      <c r="EP610" s="49"/>
      <c r="EQ610" s="49"/>
    </row>
    <row r="611" spans="1:149">
      <c r="A611" s="6" t="s">
        <v>23</v>
      </c>
      <c r="B611" s="2" t="s">
        <v>12</v>
      </c>
      <c r="C611" s="3" t="s">
        <v>49</v>
      </c>
      <c r="E611" s="3" t="s">
        <v>16</v>
      </c>
      <c r="G611" s="3" t="s">
        <v>91</v>
      </c>
      <c r="I611" s="206"/>
      <c r="J611" s="203">
        <v>10.416666666666666</v>
      </c>
      <c r="K611" s="203">
        <v>20.833333366666665</v>
      </c>
      <c r="L611" s="203">
        <v>31.250000066666665</v>
      </c>
      <c r="M611" s="203">
        <v>41.666666766666665</v>
      </c>
      <c r="N611" s="203">
        <v>52.083333466666666</v>
      </c>
      <c r="O611" s="203">
        <v>62.500000166666666</v>
      </c>
      <c r="P611" s="203">
        <v>72.916666866666674</v>
      </c>
      <c r="Q611" s="203">
        <v>83.333333566666681</v>
      </c>
      <c r="R611" s="203">
        <v>93.750000266666689</v>
      </c>
      <c r="S611" s="203">
        <v>104.1666669666667</v>
      </c>
      <c r="T611" s="203">
        <v>114.5833336666667</v>
      </c>
      <c r="U611" s="203">
        <v>125.00000036666671</v>
      </c>
      <c r="V611" s="378">
        <f>142/12</f>
        <v>11.833333333333334</v>
      </c>
      <c r="W611" s="246">
        <f>V611+11.8333</f>
        <v>23.666633333333333</v>
      </c>
      <c r="X611" s="376">
        <f t="shared" ref="X611:AG611" si="3530">W611+11.8333</f>
        <v>35.499933333333331</v>
      </c>
      <c r="Y611" s="376">
        <f t="shared" si="3530"/>
        <v>47.333233333333332</v>
      </c>
      <c r="Z611" s="376">
        <f t="shared" si="3530"/>
        <v>59.166533333333334</v>
      </c>
      <c r="AA611" s="376">
        <f t="shared" si="3530"/>
        <v>70.999833333333328</v>
      </c>
      <c r="AB611" s="376">
        <f t="shared" si="3530"/>
        <v>82.833133333333322</v>
      </c>
      <c r="AC611" s="376">
        <f t="shared" si="3530"/>
        <v>94.666433333333316</v>
      </c>
      <c r="AD611" s="376">
        <f t="shared" si="3530"/>
        <v>106.49973333333331</v>
      </c>
      <c r="AE611" s="376">
        <f t="shared" si="3530"/>
        <v>118.3330333333333</v>
      </c>
      <c r="AF611" s="376">
        <f t="shared" si="3530"/>
        <v>130.16633333333331</v>
      </c>
      <c r="AG611" s="263">
        <f t="shared" si="3530"/>
        <v>141.99963333333332</v>
      </c>
      <c r="AH611" s="31"/>
      <c r="AI611" s="19"/>
      <c r="AJ611" s="19"/>
      <c r="AK611" s="408"/>
      <c r="AL611" s="40">
        <f t="shared" si="3472"/>
        <v>10.416666666666666</v>
      </c>
      <c r="AM611" s="40">
        <f t="shared" si="3473"/>
        <v>10.416666699999999</v>
      </c>
      <c r="AN611" s="40">
        <f t="shared" si="3440"/>
        <v>10.4166667</v>
      </c>
      <c r="AO611" s="40">
        <f t="shared" si="3441"/>
        <v>10.4166667</v>
      </c>
      <c r="AP611" s="40">
        <f t="shared" si="3442"/>
        <v>10.4166667</v>
      </c>
      <c r="AQ611" s="40">
        <f t="shared" si="3443"/>
        <v>10.4166667</v>
      </c>
      <c r="AR611" s="40">
        <f t="shared" si="3444"/>
        <v>10.416666700000007</v>
      </c>
      <c r="AS611" s="40">
        <f t="shared" si="3445"/>
        <v>10.416666700000007</v>
      </c>
      <c r="AT611" s="40">
        <f t="shared" si="3446"/>
        <v>10.416666700000007</v>
      </c>
      <c r="AU611" s="40">
        <f t="shared" si="3447"/>
        <v>10.416666700000007</v>
      </c>
      <c r="AV611" s="40">
        <f t="shared" si="3448"/>
        <v>10.416666700000007</v>
      </c>
      <c r="AW611" s="40">
        <f t="shared" si="3449"/>
        <v>10.416666700000007</v>
      </c>
      <c r="AX611" s="40">
        <f t="shared" si="3474"/>
        <v>11.833333333333334</v>
      </c>
      <c r="AY611" s="40">
        <f t="shared" si="3475"/>
        <v>11.833299999999999</v>
      </c>
      <c r="AZ611" s="40">
        <f t="shared" si="3476"/>
        <v>11.833299999999998</v>
      </c>
      <c r="BA611" s="40">
        <f t="shared" si="3477"/>
        <v>11.833300000000001</v>
      </c>
      <c r="BB611" s="40">
        <f t="shared" si="3478"/>
        <v>11.833300000000001</v>
      </c>
      <c r="BC611" s="40">
        <f t="shared" si="3479"/>
        <v>11.833299999999994</v>
      </c>
      <c r="BD611" s="40">
        <f t="shared" si="3480"/>
        <v>11.833299999999994</v>
      </c>
      <c r="BE611" s="40">
        <f t="shared" si="3481"/>
        <v>11.833299999999994</v>
      </c>
      <c r="BF611" s="40">
        <f t="shared" si="3482"/>
        <v>11.833299999999994</v>
      </c>
      <c r="BG611" s="40">
        <f t="shared" si="3483"/>
        <v>11.833299999999994</v>
      </c>
      <c r="BH611" s="40">
        <f t="shared" si="3484"/>
        <v>11.833300000000008</v>
      </c>
      <c r="BI611" s="40">
        <f t="shared" si="3485"/>
        <v>11.833300000000008</v>
      </c>
      <c r="BJ611" s="40">
        <f t="shared" si="3451"/>
        <v>0</v>
      </c>
      <c r="BK611" s="40">
        <f t="shared" si="3452"/>
        <v>0</v>
      </c>
      <c r="BL611" s="40">
        <f t="shared" si="3453"/>
        <v>0</v>
      </c>
      <c r="BM611" s="408"/>
      <c r="BN611" s="48">
        <f t="shared" si="3388"/>
        <v>31.250000066666665</v>
      </c>
      <c r="BO611" s="48">
        <f t="shared" si="3389"/>
        <v>31.250000066666665</v>
      </c>
      <c r="BP611" s="48">
        <f t="shared" si="3454"/>
        <v>31.250000066666665</v>
      </c>
      <c r="BQ611" s="48">
        <f t="shared" si="3391"/>
        <v>31.250000100000001</v>
      </c>
      <c r="BR611" s="48">
        <f t="shared" si="3392"/>
        <v>31.250000100000001</v>
      </c>
      <c r="BS611" s="48">
        <f t="shared" si="3455"/>
        <v>31.250000100000001</v>
      </c>
      <c r="BT611" s="48">
        <f t="shared" si="3394"/>
        <v>31.250000100000022</v>
      </c>
      <c r="BU611" s="48">
        <f t="shared" si="3395"/>
        <v>31.250000100000022</v>
      </c>
      <c r="BV611" s="48">
        <f t="shared" si="3456"/>
        <v>31.250000100000022</v>
      </c>
      <c r="BW611" s="48">
        <f t="shared" si="3397"/>
        <v>31.250000100000022</v>
      </c>
      <c r="BX611" s="48">
        <f t="shared" si="3398"/>
        <v>31.250000100000022</v>
      </c>
      <c r="BY611" s="48">
        <f t="shared" si="3457"/>
        <v>31.250000100000022</v>
      </c>
      <c r="BZ611" s="48">
        <f t="shared" si="3400"/>
        <v>35.499933333333331</v>
      </c>
      <c r="CA611" s="48">
        <f t="shared" si="3401"/>
        <v>35.499933333333331</v>
      </c>
      <c r="CB611" s="99">
        <f t="shared" si="3423"/>
        <v>35.499933333333331</v>
      </c>
      <c r="CC611" s="48">
        <f t="shared" si="3402"/>
        <v>70.999833333333328</v>
      </c>
      <c r="CD611" s="48">
        <f t="shared" si="3403"/>
        <v>70.999833333333328</v>
      </c>
      <c r="CE611" s="48">
        <f>AA611</f>
        <v>70.999833333333328</v>
      </c>
      <c r="CF611" s="48">
        <f>CH611</f>
        <v>106.49973333333331</v>
      </c>
      <c r="CG611" s="48">
        <f>CH611</f>
        <v>106.49973333333331</v>
      </c>
      <c r="CH611" s="48">
        <f>AD611</f>
        <v>106.49973333333331</v>
      </c>
      <c r="CI611" s="48">
        <f>CK611</f>
        <v>141.99963333333332</v>
      </c>
      <c r="CJ611" s="48">
        <f>CK611</f>
        <v>141.99963333333332</v>
      </c>
      <c r="CK611" s="48">
        <f>AG611</f>
        <v>141.99963333333332</v>
      </c>
      <c r="CL611" s="48">
        <f>CN611</f>
        <v>0</v>
      </c>
      <c r="CM611" s="48">
        <f>CN611</f>
        <v>0</v>
      </c>
      <c r="CN611" s="48">
        <f>AJ611</f>
        <v>0</v>
      </c>
      <c r="CO611" s="406"/>
      <c r="CP611" s="48">
        <f t="shared" si="3512"/>
        <v>10.416666666666666</v>
      </c>
      <c r="CQ611" s="48">
        <f t="shared" si="3458"/>
        <v>20.833333366666665</v>
      </c>
      <c r="CR611" s="48">
        <f t="shared" si="3459"/>
        <v>31.250000066666665</v>
      </c>
      <c r="CS611" s="48">
        <f t="shared" si="3460"/>
        <v>41.666666766666665</v>
      </c>
      <c r="CT611" s="48">
        <f t="shared" si="3461"/>
        <v>52.083333466666666</v>
      </c>
      <c r="CU611" s="48">
        <f t="shared" si="3462"/>
        <v>62.500000166666666</v>
      </c>
      <c r="CV611" s="48">
        <f t="shared" si="3463"/>
        <v>72.916666866666674</v>
      </c>
      <c r="CW611" s="48">
        <f t="shared" si="3464"/>
        <v>83.333333566666681</v>
      </c>
      <c r="CX611" s="48">
        <f t="shared" si="3465"/>
        <v>93.750000266666689</v>
      </c>
      <c r="CY611" s="48">
        <f t="shared" si="3466"/>
        <v>104.1666669666667</v>
      </c>
      <c r="CZ611" s="48">
        <f t="shared" si="3467"/>
        <v>114.5833336666667</v>
      </c>
      <c r="DA611" s="48">
        <f t="shared" si="3468"/>
        <v>125.00000036666671</v>
      </c>
      <c r="DB611" s="48">
        <f t="shared" si="3513"/>
        <v>11.833333333333334</v>
      </c>
      <c r="DC611" s="48">
        <f t="shared" si="3514"/>
        <v>23.666633333333333</v>
      </c>
      <c r="DD611" s="48">
        <f t="shared" si="3515"/>
        <v>35.499933333333331</v>
      </c>
      <c r="DE611" s="48">
        <f t="shared" si="3516"/>
        <v>47.333233333333332</v>
      </c>
      <c r="DF611" s="48">
        <f t="shared" si="3517"/>
        <v>59.166533333333334</v>
      </c>
      <c r="DG611" s="48">
        <f t="shared" si="3518"/>
        <v>70.999833333333328</v>
      </c>
      <c r="DH611" s="48">
        <f t="shared" si="3519"/>
        <v>82.833133333333322</v>
      </c>
      <c r="DI611" s="48">
        <f t="shared" si="3520"/>
        <v>94.666433333333316</v>
      </c>
      <c r="DJ611" s="48">
        <f t="shared" si="3521"/>
        <v>106.49973333333331</v>
      </c>
      <c r="DK611" s="48">
        <f t="shared" si="3522"/>
        <v>118.3330333333333</v>
      </c>
      <c r="DL611" s="48">
        <f t="shared" si="3523"/>
        <v>130.16633333333331</v>
      </c>
      <c r="DM611" s="48">
        <f t="shared" si="3524"/>
        <v>141.99963333333332</v>
      </c>
      <c r="DN611" s="48">
        <f t="shared" si="3470"/>
        <v>0</v>
      </c>
      <c r="DO611" s="48">
        <f t="shared" si="3525"/>
        <v>0</v>
      </c>
      <c r="DP611" s="48">
        <f t="shared" si="3526"/>
        <v>0</v>
      </c>
      <c r="DQ611" s="48"/>
      <c r="DR611" s="48"/>
      <c r="DS611" s="48"/>
      <c r="DT611" s="48"/>
      <c r="DU611" s="48"/>
      <c r="DV611" s="48"/>
      <c r="DW611" s="48"/>
      <c r="DX611" s="48"/>
      <c r="DY611" s="48"/>
      <c r="EA611" s="52">
        <f t="shared" si="3420"/>
        <v>125.00000036666671</v>
      </c>
      <c r="EB611" s="52">
        <f t="shared" si="3421"/>
        <v>141.99963333333332</v>
      </c>
      <c r="EC611" s="52"/>
      <c r="ED611" s="429"/>
      <c r="EE611" s="40">
        <f t="shared" si="3385"/>
        <v>0</v>
      </c>
      <c r="EF611" s="40">
        <f t="shared" si="3386"/>
        <v>0</v>
      </c>
      <c r="EG611" s="51">
        <f t="shared" si="3431"/>
        <v>141.99963333333332</v>
      </c>
      <c r="EH611" s="54"/>
      <c r="EI611" s="54"/>
      <c r="EJ611" s="54"/>
      <c r="EK611" s="675"/>
      <c r="EL611" s="53"/>
      <c r="EM611" s="53"/>
      <c r="EN611" s="53"/>
      <c r="EO611" s="49"/>
      <c r="EP611" s="49"/>
      <c r="EQ611" s="49"/>
    </row>
    <row r="612" spans="1:149">
      <c r="A612" s="6" t="s">
        <v>23</v>
      </c>
      <c r="B612" s="2" t="s">
        <v>143</v>
      </c>
      <c r="C612" s="3" t="s">
        <v>50</v>
      </c>
      <c r="E612" s="3" t="s">
        <v>16</v>
      </c>
      <c r="G612" s="3" t="s">
        <v>91</v>
      </c>
      <c r="I612" s="206"/>
      <c r="J612" s="203">
        <v>0</v>
      </c>
      <c r="K612" s="203">
        <v>0</v>
      </c>
      <c r="L612" s="203">
        <v>2</v>
      </c>
      <c r="M612" s="203">
        <v>2</v>
      </c>
      <c r="N612" s="203">
        <v>2</v>
      </c>
      <c r="O612" s="203">
        <v>2</v>
      </c>
      <c r="P612" s="203">
        <v>4</v>
      </c>
      <c r="Q612" s="203">
        <v>4</v>
      </c>
      <c r="R612" s="203">
        <v>4</v>
      </c>
      <c r="S612" s="203">
        <v>4</v>
      </c>
      <c r="T612" s="203">
        <v>6</v>
      </c>
      <c r="U612" s="203">
        <v>6</v>
      </c>
      <c r="V612" s="219">
        <v>0</v>
      </c>
      <c r="W612" s="246">
        <v>2</v>
      </c>
      <c r="X612" s="246">
        <v>2</v>
      </c>
      <c r="Y612" s="246">
        <v>2</v>
      </c>
      <c r="Z612" s="246">
        <v>2</v>
      </c>
      <c r="AA612" s="246">
        <v>2</v>
      </c>
      <c r="AB612" s="246">
        <v>4</v>
      </c>
      <c r="AC612" s="246">
        <v>4</v>
      </c>
      <c r="AD612" s="246">
        <v>4</v>
      </c>
      <c r="AE612" s="246">
        <v>4</v>
      </c>
      <c r="AF612" s="246">
        <v>6</v>
      </c>
      <c r="AG612" s="246">
        <v>6</v>
      </c>
      <c r="AH612" s="31"/>
      <c r="AI612" s="19"/>
      <c r="AJ612" s="19"/>
      <c r="AK612" s="408"/>
      <c r="AL612" s="40">
        <f t="shared" si="3472"/>
        <v>0</v>
      </c>
      <c r="AM612" s="40">
        <f t="shared" si="3473"/>
        <v>0</v>
      </c>
      <c r="AN612" s="40">
        <f t="shared" si="3440"/>
        <v>2</v>
      </c>
      <c r="AO612" s="40">
        <f t="shared" si="3441"/>
        <v>0</v>
      </c>
      <c r="AP612" s="40">
        <f t="shared" si="3442"/>
        <v>0</v>
      </c>
      <c r="AQ612" s="40">
        <f t="shared" si="3443"/>
        <v>0</v>
      </c>
      <c r="AR612" s="40">
        <f t="shared" si="3444"/>
        <v>2</v>
      </c>
      <c r="AS612" s="40">
        <f t="shared" si="3445"/>
        <v>0</v>
      </c>
      <c r="AT612" s="40">
        <f t="shared" si="3446"/>
        <v>0</v>
      </c>
      <c r="AU612" s="40">
        <f t="shared" si="3447"/>
        <v>0</v>
      </c>
      <c r="AV612" s="40">
        <f t="shared" si="3448"/>
        <v>2</v>
      </c>
      <c r="AW612" s="40">
        <f t="shared" si="3449"/>
        <v>0</v>
      </c>
      <c r="AX612" s="40">
        <f t="shared" si="3474"/>
        <v>0</v>
      </c>
      <c r="AY612" s="40">
        <f t="shared" si="3475"/>
        <v>2</v>
      </c>
      <c r="AZ612" s="40">
        <f t="shared" si="3476"/>
        <v>0</v>
      </c>
      <c r="BA612" s="40">
        <f t="shared" si="3477"/>
        <v>0</v>
      </c>
      <c r="BB612" s="40">
        <f t="shared" si="3478"/>
        <v>0</v>
      </c>
      <c r="BC612" s="40">
        <f t="shared" si="3479"/>
        <v>0</v>
      </c>
      <c r="BD612" s="40">
        <f t="shared" si="3480"/>
        <v>2</v>
      </c>
      <c r="BE612" s="40">
        <f t="shared" si="3481"/>
        <v>0</v>
      </c>
      <c r="BF612" s="40">
        <f t="shared" si="3482"/>
        <v>0</v>
      </c>
      <c r="BG612" s="40">
        <f t="shared" si="3483"/>
        <v>0</v>
      </c>
      <c r="BH612" s="40">
        <f t="shared" si="3484"/>
        <v>2</v>
      </c>
      <c r="BI612" s="40">
        <f t="shared" si="3485"/>
        <v>0</v>
      </c>
      <c r="BJ612" s="40">
        <f t="shared" si="3451"/>
        <v>0</v>
      </c>
      <c r="BK612" s="40">
        <f t="shared" si="3452"/>
        <v>0</v>
      </c>
      <c r="BL612" s="40">
        <f t="shared" si="3453"/>
        <v>0</v>
      </c>
      <c r="BM612" s="408"/>
      <c r="BN612" s="48">
        <f t="shared" si="3388"/>
        <v>2</v>
      </c>
      <c r="BO612" s="48">
        <f t="shared" si="3389"/>
        <v>2</v>
      </c>
      <c r="BP612" s="48">
        <f t="shared" si="3454"/>
        <v>2</v>
      </c>
      <c r="BQ612" s="48">
        <f t="shared" si="3391"/>
        <v>0</v>
      </c>
      <c r="BR612" s="48">
        <f t="shared" si="3392"/>
        <v>0</v>
      </c>
      <c r="BS612" s="48">
        <f t="shared" si="3455"/>
        <v>0</v>
      </c>
      <c r="BT612" s="48">
        <f t="shared" si="3394"/>
        <v>2</v>
      </c>
      <c r="BU612" s="48">
        <f t="shared" si="3395"/>
        <v>2</v>
      </c>
      <c r="BV612" s="48">
        <f t="shared" si="3456"/>
        <v>2</v>
      </c>
      <c r="BW612" s="48">
        <f t="shared" si="3397"/>
        <v>2</v>
      </c>
      <c r="BX612" s="48">
        <f t="shared" si="3398"/>
        <v>2</v>
      </c>
      <c r="BY612" s="48">
        <f t="shared" si="3457"/>
        <v>2</v>
      </c>
      <c r="BZ612" s="48">
        <f t="shared" si="3400"/>
        <v>2</v>
      </c>
      <c r="CA612" s="48">
        <f t="shared" si="3401"/>
        <v>2</v>
      </c>
      <c r="CB612" s="99">
        <f t="shared" si="3423"/>
        <v>2</v>
      </c>
      <c r="CC612" s="48">
        <f t="shared" si="3402"/>
        <v>0</v>
      </c>
      <c r="CD612" s="48">
        <f t="shared" si="3403"/>
        <v>0</v>
      </c>
      <c r="CE612" s="48">
        <f>SUM(BA612:BC612)</f>
        <v>0</v>
      </c>
      <c r="CF612" s="48">
        <f>CH612</f>
        <v>2</v>
      </c>
      <c r="CG612" s="48">
        <f>CH612</f>
        <v>2</v>
      </c>
      <c r="CH612" s="48">
        <f>SUM(BD612:BF612)</f>
        <v>2</v>
      </c>
      <c r="CI612" s="48">
        <f>CK612</f>
        <v>2</v>
      </c>
      <c r="CJ612" s="48">
        <f>CK612</f>
        <v>2</v>
      </c>
      <c r="CK612" s="48">
        <f>SUM(BG612:BI612)</f>
        <v>2</v>
      </c>
      <c r="CL612" s="48">
        <f>CN612</f>
        <v>0</v>
      </c>
      <c r="CM612" s="48">
        <f>CN612</f>
        <v>0</v>
      </c>
      <c r="CN612" s="48">
        <f>SUM(BJ612:BL612)</f>
        <v>0</v>
      </c>
      <c r="CO612" s="406"/>
      <c r="CP612" s="48">
        <f t="shared" si="3512"/>
        <v>0</v>
      </c>
      <c r="CQ612" s="48">
        <f t="shared" si="3458"/>
        <v>0</v>
      </c>
      <c r="CR612" s="48">
        <f t="shared" si="3459"/>
        <v>2</v>
      </c>
      <c r="CS612" s="48">
        <f t="shared" si="3460"/>
        <v>2</v>
      </c>
      <c r="CT612" s="48">
        <f t="shared" si="3461"/>
        <v>2</v>
      </c>
      <c r="CU612" s="48">
        <f t="shared" si="3462"/>
        <v>2</v>
      </c>
      <c r="CV612" s="48">
        <f t="shared" si="3463"/>
        <v>4</v>
      </c>
      <c r="CW612" s="48">
        <f t="shared" si="3464"/>
        <v>4</v>
      </c>
      <c r="CX612" s="48">
        <f t="shared" si="3465"/>
        <v>4</v>
      </c>
      <c r="CY612" s="48">
        <f t="shared" si="3466"/>
        <v>4</v>
      </c>
      <c r="CZ612" s="48">
        <f t="shared" si="3467"/>
        <v>6</v>
      </c>
      <c r="DA612" s="48">
        <f t="shared" si="3468"/>
        <v>6</v>
      </c>
      <c r="DB612" s="48">
        <f t="shared" si="3513"/>
        <v>0</v>
      </c>
      <c r="DC612" s="48">
        <f t="shared" si="3514"/>
        <v>2</v>
      </c>
      <c r="DD612" s="48">
        <f t="shared" si="3515"/>
        <v>2</v>
      </c>
      <c r="DE612" s="48">
        <f t="shared" si="3516"/>
        <v>2</v>
      </c>
      <c r="DF612" s="48">
        <f t="shared" si="3517"/>
        <v>2</v>
      </c>
      <c r="DG612" s="48">
        <f t="shared" si="3518"/>
        <v>2</v>
      </c>
      <c r="DH612" s="48">
        <f t="shared" si="3519"/>
        <v>4</v>
      </c>
      <c r="DI612" s="48">
        <f t="shared" si="3520"/>
        <v>4</v>
      </c>
      <c r="DJ612" s="48">
        <f t="shared" si="3521"/>
        <v>4</v>
      </c>
      <c r="DK612" s="48">
        <f t="shared" si="3522"/>
        <v>4</v>
      </c>
      <c r="DL612" s="48">
        <f t="shared" si="3523"/>
        <v>6</v>
      </c>
      <c r="DM612" s="48">
        <f t="shared" si="3524"/>
        <v>6</v>
      </c>
      <c r="DN612" s="48">
        <f t="shared" si="3470"/>
        <v>0</v>
      </c>
      <c r="DO612" s="48">
        <f t="shared" si="3525"/>
        <v>0</v>
      </c>
      <c r="DP612" s="48">
        <f t="shared" si="3526"/>
        <v>0</v>
      </c>
      <c r="DQ612" s="48"/>
      <c r="DR612" s="48"/>
      <c r="DS612" s="48"/>
      <c r="DT612" s="48"/>
      <c r="DU612" s="48"/>
      <c r="DV612" s="48"/>
      <c r="DW612" s="48"/>
      <c r="DX612" s="48"/>
      <c r="DY612" s="48"/>
      <c r="EA612" s="52">
        <f t="shared" si="3420"/>
        <v>6</v>
      </c>
      <c r="EB612" s="52">
        <f t="shared" si="3421"/>
        <v>6</v>
      </c>
      <c r="EC612" s="52"/>
      <c r="ED612" s="429"/>
      <c r="EE612" s="40">
        <f t="shared" si="3385"/>
        <v>0</v>
      </c>
      <c r="EF612" s="40">
        <f t="shared" si="3386"/>
        <v>0</v>
      </c>
      <c r="EG612" s="51">
        <f t="shared" si="3431"/>
        <v>6</v>
      </c>
      <c r="EH612" s="54"/>
      <c r="EI612" s="54"/>
      <c r="EJ612" s="54"/>
      <c r="EK612" s="675"/>
      <c r="EL612" s="53"/>
      <c r="EM612" s="53"/>
      <c r="EN612" s="53"/>
      <c r="EO612" s="49"/>
      <c r="EP612" s="49"/>
      <c r="EQ612" s="49"/>
    </row>
    <row r="613" spans="1:149">
      <c r="A613" s="6" t="s">
        <v>23</v>
      </c>
      <c r="B613" s="324" t="s">
        <v>202</v>
      </c>
      <c r="C613" s="3" t="s">
        <v>51</v>
      </c>
      <c r="E613" s="3" t="s">
        <v>15</v>
      </c>
      <c r="G613" s="3" t="s">
        <v>91</v>
      </c>
      <c r="I613" s="206"/>
      <c r="J613" s="203">
        <v>0</v>
      </c>
      <c r="K613" s="203">
        <v>0</v>
      </c>
      <c r="L613" s="203">
        <v>0</v>
      </c>
      <c r="M613" s="203">
        <v>0</v>
      </c>
      <c r="N613" s="203">
        <v>0</v>
      </c>
      <c r="O613" s="203">
        <v>2</v>
      </c>
      <c r="P613" s="203">
        <v>2</v>
      </c>
      <c r="Q613" s="203">
        <v>2</v>
      </c>
      <c r="R613" s="203">
        <v>2</v>
      </c>
      <c r="S613" s="203">
        <v>2</v>
      </c>
      <c r="T613" s="203">
        <v>2</v>
      </c>
      <c r="U613" s="203">
        <v>4</v>
      </c>
      <c r="V613" s="219">
        <v>0</v>
      </c>
      <c r="W613" s="246">
        <v>0</v>
      </c>
      <c r="X613" s="246">
        <v>0</v>
      </c>
      <c r="Y613" s="246">
        <f>X613</f>
        <v>0</v>
      </c>
      <c r="Z613" s="246">
        <v>0</v>
      </c>
      <c r="AA613" s="246">
        <v>0</v>
      </c>
      <c r="AB613" s="246">
        <v>2</v>
      </c>
      <c r="AC613" s="246">
        <f>AB613</f>
        <v>2</v>
      </c>
      <c r="AD613" s="246">
        <f>AC613</f>
        <v>2</v>
      </c>
      <c r="AE613" s="246">
        <f>AD613</f>
        <v>2</v>
      </c>
      <c r="AF613" s="246">
        <f>AE613</f>
        <v>2</v>
      </c>
      <c r="AG613" s="246">
        <v>4</v>
      </c>
      <c r="AH613" s="31"/>
      <c r="AI613" s="19"/>
      <c r="AJ613" s="19"/>
      <c r="AK613" s="408"/>
      <c r="AL613" s="40">
        <f t="shared" si="3472"/>
        <v>0</v>
      </c>
      <c r="AM613" s="40">
        <f t="shared" si="3473"/>
        <v>0</v>
      </c>
      <c r="AN613" s="40">
        <f t="shared" si="3440"/>
        <v>0</v>
      </c>
      <c r="AO613" s="40">
        <f t="shared" si="3441"/>
        <v>0</v>
      </c>
      <c r="AP613" s="40">
        <f t="shared" si="3442"/>
        <v>0</v>
      </c>
      <c r="AQ613" s="40">
        <f t="shared" si="3443"/>
        <v>2</v>
      </c>
      <c r="AR613" s="40">
        <f t="shared" si="3444"/>
        <v>0</v>
      </c>
      <c r="AS613" s="40">
        <f t="shared" si="3445"/>
        <v>0</v>
      </c>
      <c r="AT613" s="40">
        <f t="shared" si="3446"/>
        <v>0</v>
      </c>
      <c r="AU613" s="40">
        <f t="shared" si="3447"/>
        <v>0</v>
      </c>
      <c r="AV613" s="40">
        <f t="shared" si="3448"/>
        <v>0</v>
      </c>
      <c r="AW613" s="40">
        <f t="shared" si="3449"/>
        <v>2</v>
      </c>
      <c r="AX613" s="40">
        <f t="shared" si="3474"/>
        <v>0</v>
      </c>
      <c r="AY613" s="40">
        <f t="shared" si="3475"/>
        <v>0</v>
      </c>
      <c r="AZ613" s="40">
        <f t="shared" si="3476"/>
        <v>0</v>
      </c>
      <c r="BA613" s="40">
        <f t="shared" si="3477"/>
        <v>0</v>
      </c>
      <c r="BB613" s="40">
        <f t="shared" si="3478"/>
        <v>0</v>
      </c>
      <c r="BC613" s="40">
        <f t="shared" si="3479"/>
        <v>0</v>
      </c>
      <c r="BD613" s="40">
        <f t="shared" si="3480"/>
        <v>2</v>
      </c>
      <c r="BE613" s="40">
        <f t="shared" si="3481"/>
        <v>0</v>
      </c>
      <c r="BF613" s="40">
        <f t="shared" si="3482"/>
        <v>0</v>
      </c>
      <c r="BG613" s="40">
        <f t="shared" si="3483"/>
        <v>0</v>
      </c>
      <c r="BH613" s="40">
        <f t="shared" si="3484"/>
        <v>0</v>
      </c>
      <c r="BI613" s="40">
        <f t="shared" si="3485"/>
        <v>2</v>
      </c>
      <c r="BJ613" s="40">
        <f>AH613-AG613</f>
        <v>-4</v>
      </c>
      <c r="BK613" s="40">
        <f t="shared" si="3452"/>
        <v>0</v>
      </c>
      <c r="BL613" s="40">
        <f t="shared" si="3453"/>
        <v>0</v>
      </c>
      <c r="BM613" s="408"/>
      <c r="BN613" s="48">
        <f t="shared" si="3388"/>
        <v>0</v>
      </c>
      <c r="BO613" s="48">
        <f t="shared" si="3389"/>
        <v>0</v>
      </c>
      <c r="BP613" s="48">
        <f>SUM(AL613:AN613)</f>
        <v>0</v>
      </c>
      <c r="BQ613" s="48">
        <f t="shared" si="3391"/>
        <v>2</v>
      </c>
      <c r="BR613" s="48">
        <f t="shared" si="3392"/>
        <v>2</v>
      </c>
      <c r="BS613" s="48">
        <f t="shared" si="3455"/>
        <v>2</v>
      </c>
      <c r="BT613" s="48">
        <f t="shared" si="3394"/>
        <v>0</v>
      </c>
      <c r="BU613" s="48">
        <f t="shared" si="3395"/>
        <v>0</v>
      </c>
      <c r="BV613" s="48">
        <f t="shared" si="3456"/>
        <v>0</v>
      </c>
      <c r="BW613" s="48">
        <f t="shared" si="3397"/>
        <v>2</v>
      </c>
      <c r="BX613" s="48">
        <f t="shared" si="3398"/>
        <v>2</v>
      </c>
      <c r="BY613" s="48">
        <f t="shared" si="3457"/>
        <v>2</v>
      </c>
      <c r="BZ613" s="48">
        <f t="shared" si="3400"/>
        <v>0</v>
      </c>
      <c r="CA613" s="48">
        <f t="shared" si="3401"/>
        <v>0</v>
      </c>
      <c r="CB613" s="99">
        <f t="shared" si="3423"/>
        <v>0</v>
      </c>
      <c r="CC613" s="48">
        <f t="shared" si="3402"/>
        <v>0</v>
      </c>
      <c r="CD613" s="48">
        <f t="shared" si="3403"/>
        <v>0</v>
      </c>
      <c r="CE613" s="48">
        <f>SUM(BA613:BC613)</f>
        <v>0</v>
      </c>
      <c r="CF613" s="48">
        <f>CH613</f>
        <v>2</v>
      </c>
      <c r="CG613" s="48">
        <f>CH613</f>
        <v>2</v>
      </c>
      <c r="CH613" s="48">
        <f>SUM(BD613:BF613)</f>
        <v>2</v>
      </c>
      <c r="CI613" s="48">
        <f>CK613</f>
        <v>2</v>
      </c>
      <c r="CJ613" s="48">
        <f>CK613</f>
        <v>2</v>
      </c>
      <c r="CK613" s="48">
        <f>SUM(BG613:BI613)</f>
        <v>2</v>
      </c>
      <c r="CL613" s="48">
        <f>CN613</f>
        <v>-4</v>
      </c>
      <c r="CM613" s="48">
        <f>CN613</f>
        <v>-4</v>
      </c>
      <c r="CN613" s="48">
        <f>SUM(BJ613:BL613)</f>
        <v>-4</v>
      </c>
      <c r="CO613" s="406"/>
      <c r="CP613" s="48">
        <f t="shared" si="3512"/>
        <v>0</v>
      </c>
      <c r="CQ613" s="48">
        <f t="shared" si="3458"/>
        <v>0</v>
      </c>
      <c r="CR613" s="48">
        <f t="shared" si="3459"/>
        <v>0</v>
      </c>
      <c r="CS613" s="48">
        <f t="shared" si="3460"/>
        <v>0</v>
      </c>
      <c r="CT613" s="48">
        <f t="shared" si="3461"/>
        <v>0</v>
      </c>
      <c r="CU613" s="48">
        <f t="shared" si="3462"/>
        <v>2</v>
      </c>
      <c r="CV613" s="48">
        <f t="shared" si="3463"/>
        <v>2</v>
      </c>
      <c r="CW613" s="48">
        <f t="shared" si="3464"/>
        <v>2</v>
      </c>
      <c r="CX613" s="48">
        <f t="shared" si="3465"/>
        <v>2</v>
      </c>
      <c r="CY613" s="48">
        <f t="shared" si="3466"/>
        <v>2</v>
      </c>
      <c r="CZ613" s="48">
        <f t="shared" si="3467"/>
        <v>2</v>
      </c>
      <c r="DA613" s="48">
        <f t="shared" si="3468"/>
        <v>4</v>
      </c>
      <c r="DB613" s="48">
        <f t="shared" si="3513"/>
        <v>0</v>
      </c>
      <c r="DC613" s="48">
        <f t="shared" si="3514"/>
        <v>0</v>
      </c>
      <c r="DD613" s="48">
        <f t="shared" si="3515"/>
        <v>0</v>
      </c>
      <c r="DE613" s="48">
        <f t="shared" si="3516"/>
        <v>0</v>
      </c>
      <c r="DF613" s="48">
        <f t="shared" si="3517"/>
        <v>0</v>
      </c>
      <c r="DG613" s="48">
        <f t="shared" si="3518"/>
        <v>0</v>
      </c>
      <c r="DH613" s="48">
        <f t="shared" si="3519"/>
        <v>2</v>
      </c>
      <c r="DI613" s="48">
        <f t="shared" si="3520"/>
        <v>2</v>
      </c>
      <c r="DJ613" s="48">
        <f t="shared" si="3521"/>
        <v>2</v>
      </c>
      <c r="DK613" s="48">
        <f t="shared" si="3522"/>
        <v>2</v>
      </c>
      <c r="DL613" s="48">
        <f t="shared" si="3523"/>
        <v>2</v>
      </c>
      <c r="DM613" s="48">
        <f t="shared" si="3524"/>
        <v>4</v>
      </c>
      <c r="DN613" s="48">
        <f>DM613+BJ613</f>
        <v>0</v>
      </c>
      <c r="DO613" s="48">
        <f t="shared" si="3525"/>
        <v>0</v>
      </c>
      <c r="DP613" s="48">
        <f t="shared" si="3526"/>
        <v>0</v>
      </c>
      <c r="DQ613" s="48"/>
      <c r="DR613" s="48"/>
      <c r="DS613" s="48"/>
      <c r="DT613" s="48"/>
      <c r="DU613" s="48"/>
      <c r="DV613" s="48"/>
      <c r="DW613" s="48"/>
      <c r="DX613" s="48"/>
      <c r="DY613" s="48"/>
      <c r="EA613" s="52">
        <f t="shared" si="3420"/>
        <v>4</v>
      </c>
      <c r="EB613" s="52">
        <f t="shared" si="3421"/>
        <v>4</v>
      </c>
      <c r="EC613" s="52"/>
      <c r="ED613" s="429"/>
      <c r="EE613" s="40">
        <f t="shared" si="3385"/>
        <v>0</v>
      </c>
      <c r="EF613" s="40">
        <f t="shared" si="3386"/>
        <v>-4</v>
      </c>
      <c r="EG613" s="51">
        <f t="shared" si="3431"/>
        <v>4</v>
      </c>
      <c r="EH613" s="54"/>
      <c r="EI613" s="54"/>
      <c r="EJ613" s="54"/>
      <c r="EK613" s="675"/>
      <c r="EL613" s="53"/>
      <c r="EM613" s="53"/>
      <c r="EN613" s="53"/>
      <c r="EO613" s="49"/>
      <c r="EP613" s="49"/>
      <c r="EQ613" s="49"/>
    </row>
    <row r="614" spans="1:149">
      <c r="A614" s="6" t="s">
        <v>23</v>
      </c>
      <c r="B614" s="2" t="s">
        <v>13</v>
      </c>
      <c r="C614" s="3" t="s">
        <v>52</v>
      </c>
      <c r="E614" s="3" t="s">
        <v>15</v>
      </c>
      <c r="G614" s="3" t="s">
        <v>91</v>
      </c>
      <c r="I614" s="206"/>
      <c r="J614" s="203"/>
      <c r="K614" s="203"/>
      <c r="L614" s="203">
        <f>L615/2</f>
        <v>8375</v>
      </c>
      <c r="M614" s="246">
        <f t="shared" ref="M614:U614" si="3531">M615/2</f>
        <v>8375</v>
      </c>
      <c r="N614" s="246">
        <f t="shared" si="3531"/>
        <v>8375</v>
      </c>
      <c r="O614" s="246">
        <f t="shared" si="3531"/>
        <v>16750</v>
      </c>
      <c r="P614" s="246">
        <f t="shared" si="3531"/>
        <v>16750</v>
      </c>
      <c r="Q614" s="246">
        <f t="shared" si="3531"/>
        <v>16750</v>
      </c>
      <c r="R614" s="246">
        <f t="shared" si="3531"/>
        <v>25125</v>
      </c>
      <c r="S614" s="246">
        <f t="shared" si="3531"/>
        <v>25125</v>
      </c>
      <c r="T614" s="246">
        <f t="shared" si="3531"/>
        <v>25125</v>
      </c>
      <c r="U614" s="246">
        <f t="shared" si="3531"/>
        <v>33500</v>
      </c>
      <c r="V614" s="219">
        <v>0</v>
      </c>
      <c r="W614" s="246">
        <v>0</v>
      </c>
      <c r="X614" s="246">
        <v>0</v>
      </c>
      <c r="Y614" s="246">
        <f>X614</f>
        <v>0</v>
      </c>
      <c r="Z614" s="246">
        <v>0</v>
      </c>
      <c r="AA614" s="246">
        <f>ROUND(AG614/2,)</f>
        <v>34156</v>
      </c>
      <c r="AB614" s="246">
        <f t="shared" ref="AB614:AF615" si="3532">+AA614</f>
        <v>34156</v>
      </c>
      <c r="AC614" s="246">
        <f t="shared" si="3532"/>
        <v>34156</v>
      </c>
      <c r="AD614" s="246">
        <f t="shared" si="3532"/>
        <v>34156</v>
      </c>
      <c r="AE614" s="246">
        <f t="shared" si="3532"/>
        <v>34156</v>
      </c>
      <c r="AF614" s="246">
        <f t="shared" si="3532"/>
        <v>34156</v>
      </c>
      <c r="AG614" s="246">
        <v>68311</v>
      </c>
      <c r="AH614" s="31"/>
      <c r="AI614" s="19"/>
      <c r="AJ614" s="19"/>
      <c r="AK614" s="408"/>
      <c r="AL614" s="40" t="s">
        <v>97</v>
      </c>
      <c r="AM614" s="40" t="s">
        <v>97</v>
      </c>
      <c r="AN614" s="40" t="s">
        <v>97</v>
      </c>
      <c r="AO614" s="40" t="s">
        <v>97</v>
      </c>
      <c r="AP614" s="40" t="s">
        <v>97</v>
      </c>
      <c r="AQ614" s="40" t="s">
        <v>97</v>
      </c>
      <c r="AR614" s="40" t="s">
        <v>97</v>
      </c>
      <c r="AS614" s="40" t="s">
        <v>97</v>
      </c>
      <c r="AT614" s="40" t="s">
        <v>97</v>
      </c>
      <c r="AU614" s="40" t="s">
        <v>97</v>
      </c>
      <c r="AV614" s="40" t="s">
        <v>97</v>
      </c>
      <c r="AW614" s="40" t="s">
        <v>97</v>
      </c>
      <c r="AX614" s="40" t="s">
        <v>97</v>
      </c>
      <c r="AY614" s="40" t="s">
        <v>97</v>
      </c>
      <c r="AZ614" s="40" t="s">
        <v>97</v>
      </c>
      <c r="BA614" s="40" t="s">
        <v>97</v>
      </c>
      <c r="BB614" s="40" t="s">
        <v>97</v>
      </c>
      <c r="BC614" s="40" t="s">
        <v>97</v>
      </c>
      <c r="BD614" s="40" t="s">
        <v>97</v>
      </c>
      <c r="BE614" s="40" t="s">
        <v>97</v>
      </c>
      <c r="BF614" s="40" t="s">
        <v>97</v>
      </c>
      <c r="BG614" s="40" t="s">
        <v>97</v>
      </c>
      <c r="BH614" s="40" t="s">
        <v>97</v>
      </c>
      <c r="BI614" s="40" t="s">
        <v>97</v>
      </c>
      <c r="BJ614" s="40" t="s">
        <v>97</v>
      </c>
      <c r="BK614" s="40" t="s">
        <v>97</v>
      </c>
      <c r="BL614" s="40" t="s">
        <v>97</v>
      </c>
      <c r="BM614" s="408"/>
      <c r="BN614" s="40" t="s">
        <v>97</v>
      </c>
      <c r="BO614" s="40" t="s">
        <v>97</v>
      </c>
      <c r="BP614" s="40" t="s">
        <v>97</v>
      </c>
      <c r="BQ614" s="40" t="s">
        <v>97</v>
      </c>
      <c r="BR614" s="40" t="s">
        <v>97</v>
      </c>
      <c r="BS614" s="40" t="s">
        <v>97</v>
      </c>
      <c r="BT614" s="40" t="s">
        <v>97</v>
      </c>
      <c r="BU614" s="40" t="s">
        <v>97</v>
      </c>
      <c r="BV614" s="40" t="s">
        <v>97</v>
      </c>
      <c r="BW614" s="40" t="s">
        <v>97</v>
      </c>
      <c r="BX614" s="40" t="s">
        <v>97</v>
      </c>
      <c r="BY614" s="40" t="s">
        <v>97</v>
      </c>
      <c r="BZ614" s="40" t="s">
        <v>97</v>
      </c>
      <c r="CA614" s="40" t="s">
        <v>97</v>
      </c>
      <c r="CB614" s="99">
        <f t="shared" si="3423"/>
        <v>0</v>
      </c>
      <c r="CC614" s="40" t="s">
        <v>97</v>
      </c>
      <c r="CD614" s="40" t="s">
        <v>97</v>
      </c>
      <c r="CE614" s="40" t="s">
        <v>97</v>
      </c>
      <c r="CF614" s="40" t="s">
        <v>97</v>
      </c>
      <c r="CG614" s="40" t="s">
        <v>97</v>
      </c>
      <c r="CH614" s="40" t="s">
        <v>97</v>
      </c>
      <c r="CI614" s="40" t="s">
        <v>97</v>
      </c>
      <c r="CJ614" s="40" t="s">
        <v>97</v>
      </c>
      <c r="CK614" s="40" t="s">
        <v>97</v>
      </c>
      <c r="CL614" s="40" t="s">
        <v>97</v>
      </c>
      <c r="CM614" s="40" t="s">
        <v>97</v>
      </c>
      <c r="CN614" s="40" t="s">
        <v>97</v>
      </c>
      <c r="CO614" s="406"/>
      <c r="CP614" s="48">
        <f t="shared" ref="CP614:CY615" si="3533">J614</f>
        <v>0</v>
      </c>
      <c r="CQ614" s="48">
        <f t="shared" si="3533"/>
        <v>0</v>
      </c>
      <c r="CR614" s="48">
        <f t="shared" si="3533"/>
        <v>8375</v>
      </c>
      <c r="CS614" s="48">
        <f t="shared" si="3533"/>
        <v>8375</v>
      </c>
      <c r="CT614" s="48">
        <f t="shared" si="3533"/>
        <v>8375</v>
      </c>
      <c r="CU614" s="48">
        <f t="shared" si="3533"/>
        <v>16750</v>
      </c>
      <c r="CV614" s="48">
        <f t="shared" si="3533"/>
        <v>16750</v>
      </c>
      <c r="CW614" s="48">
        <f t="shared" si="3533"/>
        <v>16750</v>
      </c>
      <c r="CX614" s="48">
        <f t="shared" si="3533"/>
        <v>25125</v>
      </c>
      <c r="CY614" s="48">
        <f t="shared" si="3533"/>
        <v>25125</v>
      </c>
      <c r="CZ614" s="48">
        <f t="shared" ref="CZ614:DI615" si="3534">T614</f>
        <v>25125</v>
      </c>
      <c r="DA614" s="48">
        <f t="shared" si="3534"/>
        <v>33500</v>
      </c>
      <c r="DB614" s="48">
        <f t="shared" si="3534"/>
        <v>0</v>
      </c>
      <c r="DC614" s="48">
        <f t="shared" si="3534"/>
        <v>0</v>
      </c>
      <c r="DD614" s="48">
        <f t="shared" si="3534"/>
        <v>0</v>
      </c>
      <c r="DE614" s="48">
        <f t="shared" si="3534"/>
        <v>0</v>
      </c>
      <c r="DF614" s="48">
        <f t="shared" si="3534"/>
        <v>0</v>
      </c>
      <c r="DG614" s="48">
        <f t="shared" si="3534"/>
        <v>34156</v>
      </c>
      <c r="DH614" s="48">
        <f t="shared" si="3534"/>
        <v>34156</v>
      </c>
      <c r="DI614" s="48">
        <f t="shared" si="3534"/>
        <v>34156</v>
      </c>
      <c r="DJ614" s="48">
        <f t="shared" ref="DJ614:DP615" si="3535">AD614</f>
        <v>34156</v>
      </c>
      <c r="DK614" s="48">
        <f t="shared" si="3535"/>
        <v>34156</v>
      </c>
      <c r="DL614" s="48">
        <f t="shared" si="3535"/>
        <v>34156</v>
      </c>
      <c r="DM614" s="48">
        <f t="shared" si="3535"/>
        <v>68311</v>
      </c>
      <c r="DN614" s="48">
        <f t="shared" si="3535"/>
        <v>0</v>
      </c>
      <c r="DO614" s="48">
        <f t="shared" si="3535"/>
        <v>0</v>
      </c>
      <c r="DP614" s="48">
        <f t="shared" si="3535"/>
        <v>0</v>
      </c>
      <c r="DQ614" s="48"/>
      <c r="DR614" s="48"/>
      <c r="DS614" s="48"/>
      <c r="DT614" s="48"/>
      <c r="DU614" s="48"/>
      <c r="DV614" s="48"/>
      <c r="DW614" s="48"/>
      <c r="DX614" s="48"/>
      <c r="DY614" s="48"/>
      <c r="EA614" s="52">
        <f t="shared" si="3420"/>
        <v>33500</v>
      </c>
      <c r="EB614" s="52">
        <f t="shared" si="3421"/>
        <v>68311</v>
      </c>
      <c r="EC614" s="52"/>
      <c r="ED614" s="429"/>
      <c r="EE614" s="40" t="str">
        <f>HLOOKUP($I$1,Month,19)</f>
        <v>N/A</v>
      </c>
      <c r="EF614" s="40" t="str">
        <f>HLOOKUP($I$1,Qtr,19)</f>
        <v>N/A</v>
      </c>
      <c r="EG614" s="51">
        <f>HLOOKUP($EJ$4,Budget,19)</f>
        <v>41153</v>
      </c>
      <c r="EH614" s="54"/>
      <c r="EI614" s="54"/>
      <c r="EJ614" s="54"/>
      <c r="EK614" s="675"/>
      <c r="EL614" s="53"/>
      <c r="EM614" s="53"/>
      <c r="EN614" s="53"/>
      <c r="EO614" s="49"/>
      <c r="EP614" s="49"/>
      <c r="EQ614" s="49"/>
    </row>
    <row r="615" spans="1:149" ht="13.5" thickBot="1">
      <c r="A615" s="6" t="s">
        <v>23</v>
      </c>
      <c r="B615" s="2" t="s">
        <v>14</v>
      </c>
      <c r="C615" s="3" t="s">
        <v>53</v>
      </c>
      <c r="E615" s="3" t="s">
        <v>15</v>
      </c>
      <c r="G615" s="3" t="s">
        <v>91</v>
      </c>
      <c r="I615" s="206"/>
      <c r="J615" s="203"/>
      <c r="K615" s="203"/>
      <c r="L615" s="203">
        <v>16750</v>
      </c>
      <c r="M615" s="203">
        <v>16750</v>
      </c>
      <c r="N615" s="203">
        <v>16750</v>
      </c>
      <c r="O615" s="203">
        <v>33500</v>
      </c>
      <c r="P615" s="203">
        <v>33500</v>
      </c>
      <c r="Q615" s="203">
        <v>33500</v>
      </c>
      <c r="R615" s="203">
        <v>50250</v>
      </c>
      <c r="S615" s="203">
        <v>50250</v>
      </c>
      <c r="T615" s="203">
        <v>50250</v>
      </c>
      <c r="U615" s="203">
        <v>67000</v>
      </c>
      <c r="V615" s="221">
        <v>0</v>
      </c>
      <c r="W615" s="246">
        <v>0</v>
      </c>
      <c r="X615" s="246">
        <v>0</v>
      </c>
      <c r="Y615" s="246">
        <f>X615</f>
        <v>0</v>
      </c>
      <c r="Z615" s="246">
        <v>0</v>
      </c>
      <c r="AA615" s="246">
        <f>ROUND(AG615/2,0)</f>
        <v>41739</v>
      </c>
      <c r="AB615" s="246">
        <f t="shared" si="3532"/>
        <v>41739</v>
      </c>
      <c r="AC615" s="246">
        <f t="shared" si="3532"/>
        <v>41739</v>
      </c>
      <c r="AD615" s="246">
        <f t="shared" si="3532"/>
        <v>41739</v>
      </c>
      <c r="AE615" s="246">
        <f t="shared" si="3532"/>
        <v>41739</v>
      </c>
      <c r="AF615" s="246">
        <f t="shared" si="3532"/>
        <v>41739</v>
      </c>
      <c r="AG615" s="246">
        <v>83478</v>
      </c>
      <c r="AH615" s="34"/>
      <c r="AI615" s="19"/>
      <c r="AJ615" s="19"/>
      <c r="AK615" s="408"/>
      <c r="AL615" s="40" t="s">
        <v>97</v>
      </c>
      <c r="AM615" s="40" t="s">
        <v>97</v>
      </c>
      <c r="AN615" s="40" t="s">
        <v>97</v>
      </c>
      <c r="AO615" s="40" t="s">
        <v>97</v>
      </c>
      <c r="AP615" s="40" t="s">
        <v>97</v>
      </c>
      <c r="AQ615" s="40" t="s">
        <v>97</v>
      </c>
      <c r="AR615" s="40" t="s">
        <v>97</v>
      </c>
      <c r="AS615" s="40" t="s">
        <v>97</v>
      </c>
      <c r="AT615" s="40" t="s">
        <v>97</v>
      </c>
      <c r="AU615" s="40" t="s">
        <v>97</v>
      </c>
      <c r="AV615" s="40" t="s">
        <v>97</v>
      </c>
      <c r="AW615" s="40" t="s">
        <v>97</v>
      </c>
      <c r="AX615" s="40" t="s">
        <v>97</v>
      </c>
      <c r="AY615" s="40" t="s">
        <v>97</v>
      </c>
      <c r="AZ615" s="40" t="s">
        <v>97</v>
      </c>
      <c r="BA615" s="40" t="s">
        <v>97</v>
      </c>
      <c r="BB615" s="40" t="s">
        <v>97</v>
      </c>
      <c r="BC615" s="40" t="s">
        <v>97</v>
      </c>
      <c r="BD615" s="40" t="s">
        <v>97</v>
      </c>
      <c r="BE615" s="40" t="s">
        <v>97</v>
      </c>
      <c r="BF615" s="40" t="s">
        <v>97</v>
      </c>
      <c r="BG615" s="40" t="s">
        <v>97</v>
      </c>
      <c r="BH615" s="40" t="s">
        <v>97</v>
      </c>
      <c r="BI615" s="40" t="s">
        <v>97</v>
      </c>
      <c r="BJ615" s="40" t="s">
        <v>97</v>
      </c>
      <c r="BK615" s="40" t="s">
        <v>97</v>
      </c>
      <c r="BL615" s="40" t="s">
        <v>97</v>
      </c>
      <c r="BM615" s="408"/>
      <c r="BN615" s="40" t="s">
        <v>97</v>
      </c>
      <c r="BO615" s="40" t="s">
        <v>97</v>
      </c>
      <c r="BP615" s="40" t="s">
        <v>97</v>
      </c>
      <c r="BQ615" s="40" t="s">
        <v>97</v>
      </c>
      <c r="BR615" s="40" t="s">
        <v>97</v>
      </c>
      <c r="BS615" s="40" t="s">
        <v>97</v>
      </c>
      <c r="BT615" s="40" t="s">
        <v>97</v>
      </c>
      <c r="BU615" s="40" t="s">
        <v>97</v>
      </c>
      <c r="BV615" s="40" t="s">
        <v>97</v>
      </c>
      <c r="BW615" s="40" t="s">
        <v>97</v>
      </c>
      <c r="BX615" s="40" t="s">
        <v>97</v>
      </c>
      <c r="BY615" s="40" t="s">
        <v>97</v>
      </c>
      <c r="BZ615" s="40" t="s">
        <v>97</v>
      </c>
      <c r="CA615" s="40" t="s">
        <v>97</v>
      </c>
      <c r="CB615" s="99">
        <f t="shared" si="3423"/>
        <v>0</v>
      </c>
      <c r="CC615" s="40" t="s">
        <v>97</v>
      </c>
      <c r="CD615" s="40" t="s">
        <v>97</v>
      </c>
      <c r="CE615" s="40" t="s">
        <v>97</v>
      </c>
      <c r="CF615" s="40" t="s">
        <v>97</v>
      </c>
      <c r="CG615" s="40" t="s">
        <v>97</v>
      </c>
      <c r="CH615" s="40" t="s">
        <v>97</v>
      </c>
      <c r="CI615" s="40" t="s">
        <v>97</v>
      </c>
      <c r="CJ615" s="40" t="s">
        <v>97</v>
      </c>
      <c r="CK615" s="40" t="s">
        <v>97</v>
      </c>
      <c r="CL615" s="40" t="s">
        <v>97</v>
      </c>
      <c r="CM615" s="40" t="s">
        <v>97</v>
      </c>
      <c r="CN615" s="40" t="s">
        <v>97</v>
      </c>
      <c r="CO615" s="406"/>
      <c r="CP615" s="48">
        <f t="shared" si="3533"/>
        <v>0</v>
      </c>
      <c r="CQ615" s="48">
        <f t="shared" si="3533"/>
        <v>0</v>
      </c>
      <c r="CR615" s="48">
        <f t="shared" si="3533"/>
        <v>16750</v>
      </c>
      <c r="CS615" s="48">
        <f t="shared" si="3533"/>
        <v>16750</v>
      </c>
      <c r="CT615" s="48">
        <f t="shared" si="3533"/>
        <v>16750</v>
      </c>
      <c r="CU615" s="48">
        <f t="shared" si="3533"/>
        <v>33500</v>
      </c>
      <c r="CV615" s="48">
        <f t="shared" si="3533"/>
        <v>33500</v>
      </c>
      <c r="CW615" s="48">
        <f t="shared" si="3533"/>
        <v>33500</v>
      </c>
      <c r="CX615" s="48">
        <f t="shared" si="3533"/>
        <v>50250</v>
      </c>
      <c r="CY615" s="48">
        <f t="shared" si="3533"/>
        <v>50250</v>
      </c>
      <c r="CZ615" s="48">
        <f t="shared" si="3534"/>
        <v>50250</v>
      </c>
      <c r="DA615" s="48">
        <f t="shared" si="3534"/>
        <v>67000</v>
      </c>
      <c r="DB615" s="48">
        <f t="shared" si="3534"/>
        <v>0</v>
      </c>
      <c r="DC615" s="48">
        <f t="shared" si="3534"/>
        <v>0</v>
      </c>
      <c r="DD615" s="48">
        <f t="shared" si="3534"/>
        <v>0</v>
      </c>
      <c r="DE615" s="48">
        <f t="shared" si="3534"/>
        <v>0</v>
      </c>
      <c r="DF615" s="48">
        <f t="shared" si="3534"/>
        <v>0</v>
      </c>
      <c r="DG615" s="48">
        <f t="shared" si="3534"/>
        <v>41739</v>
      </c>
      <c r="DH615" s="48">
        <f t="shared" si="3534"/>
        <v>41739</v>
      </c>
      <c r="DI615" s="48">
        <f t="shared" si="3534"/>
        <v>41739</v>
      </c>
      <c r="DJ615" s="48">
        <f t="shared" si="3535"/>
        <v>41739</v>
      </c>
      <c r="DK615" s="48">
        <f t="shared" si="3535"/>
        <v>41739</v>
      </c>
      <c r="DL615" s="48">
        <f t="shared" si="3535"/>
        <v>41739</v>
      </c>
      <c r="DM615" s="48">
        <f t="shared" si="3535"/>
        <v>83478</v>
      </c>
      <c r="DN615" s="48">
        <f t="shared" si="3535"/>
        <v>0</v>
      </c>
      <c r="DO615" s="48">
        <f t="shared" si="3535"/>
        <v>0</v>
      </c>
      <c r="DP615" s="48">
        <f t="shared" si="3535"/>
        <v>0</v>
      </c>
      <c r="DQ615" s="48"/>
      <c r="DR615" s="48"/>
      <c r="DS615" s="48"/>
      <c r="DT615" s="48"/>
      <c r="DU615" s="48"/>
      <c r="DV615" s="48"/>
      <c r="DW615" s="48"/>
      <c r="DX615" s="48"/>
      <c r="DY615" s="48"/>
      <c r="EA615" s="52">
        <f t="shared" si="3420"/>
        <v>67000</v>
      </c>
      <c r="EB615" s="52">
        <f t="shared" si="3421"/>
        <v>83478</v>
      </c>
      <c r="EC615" s="52"/>
      <c r="ED615" s="429"/>
      <c r="EE615" s="40" t="str">
        <f>HLOOKUP($I$1,Month,20)</f>
        <v>N/A</v>
      </c>
      <c r="EF615" s="40" t="str">
        <f>HLOOKUP($I$1,Qtr,20)</f>
        <v>N/A</v>
      </c>
      <c r="EG615" s="51">
        <f>HLOOKUP($EJ$4,Budget,20)</f>
        <v>81520</v>
      </c>
      <c r="EH615" s="54"/>
      <c r="EI615" s="54"/>
      <c r="EJ615" s="54"/>
      <c r="EK615" s="675"/>
      <c r="EL615" s="53"/>
      <c r="EM615" s="53"/>
      <c r="EN615" s="53"/>
      <c r="EO615" s="49"/>
      <c r="EP615" s="49"/>
      <c r="EQ615" s="49"/>
    </row>
    <row r="616" spans="1:149">
      <c r="A616" s="6" t="s">
        <v>23</v>
      </c>
      <c r="B616" s="2" t="s">
        <v>0</v>
      </c>
      <c r="C616" s="3" t="s">
        <v>40</v>
      </c>
      <c r="G616" s="43" t="s">
        <v>113</v>
      </c>
      <c r="H616" s="28"/>
      <c r="I616" s="29"/>
      <c r="J616" s="30">
        <v>19.75</v>
      </c>
      <c r="K616" s="30">
        <f>J616+19.75</f>
        <v>39.5</v>
      </c>
      <c r="L616" s="226">
        <f t="shared" ref="L616:U616" si="3536">K616+19.75</f>
        <v>59.25</v>
      </c>
      <c r="M616" s="226">
        <f t="shared" si="3536"/>
        <v>79</v>
      </c>
      <c r="N616" s="226">
        <f t="shared" si="3536"/>
        <v>98.75</v>
      </c>
      <c r="O616" s="226">
        <f t="shared" si="3536"/>
        <v>118.5</v>
      </c>
      <c r="P616" s="226">
        <f t="shared" si="3536"/>
        <v>138.25</v>
      </c>
      <c r="Q616" s="226">
        <f t="shared" si="3536"/>
        <v>158</v>
      </c>
      <c r="R616" s="226">
        <f t="shared" si="3536"/>
        <v>177.75</v>
      </c>
      <c r="S616" s="226">
        <f t="shared" si="3536"/>
        <v>197.5</v>
      </c>
      <c r="T616" s="226">
        <f t="shared" si="3536"/>
        <v>217.25</v>
      </c>
      <c r="U616" s="226">
        <f t="shared" si="3536"/>
        <v>237</v>
      </c>
      <c r="V616" s="394">
        <f>237/12</f>
        <v>19.75</v>
      </c>
      <c r="W616" s="30">
        <f>V616+19.75</f>
        <v>39.5</v>
      </c>
      <c r="X616" s="226">
        <f t="shared" ref="X616:AG616" si="3537">W616+19.75</f>
        <v>59.25</v>
      </c>
      <c r="Y616" s="226">
        <f t="shared" si="3537"/>
        <v>79</v>
      </c>
      <c r="Z616" s="226">
        <f t="shared" si="3537"/>
        <v>98.75</v>
      </c>
      <c r="AA616" s="226">
        <f t="shared" si="3537"/>
        <v>118.5</v>
      </c>
      <c r="AB616" s="226">
        <f t="shared" si="3537"/>
        <v>138.25</v>
      </c>
      <c r="AC616" s="226">
        <f t="shared" si="3537"/>
        <v>158</v>
      </c>
      <c r="AD616" s="226">
        <f t="shared" si="3537"/>
        <v>177.75</v>
      </c>
      <c r="AE616" s="226">
        <f t="shared" si="3537"/>
        <v>197.5</v>
      </c>
      <c r="AF616" s="226">
        <f t="shared" si="3537"/>
        <v>217.25</v>
      </c>
      <c r="AG616" s="226">
        <f t="shared" si="3537"/>
        <v>237</v>
      </c>
      <c r="AH616" s="30">
        <f>225/12</f>
        <v>18.75</v>
      </c>
      <c r="AI616" s="30">
        <f>AH616+AH616</f>
        <v>37.5</v>
      </c>
      <c r="AJ616" s="30"/>
      <c r="AK616" s="408"/>
      <c r="AL616" s="48">
        <f t="shared" ref="AL616:AU618" si="3538">J616</f>
        <v>19.75</v>
      </c>
      <c r="AM616" s="48">
        <f t="shared" si="3538"/>
        <v>39.5</v>
      </c>
      <c r="AN616" s="48">
        <f t="shared" si="3538"/>
        <v>59.25</v>
      </c>
      <c r="AO616" s="48">
        <f t="shared" si="3538"/>
        <v>79</v>
      </c>
      <c r="AP616" s="48">
        <f t="shared" si="3538"/>
        <v>98.75</v>
      </c>
      <c r="AQ616" s="48">
        <f t="shared" si="3538"/>
        <v>118.5</v>
      </c>
      <c r="AR616" s="48">
        <f t="shared" si="3538"/>
        <v>138.25</v>
      </c>
      <c r="AS616" s="48">
        <f t="shared" si="3538"/>
        <v>158</v>
      </c>
      <c r="AT616" s="48">
        <f t="shared" si="3538"/>
        <v>177.75</v>
      </c>
      <c r="AU616" s="48">
        <f t="shared" si="3538"/>
        <v>197.5</v>
      </c>
      <c r="AV616" s="48">
        <f t="shared" ref="AV616:BE618" si="3539">T616</f>
        <v>217.25</v>
      </c>
      <c r="AW616" s="48">
        <f t="shared" si="3539"/>
        <v>237</v>
      </c>
      <c r="AX616" s="48">
        <f>237/12</f>
        <v>19.75</v>
      </c>
      <c r="AY616" s="48">
        <f t="shared" ref="AY616:BI616" si="3540">237/12</f>
        <v>19.75</v>
      </c>
      <c r="AZ616" s="48">
        <f t="shared" si="3540"/>
        <v>19.75</v>
      </c>
      <c r="BA616" s="48">
        <f t="shared" si="3540"/>
        <v>19.75</v>
      </c>
      <c r="BB616" s="48">
        <f t="shared" si="3540"/>
        <v>19.75</v>
      </c>
      <c r="BC616" s="48">
        <f t="shared" si="3540"/>
        <v>19.75</v>
      </c>
      <c r="BD616" s="48">
        <f t="shared" si="3540"/>
        <v>19.75</v>
      </c>
      <c r="BE616" s="48">
        <f t="shared" si="3540"/>
        <v>19.75</v>
      </c>
      <c r="BF616" s="48">
        <f t="shared" si="3540"/>
        <v>19.75</v>
      </c>
      <c r="BG616" s="48">
        <f t="shared" si="3540"/>
        <v>19.75</v>
      </c>
      <c r="BH616" s="48">
        <f t="shared" si="3540"/>
        <v>19.75</v>
      </c>
      <c r="BI616" s="48">
        <f t="shared" si="3540"/>
        <v>19.75</v>
      </c>
      <c r="BJ616" s="48">
        <f>225/12</f>
        <v>18.75</v>
      </c>
      <c r="BK616" s="48">
        <f t="shared" ref="BF616:BL618" si="3541">AI616</f>
        <v>37.5</v>
      </c>
      <c r="BL616" s="48">
        <f t="shared" si="3541"/>
        <v>0</v>
      </c>
      <c r="BM616" s="408"/>
      <c r="BN616" s="48">
        <f>+AL616</f>
        <v>19.75</v>
      </c>
      <c r="BO616" s="48">
        <f>+BN616+AM616</f>
        <v>59.25</v>
      </c>
      <c r="BP616" s="48">
        <f>+BO616+AN616</f>
        <v>118.5</v>
      </c>
      <c r="BQ616" s="48">
        <f>AO616</f>
        <v>79</v>
      </c>
      <c r="BR616" s="48">
        <f>+BQ616+AP616</f>
        <v>177.75</v>
      </c>
      <c r="BS616" s="48">
        <f>+BR616+AQ616</f>
        <v>296.25</v>
      </c>
      <c r="BT616" s="48">
        <f>AR616</f>
        <v>138.25</v>
      </c>
      <c r="BU616" s="48">
        <f>+BT616+AS616</f>
        <v>296.25</v>
      </c>
      <c r="BV616" s="48">
        <f>+BU616+AT616</f>
        <v>474</v>
      </c>
      <c r="BW616" s="48">
        <f>AU616</f>
        <v>197.5</v>
      </c>
      <c r="BX616" s="48">
        <f>+BW616+AV616</f>
        <v>414.75</v>
      </c>
      <c r="BY616" s="48">
        <f>+BX616+AW616</f>
        <v>651.75</v>
      </c>
      <c r="BZ616" s="48">
        <v>59.25</v>
      </c>
      <c r="CA616" s="48">
        <v>59.25</v>
      </c>
      <c r="CB616" s="99">
        <f t="shared" si="3423"/>
        <v>59.25</v>
      </c>
      <c r="CC616" s="48">
        <v>118.5</v>
      </c>
      <c r="CD616" s="48">
        <v>118.5</v>
      </c>
      <c r="CE616" s="48">
        <v>118.5</v>
      </c>
      <c r="CF616" s="48">
        <v>177.75</v>
      </c>
      <c r="CG616" s="48">
        <v>177.75</v>
      </c>
      <c r="CH616" s="48">
        <v>177.75</v>
      </c>
      <c r="CI616" s="48">
        <v>237</v>
      </c>
      <c r="CJ616" s="48">
        <v>237</v>
      </c>
      <c r="CK616" s="48">
        <v>237</v>
      </c>
      <c r="CL616" s="48">
        <f>CN616</f>
        <v>56.25</v>
      </c>
      <c r="CM616" s="48">
        <f>+CL616+BK616</f>
        <v>93.75</v>
      </c>
      <c r="CN616" s="48">
        <f>225/4</f>
        <v>56.25</v>
      </c>
      <c r="CO616" s="406"/>
      <c r="CP616" s="40">
        <f>AL616</f>
        <v>19.75</v>
      </c>
      <c r="CQ616" s="40">
        <f t="shared" ref="CQ616:DA617" si="3542">CP616+AM616</f>
        <v>59.25</v>
      </c>
      <c r="CR616" s="40">
        <f t="shared" si="3542"/>
        <v>118.5</v>
      </c>
      <c r="CS616" s="40">
        <f t="shared" si="3542"/>
        <v>197.5</v>
      </c>
      <c r="CT616" s="40">
        <f t="shared" si="3542"/>
        <v>296.25</v>
      </c>
      <c r="CU616" s="40">
        <f t="shared" si="3542"/>
        <v>414.75</v>
      </c>
      <c r="CV616" s="40">
        <f t="shared" si="3542"/>
        <v>553</v>
      </c>
      <c r="CW616" s="40">
        <f t="shared" si="3542"/>
        <v>711</v>
      </c>
      <c r="CX616" s="40">
        <f t="shared" si="3542"/>
        <v>888.75</v>
      </c>
      <c r="CY616" s="40">
        <f t="shared" si="3542"/>
        <v>1086.25</v>
      </c>
      <c r="CZ616" s="40">
        <f t="shared" si="3542"/>
        <v>1303.5</v>
      </c>
      <c r="DA616" s="40">
        <f t="shared" si="3542"/>
        <v>1540.5</v>
      </c>
      <c r="DB616" s="40">
        <f>AX616</f>
        <v>19.75</v>
      </c>
      <c r="DC616" s="40">
        <f>DB616+19.75</f>
        <v>39.5</v>
      </c>
      <c r="DD616" s="40">
        <f t="shared" ref="DD616:DM616" si="3543">DC616+19.75</f>
        <v>59.25</v>
      </c>
      <c r="DE616" s="40">
        <f t="shared" si="3543"/>
        <v>79</v>
      </c>
      <c r="DF616" s="40">
        <f t="shared" si="3543"/>
        <v>98.75</v>
      </c>
      <c r="DG616" s="40">
        <f t="shared" si="3543"/>
        <v>118.5</v>
      </c>
      <c r="DH616" s="40">
        <f t="shared" si="3543"/>
        <v>138.25</v>
      </c>
      <c r="DI616" s="40">
        <f t="shared" si="3543"/>
        <v>158</v>
      </c>
      <c r="DJ616" s="40">
        <f t="shared" si="3543"/>
        <v>177.75</v>
      </c>
      <c r="DK616" s="40">
        <f t="shared" si="3543"/>
        <v>197.5</v>
      </c>
      <c r="DL616" s="40">
        <f t="shared" si="3543"/>
        <v>217.25</v>
      </c>
      <c r="DM616" s="40">
        <f t="shared" si="3543"/>
        <v>237</v>
      </c>
      <c r="DN616" s="40">
        <f>BJ616</f>
        <v>18.75</v>
      </c>
      <c r="DO616" s="40">
        <f>DN616+BK616</f>
        <v>56.25</v>
      </c>
      <c r="DP616" s="40">
        <f>DO616+BL616</f>
        <v>56.25</v>
      </c>
      <c r="DQ616" s="40"/>
      <c r="DR616" s="40"/>
      <c r="DS616" s="40"/>
      <c r="DT616" s="40"/>
      <c r="DU616" s="40"/>
      <c r="DV616" s="40"/>
      <c r="DW616" s="40"/>
      <c r="DX616" s="40"/>
      <c r="DY616" s="40"/>
      <c r="EA616" s="58">
        <f t="shared" si="3420"/>
        <v>1540.5</v>
      </c>
      <c r="EB616" s="58">
        <f t="shared" si="3421"/>
        <v>237</v>
      </c>
      <c r="EC616" s="58"/>
      <c r="ED616" s="429"/>
      <c r="EE616" s="40">
        <f>HLOOKUP($I$1,Month,ROW()-1)</f>
        <v>37.5</v>
      </c>
      <c r="EF616" s="40">
        <f>HLOOKUP($I$1,Qtr,ROW()-1)</f>
        <v>93.75</v>
      </c>
      <c r="EG616" s="40">
        <v>225</v>
      </c>
      <c r="EH616" s="54"/>
      <c r="EI616" s="54"/>
      <c r="EJ616" s="54"/>
      <c r="EK616" s="675"/>
      <c r="EL616" s="53"/>
      <c r="EM616" s="53"/>
      <c r="EN616" s="53"/>
      <c r="EO616" s="49"/>
      <c r="EP616" s="49"/>
      <c r="EQ616" s="49"/>
    </row>
    <row r="617" spans="1:149">
      <c r="A617" s="6" t="s">
        <v>23</v>
      </c>
      <c r="B617" s="2" t="s">
        <v>1</v>
      </c>
      <c r="C617" s="3" t="s">
        <v>41</v>
      </c>
      <c r="G617" s="43" t="s">
        <v>113</v>
      </c>
      <c r="H617" s="28"/>
      <c r="I617" s="29"/>
      <c r="J617" s="30">
        <f>+J599-I599</f>
        <v>1.25</v>
      </c>
      <c r="K617" s="30">
        <f>+K599-J599</f>
        <v>1.25</v>
      </c>
      <c r="L617" s="30">
        <f>+L599-K599</f>
        <v>1.25</v>
      </c>
      <c r="M617" s="30">
        <f>+M599</f>
        <v>3.3333333333333335</v>
      </c>
      <c r="N617" s="30">
        <f t="shared" ref="N617:X617" si="3544">+N599-M599</f>
        <v>3.3333333299999999</v>
      </c>
      <c r="O617" s="30">
        <f t="shared" si="3544"/>
        <v>3.3333333299999994</v>
      </c>
      <c r="P617" s="30">
        <f t="shared" si="3544"/>
        <v>3.3333333300000003</v>
      </c>
      <c r="Q617" s="30">
        <f t="shared" si="3544"/>
        <v>3.3333333300000003</v>
      </c>
      <c r="R617" s="30">
        <f t="shared" si="3544"/>
        <v>3.3333333299999985</v>
      </c>
      <c r="S617" s="30">
        <f t="shared" si="3544"/>
        <v>3.3333333299999985</v>
      </c>
      <c r="T617" s="30">
        <f t="shared" si="3544"/>
        <v>3.3333333299999985</v>
      </c>
      <c r="U617" s="30">
        <f t="shared" si="3544"/>
        <v>3.3333333299999985</v>
      </c>
      <c r="V617" s="30">
        <f t="shared" si="3544"/>
        <v>3.3333333299999985</v>
      </c>
      <c r="W617" s="30">
        <f t="shared" si="3544"/>
        <v>3.3333333300000021</v>
      </c>
      <c r="X617" s="30">
        <f t="shared" si="3544"/>
        <v>3.3333333300000021</v>
      </c>
      <c r="Y617" s="30">
        <f>+Y599</f>
        <v>5.416666666666667</v>
      </c>
      <c r="Z617" s="30">
        <f t="shared" ref="Z617:AJ617" si="3545">+Z599-Y599</f>
        <v>5.4166700000000008</v>
      </c>
      <c r="AA617" s="30">
        <f t="shared" si="3545"/>
        <v>5.4166699999999999</v>
      </c>
      <c r="AB617" s="30">
        <f t="shared" si="3545"/>
        <v>5.4166699999999999</v>
      </c>
      <c r="AC617" s="30">
        <f t="shared" si="3545"/>
        <v>5.4166699999999999</v>
      </c>
      <c r="AD617" s="30">
        <f t="shared" si="3545"/>
        <v>5.4166699999999999</v>
      </c>
      <c r="AE617" s="30">
        <f t="shared" si="3545"/>
        <v>5.4166699999999963</v>
      </c>
      <c r="AF617" s="30">
        <f t="shared" si="3545"/>
        <v>5.4166699999999963</v>
      </c>
      <c r="AG617" s="30">
        <f t="shared" si="3545"/>
        <v>5.4166699999999963</v>
      </c>
      <c r="AH617" s="30">
        <f t="shared" si="3545"/>
        <v>5.4166699999999963</v>
      </c>
      <c r="AI617" s="30">
        <f t="shared" si="3545"/>
        <v>5.4166699999999963</v>
      </c>
      <c r="AJ617" s="30">
        <f t="shared" si="3545"/>
        <v>5.4166699999999963</v>
      </c>
      <c r="AK617" s="408"/>
      <c r="AL617" s="48">
        <f t="shared" si="3538"/>
        <v>1.25</v>
      </c>
      <c r="AM617" s="48">
        <f t="shared" si="3538"/>
        <v>1.25</v>
      </c>
      <c r="AN617" s="48">
        <f t="shared" si="3538"/>
        <v>1.25</v>
      </c>
      <c r="AO617" s="48">
        <f t="shared" si="3538"/>
        <v>3.3333333333333335</v>
      </c>
      <c r="AP617" s="48">
        <f t="shared" si="3538"/>
        <v>3.3333333299999999</v>
      </c>
      <c r="AQ617" s="48">
        <f t="shared" si="3538"/>
        <v>3.3333333299999994</v>
      </c>
      <c r="AR617" s="48">
        <f t="shared" si="3538"/>
        <v>3.3333333300000003</v>
      </c>
      <c r="AS617" s="48">
        <f t="shared" si="3538"/>
        <v>3.3333333300000003</v>
      </c>
      <c r="AT617" s="48">
        <f t="shared" si="3538"/>
        <v>3.3333333299999985</v>
      </c>
      <c r="AU617" s="48">
        <f t="shared" si="3538"/>
        <v>3.3333333299999985</v>
      </c>
      <c r="AV617" s="48">
        <f t="shared" si="3539"/>
        <v>3.3333333299999985</v>
      </c>
      <c r="AW617" s="48">
        <f t="shared" si="3539"/>
        <v>3.3333333299999985</v>
      </c>
      <c r="AX617" s="48">
        <f t="shared" si="3539"/>
        <v>3.3333333299999985</v>
      </c>
      <c r="AY617" s="48">
        <f t="shared" si="3539"/>
        <v>3.3333333300000021</v>
      </c>
      <c r="AZ617" s="48">
        <f t="shared" si="3539"/>
        <v>3.3333333300000021</v>
      </c>
      <c r="BA617" s="48">
        <f t="shared" si="3539"/>
        <v>5.416666666666667</v>
      </c>
      <c r="BB617" s="48">
        <f t="shared" si="3539"/>
        <v>5.4166700000000008</v>
      </c>
      <c r="BC617" s="48">
        <f t="shared" si="3539"/>
        <v>5.4166699999999999</v>
      </c>
      <c r="BD617" s="48">
        <f t="shared" si="3539"/>
        <v>5.4166699999999999</v>
      </c>
      <c r="BE617" s="48">
        <f t="shared" si="3539"/>
        <v>5.4166699999999999</v>
      </c>
      <c r="BF617" s="48">
        <f t="shared" si="3541"/>
        <v>5.4166699999999999</v>
      </c>
      <c r="BG617" s="48">
        <f t="shared" si="3541"/>
        <v>5.4166699999999963</v>
      </c>
      <c r="BH617" s="48">
        <f t="shared" si="3541"/>
        <v>5.4166699999999963</v>
      </c>
      <c r="BI617" s="48">
        <f t="shared" si="3541"/>
        <v>5.4166699999999963</v>
      </c>
      <c r="BJ617" s="48">
        <f t="shared" si="3541"/>
        <v>5.4166699999999963</v>
      </c>
      <c r="BK617" s="48">
        <f t="shared" si="3541"/>
        <v>5.4166699999999963</v>
      </c>
      <c r="BL617" s="48">
        <f t="shared" si="3541"/>
        <v>5.4166699999999963</v>
      </c>
      <c r="BM617" s="408"/>
      <c r="BN617" s="48">
        <f>+AL617</f>
        <v>1.25</v>
      </c>
      <c r="BO617" s="48">
        <f>+BN617+AM617</f>
        <v>2.5</v>
      </c>
      <c r="BP617" s="48">
        <f>+BO617+AN617</f>
        <v>3.75</v>
      </c>
      <c r="BQ617" s="48">
        <f>AO617</f>
        <v>3.3333333333333335</v>
      </c>
      <c r="BR617" s="48">
        <f>+BQ617+AP617</f>
        <v>6.6666666633333334</v>
      </c>
      <c r="BS617" s="48">
        <f>+BR617+AQ617</f>
        <v>9.9999999933333328</v>
      </c>
      <c r="BT617" s="48">
        <f>AR617</f>
        <v>3.3333333300000003</v>
      </c>
      <c r="BU617" s="48">
        <f>+BT617+AS617</f>
        <v>6.6666666600000006</v>
      </c>
      <c r="BV617" s="48">
        <f>+BU617+AT617</f>
        <v>9.9999999899999992</v>
      </c>
      <c r="BW617" s="48">
        <f>AU617</f>
        <v>3.3333333299999985</v>
      </c>
      <c r="BX617" s="48">
        <f>+BW617+AV617</f>
        <v>6.6666666599999971</v>
      </c>
      <c r="BY617" s="48">
        <f>+BX617+AW617</f>
        <v>9.9999999899999956</v>
      </c>
      <c r="BZ617" s="48">
        <f>AX617</f>
        <v>3.3333333299999985</v>
      </c>
      <c r="CA617" s="48">
        <f>+BZ617+AY617</f>
        <v>6.6666666600000006</v>
      </c>
      <c r="CB617" s="99">
        <f t="shared" si="3423"/>
        <v>3.3333333300000021</v>
      </c>
      <c r="CC617" s="48">
        <f>BA617</f>
        <v>5.416666666666667</v>
      </c>
      <c r="CD617" s="48">
        <f>+CC617+BB617</f>
        <v>10.833336666666668</v>
      </c>
      <c r="CE617" s="48">
        <f>+CD617+BC617</f>
        <v>16.250006666666668</v>
      </c>
      <c r="CF617" s="48">
        <f>BD617</f>
        <v>5.4166699999999999</v>
      </c>
      <c r="CG617" s="48">
        <f>+CF617+BE617</f>
        <v>10.83334</v>
      </c>
      <c r="CH617" s="48">
        <f>+CG617+BF617</f>
        <v>16.25001</v>
      </c>
      <c r="CI617" s="48">
        <f>BG617</f>
        <v>5.4166699999999963</v>
      </c>
      <c r="CJ617" s="48">
        <f>+CI617+BH617</f>
        <v>10.833339999999993</v>
      </c>
      <c r="CK617" s="48">
        <f>+CJ617+BI617</f>
        <v>16.250009999999989</v>
      </c>
      <c r="CL617" s="48">
        <f>BJ617</f>
        <v>5.4166699999999963</v>
      </c>
      <c r="CM617" s="48">
        <f>+CL617+BK617</f>
        <v>10.833339999999993</v>
      </c>
      <c r="CN617" s="48">
        <f>+CM617+BL617</f>
        <v>16.250009999999989</v>
      </c>
      <c r="CO617" s="406"/>
      <c r="CP617" s="40">
        <f>AL617</f>
        <v>1.25</v>
      </c>
      <c r="CQ617" s="40">
        <f t="shared" si="3542"/>
        <v>2.5</v>
      </c>
      <c r="CR617" s="40">
        <f t="shared" si="3542"/>
        <v>3.75</v>
      </c>
      <c r="CS617" s="40">
        <f t="shared" si="3542"/>
        <v>7.0833333333333339</v>
      </c>
      <c r="CT617" s="40">
        <f t="shared" si="3542"/>
        <v>10.416666663333334</v>
      </c>
      <c r="CU617" s="40">
        <f t="shared" si="3542"/>
        <v>13.749999993333333</v>
      </c>
      <c r="CV617" s="40">
        <f t="shared" si="3542"/>
        <v>17.083333323333335</v>
      </c>
      <c r="CW617" s="40">
        <f t="shared" si="3542"/>
        <v>20.416666653333337</v>
      </c>
      <c r="CX617" s="40">
        <f t="shared" si="3542"/>
        <v>23.749999983333336</v>
      </c>
      <c r="CY617" s="40">
        <f t="shared" si="3542"/>
        <v>27.083333313333334</v>
      </c>
      <c r="CZ617" s="40">
        <f t="shared" si="3542"/>
        <v>30.416666643333333</v>
      </c>
      <c r="DA617" s="40">
        <f t="shared" si="3542"/>
        <v>33.749999973333331</v>
      </c>
      <c r="DB617" s="40">
        <f>AX617</f>
        <v>3.3333333299999985</v>
      </c>
      <c r="DC617" s="40">
        <f t="shared" ref="DC617:DM617" si="3546">DB617+AY617</f>
        <v>6.6666666600000006</v>
      </c>
      <c r="DD617" s="40">
        <f t="shared" si="3546"/>
        <v>9.9999999900000027</v>
      </c>
      <c r="DE617" s="40">
        <f t="shared" si="3546"/>
        <v>15.416666656666671</v>
      </c>
      <c r="DF617" s="40">
        <f t="shared" si="3546"/>
        <v>20.83333665666667</v>
      </c>
      <c r="DG617" s="40">
        <f t="shared" si="3546"/>
        <v>26.25000665666667</v>
      </c>
      <c r="DH617" s="40">
        <f t="shared" si="3546"/>
        <v>31.66667665666667</v>
      </c>
      <c r="DI617" s="40">
        <f t="shared" si="3546"/>
        <v>37.08334665666667</v>
      </c>
      <c r="DJ617" s="40">
        <f t="shared" si="3546"/>
        <v>42.500016656666673</v>
      </c>
      <c r="DK617" s="40">
        <f t="shared" si="3546"/>
        <v>47.91668665666667</v>
      </c>
      <c r="DL617" s="40">
        <f t="shared" si="3546"/>
        <v>53.333356656666666</v>
      </c>
      <c r="DM617" s="40">
        <f t="shared" si="3546"/>
        <v>58.750026656666662</v>
      </c>
      <c r="DN617" s="40">
        <f>BJ617</f>
        <v>5.4166699999999963</v>
      </c>
      <c r="DO617" s="40">
        <f>DN617+BK617</f>
        <v>10.833339999999993</v>
      </c>
      <c r="DP617" s="40">
        <f>DO617+BL617</f>
        <v>16.250009999999989</v>
      </c>
      <c r="DQ617" s="40"/>
      <c r="DR617" s="40"/>
      <c r="DS617" s="40"/>
      <c r="DT617" s="40"/>
      <c r="DU617" s="40"/>
      <c r="DV617" s="40"/>
      <c r="DW617" s="40"/>
      <c r="DX617" s="40"/>
      <c r="DY617" s="40"/>
      <c r="EA617" s="59">
        <f t="shared" si="3420"/>
        <v>33.749999973333331</v>
      </c>
      <c r="EB617" s="59">
        <f>IF(I595&gt;6/30/10,DM617,"")</f>
        <v>58.750026656666662</v>
      </c>
      <c r="EC617" s="59"/>
      <c r="ED617" s="429"/>
      <c r="EE617" s="40">
        <f>HLOOKUP($I$1,Month,ROW()-1)</f>
        <v>5.4166699999999963</v>
      </c>
      <c r="EF617" s="40">
        <f>HLOOKUP($I$1,Qtr,ROW()-1)</f>
        <v>10.833339999999993</v>
      </c>
      <c r="EG617" s="40">
        <f>HLOOKUP($EJ$4,Budget,ROW()-1)</f>
        <v>58.750026656666662</v>
      </c>
      <c r="EH617" s="54"/>
      <c r="EI617" s="54"/>
      <c r="EJ617" s="54"/>
      <c r="EK617" s="675"/>
      <c r="EL617" s="53"/>
      <c r="EM617" s="53"/>
      <c r="EN617" s="53"/>
      <c r="EO617" s="49"/>
      <c r="EP617" s="49"/>
      <c r="EQ617" s="49"/>
    </row>
    <row r="618" spans="1:149">
      <c r="A618" s="6" t="s">
        <v>23</v>
      </c>
      <c r="B618" s="101" t="s">
        <v>144</v>
      </c>
      <c r="G618" s="43"/>
      <c r="H618" s="28"/>
      <c r="I618" s="29"/>
      <c r="J618" s="102">
        <f>J612/$DA$18</f>
        <v>0</v>
      </c>
      <c r="K618" s="102">
        <f t="shared" ref="K618:U618" si="3547">K612/$DA$18</f>
        <v>0</v>
      </c>
      <c r="L618" s="102">
        <f t="shared" si="3547"/>
        <v>0.16666666666666666</v>
      </c>
      <c r="M618" s="102">
        <f t="shared" si="3547"/>
        <v>0.16666666666666666</v>
      </c>
      <c r="N618" s="102">
        <f t="shared" si="3547"/>
        <v>0.16666666666666666</v>
      </c>
      <c r="O618" s="102">
        <f t="shared" si="3547"/>
        <v>0.16666666666666666</v>
      </c>
      <c r="P618" s="102">
        <f t="shared" si="3547"/>
        <v>0.33333333333333331</v>
      </c>
      <c r="Q618" s="102">
        <f t="shared" si="3547"/>
        <v>0.33333333333333331</v>
      </c>
      <c r="R618" s="102">
        <f t="shared" si="3547"/>
        <v>0.33333333333333331</v>
      </c>
      <c r="S618" s="102">
        <f t="shared" si="3547"/>
        <v>0.33333333333333331</v>
      </c>
      <c r="T618" s="102">
        <f t="shared" si="3547"/>
        <v>0.5</v>
      </c>
      <c r="U618" s="102">
        <f t="shared" si="3547"/>
        <v>0.5</v>
      </c>
      <c r="V618" s="102">
        <f>V612/$DK$18</f>
        <v>0</v>
      </c>
      <c r="W618" s="102">
        <f>W612/$DK$18</f>
        <v>0.25</v>
      </c>
      <c r="X618" s="102">
        <f>X612/$AG$18</f>
        <v>0.16666666666666666</v>
      </c>
      <c r="Y618" s="102">
        <f t="shared" ref="Y618:AH618" si="3548">Y612/$AG$18</f>
        <v>0.16666666666666666</v>
      </c>
      <c r="Z618" s="102">
        <f t="shared" si="3548"/>
        <v>0.16666666666666666</v>
      </c>
      <c r="AA618" s="102">
        <f t="shared" si="3548"/>
        <v>0.16666666666666666</v>
      </c>
      <c r="AB618" s="102">
        <f t="shared" si="3548"/>
        <v>0.33333333333333331</v>
      </c>
      <c r="AC618" s="102">
        <f t="shared" si="3548"/>
        <v>0.33333333333333331</v>
      </c>
      <c r="AD618" s="102">
        <f t="shared" si="3548"/>
        <v>0.33333333333333331</v>
      </c>
      <c r="AE618" s="102">
        <f t="shared" si="3548"/>
        <v>0.33333333333333331</v>
      </c>
      <c r="AF618" s="102">
        <f t="shared" si="3548"/>
        <v>0.5</v>
      </c>
      <c r="AG618" s="102">
        <f t="shared" si="3548"/>
        <v>0.5</v>
      </c>
      <c r="AH618" s="102">
        <f t="shared" si="3548"/>
        <v>0</v>
      </c>
      <c r="AI618" s="102">
        <f>AI612/$DK$18</f>
        <v>0</v>
      </c>
      <c r="AJ618" s="102">
        <f>AJ612/$DK$18</f>
        <v>0</v>
      </c>
      <c r="AK618" s="411"/>
      <c r="AL618" s="99">
        <f t="shared" si="3538"/>
        <v>0</v>
      </c>
      <c r="AM618" s="99">
        <f t="shared" si="3538"/>
        <v>0</v>
      </c>
      <c r="AN618" s="99">
        <f t="shared" si="3538"/>
        <v>0.16666666666666666</v>
      </c>
      <c r="AO618" s="99">
        <f t="shared" si="3538"/>
        <v>0.16666666666666666</v>
      </c>
      <c r="AP618" s="99">
        <f t="shared" si="3538"/>
        <v>0.16666666666666666</v>
      </c>
      <c r="AQ618" s="99">
        <f t="shared" si="3538"/>
        <v>0.16666666666666666</v>
      </c>
      <c r="AR618" s="99">
        <f t="shared" si="3538"/>
        <v>0.33333333333333331</v>
      </c>
      <c r="AS618" s="99">
        <f t="shared" si="3538"/>
        <v>0.33333333333333331</v>
      </c>
      <c r="AT618" s="99">
        <f t="shared" si="3538"/>
        <v>0.33333333333333331</v>
      </c>
      <c r="AU618" s="99">
        <f t="shared" si="3538"/>
        <v>0.33333333333333331</v>
      </c>
      <c r="AV618" s="99">
        <f t="shared" si="3539"/>
        <v>0.5</v>
      </c>
      <c r="AW618" s="99">
        <f t="shared" si="3539"/>
        <v>0.5</v>
      </c>
      <c r="AX618" s="99">
        <f t="shared" si="3539"/>
        <v>0</v>
      </c>
      <c r="AY618" s="99">
        <f t="shared" si="3539"/>
        <v>0.25</v>
      </c>
      <c r="AZ618" s="99">
        <f t="shared" si="3539"/>
        <v>0.16666666666666666</v>
      </c>
      <c r="BA618" s="99">
        <f t="shared" si="3539"/>
        <v>0.16666666666666666</v>
      </c>
      <c r="BB618" s="99">
        <f t="shared" si="3539"/>
        <v>0.16666666666666666</v>
      </c>
      <c r="BC618" s="99">
        <f t="shared" si="3539"/>
        <v>0.16666666666666666</v>
      </c>
      <c r="BD618" s="99">
        <f t="shared" si="3539"/>
        <v>0.33333333333333331</v>
      </c>
      <c r="BE618" s="99">
        <f t="shared" si="3539"/>
        <v>0.33333333333333331</v>
      </c>
      <c r="BF618" s="99">
        <f t="shared" si="3541"/>
        <v>0.33333333333333331</v>
      </c>
      <c r="BG618" s="99">
        <f t="shared" si="3541"/>
        <v>0.33333333333333331</v>
      </c>
      <c r="BH618" s="99">
        <f t="shared" si="3541"/>
        <v>0.5</v>
      </c>
      <c r="BI618" s="99">
        <f t="shared" si="3541"/>
        <v>0.5</v>
      </c>
      <c r="BJ618" s="99">
        <f t="shared" si="3541"/>
        <v>0</v>
      </c>
      <c r="BK618" s="99">
        <f t="shared" si="3541"/>
        <v>0</v>
      </c>
      <c r="BL618" s="99">
        <f t="shared" si="3541"/>
        <v>0</v>
      </c>
      <c r="BM618" s="411"/>
      <c r="BN618" s="99">
        <f>AL618</f>
        <v>0</v>
      </c>
      <c r="BO618" s="99">
        <f>AM618</f>
        <v>0</v>
      </c>
      <c r="BP618" s="99">
        <f>AN618</f>
        <v>0.16666666666666666</v>
      </c>
      <c r="BQ618" s="99">
        <f>AO618</f>
        <v>0.16666666666666666</v>
      </c>
      <c r="BR618" s="99">
        <f>AP618</f>
        <v>0.16666666666666666</v>
      </c>
      <c r="BS618" s="99">
        <f>AQ618</f>
        <v>0.16666666666666666</v>
      </c>
      <c r="BT618" s="99">
        <f>AR618</f>
        <v>0.33333333333333331</v>
      </c>
      <c r="BU618" s="99">
        <f>AS618</f>
        <v>0.33333333333333331</v>
      </c>
      <c r="BV618" s="99">
        <f>AT618</f>
        <v>0.33333333333333331</v>
      </c>
      <c r="BW618" s="99">
        <f>AU618</f>
        <v>0.33333333333333331</v>
      </c>
      <c r="BX618" s="99">
        <f>AV618</f>
        <v>0.5</v>
      </c>
      <c r="BY618" s="99">
        <f>AW618</f>
        <v>0.5</v>
      </c>
      <c r="BZ618" s="99">
        <f>AX618</f>
        <v>0</v>
      </c>
      <c r="CA618" s="99">
        <f>AY618</f>
        <v>0.25</v>
      </c>
      <c r="CB618" s="99">
        <f t="shared" si="3423"/>
        <v>0.16666666666666666</v>
      </c>
      <c r="CC618" s="99">
        <f>BA618</f>
        <v>0.16666666666666666</v>
      </c>
      <c r="CD618" s="99">
        <f>BB618</f>
        <v>0.16666666666666666</v>
      </c>
      <c r="CE618" s="99">
        <f>BC618</f>
        <v>0.16666666666666666</v>
      </c>
      <c r="CF618" s="99">
        <f>BD618</f>
        <v>0.33333333333333331</v>
      </c>
      <c r="CG618" s="99">
        <f>BE618</f>
        <v>0.33333333333333331</v>
      </c>
      <c r="CH618" s="99">
        <f>BF618</f>
        <v>0.33333333333333331</v>
      </c>
      <c r="CI618" s="99">
        <f>BG618</f>
        <v>0.33333333333333331</v>
      </c>
      <c r="CJ618" s="99">
        <f>BH618</f>
        <v>0.5</v>
      </c>
      <c r="CK618" s="99">
        <f>BI618</f>
        <v>0.5</v>
      </c>
      <c r="CL618" s="99">
        <f>BJ618</f>
        <v>0</v>
      </c>
      <c r="CM618" s="99">
        <f>BK618</f>
        <v>0</v>
      </c>
      <c r="CN618" s="99">
        <f>BL618</f>
        <v>0</v>
      </c>
      <c r="CO618" s="423"/>
      <c r="CP618" s="99">
        <f t="shared" ref="CP618:DP618" si="3549">BN618</f>
        <v>0</v>
      </c>
      <c r="CQ618" s="99">
        <f t="shared" si="3549"/>
        <v>0</v>
      </c>
      <c r="CR618" s="99">
        <f t="shared" si="3549"/>
        <v>0.16666666666666666</v>
      </c>
      <c r="CS618" s="99">
        <f t="shared" si="3549"/>
        <v>0.16666666666666666</v>
      </c>
      <c r="CT618" s="99">
        <f t="shared" si="3549"/>
        <v>0.16666666666666666</v>
      </c>
      <c r="CU618" s="99">
        <f t="shared" si="3549"/>
        <v>0.16666666666666666</v>
      </c>
      <c r="CV618" s="99">
        <f t="shared" si="3549"/>
        <v>0.33333333333333331</v>
      </c>
      <c r="CW618" s="99">
        <f t="shared" si="3549"/>
        <v>0.33333333333333331</v>
      </c>
      <c r="CX618" s="99">
        <f t="shared" si="3549"/>
        <v>0.33333333333333331</v>
      </c>
      <c r="CY618" s="99">
        <f t="shared" si="3549"/>
        <v>0.33333333333333331</v>
      </c>
      <c r="CZ618" s="99">
        <f t="shared" si="3549"/>
        <v>0.5</v>
      </c>
      <c r="DA618" s="99">
        <f t="shared" si="3549"/>
        <v>0.5</v>
      </c>
      <c r="DB618" s="99">
        <f t="shared" si="3549"/>
        <v>0</v>
      </c>
      <c r="DC618" s="99">
        <f t="shared" si="3549"/>
        <v>0.25</v>
      </c>
      <c r="DD618" s="99">
        <f t="shared" si="3549"/>
        <v>0.16666666666666666</v>
      </c>
      <c r="DE618" s="99">
        <f t="shared" si="3549"/>
        <v>0.16666666666666666</v>
      </c>
      <c r="DF618" s="99">
        <f t="shared" si="3549"/>
        <v>0.16666666666666666</v>
      </c>
      <c r="DG618" s="99">
        <f t="shared" si="3549"/>
        <v>0.16666666666666666</v>
      </c>
      <c r="DH618" s="99">
        <f t="shared" si="3549"/>
        <v>0.33333333333333331</v>
      </c>
      <c r="DI618" s="99">
        <f t="shared" si="3549"/>
        <v>0.33333333333333331</v>
      </c>
      <c r="DJ618" s="99">
        <f t="shared" si="3549"/>
        <v>0.33333333333333331</v>
      </c>
      <c r="DK618" s="99">
        <f t="shared" si="3549"/>
        <v>0.33333333333333331</v>
      </c>
      <c r="DL618" s="99">
        <f t="shared" si="3549"/>
        <v>0.5</v>
      </c>
      <c r="DM618" s="99">
        <f t="shared" si="3549"/>
        <v>0.5</v>
      </c>
      <c r="DN618" s="99">
        <f t="shared" si="3549"/>
        <v>0</v>
      </c>
      <c r="DO618" s="99">
        <f t="shared" si="3549"/>
        <v>0</v>
      </c>
      <c r="DP618" s="99">
        <f t="shared" si="3549"/>
        <v>0</v>
      </c>
      <c r="DQ618" s="99"/>
      <c r="DR618" s="99"/>
      <c r="DS618" s="99"/>
      <c r="DT618" s="99"/>
      <c r="DU618" s="99"/>
      <c r="DV618" s="99"/>
      <c r="DW618" s="99"/>
      <c r="DX618" s="99"/>
      <c r="DY618" s="99"/>
      <c r="EA618" s="40" t="str">
        <f>HLOOKUP($I$1,Month,19)</f>
        <v>N/A</v>
      </c>
      <c r="EB618" s="40" t="str">
        <f>HLOOKUP($I$1,Qtr,19)</f>
        <v>N/A</v>
      </c>
      <c r="EC618" s="40"/>
      <c r="ED618" s="429"/>
      <c r="EE618" s="99">
        <f>HLOOKUP($I$1,Month,ROW()-1)</f>
        <v>0</v>
      </c>
      <c r="EF618" s="99">
        <f>HLOOKUP($I$1,Qtr,ROW()-1)</f>
        <v>0</v>
      </c>
      <c r="EG618" s="127">
        <v>1</v>
      </c>
      <c r="EH618" s="54"/>
      <c r="EI618" s="54"/>
      <c r="EJ618" s="54"/>
      <c r="EK618" s="675"/>
      <c r="EL618" s="136"/>
      <c r="EM618" s="136"/>
      <c r="EN618" s="136"/>
      <c r="EO618" s="49"/>
      <c r="EP618" s="49"/>
      <c r="EQ618" s="49"/>
    </row>
    <row r="619" spans="1:149">
      <c r="A619" s="6" t="s">
        <v>23</v>
      </c>
      <c r="B619" s="2" t="s">
        <v>98</v>
      </c>
      <c r="G619" s="41" t="s">
        <v>92</v>
      </c>
      <c r="H619" s="28"/>
      <c r="I619" s="29"/>
      <c r="J619" s="32">
        <f>J605*J606</f>
        <v>2.0833333333333335</v>
      </c>
      <c r="K619" s="32">
        <f t="shared" ref="K619:AJ619" si="3550">K605*K606</f>
        <v>2.0833333333333335</v>
      </c>
      <c r="L619" s="32">
        <f t="shared" si="3550"/>
        <v>2.0833333333333335</v>
      </c>
      <c r="M619" s="32">
        <f t="shared" si="3550"/>
        <v>2.0833333333333335</v>
      </c>
      <c r="N619" s="32">
        <f t="shared" si="3550"/>
        <v>2.0833333333333335</v>
      </c>
      <c r="O619" s="32">
        <f t="shared" si="3550"/>
        <v>2.0833333333333335</v>
      </c>
      <c r="P619" s="32">
        <f t="shared" si="3550"/>
        <v>2.0833333333333335</v>
      </c>
      <c r="Q619" s="32">
        <f t="shared" si="3550"/>
        <v>2.0833333333333335</v>
      </c>
      <c r="R619" s="32">
        <f t="shared" si="3550"/>
        <v>2.0833333333333335</v>
      </c>
      <c r="S619" s="32">
        <f t="shared" si="3550"/>
        <v>2.0833333333333335</v>
      </c>
      <c r="T619" s="32">
        <f t="shared" si="3550"/>
        <v>2.0833333333333335</v>
      </c>
      <c r="U619" s="32">
        <f t="shared" si="3550"/>
        <v>2.0833333333333335</v>
      </c>
      <c r="V619" s="32">
        <f t="shared" si="3550"/>
        <v>1.5041666666666664</v>
      </c>
      <c r="W619" s="32">
        <f t="shared" si="3550"/>
        <v>3.0083301666666662</v>
      </c>
      <c r="X619" s="32">
        <f t="shared" si="3550"/>
        <v>4.5124936666666668</v>
      </c>
      <c r="Y619" s="32">
        <f t="shared" si="3550"/>
        <v>6.0166571666666666</v>
      </c>
      <c r="Z619" s="32">
        <f t="shared" si="3550"/>
        <v>7.5208206666666664</v>
      </c>
      <c r="AA619" s="32">
        <f t="shared" si="3550"/>
        <v>9.0249841666666661</v>
      </c>
      <c r="AB619" s="32">
        <f t="shared" si="3550"/>
        <v>10.529147666666665</v>
      </c>
      <c r="AC619" s="32">
        <f t="shared" si="3550"/>
        <v>12.033311166666666</v>
      </c>
      <c r="AD619" s="32">
        <f t="shared" si="3550"/>
        <v>13.537474666666666</v>
      </c>
      <c r="AE619" s="32">
        <f t="shared" si="3550"/>
        <v>15.041638166666665</v>
      </c>
      <c r="AF619" s="32">
        <f t="shared" si="3550"/>
        <v>16.545801666666666</v>
      </c>
      <c r="AG619" s="32">
        <f t="shared" si="3550"/>
        <v>18.049965166666667</v>
      </c>
      <c r="AH619" s="32">
        <f t="shared" si="3550"/>
        <v>0</v>
      </c>
      <c r="AI619" s="32">
        <f t="shared" si="3550"/>
        <v>0</v>
      </c>
      <c r="AJ619" s="32">
        <f t="shared" si="3550"/>
        <v>0</v>
      </c>
      <c r="AK619" s="408"/>
      <c r="AL619" s="56">
        <f>AL605*AL606</f>
        <v>2.0833333333333335</v>
      </c>
      <c r="AM619" s="56">
        <f>AM605*AM606</f>
        <v>2.0833333333333335</v>
      </c>
      <c r="AN619" s="56">
        <f>AN605*AN606</f>
        <v>2.0833333333333335</v>
      </c>
      <c r="AO619" s="56">
        <f>AO605*AO606</f>
        <v>2.0833333333333335</v>
      </c>
      <c r="AP619" s="56">
        <f t="shared" ref="AP619:BL619" si="3551">AP605*AP606</f>
        <v>2.0833333333333335</v>
      </c>
      <c r="AQ619" s="56">
        <f t="shared" si="3551"/>
        <v>2.0833333333333335</v>
      </c>
      <c r="AR619" s="56">
        <f t="shared" si="3551"/>
        <v>2.0833333333333335</v>
      </c>
      <c r="AS619" s="56">
        <f t="shared" si="3551"/>
        <v>2.0833333333333335</v>
      </c>
      <c r="AT619" s="56">
        <f t="shared" si="3551"/>
        <v>2.0833333333333335</v>
      </c>
      <c r="AU619" s="56">
        <f t="shared" si="3551"/>
        <v>2.0833333333333335</v>
      </c>
      <c r="AV619" s="56">
        <f t="shared" si="3551"/>
        <v>2.0833333333333335</v>
      </c>
      <c r="AW619" s="56">
        <f t="shared" si="3551"/>
        <v>2.0833333333333335</v>
      </c>
      <c r="AX619" s="56">
        <f t="shared" si="3551"/>
        <v>1.5041666666666664</v>
      </c>
      <c r="AY619" s="56">
        <f t="shared" si="3551"/>
        <v>1.5041634999999998</v>
      </c>
      <c r="AZ619" s="56">
        <f t="shared" si="3551"/>
        <v>1.5041635</v>
      </c>
      <c r="BA619" s="56">
        <f t="shared" si="3551"/>
        <v>1.5041635</v>
      </c>
      <c r="BB619" s="56">
        <f t="shared" si="3551"/>
        <v>1.5041635</v>
      </c>
      <c r="BC619" s="56">
        <f t="shared" si="3551"/>
        <v>1.5041634999999991</v>
      </c>
      <c r="BD619" s="56">
        <f t="shared" si="3551"/>
        <v>1.5041635</v>
      </c>
      <c r="BE619" s="56">
        <f t="shared" si="3551"/>
        <v>1.5041635</v>
      </c>
      <c r="BF619" s="56">
        <f t="shared" si="3551"/>
        <v>1.5041635</v>
      </c>
      <c r="BG619" s="56">
        <f t="shared" si="3551"/>
        <v>1.5041635</v>
      </c>
      <c r="BH619" s="56">
        <f t="shared" si="3551"/>
        <v>1.5041635</v>
      </c>
      <c r="BI619" s="56">
        <f t="shared" si="3551"/>
        <v>1.5041635</v>
      </c>
      <c r="BJ619" s="56">
        <f t="shared" si="3551"/>
        <v>0</v>
      </c>
      <c r="BK619" s="56">
        <f t="shared" si="3551"/>
        <v>0</v>
      </c>
      <c r="BL619" s="56">
        <f t="shared" si="3551"/>
        <v>0</v>
      </c>
      <c r="BM619" s="408"/>
      <c r="BN619" s="56">
        <f>+AL619</f>
        <v>2.0833333333333335</v>
      </c>
      <c r="BO619" s="56">
        <f>+BN619+AM619</f>
        <v>4.166666666666667</v>
      </c>
      <c r="BP619" s="56">
        <f>+BO619+AN619</f>
        <v>6.25</v>
      </c>
      <c r="BQ619" s="56">
        <f>M619</f>
        <v>2.0833333333333335</v>
      </c>
      <c r="BR619" s="56">
        <f>+BQ619+AP619</f>
        <v>4.166666666666667</v>
      </c>
      <c r="BS619" s="56">
        <f>+BR619+AQ619</f>
        <v>6.25</v>
      </c>
      <c r="BT619" s="56">
        <f>P619</f>
        <v>2.0833333333333335</v>
      </c>
      <c r="BU619" s="56">
        <f>+BT619+AS619</f>
        <v>4.166666666666667</v>
      </c>
      <c r="BV619" s="56">
        <f>+BU619+AT619</f>
        <v>6.25</v>
      </c>
      <c r="BW619" s="56">
        <f>S619</f>
        <v>2.0833333333333335</v>
      </c>
      <c r="BX619" s="56">
        <f>+BW619+AV619</f>
        <v>4.166666666666667</v>
      </c>
      <c r="BY619" s="56">
        <f>+BX619+AW619</f>
        <v>6.25</v>
      </c>
      <c r="BZ619" s="56">
        <f>V619</f>
        <v>1.5041666666666664</v>
      </c>
      <c r="CA619" s="56">
        <f>+BZ619+AY619</f>
        <v>3.0083301666666662</v>
      </c>
      <c r="CB619" s="99">
        <f t="shared" si="3423"/>
        <v>4.5124936666666668</v>
      </c>
      <c r="CC619" s="56">
        <f>Y619</f>
        <v>6.0166571666666666</v>
      </c>
      <c r="CD619" s="56">
        <f>+CC619+BB619</f>
        <v>7.5208206666666664</v>
      </c>
      <c r="CE619" s="56">
        <f>+CD619+BC619</f>
        <v>9.0249841666666661</v>
      </c>
      <c r="CF619" s="56">
        <f>AB619</f>
        <v>10.529147666666665</v>
      </c>
      <c r="CG619" s="56">
        <f>+CF619+BE619</f>
        <v>12.033311166666666</v>
      </c>
      <c r="CH619" s="56">
        <f>+CG619+BF619</f>
        <v>13.537474666666666</v>
      </c>
      <c r="CI619" s="56">
        <f>AE619</f>
        <v>15.041638166666665</v>
      </c>
      <c r="CJ619" s="56">
        <f>+CI619+BH619</f>
        <v>16.545801666666666</v>
      </c>
      <c r="CK619" s="56">
        <f>+CJ619+BI619</f>
        <v>18.049965166666667</v>
      </c>
      <c r="CL619" s="56">
        <f>AH619</f>
        <v>0</v>
      </c>
      <c r="CM619" s="56">
        <f>+CL619+BK619</f>
        <v>0</v>
      </c>
      <c r="CN619" s="56">
        <f>+CM619+BL619</f>
        <v>0</v>
      </c>
      <c r="CO619" s="406"/>
      <c r="CP619" s="60">
        <f>J619</f>
        <v>2.0833333333333335</v>
      </c>
      <c r="CQ619" s="60">
        <f t="shared" ref="CQ619:DA619" si="3552">CP619+K619</f>
        <v>4.166666666666667</v>
      </c>
      <c r="CR619" s="60">
        <f t="shared" si="3552"/>
        <v>6.25</v>
      </c>
      <c r="CS619" s="60">
        <f t="shared" si="3552"/>
        <v>8.3333333333333339</v>
      </c>
      <c r="CT619" s="60">
        <f t="shared" si="3552"/>
        <v>10.416666666666668</v>
      </c>
      <c r="CU619" s="60">
        <f t="shared" si="3552"/>
        <v>12.500000000000002</v>
      </c>
      <c r="CV619" s="60">
        <f t="shared" si="3552"/>
        <v>14.583333333333336</v>
      </c>
      <c r="CW619" s="60">
        <f t="shared" si="3552"/>
        <v>16.666666666666668</v>
      </c>
      <c r="CX619" s="60">
        <f t="shared" si="3552"/>
        <v>18.75</v>
      </c>
      <c r="CY619" s="60">
        <f t="shared" si="3552"/>
        <v>20.833333333333332</v>
      </c>
      <c r="CZ619" s="60">
        <f t="shared" si="3552"/>
        <v>22.916666666666664</v>
      </c>
      <c r="DA619" s="60">
        <f t="shared" si="3552"/>
        <v>24.999999999999996</v>
      </c>
      <c r="DB619" s="60">
        <f>V619</f>
        <v>1.5041666666666664</v>
      </c>
      <c r="DC619" s="60">
        <f t="shared" ref="DC619:DM619" si="3553">DB619+W619</f>
        <v>4.5124968333333326</v>
      </c>
      <c r="DD619" s="60">
        <f t="shared" si="3553"/>
        <v>9.0249904999999995</v>
      </c>
      <c r="DE619" s="60">
        <f t="shared" si="3553"/>
        <v>15.041647666666666</v>
      </c>
      <c r="DF619" s="60">
        <f t="shared" si="3553"/>
        <v>22.562468333333332</v>
      </c>
      <c r="DG619" s="60">
        <f t="shared" si="3553"/>
        <v>31.587452499999998</v>
      </c>
      <c r="DH619" s="60">
        <f t="shared" si="3553"/>
        <v>42.116600166666665</v>
      </c>
      <c r="DI619" s="60">
        <f t="shared" si="3553"/>
        <v>54.149911333333328</v>
      </c>
      <c r="DJ619" s="60">
        <f t="shared" si="3553"/>
        <v>67.687385999999989</v>
      </c>
      <c r="DK619" s="60">
        <f t="shared" si="3553"/>
        <v>82.729024166666647</v>
      </c>
      <c r="DL619" s="60">
        <f t="shared" si="3553"/>
        <v>99.27482583333331</v>
      </c>
      <c r="DM619" s="60">
        <f t="shared" si="3553"/>
        <v>117.32479099999998</v>
      </c>
      <c r="DN619" s="60">
        <f>AH619</f>
        <v>0</v>
      </c>
      <c r="DO619" s="60">
        <f>DN619+AI619</f>
        <v>0</v>
      </c>
      <c r="DP619" s="60">
        <f>DO619+AJ619</f>
        <v>0</v>
      </c>
      <c r="DQ619" s="60"/>
      <c r="DR619" s="60"/>
      <c r="DS619" s="60"/>
      <c r="DT619" s="60"/>
      <c r="DU619" s="60"/>
      <c r="DV619" s="60"/>
      <c r="DW619" s="60"/>
      <c r="DX619" s="60"/>
      <c r="DY619" s="60"/>
      <c r="EA619" s="98">
        <v>0.95</v>
      </c>
      <c r="EB619" s="98">
        <v>0.95</v>
      </c>
      <c r="EC619" s="98"/>
      <c r="ED619" s="429"/>
      <c r="EE619" s="61">
        <f>HLOOKUP($I$1,Month,ROW()-1)</f>
        <v>0</v>
      </c>
      <c r="EF619" s="61">
        <f>HLOOKUP($I$1,Qtr,ROW()-1)</f>
        <v>0</v>
      </c>
      <c r="EG619" s="99">
        <f>HLOOKUP($EJ$4,Budget,ROW()-1)</f>
        <v>0.95</v>
      </c>
      <c r="EH619" s="54"/>
      <c r="EK619" s="675"/>
      <c r="EL619" s="136"/>
      <c r="EM619" s="136"/>
      <c r="EN619" s="136"/>
      <c r="EO619" s="49"/>
      <c r="EP619" s="49"/>
      <c r="EQ619" s="49"/>
    </row>
    <row r="620" spans="1:149" ht="12" customHeight="1">
      <c r="A620" s="6" t="s">
        <v>21</v>
      </c>
      <c r="I620" s="1"/>
      <c r="J620" s="1"/>
      <c r="K620" s="42" t="s">
        <v>114</v>
      </c>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406"/>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406"/>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406"/>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245"/>
      <c r="DR620" s="245"/>
      <c r="DS620" s="245"/>
      <c r="DT620" s="245"/>
      <c r="DU620" s="245"/>
      <c r="DV620" s="245"/>
      <c r="DW620" s="245"/>
      <c r="DX620" s="245"/>
      <c r="DY620" s="245"/>
      <c r="ED620" s="429"/>
      <c r="EE620" s="23"/>
      <c r="EF620" s="23"/>
      <c r="EG620" s="23"/>
      <c r="EH620" s="23"/>
      <c r="EK620" s="23"/>
    </row>
    <row r="621" spans="1:149" ht="12" customHeight="1">
      <c r="A621" s="6" t="s">
        <v>22</v>
      </c>
      <c r="B621" s="2" t="s">
        <v>0</v>
      </c>
      <c r="C621" s="3" t="s">
        <v>54</v>
      </c>
      <c r="E621" s="3" t="s">
        <v>16</v>
      </c>
      <c r="G621" s="1" t="s">
        <v>91</v>
      </c>
      <c r="I621" s="18">
        <v>120</v>
      </c>
      <c r="J621" s="21">
        <v>126</v>
      </c>
      <c r="K621" s="19">
        <v>138</v>
      </c>
      <c r="L621" s="246">
        <v>138</v>
      </c>
      <c r="M621" s="247">
        <v>46</v>
      </c>
      <c r="N621" s="246">
        <v>60</v>
      </c>
      <c r="O621" s="19">
        <v>77</v>
      </c>
      <c r="P621" s="19">
        <v>95</v>
      </c>
      <c r="Q621" s="19">
        <v>108</v>
      </c>
      <c r="R621" s="19">
        <v>113</v>
      </c>
      <c r="S621" s="19">
        <v>165</v>
      </c>
      <c r="T621" s="19">
        <v>190</v>
      </c>
      <c r="U621" s="19">
        <v>197</v>
      </c>
      <c r="V621" s="26">
        <v>214</v>
      </c>
      <c r="W621" s="19">
        <v>221</v>
      </c>
      <c r="X621" s="19">
        <v>248</v>
      </c>
      <c r="Y621" s="372">
        <v>3</v>
      </c>
      <c r="Z621" s="19">
        <v>3</v>
      </c>
      <c r="AA621" s="19">
        <v>61</v>
      </c>
      <c r="AB621" s="19">
        <v>65</v>
      </c>
      <c r="AC621" s="19">
        <v>93</v>
      </c>
      <c r="AD621" s="19">
        <v>117</v>
      </c>
      <c r="AE621" s="19">
        <v>131</v>
      </c>
      <c r="AF621" s="19">
        <v>151</v>
      </c>
      <c r="AG621" s="19">
        <v>162</v>
      </c>
      <c r="AH621" s="19">
        <v>181</v>
      </c>
      <c r="AI621" s="19">
        <v>191</v>
      </c>
      <c r="AJ621" s="19"/>
      <c r="AK621" s="408"/>
      <c r="AL621" s="21">
        <f t="shared" ref="AL621:AM625" si="3554">J621-I621</f>
        <v>6</v>
      </c>
      <c r="AM621" s="21">
        <f t="shared" si="3554"/>
        <v>12</v>
      </c>
      <c r="AN621" s="21">
        <f t="shared" ref="AN621:AN629" si="3555">L621-K621</f>
        <v>0</v>
      </c>
      <c r="AO621" s="21">
        <f>M621</f>
        <v>46</v>
      </c>
      <c r="AP621" s="129">
        <f t="shared" ref="AP621:AP629" si="3556">IF(N621&lt;&gt;"",N621-M621,0)</f>
        <v>14</v>
      </c>
      <c r="AQ621" s="131">
        <f t="shared" ref="AQ621:AQ629" si="3557">IF(O621&lt;&gt;"",O621-N621,0)</f>
        <v>17</v>
      </c>
      <c r="AR621" s="131">
        <f t="shared" ref="AR621:AR640" si="3558">IF(P621&lt;&gt;"",P621-O621,0)</f>
        <v>18</v>
      </c>
      <c r="AS621" s="131">
        <f t="shared" ref="AS621:AS637" si="3559">IF(Q621&lt;&gt;"",Q621-P621,0)</f>
        <v>13</v>
      </c>
      <c r="AT621" s="131">
        <f t="shared" ref="AT621:AT637" si="3560">IF(R621&lt;&gt;"",R621-Q621,0)</f>
        <v>5</v>
      </c>
      <c r="AU621" s="131">
        <f t="shared" ref="AU621:AU637" si="3561">IF(S621&lt;&gt;"",S621-R621,0)</f>
        <v>52</v>
      </c>
      <c r="AV621" s="131">
        <f t="shared" ref="AV621:AV640" si="3562">IF(T621&lt;&gt;"",T621-S621,0)</f>
        <v>25</v>
      </c>
      <c r="AW621" s="131">
        <f t="shared" ref="AW621:AW640" si="3563">IF(U621&lt;&gt;"",U621-T621,0)</f>
        <v>7</v>
      </c>
      <c r="AX621" s="131">
        <f>IF(V621&lt;&gt;"",V621-U621,0)</f>
        <v>17</v>
      </c>
      <c r="AY621" s="131">
        <f t="shared" ref="AY621:AY640" si="3564">IF(W621&lt;&gt;"",W621-V621,0)</f>
        <v>7</v>
      </c>
      <c r="AZ621" s="131">
        <f t="shared" ref="AZ621:AZ629" si="3565">IF(X621&lt;&gt;"",X621-W621,0)</f>
        <v>27</v>
      </c>
      <c r="BA621" s="21">
        <f>Y621</f>
        <v>3</v>
      </c>
      <c r="BB621" s="131">
        <f t="shared" ref="BB621:BB637" si="3566">IF(Z621&lt;&gt;"",Z621-Y621,0)</f>
        <v>0</v>
      </c>
      <c r="BC621" s="131">
        <f t="shared" ref="BC621:BC637" si="3567">IF(AA621&lt;&gt;"",AA621-Z621,0)</f>
        <v>58</v>
      </c>
      <c r="BD621" s="131">
        <f t="shared" ref="BD621:BD637" si="3568">IF(AB621&lt;&gt;"",AB621-AA621,0)</f>
        <v>4</v>
      </c>
      <c r="BE621" s="131">
        <f t="shared" ref="BE621:BE637" si="3569">IF(AC621&lt;&gt;"",AC621-AB621,0)</f>
        <v>28</v>
      </c>
      <c r="BF621" s="131">
        <f t="shared" ref="BF621:BF637" si="3570">IF(AD621&lt;&gt;"",AD621-AC621,0)</f>
        <v>24</v>
      </c>
      <c r="BG621" s="131">
        <f t="shared" ref="BG621:BG637" si="3571">IF(AE621&lt;&gt;"",AE621-AD621,0)</f>
        <v>14</v>
      </c>
      <c r="BH621" s="131">
        <f t="shared" ref="BH621:BH637" si="3572">IF(AF621&lt;&gt;"",AF621-AE621,0)</f>
        <v>20</v>
      </c>
      <c r="BI621" s="131">
        <f t="shared" ref="BI621:BI637" si="3573">IF(AG621&lt;&gt;"",AG621-AF621,0)</f>
        <v>11</v>
      </c>
      <c r="BJ621" s="131">
        <f>IF(AH621&lt;&gt;"",AH621-AG621,0)</f>
        <v>19</v>
      </c>
      <c r="BK621" s="131">
        <f t="shared" ref="BK621:BK637" si="3574">IF(AI621&lt;&gt;"",AI621-AH621,0)</f>
        <v>10</v>
      </c>
      <c r="BL621" s="131">
        <f t="shared" ref="BL621:BL637" si="3575">IF(AJ621&lt;&gt;"",AJ621-AI621,0)</f>
        <v>0</v>
      </c>
      <c r="BM621" s="408"/>
      <c r="BN621" s="48">
        <f>BP621</f>
        <v>18</v>
      </c>
      <c r="BO621" s="48">
        <f>BP621</f>
        <v>18</v>
      </c>
      <c r="BP621" s="48">
        <f>SUM(AL621:AN621)</f>
        <v>18</v>
      </c>
      <c r="BQ621" s="48">
        <f>BS621</f>
        <v>77</v>
      </c>
      <c r="BR621" s="48">
        <f>BS621</f>
        <v>77</v>
      </c>
      <c r="BS621" s="48">
        <f>SUM(AO621:AQ621)</f>
        <v>77</v>
      </c>
      <c r="BT621" s="48">
        <f>BV621</f>
        <v>36</v>
      </c>
      <c r="BU621" s="48">
        <f>BV621</f>
        <v>36</v>
      </c>
      <c r="BV621" s="48">
        <f>SUM(AR621:AT621)</f>
        <v>36</v>
      </c>
      <c r="BW621" s="48">
        <f>BY621</f>
        <v>84</v>
      </c>
      <c r="BX621" s="48">
        <f>BY621</f>
        <v>84</v>
      </c>
      <c r="BY621" s="48">
        <f>SUM(AU621:AW621)</f>
        <v>84</v>
      </c>
      <c r="BZ621" s="48">
        <f>CB621</f>
        <v>51</v>
      </c>
      <c r="CA621" s="48">
        <f>CB621</f>
        <v>51</v>
      </c>
      <c r="CB621" s="48">
        <f>SUM(AX621:AZ621)</f>
        <v>51</v>
      </c>
      <c r="CC621" s="48">
        <f>CE621</f>
        <v>61</v>
      </c>
      <c r="CD621" s="48">
        <f>CE621</f>
        <v>61</v>
      </c>
      <c r="CE621" s="48">
        <f>SUM(BA621:BC621)</f>
        <v>61</v>
      </c>
      <c r="CF621" s="48">
        <f>CH621</f>
        <v>56</v>
      </c>
      <c r="CG621" s="48">
        <f>CH621</f>
        <v>56</v>
      </c>
      <c r="CH621" s="48">
        <f>SUM(BD621:BF621)</f>
        <v>56</v>
      </c>
      <c r="CI621" s="48">
        <f>CK621</f>
        <v>45</v>
      </c>
      <c r="CJ621" s="48">
        <f>CK621</f>
        <v>45</v>
      </c>
      <c r="CK621" s="48">
        <f>SUM(BG621:BI621)</f>
        <v>45</v>
      </c>
      <c r="CL621" s="48">
        <f>CN621</f>
        <v>29</v>
      </c>
      <c r="CM621" s="48">
        <f>CN621</f>
        <v>29</v>
      </c>
      <c r="CN621" s="48">
        <f>SUM(BJ621:BL621)</f>
        <v>29</v>
      </c>
      <c r="CO621" s="406"/>
      <c r="CP621" s="21">
        <f t="shared" ref="CP621:CR625" si="3576">I621+AL621</f>
        <v>126</v>
      </c>
      <c r="CQ621" s="21">
        <f t="shared" si="3576"/>
        <v>138</v>
      </c>
      <c r="CR621" s="21">
        <f t="shared" si="3576"/>
        <v>138</v>
      </c>
      <c r="CS621" s="21">
        <f>AO621</f>
        <v>46</v>
      </c>
      <c r="CT621" s="21">
        <f t="shared" ref="CT621:DD625" si="3577">M621+AP621</f>
        <v>60</v>
      </c>
      <c r="CU621" s="21">
        <f t="shared" si="3577"/>
        <v>77</v>
      </c>
      <c r="CV621" s="21">
        <f t="shared" si="3577"/>
        <v>95</v>
      </c>
      <c r="CW621" s="21">
        <f t="shared" si="3577"/>
        <v>108</v>
      </c>
      <c r="CX621" s="21">
        <f t="shared" si="3577"/>
        <v>113</v>
      </c>
      <c r="CY621" s="21">
        <f t="shared" si="3577"/>
        <v>165</v>
      </c>
      <c r="CZ621" s="21">
        <f t="shared" si="3577"/>
        <v>190</v>
      </c>
      <c r="DA621" s="21">
        <f t="shared" si="3577"/>
        <v>197</v>
      </c>
      <c r="DB621" s="21">
        <f t="shared" si="3577"/>
        <v>214</v>
      </c>
      <c r="DC621" s="21">
        <f t="shared" si="3577"/>
        <v>221</v>
      </c>
      <c r="DD621" s="21">
        <f t="shared" si="3577"/>
        <v>248</v>
      </c>
      <c r="DE621" s="21">
        <f>+BA621</f>
        <v>3</v>
      </c>
      <c r="DF621" s="21">
        <f t="shared" ref="DF621:DP625" si="3578">Y621+BB621</f>
        <v>3</v>
      </c>
      <c r="DG621" s="21">
        <f t="shared" si="3578"/>
        <v>61</v>
      </c>
      <c r="DH621" s="21">
        <f t="shared" si="3578"/>
        <v>65</v>
      </c>
      <c r="DI621" s="21">
        <f t="shared" si="3578"/>
        <v>93</v>
      </c>
      <c r="DJ621" s="21">
        <f t="shared" si="3578"/>
        <v>117</v>
      </c>
      <c r="DK621" s="21">
        <f t="shared" si="3578"/>
        <v>131</v>
      </c>
      <c r="DL621" s="21">
        <f t="shared" si="3578"/>
        <v>151</v>
      </c>
      <c r="DM621" s="21">
        <f t="shared" si="3578"/>
        <v>162</v>
      </c>
      <c r="DN621" s="21">
        <f t="shared" si="3578"/>
        <v>181</v>
      </c>
      <c r="DO621" s="21">
        <f t="shared" si="3578"/>
        <v>191</v>
      </c>
      <c r="DP621" s="21">
        <f t="shared" si="3578"/>
        <v>191</v>
      </c>
      <c r="DQ621" s="248"/>
      <c r="DR621" s="248"/>
      <c r="DS621" s="248"/>
      <c r="DT621" s="248"/>
      <c r="DU621" s="248"/>
      <c r="DV621" s="248"/>
      <c r="DW621" s="248"/>
      <c r="DX621" s="248"/>
      <c r="DY621" s="248"/>
      <c r="ED621" s="429"/>
      <c r="EE621" s="23"/>
      <c r="EF621" s="23"/>
      <c r="EG621" s="23"/>
      <c r="EH621" s="18">
        <f t="shared" ref="EH621:EH638" si="3579">HLOOKUP($I$1,Month,ROW()-1)</f>
        <v>10</v>
      </c>
      <c r="EI621" s="18">
        <f t="shared" ref="EI621:EI638" si="3580">HLOOKUP($I$1,Qtr,ROW()-1)</f>
        <v>29</v>
      </c>
      <c r="EJ621" s="18">
        <f t="shared" ref="EJ621:EJ643" si="3581">HLOOKUP($I$1,YTD,ROW()-1)</f>
        <v>191</v>
      </c>
      <c r="EK621" s="24">
        <f>$EK$1/12</f>
        <v>0.91666666666666663</v>
      </c>
      <c r="EL621" s="14">
        <f t="shared" ref="EL621:EM627" si="3582">EH621/EE598</f>
        <v>0.50632911392405067</v>
      </c>
      <c r="EM621" s="14">
        <f t="shared" si="3582"/>
        <v>0.48945147679324896</v>
      </c>
      <c r="EN621" s="14">
        <f>EJ621/EG598</f>
        <v>0.80590717299578063</v>
      </c>
      <c r="EO621" s="46" t="str">
        <f t="shared" ref="EO621:EP627" si="3583">IF(EH621&lt;0,,IF(EH621&lt;EE598,"È",IF(EH621=EE598,"Æ","Ç")))</f>
        <v>È</v>
      </c>
      <c r="EP621" s="46" t="str">
        <f t="shared" si="3583"/>
        <v>È</v>
      </c>
      <c r="EQ621" s="2">
        <f t="shared" ref="EQ621:EQ636" si="3584">IF(EL621&gt;=0.9,1,IF(EL621&lt;0.75,3,2))</f>
        <v>3</v>
      </c>
      <c r="ER621" s="2">
        <f t="shared" ref="ER621:ER636" si="3585">IF(EM621&gt;=0.9,1,IF(EM621&lt;0.75,3,2))</f>
        <v>3</v>
      </c>
      <c r="ES621" s="2">
        <f t="shared" ref="ES621:ES636" si="3586">IF(EN621&gt;=0.9,1,IF(EN621&lt;0.75,3,2))</f>
        <v>2</v>
      </c>
    </row>
    <row r="622" spans="1:149" ht="12" customHeight="1">
      <c r="A622" s="6" t="s">
        <v>22</v>
      </c>
      <c r="B622" s="2" t="s">
        <v>1</v>
      </c>
      <c r="C622" s="3" t="s">
        <v>55</v>
      </c>
      <c r="E622" s="3" t="s">
        <v>16</v>
      </c>
      <c r="G622" s="1" t="s">
        <v>91</v>
      </c>
      <c r="I622" s="18">
        <v>22</v>
      </c>
      <c r="J622" s="19">
        <v>27</v>
      </c>
      <c r="K622" s="19">
        <v>35</v>
      </c>
      <c r="L622" s="246">
        <v>36</v>
      </c>
      <c r="M622" s="247">
        <v>16</v>
      </c>
      <c r="N622" s="246">
        <v>18</v>
      </c>
      <c r="O622" s="19">
        <v>29</v>
      </c>
      <c r="P622" s="19">
        <v>32</v>
      </c>
      <c r="Q622" s="19">
        <v>37</v>
      </c>
      <c r="R622" s="19">
        <v>38</v>
      </c>
      <c r="S622" s="19">
        <v>44</v>
      </c>
      <c r="T622" s="19">
        <v>49</v>
      </c>
      <c r="U622" s="19">
        <v>49</v>
      </c>
      <c r="V622" s="26">
        <v>54</v>
      </c>
      <c r="W622" s="19">
        <v>56</v>
      </c>
      <c r="X622" s="19">
        <v>62</v>
      </c>
      <c r="Y622" s="372">
        <v>2</v>
      </c>
      <c r="Z622" s="19">
        <v>2</v>
      </c>
      <c r="AA622" s="19">
        <v>28</v>
      </c>
      <c r="AB622" s="19">
        <v>28</v>
      </c>
      <c r="AC622" s="19">
        <v>37</v>
      </c>
      <c r="AD622" s="19">
        <v>44</v>
      </c>
      <c r="AE622" s="19">
        <v>47</v>
      </c>
      <c r="AF622" s="19">
        <v>51</v>
      </c>
      <c r="AG622" s="19">
        <v>59</v>
      </c>
      <c r="AH622" s="19">
        <v>63</v>
      </c>
      <c r="AI622" s="19">
        <v>68</v>
      </c>
      <c r="AJ622" s="19"/>
      <c r="AK622" s="408"/>
      <c r="AL622" s="21">
        <f t="shared" si="3554"/>
        <v>5</v>
      </c>
      <c r="AM622" s="21">
        <f t="shared" si="3554"/>
        <v>8</v>
      </c>
      <c r="AN622" s="21">
        <f t="shared" si="3555"/>
        <v>1</v>
      </c>
      <c r="AO622" s="21">
        <f>M622</f>
        <v>16</v>
      </c>
      <c r="AP622" s="129">
        <f t="shared" si="3556"/>
        <v>2</v>
      </c>
      <c r="AQ622" s="129">
        <f t="shared" si="3557"/>
        <v>11</v>
      </c>
      <c r="AR622" s="129">
        <f t="shared" si="3558"/>
        <v>3</v>
      </c>
      <c r="AS622" s="129">
        <f t="shared" si="3559"/>
        <v>5</v>
      </c>
      <c r="AT622" s="129">
        <f t="shared" si="3560"/>
        <v>1</v>
      </c>
      <c r="AU622" s="129">
        <f t="shared" si="3561"/>
        <v>6</v>
      </c>
      <c r="AV622" s="129">
        <f t="shared" si="3562"/>
        <v>5</v>
      </c>
      <c r="AW622" s="129">
        <f t="shared" si="3563"/>
        <v>0</v>
      </c>
      <c r="AX622" s="129">
        <f>IF(V622&lt;&gt;"",V622-U622,0)</f>
        <v>5</v>
      </c>
      <c r="AY622" s="129">
        <f t="shared" si="3564"/>
        <v>2</v>
      </c>
      <c r="AZ622" s="129">
        <f t="shared" si="3565"/>
        <v>6</v>
      </c>
      <c r="BA622" s="21">
        <f>Y622</f>
        <v>2</v>
      </c>
      <c r="BB622" s="129">
        <f t="shared" si="3566"/>
        <v>0</v>
      </c>
      <c r="BC622" s="129">
        <f t="shared" si="3567"/>
        <v>26</v>
      </c>
      <c r="BD622" s="129">
        <f t="shared" si="3568"/>
        <v>0</v>
      </c>
      <c r="BE622" s="129">
        <f t="shared" si="3569"/>
        <v>9</v>
      </c>
      <c r="BF622" s="129">
        <f t="shared" si="3570"/>
        <v>7</v>
      </c>
      <c r="BG622" s="129">
        <f t="shared" si="3571"/>
        <v>3</v>
      </c>
      <c r="BH622" s="129">
        <f t="shared" si="3572"/>
        <v>4</v>
      </c>
      <c r="BI622" s="129">
        <f t="shared" si="3573"/>
        <v>8</v>
      </c>
      <c r="BJ622" s="129">
        <f>IF(AH622&lt;&gt;"",AH622-AG622,0)</f>
        <v>4</v>
      </c>
      <c r="BK622" s="129">
        <f t="shared" si="3574"/>
        <v>5</v>
      </c>
      <c r="BL622" s="129">
        <f t="shared" si="3575"/>
        <v>0</v>
      </c>
      <c r="BM622" s="408"/>
      <c r="BN622" s="48">
        <f t="shared" ref="BN622:BN638" si="3587">BP622</f>
        <v>14</v>
      </c>
      <c r="BO622" s="48">
        <f t="shared" ref="BO622:BO638" si="3588">BP622</f>
        <v>14</v>
      </c>
      <c r="BP622" s="48">
        <f t="shared" ref="BP622:BP627" si="3589">SUM(AL622:AN622)</f>
        <v>14</v>
      </c>
      <c r="BQ622" s="48">
        <f t="shared" ref="BQ622:BQ638" si="3590">BS622</f>
        <v>29</v>
      </c>
      <c r="BR622" s="48">
        <f t="shared" ref="BR622:BR638" si="3591">BS622</f>
        <v>29</v>
      </c>
      <c r="BS622" s="48">
        <f t="shared" ref="BS622:BS627" si="3592">SUM(AO622:AQ622)</f>
        <v>29</v>
      </c>
      <c r="BT622" s="48">
        <f t="shared" ref="BT622:BT638" si="3593">BV622</f>
        <v>9</v>
      </c>
      <c r="BU622" s="48">
        <f t="shared" ref="BU622:BU638" si="3594">BV622</f>
        <v>9</v>
      </c>
      <c r="BV622" s="48">
        <f t="shared" ref="BV622:BV627" si="3595">SUM(AR622:AT622)</f>
        <v>9</v>
      </c>
      <c r="BW622" s="48">
        <f t="shared" ref="BW622:BW638" si="3596">BY622</f>
        <v>11</v>
      </c>
      <c r="BX622" s="48">
        <f t="shared" ref="BX622:BX638" si="3597">BY622</f>
        <v>11</v>
      </c>
      <c r="BY622" s="48">
        <f t="shared" ref="BY622:BY627" si="3598">SUM(AU622:AW622)</f>
        <v>11</v>
      </c>
      <c r="BZ622" s="48">
        <f t="shared" ref="BZ622:BZ638" si="3599">CB622</f>
        <v>13</v>
      </c>
      <c r="CA622" s="48">
        <f t="shared" ref="CA622:CA638" si="3600">CB622</f>
        <v>13</v>
      </c>
      <c r="CB622" s="48">
        <f t="shared" ref="CB622:CB627" si="3601">SUM(AX622:AZ622)</f>
        <v>13</v>
      </c>
      <c r="CC622" s="48">
        <f t="shared" ref="CC622:CC638" si="3602">CE622</f>
        <v>28</v>
      </c>
      <c r="CD622" s="48">
        <f t="shared" ref="CD622:CD638" si="3603">CE622</f>
        <v>28</v>
      </c>
      <c r="CE622" s="48">
        <f t="shared" ref="CE622:CE627" si="3604">SUM(BA622:BC622)</f>
        <v>28</v>
      </c>
      <c r="CF622" s="48">
        <f t="shared" ref="CF622:CF638" si="3605">CH622</f>
        <v>16</v>
      </c>
      <c r="CG622" s="48">
        <f t="shared" ref="CG622:CG638" si="3606">CH622</f>
        <v>16</v>
      </c>
      <c r="CH622" s="48">
        <f t="shared" ref="CH622:CH627" si="3607">SUM(BD622:BF622)</f>
        <v>16</v>
      </c>
      <c r="CI622" s="48">
        <f t="shared" ref="CI622:CI638" si="3608">CK622</f>
        <v>15</v>
      </c>
      <c r="CJ622" s="48">
        <f t="shared" ref="CJ622:CJ638" si="3609">CK622</f>
        <v>15</v>
      </c>
      <c r="CK622" s="48">
        <f t="shared" ref="CK622:CK627" si="3610">SUM(BG622:BI622)</f>
        <v>15</v>
      </c>
      <c r="CL622" s="48">
        <f t="shared" ref="CL622:CL638" si="3611">CN622</f>
        <v>9</v>
      </c>
      <c r="CM622" s="48">
        <f t="shared" ref="CM622:CM638" si="3612">CN622</f>
        <v>9</v>
      </c>
      <c r="CN622" s="48">
        <f t="shared" ref="CN622:CN627" si="3613">SUM(BJ622:BL622)</f>
        <v>9</v>
      </c>
      <c r="CO622" s="406"/>
      <c r="CP622" s="21">
        <f t="shared" si="3576"/>
        <v>27</v>
      </c>
      <c r="CQ622" s="21">
        <f t="shared" si="3576"/>
        <v>35</v>
      </c>
      <c r="CR622" s="21">
        <f t="shared" si="3576"/>
        <v>36</v>
      </c>
      <c r="CS622" s="21">
        <f>AO622</f>
        <v>16</v>
      </c>
      <c r="CT622" s="21">
        <f t="shared" si="3577"/>
        <v>18</v>
      </c>
      <c r="CU622" s="21">
        <f t="shared" si="3577"/>
        <v>29</v>
      </c>
      <c r="CV622" s="21">
        <f t="shared" si="3577"/>
        <v>32</v>
      </c>
      <c r="CW622" s="21">
        <f t="shared" si="3577"/>
        <v>37</v>
      </c>
      <c r="CX622" s="21">
        <f t="shared" si="3577"/>
        <v>38</v>
      </c>
      <c r="CY622" s="21">
        <f t="shared" si="3577"/>
        <v>44</v>
      </c>
      <c r="CZ622" s="21">
        <f t="shared" si="3577"/>
        <v>49</v>
      </c>
      <c r="DA622" s="21">
        <f t="shared" si="3577"/>
        <v>49</v>
      </c>
      <c r="DB622" s="21">
        <f t="shared" si="3577"/>
        <v>54</v>
      </c>
      <c r="DC622" s="21">
        <f t="shared" si="3577"/>
        <v>56</v>
      </c>
      <c r="DD622" s="21">
        <f t="shared" si="3577"/>
        <v>62</v>
      </c>
      <c r="DE622" s="21">
        <f>+BA622</f>
        <v>2</v>
      </c>
      <c r="DF622" s="21">
        <f t="shared" si="3578"/>
        <v>2</v>
      </c>
      <c r="DG622" s="21">
        <f t="shared" si="3578"/>
        <v>28</v>
      </c>
      <c r="DH622" s="21">
        <f t="shared" si="3578"/>
        <v>28</v>
      </c>
      <c r="DI622" s="21">
        <f t="shared" si="3578"/>
        <v>37</v>
      </c>
      <c r="DJ622" s="21">
        <f t="shared" si="3578"/>
        <v>44</v>
      </c>
      <c r="DK622" s="21">
        <f t="shared" si="3578"/>
        <v>47</v>
      </c>
      <c r="DL622" s="21">
        <f t="shared" si="3578"/>
        <v>51</v>
      </c>
      <c r="DM622" s="21">
        <f t="shared" si="3578"/>
        <v>59</v>
      </c>
      <c r="DN622" s="21">
        <f t="shared" si="3578"/>
        <v>63</v>
      </c>
      <c r="DO622" s="21">
        <f t="shared" si="3578"/>
        <v>68</v>
      </c>
      <c r="DP622" s="21">
        <f t="shared" si="3578"/>
        <v>68</v>
      </c>
      <c r="DQ622" s="248"/>
      <c r="DR622" s="248"/>
      <c r="DS622" s="248"/>
      <c r="DT622" s="248"/>
      <c r="DU622" s="248"/>
      <c r="DV622" s="248"/>
      <c r="DW622" s="248"/>
      <c r="DX622" s="248"/>
      <c r="DY622" s="248"/>
      <c r="ED622" s="429"/>
      <c r="EE622" s="23"/>
      <c r="EF622" s="23"/>
      <c r="EG622" s="23"/>
      <c r="EH622" s="18">
        <f t="shared" si="3579"/>
        <v>5</v>
      </c>
      <c r="EI622" s="18">
        <f t="shared" si="3580"/>
        <v>9</v>
      </c>
      <c r="EJ622" s="18">
        <f t="shared" si="3581"/>
        <v>68</v>
      </c>
      <c r="EK622" s="24">
        <f>$EK$1/12</f>
        <v>0.91666666666666663</v>
      </c>
      <c r="EL622" s="14">
        <f t="shared" si="3582"/>
        <v>0.92307635502993601</v>
      </c>
      <c r="EM622" s="14">
        <f t="shared" si="3582"/>
        <v>0.55384581301796154</v>
      </c>
      <c r="EN622" s="14">
        <f>EJ622/EG599</f>
        <v>1.0461532560161124</v>
      </c>
      <c r="EO622" s="46" t="str">
        <f t="shared" si="3583"/>
        <v>È</v>
      </c>
      <c r="EP622" s="46" t="str">
        <f t="shared" si="3583"/>
        <v>È</v>
      </c>
      <c r="EQ622" s="2">
        <f t="shared" si="3584"/>
        <v>1</v>
      </c>
      <c r="ER622" s="2">
        <f t="shared" si="3585"/>
        <v>3</v>
      </c>
      <c r="ES622" s="2">
        <f t="shared" si="3586"/>
        <v>1</v>
      </c>
    </row>
    <row r="623" spans="1:149" ht="12" customHeight="1">
      <c r="A623" s="6" t="s">
        <v>22</v>
      </c>
      <c r="B623" s="2" t="s">
        <v>2</v>
      </c>
      <c r="C623" s="3" t="s">
        <v>56</v>
      </c>
      <c r="E623" s="3" t="s">
        <v>16</v>
      </c>
      <c r="G623" s="1" t="s">
        <v>91</v>
      </c>
      <c r="I623" s="18">
        <v>26</v>
      </c>
      <c r="J623" s="19">
        <v>32</v>
      </c>
      <c r="K623" s="19">
        <v>42</v>
      </c>
      <c r="L623" s="246">
        <v>42</v>
      </c>
      <c r="M623" s="247">
        <v>10</v>
      </c>
      <c r="N623" s="246">
        <v>13</v>
      </c>
      <c r="O623" s="19">
        <v>22</v>
      </c>
      <c r="P623" s="19">
        <v>32</v>
      </c>
      <c r="Q623" s="19">
        <v>37</v>
      </c>
      <c r="R623" s="19">
        <v>38</v>
      </c>
      <c r="S623" s="19">
        <v>54</v>
      </c>
      <c r="T623" s="19">
        <v>61</v>
      </c>
      <c r="U623" s="19">
        <v>64</v>
      </c>
      <c r="V623" s="26">
        <v>74</v>
      </c>
      <c r="W623" s="19">
        <v>75</v>
      </c>
      <c r="X623" s="19">
        <v>87</v>
      </c>
      <c r="Y623" s="372">
        <v>2</v>
      </c>
      <c r="Z623" s="19">
        <v>2</v>
      </c>
      <c r="AA623" s="19">
        <v>28</v>
      </c>
      <c r="AB623" s="19">
        <v>29</v>
      </c>
      <c r="AC623" s="19">
        <v>40</v>
      </c>
      <c r="AD623" s="19">
        <v>49</v>
      </c>
      <c r="AE623" s="19">
        <v>55</v>
      </c>
      <c r="AF623" s="19">
        <v>56</v>
      </c>
      <c r="AG623" s="19">
        <v>72</v>
      </c>
      <c r="AH623" s="19">
        <v>83</v>
      </c>
      <c r="AI623" s="19">
        <v>91</v>
      </c>
      <c r="AJ623" s="19"/>
      <c r="AK623" s="408"/>
      <c r="AL623" s="21">
        <f t="shared" si="3554"/>
        <v>6</v>
      </c>
      <c r="AM623" s="21">
        <f t="shared" si="3554"/>
        <v>10</v>
      </c>
      <c r="AN623" s="21">
        <f t="shared" si="3555"/>
        <v>0</v>
      </c>
      <c r="AO623" s="21">
        <f>M623</f>
        <v>10</v>
      </c>
      <c r="AP623" s="129">
        <f t="shared" si="3556"/>
        <v>3</v>
      </c>
      <c r="AQ623" s="129">
        <f t="shared" si="3557"/>
        <v>9</v>
      </c>
      <c r="AR623" s="129">
        <f t="shared" si="3558"/>
        <v>10</v>
      </c>
      <c r="AS623" s="129">
        <f t="shared" si="3559"/>
        <v>5</v>
      </c>
      <c r="AT623" s="129">
        <f t="shared" si="3560"/>
        <v>1</v>
      </c>
      <c r="AU623" s="129">
        <f t="shared" si="3561"/>
        <v>16</v>
      </c>
      <c r="AV623" s="129">
        <f t="shared" si="3562"/>
        <v>7</v>
      </c>
      <c r="AW623" s="129">
        <f t="shared" si="3563"/>
        <v>3</v>
      </c>
      <c r="AX623" s="129">
        <f>IF(V623&lt;&gt;"",V623-U623,0)</f>
        <v>10</v>
      </c>
      <c r="AY623" s="129">
        <f t="shared" si="3564"/>
        <v>1</v>
      </c>
      <c r="AZ623" s="129">
        <f t="shared" si="3565"/>
        <v>12</v>
      </c>
      <c r="BA623" s="21">
        <f>Y623</f>
        <v>2</v>
      </c>
      <c r="BB623" s="129">
        <f t="shared" si="3566"/>
        <v>0</v>
      </c>
      <c r="BC623" s="129">
        <f t="shared" si="3567"/>
        <v>26</v>
      </c>
      <c r="BD623" s="129">
        <f t="shared" si="3568"/>
        <v>1</v>
      </c>
      <c r="BE623" s="129">
        <f t="shared" si="3569"/>
        <v>11</v>
      </c>
      <c r="BF623" s="129">
        <f t="shared" si="3570"/>
        <v>9</v>
      </c>
      <c r="BG623" s="129">
        <f t="shared" si="3571"/>
        <v>6</v>
      </c>
      <c r="BH623" s="129">
        <f t="shared" si="3572"/>
        <v>1</v>
      </c>
      <c r="BI623" s="129">
        <f t="shared" si="3573"/>
        <v>16</v>
      </c>
      <c r="BJ623" s="129">
        <f>IF(AH623&lt;&gt;"",AH623-AG623,0)</f>
        <v>11</v>
      </c>
      <c r="BK623" s="129">
        <f t="shared" si="3574"/>
        <v>8</v>
      </c>
      <c r="BL623" s="129">
        <f t="shared" si="3575"/>
        <v>0</v>
      </c>
      <c r="BM623" s="408"/>
      <c r="BN623" s="48">
        <f t="shared" si="3587"/>
        <v>16</v>
      </c>
      <c r="BO623" s="48">
        <f t="shared" si="3588"/>
        <v>16</v>
      </c>
      <c r="BP623" s="48">
        <f t="shared" si="3589"/>
        <v>16</v>
      </c>
      <c r="BQ623" s="48">
        <f t="shared" si="3590"/>
        <v>22</v>
      </c>
      <c r="BR623" s="48">
        <f t="shared" si="3591"/>
        <v>22</v>
      </c>
      <c r="BS623" s="48">
        <f t="shared" si="3592"/>
        <v>22</v>
      </c>
      <c r="BT623" s="48">
        <f t="shared" si="3593"/>
        <v>16</v>
      </c>
      <c r="BU623" s="48">
        <f t="shared" si="3594"/>
        <v>16</v>
      </c>
      <c r="BV623" s="48">
        <f t="shared" si="3595"/>
        <v>16</v>
      </c>
      <c r="BW623" s="48">
        <f t="shared" si="3596"/>
        <v>26</v>
      </c>
      <c r="BX623" s="48">
        <f t="shared" si="3597"/>
        <v>26</v>
      </c>
      <c r="BY623" s="48">
        <f t="shared" si="3598"/>
        <v>26</v>
      </c>
      <c r="BZ623" s="48">
        <f t="shared" si="3599"/>
        <v>23</v>
      </c>
      <c r="CA623" s="48">
        <f t="shared" si="3600"/>
        <v>23</v>
      </c>
      <c r="CB623" s="48">
        <f t="shared" si="3601"/>
        <v>23</v>
      </c>
      <c r="CC623" s="48">
        <f t="shared" si="3602"/>
        <v>28</v>
      </c>
      <c r="CD623" s="48">
        <f t="shared" si="3603"/>
        <v>28</v>
      </c>
      <c r="CE623" s="48">
        <f t="shared" si="3604"/>
        <v>28</v>
      </c>
      <c r="CF623" s="48">
        <f t="shared" si="3605"/>
        <v>21</v>
      </c>
      <c r="CG623" s="48">
        <f t="shared" si="3606"/>
        <v>21</v>
      </c>
      <c r="CH623" s="48">
        <f t="shared" si="3607"/>
        <v>21</v>
      </c>
      <c r="CI623" s="48">
        <f t="shared" si="3608"/>
        <v>23</v>
      </c>
      <c r="CJ623" s="48">
        <f t="shared" si="3609"/>
        <v>23</v>
      </c>
      <c r="CK623" s="48">
        <f t="shared" si="3610"/>
        <v>23</v>
      </c>
      <c r="CL623" s="48">
        <f t="shared" si="3611"/>
        <v>19</v>
      </c>
      <c r="CM623" s="48">
        <f t="shared" si="3612"/>
        <v>19</v>
      </c>
      <c r="CN623" s="48">
        <f t="shared" si="3613"/>
        <v>19</v>
      </c>
      <c r="CO623" s="406"/>
      <c r="CP623" s="21">
        <f t="shared" si="3576"/>
        <v>32</v>
      </c>
      <c r="CQ623" s="21">
        <f t="shared" si="3576"/>
        <v>42</v>
      </c>
      <c r="CR623" s="21">
        <f t="shared" si="3576"/>
        <v>42</v>
      </c>
      <c r="CS623" s="21">
        <f>AO623</f>
        <v>10</v>
      </c>
      <c r="CT623" s="21">
        <f t="shared" si="3577"/>
        <v>13</v>
      </c>
      <c r="CU623" s="21">
        <f t="shared" si="3577"/>
        <v>22</v>
      </c>
      <c r="CV623" s="21">
        <f t="shared" si="3577"/>
        <v>32</v>
      </c>
      <c r="CW623" s="21">
        <f t="shared" si="3577"/>
        <v>37</v>
      </c>
      <c r="CX623" s="21">
        <f t="shared" si="3577"/>
        <v>38</v>
      </c>
      <c r="CY623" s="21">
        <f t="shared" si="3577"/>
        <v>54</v>
      </c>
      <c r="CZ623" s="21">
        <f t="shared" si="3577"/>
        <v>61</v>
      </c>
      <c r="DA623" s="21">
        <f t="shared" si="3577"/>
        <v>64</v>
      </c>
      <c r="DB623" s="21">
        <f t="shared" si="3577"/>
        <v>74</v>
      </c>
      <c r="DC623" s="21">
        <f t="shared" si="3577"/>
        <v>75</v>
      </c>
      <c r="DD623" s="21">
        <f t="shared" si="3577"/>
        <v>87</v>
      </c>
      <c r="DE623" s="21">
        <f>+BA623</f>
        <v>2</v>
      </c>
      <c r="DF623" s="21">
        <f t="shared" si="3578"/>
        <v>2</v>
      </c>
      <c r="DG623" s="21">
        <f t="shared" si="3578"/>
        <v>28</v>
      </c>
      <c r="DH623" s="21">
        <f t="shared" si="3578"/>
        <v>29</v>
      </c>
      <c r="DI623" s="21">
        <f t="shared" si="3578"/>
        <v>40</v>
      </c>
      <c r="DJ623" s="21">
        <f t="shared" si="3578"/>
        <v>49</v>
      </c>
      <c r="DK623" s="21">
        <f t="shared" si="3578"/>
        <v>55</v>
      </c>
      <c r="DL623" s="21">
        <f t="shared" si="3578"/>
        <v>56</v>
      </c>
      <c r="DM623" s="21">
        <f t="shared" si="3578"/>
        <v>72</v>
      </c>
      <c r="DN623" s="21">
        <f t="shared" si="3578"/>
        <v>83</v>
      </c>
      <c r="DO623" s="21">
        <f t="shared" si="3578"/>
        <v>91</v>
      </c>
      <c r="DP623" s="21">
        <f t="shared" si="3578"/>
        <v>91</v>
      </c>
      <c r="DQ623" s="248"/>
      <c r="DR623" s="248"/>
      <c r="DS623" s="248"/>
      <c r="DT623" s="248"/>
      <c r="DU623" s="248"/>
      <c r="DV623" s="248"/>
      <c r="DW623" s="248"/>
      <c r="DX623" s="248"/>
      <c r="DY623" s="248"/>
      <c r="ED623" s="429"/>
      <c r="EE623" s="23"/>
      <c r="EF623" s="23"/>
      <c r="EG623" s="23"/>
      <c r="EH623" s="18">
        <f t="shared" si="3579"/>
        <v>8</v>
      </c>
      <c r="EI623" s="18">
        <f t="shared" si="3580"/>
        <v>19</v>
      </c>
      <c r="EJ623" s="18">
        <f t="shared" si="3581"/>
        <v>91</v>
      </c>
      <c r="EK623" s="24">
        <f>$EK$1/12</f>
        <v>0.91666666666666663</v>
      </c>
      <c r="EL623" s="14">
        <f t="shared" si="3582"/>
        <v>1.103448275862069</v>
      </c>
      <c r="EM623" s="14">
        <f t="shared" si="3582"/>
        <v>0.87356321839080464</v>
      </c>
      <c r="EN623" s="14">
        <f>EJ623/EG600</f>
        <v>1.0459770114942528</v>
      </c>
      <c r="EO623" s="46" t="str">
        <f t="shared" si="3583"/>
        <v>Ç</v>
      </c>
      <c r="EP623" s="46" t="str">
        <f t="shared" si="3583"/>
        <v>È</v>
      </c>
      <c r="EQ623" s="2">
        <f t="shared" si="3584"/>
        <v>1</v>
      </c>
      <c r="ER623" s="2">
        <f t="shared" si="3585"/>
        <v>2</v>
      </c>
      <c r="ES623" s="2">
        <f t="shared" si="3586"/>
        <v>1</v>
      </c>
    </row>
    <row r="624" spans="1:149" ht="12" customHeight="1">
      <c r="A624" s="6" t="s">
        <v>22</v>
      </c>
      <c r="B624" s="2" t="s">
        <v>3</v>
      </c>
      <c r="C624" s="3" t="s">
        <v>57</v>
      </c>
      <c r="E624" s="3" t="s">
        <v>16</v>
      </c>
      <c r="G624" s="1" t="s">
        <v>91</v>
      </c>
      <c r="I624" s="18">
        <v>6</v>
      </c>
      <c r="J624" s="21">
        <v>9</v>
      </c>
      <c r="K624" s="21">
        <v>10</v>
      </c>
      <c r="L624" s="248">
        <v>10</v>
      </c>
      <c r="M624" s="249">
        <v>7</v>
      </c>
      <c r="N624" s="248">
        <v>7</v>
      </c>
      <c r="O624" s="21">
        <v>7</v>
      </c>
      <c r="P624" s="21">
        <v>9</v>
      </c>
      <c r="Q624" s="21">
        <v>12</v>
      </c>
      <c r="R624" s="21">
        <v>12</v>
      </c>
      <c r="S624" s="21">
        <v>12</v>
      </c>
      <c r="T624" s="21">
        <v>12</v>
      </c>
      <c r="U624" s="21">
        <v>12</v>
      </c>
      <c r="V624" s="27">
        <v>14</v>
      </c>
      <c r="W624" s="21">
        <v>14</v>
      </c>
      <c r="X624" s="21">
        <v>14</v>
      </c>
      <c r="Y624" s="373">
        <v>0</v>
      </c>
      <c r="Z624" s="21">
        <v>0</v>
      </c>
      <c r="AA624" s="21">
        <v>2</v>
      </c>
      <c r="AB624" s="21">
        <v>2</v>
      </c>
      <c r="AC624" s="21">
        <v>2</v>
      </c>
      <c r="AD624" s="21">
        <v>10</v>
      </c>
      <c r="AE624" s="21">
        <v>10</v>
      </c>
      <c r="AF624" s="21">
        <v>10</v>
      </c>
      <c r="AG624" s="21">
        <v>10</v>
      </c>
      <c r="AH624" s="21">
        <v>12</v>
      </c>
      <c r="AI624" s="21">
        <v>12</v>
      </c>
      <c r="AJ624" s="21"/>
      <c r="AK624" s="408"/>
      <c r="AL624" s="21">
        <f t="shared" si="3554"/>
        <v>3</v>
      </c>
      <c r="AM624" s="21">
        <f t="shared" si="3554"/>
        <v>1</v>
      </c>
      <c r="AN624" s="21">
        <f t="shared" si="3555"/>
        <v>0</v>
      </c>
      <c r="AO624" s="21">
        <f>M624</f>
        <v>7</v>
      </c>
      <c r="AP624" s="129">
        <f t="shared" si="3556"/>
        <v>0</v>
      </c>
      <c r="AQ624" s="129">
        <f t="shared" si="3557"/>
        <v>0</v>
      </c>
      <c r="AR624" s="129">
        <f t="shared" si="3558"/>
        <v>2</v>
      </c>
      <c r="AS624" s="129">
        <f t="shared" si="3559"/>
        <v>3</v>
      </c>
      <c r="AT624" s="129">
        <f t="shared" si="3560"/>
        <v>0</v>
      </c>
      <c r="AU624" s="129">
        <f t="shared" si="3561"/>
        <v>0</v>
      </c>
      <c r="AV624" s="129">
        <f t="shared" si="3562"/>
        <v>0</v>
      </c>
      <c r="AW624" s="129">
        <f t="shared" si="3563"/>
        <v>0</v>
      </c>
      <c r="AX624" s="129">
        <f>IF(V624&lt;&gt;"",V624-U624,0)</f>
        <v>2</v>
      </c>
      <c r="AY624" s="129">
        <f t="shared" si="3564"/>
        <v>0</v>
      </c>
      <c r="AZ624" s="129">
        <f t="shared" si="3565"/>
        <v>0</v>
      </c>
      <c r="BA624" s="21">
        <f>Y624</f>
        <v>0</v>
      </c>
      <c r="BB624" s="129">
        <f t="shared" si="3566"/>
        <v>0</v>
      </c>
      <c r="BC624" s="129">
        <f t="shared" si="3567"/>
        <v>2</v>
      </c>
      <c r="BD624" s="129">
        <f t="shared" si="3568"/>
        <v>0</v>
      </c>
      <c r="BE624" s="129">
        <f t="shared" si="3569"/>
        <v>0</v>
      </c>
      <c r="BF624" s="129">
        <f t="shared" si="3570"/>
        <v>8</v>
      </c>
      <c r="BG624" s="129">
        <f t="shared" si="3571"/>
        <v>0</v>
      </c>
      <c r="BH624" s="129">
        <f t="shared" si="3572"/>
        <v>0</v>
      </c>
      <c r="BI624" s="129">
        <f t="shared" si="3573"/>
        <v>0</v>
      </c>
      <c r="BJ624" s="129">
        <f>IF(AH624&lt;&gt;"",AH624-AG624,0)</f>
        <v>2</v>
      </c>
      <c r="BK624" s="129">
        <f t="shared" si="3574"/>
        <v>0</v>
      </c>
      <c r="BL624" s="129">
        <f t="shared" si="3575"/>
        <v>0</v>
      </c>
      <c r="BM624" s="408"/>
      <c r="BN624" s="48">
        <f t="shared" si="3587"/>
        <v>4</v>
      </c>
      <c r="BO624" s="48">
        <f t="shared" si="3588"/>
        <v>4</v>
      </c>
      <c r="BP624" s="48">
        <f t="shared" si="3589"/>
        <v>4</v>
      </c>
      <c r="BQ624" s="48">
        <f t="shared" si="3590"/>
        <v>7</v>
      </c>
      <c r="BR624" s="48">
        <f t="shared" si="3591"/>
        <v>7</v>
      </c>
      <c r="BS624" s="48">
        <f t="shared" si="3592"/>
        <v>7</v>
      </c>
      <c r="BT624" s="48">
        <f t="shared" si="3593"/>
        <v>5</v>
      </c>
      <c r="BU624" s="48">
        <f t="shared" si="3594"/>
        <v>5</v>
      </c>
      <c r="BV624" s="48">
        <f t="shared" si="3595"/>
        <v>5</v>
      </c>
      <c r="BW624" s="48">
        <f t="shared" si="3596"/>
        <v>0</v>
      </c>
      <c r="BX624" s="48">
        <f t="shared" si="3597"/>
        <v>0</v>
      </c>
      <c r="BY624" s="48">
        <f t="shared" si="3598"/>
        <v>0</v>
      </c>
      <c r="BZ624" s="48">
        <f t="shared" si="3599"/>
        <v>2</v>
      </c>
      <c r="CA624" s="48">
        <f t="shared" si="3600"/>
        <v>2</v>
      </c>
      <c r="CB624" s="48">
        <f t="shared" si="3601"/>
        <v>2</v>
      </c>
      <c r="CC624" s="48">
        <f t="shared" si="3602"/>
        <v>2</v>
      </c>
      <c r="CD624" s="48">
        <f t="shared" si="3603"/>
        <v>2</v>
      </c>
      <c r="CE624" s="48">
        <f t="shared" si="3604"/>
        <v>2</v>
      </c>
      <c r="CF624" s="48">
        <f t="shared" si="3605"/>
        <v>8</v>
      </c>
      <c r="CG624" s="48">
        <f t="shared" si="3606"/>
        <v>8</v>
      </c>
      <c r="CH624" s="48">
        <f t="shared" si="3607"/>
        <v>8</v>
      </c>
      <c r="CI624" s="48">
        <f t="shared" si="3608"/>
        <v>0</v>
      </c>
      <c r="CJ624" s="48">
        <f t="shared" si="3609"/>
        <v>0</v>
      </c>
      <c r="CK624" s="48">
        <f t="shared" si="3610"/>
        <v>0</v>
      </c>
      <c r="CL624" s="48">
        <f t="shared" si="3611"/>
        <v>2</v>
      </c>
      <c r="CM624" s="48">
        <f t="shared" si="3612"/>
        <v>2</v>
      </c>
      <c r="CN624" s="48">
        <f t="shared" si="3613"/>
        <v>2</v>
      </c>
      <c r="CO624" s="406"/>
      <c r="CP624" s="21">
        <f t="shared" si="3576"/>
        <v>9</v>
      </c>
      <c r="CQ624" s="21">
        <f t="shared" si="3576"/>
        <v>10</v>
      </c>
      <c r="CR624" s="21">
        <f t="shared" si="3576"/>
        <v>10</v>
      </c>
      <c r="CS624" s="21">
        <f>AO624</f>
        <v>7</v>
      </c>
      <c r="CT624" s="21">
        <f t="shared" si="3577"/>
        <v>7</v>
      </c>
      <c r="CU624" s="21">
        <f t="shared" si="3577"/>
        <v>7</v>
      </c>
      <c r="CV624" s="21">
        <f t="shared" si="3577"/>
        <v>9</v>
      </c>
      <c r="CW624" s="21">
        <f t="shared" si="3577"/>
        <v>12</v>
      </c>
      <c r="CX624" s="21">
        <f t="shared" si="3577"/>
        <v>12</v>
      </c>
      <c r="CY624" s="21">
        <f t="shared" si="3577"/>
        <v>12</v>
      </c>
      <c r="CZ624" s="21">
        <f t="shared" si="3577"/>
        <v>12</v>
      </c>
      <c r="DA624" s="21">
        <f t="shared" si="3577"/>
        <v>12</v>
      </c>
      <c r="DB624" s="21">
        <f t="shared" si="3577"/>
        <v>14</v>
      </c>
      <c r="DC624" s="21">
        <f t="shared" si="3577"/>
        <v>14</v>
      </c>
      <c r="DD624" s="21">
        <f t="shared" si="3577"/>
        <v>14</v>
      </c>
      <c r="DE624" s="21">
        <f>+BA624</f>
        <v>0</v>
      </c>
      <c r="DF624" s="21">
        <f t="shared" si="3578"/>
        <v>0</v>
      </c>
      <c r="DG624" s="21">
        <f t="shared" si="3578"/>
        <v>2</v>
      </c>
      <c r="DH624" s="21">
        <f t="shared" si="3578"/>
        <v>2</v>
      </c>
      <c r="DI624" s="21">
        <f t="shared" si="3578"/>
        <v>2</v>
      </c>
      <c r="DJ624" s="21">
        <f t="shared" si="3578"/>
        <v>10</v>
      </c>
      <c r="DK624" s="21">
        <f t="shared" si="3578"/>
        <v>10</v>
      </c>
      <c r="DL624" s="21">
        <f t="shared" si="3578"/>
        <v>10</v>
      </c>
      <c r="DM624" s="21">
        <f t="shared" si="3578"/>
        <v>10</v>
      </c>
      <c r="DN624" s="21">
        <f t="shared" si="3578"/>
        <v>12</v>
      </c>
      <c r="DO624" s="21">
        <f t="shared" si="3578"/>
        <v>12</v>
      </c>
      <c r="DP624" s="21">
        <f t="shared" si="3578"/>
        <v>12</v>
      </c>
      <c r="DQ624" s="248"/>
      <c r="DR624" s="248"/>
      <c r="DS624" s="248"/>
      <c r="DT624" s="248"/>
      <c r="DU624" s="248"/>
      <c r="DV624" s="248"/>
      <c r="DW624" s="248"/>
      <c r="DX624" s="248"/>
      <c r="DY624" s="248"/>
      <c r="ED624" s="429"/>
      <c r="EE624" s="23"/>
      <c r="EF624" s="23"/>
      <c r="EG624" s="23"/>
      <c r="EH624" s="18">
        <f t="shared" si="3579"/>
        <v>0</v>
      </c>
      <c r="EI624" s="18">
        <f t="shared" si="3580"/>
        <v>2</v>
      </c>
      <c r="EJ624" s="18">
        <f t="shared" si="3581"/>
        <v>12</v>
      </c>
      <c r="EK624" s="24">
        <f>$EK$1/12</f>
        <v>0.91666666666666663</v>
      </c>
      <c r="EL624" s="14">
        <f t="shared" si="3582"/>
        <v>0</v>
      </c>
      <c r="EM624" s="14">
        <f t="shared" si="3582"/>
        <v>0.50000125000312501</v>
      </c>
      <c r="EN624" s="14">
        <f>EJ624/EG601</f>
        <v>0.75000171875393884</v>
      </c>
      <c r="EO624" s="46" t="str">
        <f t="shared" si="3583"/>
        <v>È</v>
      </c>
      <c r="EP624" s="46" t="str">
        <f>IF(EI624&lt;0,,IF(EI624&gt;EF601,"È",IF(EI624=EF601,"Æ","Ç")))</f>
        <v>Ç</v>
      </c>
      <c r="EQ624" s="2">
        <f t="shared" si="3584"/>
        <v>3</v>
      </c>
      <c r="ER624" s="2">
        <f t="shared" si="3585"/>
        <v>3</v>
      </c>
      <c r="ES624" s="2">
        <f t="shared" si="3586"/>
        <v>2</v>
      </c>
    </row>
    <row r="625" spans="1:149" ht="12" customHeight="1" thickBot="1">
      <c r="A625" s="6" t="s">
        <v>22</v>
      </c>
      <c r="B625" s="2" t="s">
        <v>94</v>
      </c>
      <c r="C625" s="3" t="s">
        <v>58</v>
      </c>
      <c r="E625" s="3" t="s">
        <v>16</v>
      </c>
      <c r="G625" s="1" t="s">
        <v>91</v>
      </c>
      <c r="I625" s="116">
        <v>0.106</v>
      </c>
      <c r="J625" s="116">
        <v>0.20899999999999999</v>
      </c>
      <c r="K625" s="116">
        <v>0.214</v>
      </c>
      <c r="L625" s="255">
        <v>0.22900000000000001</v>
      </c>
      <c r="M625" s="256">
        <v>1.4599009999999999</v>
      </c>
      <c r="N625" s="255">
        <v>1.4599009999999999</v>
      </c>
      <c r="O625" s="255">
        <v>1.4599009999999999</v>
      </c>
      <c r="P625" s="116">
        <v>2.023701</v>
      </c>
      <c r="Q625" s="116">
        <v>2.160701</v>
      </c>
      <c r="R625" s="116">
        <v>2.160701</v>
      </c>
      <c r="S625" s="116">
        <v>2.1709999999999998</v>
      </c>
      <c r="T625" s="116">
        <v>2.430701</v>
      </c>
      <c r="U625" s="116">
        <v>2.430701</v>
      </c>
      <c r="V625" s="123">
        <v>3.720701</v>
      </c>
      <c r="W625" s="116">
        <v>3.845701</v>
      </c>
      <c r="X625" s="116">
        <v>5.0107010000000001</v>
      </c>
      <c r="Y625" s="374">
        <v>0</v>
      </c>
      <c r="Z625" s="116">
        <v>7.0000000000000007E-2</v>
      </c>
      <c r="AA625" s="116">
        <v>0.48099999999999998</v>
      </c>
      <c r="AB625" s="116">
        <v>0.48099999999999998</v>
      </c>
      <c r="AC625" s="116">
        <v>4.7216500000000003</v>
      </c>
      <c r="AD625" s="116">
        <v>5.0496499999999997</v>
      </c>
      <c r="AE625" s="116">
        <v>5.0496499999999997</v>
      </c>
      <c r="AF625" s="243">
        <v>5.0496499999999997</v>
      </c>
      <c r="AG625" s="116">
        <v>5.0496499999999997</v>
      </c>
      <c r="AH625" s="116">
        <v>5.5490000000000004</v>
      </c>
      <c r="AI625" s="116">
        <v>5.54915</v>
      </c>
      <c r="AJ625" s="116"/>
      <c r="AK625" s="416"/>
      <c r="AL625" s="116">
        <f t="shared" si="3554"/>
        <v>0.10299999999999999</v>
      </c>
      <c r="AM625" s="116">
        <f t="shared" si="3554"/>
        <v>5.0000000000000044E-3</v>
      </c>
      <c r="AN625" s="116">
        <f t="shared" si="3555"/>
        <v>1.5000000000000013E-2</v>
      </c>
      <c r="AO625" s="116">
        <f>M625</f>
        <v>1.4599009999999999</v>
      </c>
      <c r="AP625" s="129">
        <f t="shared" si="3556"/>
        <v>0</v>
      </c>
      <c r="AQ625" s="129">
        <f t="shared" si="3557"/>
        <v>0</v>
      </c>
      <c r="AR625" s="129">
        <f t="shared" si="3558"/>
        <v>0.56380000000000008</v>
      </c>
      <c r="AS625" s="129">
        <f t="shared" si="3559"/>
        <v>0.13700000000000001</v>
      </c>
      <c r="AT625" s="129">
        <f t="shared" si="3560"/>
        <v>0</v>
      </c>
      <c r="AU625" s="129">
        <f t="shared" si="3561"/>
        <v>1.0298999999999836E-2</v>
      </c>
      <c r="AV625" s="129">
        <f t="shared" si="3562"/>
        <v>0.25970100000000018</v>
      </c>
      <c r="AW625" s="129">
        <f t="shared" si="3563"/>
        <v>0</v>
      </c>
      <c r="AX625" s="129">
        <f>IF(V625&lt;&gt;"",V625-U625,0)</f>
        <v>1.29</v>
      </c>
      <c r="AY625" s="129">
        <f t="shared" si="3564"/>
        <v>0.125</v>
      </c>
      <c r="AZ625" s="129">
        <f t="shared" si="3565"/>
        <v>1.165</v>
      </c>
      <c r="BA625" s="116">
        <f>Y625</f>
        <v>0</v>
      </c>
      <c r="BB625" s="129">
        <f t="shared" si="3566"/>
        <v>7.0000000000000007E-2</v>
      </c>
      <c r="BC625" s="129">
        <f t="shared" si="3567"/>
        <v>0.41099999999999998</v>
      </c>
      <c r="BD625" s="129">
        <f t="shared" si="3568"/>
        <v>0</v>
      </c>
      <c r="BE625" s="129">
        <f t="shared" si="3569"/>
        <v>4.2406500000000005</v>
      </c>
      <c r="BF625" s="129">
        <f t="shared" si="3570"/>
        <v>0.3279999999999994</v>
      </c>
      <c r="BG625" s="129">
        <f t="shared" si="3571"/>
        <v>0</v>
      </c>
      <c r="BH625" s="129">
        <f t="shared" si="3572"/>
        <v>0</v>
      </c>
      <c r="BI625" s="129">
        <f t="shared" si="3573"/>
        <v>0</v>
      </c>
      <c r="BJ625" s="129">
        <f>IF(AH625&lt;&gt;"",AH625-AG625,0)</f>
        <v>0.49935000000000063</v>
      </c>
      <c r="BK625" s="129">
        <f t="shared" si="3574"/>
        <v>1.4999999999965041E-4</v>
      </c>
      <c r="BL625" s="129">
        <f t="shared" si="3575"/>
        <v>0</v>
      </c>
      <c r="BM625" s="409"/>
      <c r="BN625" s="119">
        <f t="shared" si="3587"/>
        <v>0.12300000000000001</v>
      </c>
      <c r="BO625" s="119">
        <f t="shared" si="3588"/>
        <v>0.12300000000000001</v>
      </c>
      <c r="BP625" s="119">
        <f t="shared" si="3589"/>
        <v>0.12300000000000001</v>
      </c>
      <c r="BQ625" s="119">
        <f t="shared" si="3590"/>
        <v>1.4599009999999999</v>
      </c>
      <c r="BR625" s="119">
        <f t="shared" si="3591"/>
        <v>1.4599009999999999</v>
      </c>
      <c r="BS625" s="119">
        <f t="shared" si="3592"/>
        <v>1.4599009999999999</v>
      </c>
      <c r="BT625" s="119">
        <f t="shared" si="3593"/>
        <v>0.70080000000000009</v>
      </c>
      <c r="BU625" s="119">
        <f t="shared" si="3594"/>
        <v>0.70080000000000009</v>
      </c>
      <c r="BV625" s="119">
        <f t="shared" si="3595"/>
        <v>0.70080000000000009</v>
      </c>
      <c r="BW625" s="119">
        <f t="shared" si="3596"/>
        <v>0.27</v>
      </c>
      <c r="BX625" s="119">
        <f t="shared" si="3597"/>
        <v>0.27</v>
      </c>
      <c r="BY625" s="119">
        <f t="shared" si="3598"/>
        <v>0.27</v>
      </c>
      <c r="BZ625" s="119">
        <f t="shared" si="3599"/>
        <v>2.58</v>
      </c>
      <c r="CA625" s="119">
        <f t="shared" si="3600"/>
        <v>2.58</v>
      </c>
      <c r="CB625" s="119">
        <f t="shared" si="3601"/>
        <v>2.58</v>
      </c>
      <c r="CC625" s="119">
        <f t="shared" si="3602"/>
        <v>0.48099999999999998</v>
      </c>
      <c r="CD625" s="119">
        <f t="shared" si="3603"/>
        <v>0.48099999999999998</v>
      </c>
      <c r="CE625" s="119">
        <f t="shared" si="3604"/>
        <v>0.48099999999999998</v>
      </c>
      <c r="CF625" s="119">
        <f t="shared" si="3605"/>
        <v>4.5686499999999999</v>
      </c>
      <c r="CG625" s="119">
        <f t="shared" si="3606"/>
        <v>4.5686499999999999</v>
      </c>
      <c r="CH625" s="119">
        <f t="shared" si="3607"/>
        <v>4.5686499999999999</v>
      </c>
      <c r="CI625" s="119">
        <f t="shared" si="3608"/>
        <v>0</v>
      </c>
      <c r="CJ625" s="119">
        <f t="shared" si="3609"/>
        <v>0</v>
      </c>
      <c r="CK625" s="119">
        <f t="shared" si="3610"/>
        <v>0</v>
      </c>
      <c r="CL625" s="119">
        <f t="shared" si="3611"/>
        <v>0.49950000000000028</v>
      </c>
      <c r="CM625" s="119">
        <f t="shared" si="3612"/>
        <v>0.49950000000000028</v>
      </c>
      <c r="CN625" s="119">
        <f t="shared" si="3613"/>
        <v>0.49950000000000028</v>
      </c>
      <c r="CO625" s="421"/>
      <c r="CP625" s="116">
        <f t="shared" si="3576"/>
        <v>0.20899999999999999</v>
      </c>
      <c r="CQ625" s="116">
        <f t="shared" si="3576"/>
        <v>0.214</v>
      </c>
      <c r="CR625" s="116">
        <f t="shared" si="3576"/>
        <v>0.22900000000000001</v>
      </c>
      <c r="CS625" s="116">
        <f>AO625</f>
        <v>1.4599009999999999</v>
      </c>
      <c r="CT625" s="116">
        <f t="shared" si="3577"/>
        <v>1.4599009999999999</v>
      </c>
      <c r="CU625" s="116">
        <f t="shared" si="3577"/>
        <v>1.4599009999999999</v>
      </c>
      <c r="CV625" s="116">
        <f t="shared" si="3577"/>
        <v>2.023701</v>
      </c>
      <c r="CW625" s="116">
        <f t="shared" si="3577"/>
        <v>2.160701</v>
      </c>
      <c r="CX625" s="116">
        <f t="shared" si="3577"/>
        <v>2.160701</v>
      </c>
      <c r="CY625" s="116">
        <f t="shared" si="3577"/>
        <v>2.1709999999999998</v>
      </c>
      <c r="CZ625" s="116">
        <f t="shared" si="3577"/>
        <v>2.430701</v>
      </c>
      <c r="DA625" s="116">
        <f t="shared" si="3577"/>
        <v>2.430701</v>
      </c>
      <c r="DB625" s="116">
        <f t="shared" si="3577"/>
        <v>3.720701</v>
      </c>
      <c r="DC625" s="116">
        <f t="shared" si="3577"/>
        <v>3.845701</v>
      </c>
      <c r="DD625" s="116">
        <f t="shared" si="3577"/>
        <v>5.0107010000000001</v>
      </c>
      <c r="DE625" s="116">
        <f>+BA625</f>
        <v>0</v>
      </c>
      <c r="DF625" s="116">
        <f t="shared" si="3578"/>
        <v>7.0000000000000007E-2</v>
      </c>
      <c r="DG625" s="116">
        <f t="shared" si="3578"/>
        <v>0.48099999999999998</v>
      </c>
      <c r="DH625" s="116">
        <f t="shared" si="3578"/>
        <v>0.48099999999999998</v>
      </c>
      <c r="DI625" s="116">
        <f t="shared" si="3578"/>
        <v>4.7216500000000003</v>
      </c>
      <c r="DJ625" s="116">
        <f t="shared" si="3578"/>
        <v>5.0496499999999997</v>
      </c>
      <c r="DK625" s="116">
        <f t="shared" si="3578"/>
        <v>5.0496499999999997</v>
      </c>
      <c r="DL625" s="116">
        <f t="shared" si="3578"/>
        <v>5.0496499999999997</v>
      </c>
      <c r="DM625" s="116">
        <f t="shared" si="3578"/>
        <v>5.0496499999999997</v>
      </c>
      <c r="DN625" s="116">
        <f t="shared" si="3578"/>
        <v>5.5490000000000004</v>
      </c>
      <c r="DO625" s="116">
        <f t="shared" si="3578"/>
        <v>5.54915</v>
      </c>
      <c r="DP625" s="116">
        <f t="shared" si="3578"/>
        <v>5.54915</v>
      </c>
      <c r="DQ625" s="243"/>
      <c r="DR625" s="243"/>
      <c r="DS625" s="243"/>
      <c r="DT625" s="243"/>
      <c r="DU625" s="243"/>
      <c r="DV625" s="243"/>
      <c r="DW625" s="243"/>
      <c r="DX625" s="243"/>
      <c r="DY625" s="243"/>
      <c r="DZ625" s="124"/>
      <c r="EA625" s="124"/>
      <c r="EB625" s="124"/>
      <c r="EC625" s="124"/>
      <c r="ED625" s="431"/>
      <c r="EE625" s="125"/>
      <c r="EF625" s="125"/>
      <c r="EG625" s="125"/>
      <c r="EH625" s="116">
        <f t="shared" si="3579"/>
        <v>1.4999999999965041E-4</v>
      </c>
      <c r="EI625" s="116">
        <f t="shared" si="3580"/>
        <v>0.49950000000000028</v>
      </c>
      <c r="EJ625" s="116">
        <f t="shared" si="3581"/>
        <v>5.54915</v>
      </c>
      <c r="EK625" s="24">
        <f>$EK$1/12</f>
        <v>0.91666666666666663</v>
      </c>
      <c r="EL625" s="14">
        <f t="shared" si="3582"/>
        <v>4.500045000439515E-4</v>
      </c>
      <c r="EM625" s="14">
        <f t="shared" si="3582"/>
        <v>0.49950499504995061</v>
      </c>
      <c r="EN625" s="14">
        <f>EJ625/EG602</f>
        <v>1.3873002169186548</v>
      </c>
      <c r="EO625" s="46" t="str">
        <f>IF(EH625&lt;0,,IF(EH625&lt;EE602,"È",IF(EH625=EE602,"Æ","Ç")))</f>
        <v>È</v>
      </c>
      <c r="EP625" s="46" t="str">
        <f>IF(EI625&lt;0,,IF(EI625&gt;EF602,"È",IF(EI625=EF602,"Æ","Ç")))</f>
        <v>Ç</v>
      </c>
      <c r="EQ625" s="2">
        <f t="shared" si="3584"/>
        <v>3</v>
      </c>
      <c r="ER625" s="2">
        <f t="shared" si="3585"/>
        <v>3</v>
      </c>
      <c r="ES625" s="2">
        <f t="shared" si="3586"/>
        <v>1</v>
      </c>
    </row>
    <row r="626" spans="1:149" ht="12" customHeight="1">
      <c r="A626" s="6" t="s">
        <v>23</v>
      </c>
      <c r="B626" s="2" t="s">
        <v>5</v>
      </c>
      <c r="C626" s="3" t="s">
        <v>61</v>
      </c>
      <c r="E626" s="3" t="s">
        <v>16</v>
      </c>
      <c r="G626" s="3" t="s">
        <v>91</v>
      </c>
      <c r="I626" s="23"/>
      <c r="J626" s="19">
        <v>7</v>
      </c>
      <c r="K626" s="19">
        <v>9</v>
      </c>
      <c r="L626" s="246">
        <v>9</v>
      </c>
      <c r="M626" s="246">
        <v>37</v>
      </c>
      <c r="N626" s="246">
        <v>50</v>
      </c>
      <c r="O626" s="19">
        <v>64</v>
      </c>
      <c r="P626" s="19">
        <v>80</v>
      </c>
      <c r="Q626" s="19">
        <v>91</v>
      </c>
      <c r="R626" s="19">
        <v>96</v>
      </c>
      <c r="S626" s="19">
        <v>147</v>
      </c>
      <c r="T626" s="19">
        <v>172</v>
      </c>
      <c r="U626" s="19">
        <v>178</v>
      </c>
      <c r="V626" s="31">
        <v>11</v>
      </c>
      <c r="W626" s="19">
        <v>18</v>
      </c>
      <c r="X626" s="19">
        <v>42</v>
      </c>
      <c r="Y626" s="371">
        <v>42</v>
      </c>
      <c r="Z626" s="19">
        <v>42</v>
      </c>
      <c r="AA626" s="19">
        <v>75</v>
      </c>
      <c r="AB626" s="19">
        <v>78</v>
      </c>
      <c r="AC626" s="19">
        <v>102</v>
      </c>
      <c r="AD626" s="19">
        <v>125</v>
      </c>
      <c r="AE626" s="19">
        <v>138</v>
      </c>
      <c r="AF626" s="19">
        <v>155</v>
      </c>
      <c r="AG626" s="19">
        <v>163</v>
      </c>
      <c r="AH626" s="31">
        <v>17</v>
      </c>
      <c r="AI626" s="19">
        <v>27</v>
      </c>
      <c r="AJ626" s="19"/>
      <c r="AK626" s="408"/>
      <c r="AL626" s="19">
        <f t="shared" ref="AL626:AL642" si="3614">J626</f>
        <v>7</v>
      </c>
      <c r="AM626" s="19">
        <f>K626-J626</f>
        <v>2</v>
      </c>
      <c r="AN626" s="19">
        <f t="shared" si="3555"/>
        <v>0</v>
      </c>
      <c r="AO626" s="19">
        <f>M626-L626</f>
        <v>28</v>
      </c>
      <c r="AP626" s="129">
        <f t="shared" si="3556"/>
        <v>13</v>
      </c>
      <c r="AQ626" s="129">
        <f t="shared" si="3557"/>
        <v>14</v>
      </c>
      <c r="AR626" s="129">
        <f t="shared" si="3558"/>
        <v>16</v>
      </c>
      <c r="AS626" s="129">
        <f t="shared" si="3559"/>
        <v>11</v>
      </c>
      <c r="AT626" s="129">
        <f t="shared" si="3560"/>
        <v>5</v>
      </c>
      <c r="AU626" s="129">
        <f t="shared" si="3561"/>
        <v>51</v>
      </c>
      <c r="AV626" s="129">
        <f t="shared" si="3562"/>
        <v>25</v>
      </c>
      <c r="AW626" s="129">
        <f t="shared" si="3563"/>
        <v>6</v>
      </c>
      <c r="AX626" s="19">
        <f t="shared" ref="AX626:AX640" si="3615">V626</f>
        <v>11</v>
      </c>
      <c r="AY626" s="129">
        <f t="shared" si="3564"/>
        <v>7</v>
      </c>
      <c r="AZ626" s="129">
        <f t="shared" si="3565"/>
        <v>24</v>
      </c>
      <c r="BA626" s="383">
        <f>IF(Y626&lt;&gt;"",Y626-X626,0)</f>
        <v>0</v>
      </c>
      <c r="BB626" s="129">
        <f t="shared" si="3566"/>
        <v>0</v>
      </c>
      <c r="BC626" s="129">
        <f t="shared" si="3567"/>
        <v>33</v>
      </c>
      <c r="BD626" s="129">
        <f t="shared" si="3568"/>
        <v>3</v>
      </c>
      <c r="BE626" s="129">
        <f t="shared" si="3569"/>
        <v>24</v>
      </c>
      <c r="BF626" s="129">
        <f t="shared" si="3570"/>
        <v>23</v>
      </c>
      <c r="BG626" s="129">
        <f t="shared" si="3571"/>
        <v>13</v>
      </c>
      <c r="BH626" s="129">
        <f t="shared" si="3572"/>
        <v>17</v>
      </c>
      <c r="BI626" s="129">
        <f t="shared" si="3573"/>
        <v>8</v>
      </c>
      <c r="BJ626" s="19">
        <f t="shared" ref="BJ626:BJ637" si="3616">AH626</f>
        <v>17</v>
      </c>
      <c r="BK626" s="129">
        <f t="shared" si="3574"/>
        <v>10</v>
      </c>
      <c r="BL626" s="129">
        <f t="shared" si="3575"/>
        <v>0</v>
      </c>
      <c r="BM626" s="408"/>
      <c r="BN626" s="48">
        <f t="shared" si="3587"/>
        <v>9</v>
      </c>
      <c r="BO626" s="48">
        <f t="shared" si="3588"/>
        <v>9</v>
      </c>
      <c r="BP626" s="48">
        <f t="shared" si="3589"/>
        <v>9</v>
      </c>
      <c r="BQ626" s="48">
        <f t="shared" si="3590"/>
        <v>55</v>
      </c>
      <c r="BR626" s="48">
        <f t="shared" si="3591"/>
        <v>55</v>
      </c>
      <c r="BS626" s="48">
        <f t="shared" si="3592"/>
        <v>55</v>
      </c>
      <c r="BT626" s="48">
        <f t="shared" si="3593"/>
        <v>32</v>
      </c>
      <c r="BU626" s="48">
        <f t="shared" si="3594"/>
        <v>32</v>
      </c>
      <c r="BV626" s="48">
        <f t="shared" si="3595"/>
        <v>32</v>
      </c>
      <c r="BW626" s="48">
        <f t="shared" si="3596"/>
        <v>82</v>
      </c>
      <c r="BX626" s="48">
        <f t="shared" si="3597"/>
        <v>82</v>
      </c>
      <c r="BY626" s="48">
        <f t="shared" si="3598"/>
        <v>82</v>
      </c>
      <c r="BZ626" s="48">
        <f t="shared" si="3599"/>
        <v>42</v>
      </c>
      <c r="CA626" s="48">
        <f t="shared" si="3600"/>
        <v>42</v>
      </c>
      <c r="CB626" s="48">
        <f t="shared" si="3601"/>
        <v>42</v>
      </c>
      <c r="CC626" s="48">
        <f t="shared" si="3602"/>
        <v>33</v>
      </c>
      <c r="CD626" s="48">
        <f t="shared" si="3603"/>
        <v>33</v>
      </c>
      <c r="CE626" s="48">
        <f t="shared" si="3604"/>
        <v>33</v>
      </c>
      <c r="CF626" s="48">
        <f t="shared" si="3605"/>
        <v>50</v>
      </c>
      <c r="CG626" s="48">
        <f t="shared" si="3606"/>
        <v>50</v>
      </c>
      <c r="CH626" s="48">
        <f t="shared" si="3607"/>
        <v>50</v>
      </c>
      <c r="CI626" s="48">
        <f t="shared" si="3608"/>
        <v>38</v>
      </c>
      <c r="CJ626" s="48">
        <f t="shared" si="3609"/>
        <v>38</v>
      </c>
      <c r="CK626" s="48">
        <f t="shared" si="3610"/>
        <v>38</v>
      </c>
      <c r="CL626" s="48">
        <f t="shared" si="3611"/>
        <v>27</v>
      </c>
      <c r="CM626" s="48">
        <f t="shared" si="3612"/>
        <v>27</v>
      </c>
      <c r="CN626" s="48">
        <f t="shared" si="3613"/>
        <v>27</v>
      </c>
      <c r="CO626" s="406"/>
      <c r="CP626" s="21">
        <f>+AL626</f>
        <v>7</v>
      </c>
      <c r="CQ626" s="21">
        <f t="shared" ref="CQ626:DA626" si="3617">+CP626+AM626</f>
        <v>9</v>
      </c>
      <c r="CR626" s="21">
        <f t="shared" si="3617"/>
        <v>9</v>
      </c>
      <c r="CS626" s="21">
        <f t="shared" si="3617"/>
        <v>37</v>
      </c>
      <c r="CT626" s="21">
        <f t="shared" si="3617"/>
        <v>50</v>
      </c>
      <c r="CU626" s="21">
        <f t="shared" si="3617"/>
        <v>64</v>
      </c>
      <c r="CV626" s="21">
        <f t="shared" si="3617"/>
        <v>80</v>
      </c>
      <c r="CW626" s="21">
        <f t="shared" si="3617"/>
        <v>91</v>
      </c>
      <c r="CX626" s="21">
        <f t="shared" si="3617"/>
        <v>96</v>
      </c>
      <c r="CY626" s="21">
        <f t="shared" si="3617"/>
        <v>147</v>
      </c>
      <c r="CZ626" s="21">
        <f t="shared" si="3617"/>
        <v>172</v>
      </c>
      <c r="DA626" s="21">
        <f t="shared" si="3617"/>
        <v>178</v>
      </c>
      <c r="DB626" s="21">
        <f>AX626</f>
        <v>11</v>
      </c>
      <c r="DC626" s="21">
        <f t="shared" ref="DC626:DM626" si="3618">+DB626+AY626</f>
        <v>18</v>
      </c>
      <c r="DD626" s="21">
        <f t="shared" si="3618"/>
        <v>42</v>
      </c>
      <c r="DE626" s="21">
        <f t="shared" si="3618"/>
        <v>42</v>
      </c>
      <c r="DF626" s="21">
        <f t="shared" si="3618"/>
        <v>42</v>
      </c>
      <c r="DG626" s="21">
        <f t="shared" si="3618"/>
        <v>75</v>
      </c>
      <c r="DH626" s="21">
        <f t="shared" si="3618"/>
        <v>78</v>
      </c>
      <c r="DI626" s="21">
        <f t="shared" si="3618"/>
        <v>102</v>
      </c>
      <c r="DJ626" s="21">
        <f t="shared" si="3618"/>
        <v>125</v>
      </c>
      <c r="DK626" s="21">
        <f t="shared" si="3618"/>
        <v>138</v>
      </c>
      <c r="DL626" s="21">
        <f t="shared" si="3618"/>
        <v>155</v>
      </c>
      <c r="DM626" s="21">
        <f t="shared" si="3618"/>
        <v>163</v>
      </c>
      <c r="DN626" s="21">
        <f>+BJ626</f>
        <v>17</v>
      </c>
      <c r="DO626" s="21">
        <f>+DN626+BK626</f>
        <v>27</v>
      </c>
      <c r="DP626" s="21">
        <f>+DO626+BL626</f>
        <v>27</v>
      </c>
      <c r="DQ626" s="248"/>
      <c r="DR626" s="248"/>
      <c r="DS626" s="248"/>
      <c r="DT626" s="248"/>
      <c r="DU626" s="248"/>
      <c r="DV626" s="248"/>
      <c r="DW626" s="248"/>
      <c r="DX626" s="248"/>
      <c r="DY626" s="248"/>
      <c r="ED626" s="429"/>
      <c r="EE626" s="23"/>
      <c r="EF626" s="23"/>
      <c r="EG626" s="23"/>
      <c r="EH626" s="18">
        <f t="shared" si="3579"/>
        <v>10</v>
      </c>
      <c r="EI626" s="18">
        <f t="shared" si="3580"/>
        <v>27</v>
      </c>
      <c r="EJ626" s="18">
        <f t="shared" si="3581"/>
        <v>27</v>
      </c>
      <c r="EK626" s="24">
        <f>$EK$2/12</f>
        <v>0.16666666666666666</v>
      </c>
      <c r="EL626" s="14">
        <f t="shared" si="3582"/>
        <v>0.4</v>
      </c>
      <c r="EM626" s="14">
        <f t="shared" si="3582"/>
        <v>0.72</v>
      </c>
      <c r="EN626" s="14">
        <f>EJ626/EK626/EG603</f>
        <v>1.08</v>
      </c>
      <c r="EO626" s="46" t="str">
        <f t="shared" si="3583"/>
        <v>È</v>
      </c>
      <c r="EP626" s="46" t="str">
        <f t="shared" si="3583"/>
        <v>È</v>
      </c>
      <c r="EQ626" s="2">
        <f t="shared" si="3584"/>
        <v>3</v>
      </c>
      <c r="ER626" s="2">
        <f t="shared" si="3585"/>
        <v>3</v>
      </c>
      <c r="ES626" s="2">
        <f t="shared" si="3586"/>
        <v>1</v>
      </c>
    </row>
    <row r="627" spans="1:149" ht="12" customHeight="1">
      <c r="A627" s="6" t="s">
        <v>23</v>
      </c>
      <c r="B627" s="2" t="s">
        <v>4</v>
      </c>
      <c r="C627" s="3" t="s">
        <v>62</v>
      </c>
      <c r="E627" s="3" t="s">
        <v>16</v>
      </c>
      <c r="G627" s="3" t="s">
        <v>91</v>
      </c>
      <c r="I627" s="23"/>
      <c r="J627" s="19">
        <v>4</v>
      </c>
      <c r="K627" s="19">
        <v>4</v>
      </c>
      <c r="L627" s="246">
        <v>6</v>
      </c>
      <c r="M627" s="246">
        <v>24</v>
      </c>
      <c r="N627" s="246">
        <v>31</v>
      </c>
      <c r="O627" s="19">
        <v>40</v>
      </c>
      <c r="P627" s="19">
        <v>48</v>
      </c>
      <c r="Q627" s="19">
        <v>53</v>
      </c>
      <c r="R627" s="19">
        <v>54</v>
      </c>
      <c r="S627" s="19">
        <v>87</v>
      </c>
      <c r="T627" s="19">
        <v>104</v>
      </c>
      <c r="U627" s="19">
        <v>107</v>
      </c>
      <c r="V627" s="31">
        <v>6</v>
      </c>
      <c r="W627" s="19">
        <v>10</v>
      </c>
      <c r="X627" s="19">
        <v>19</v>
      </c>
      <c r="Y627" s="371">
        <v>19</v>
      </c>
      <c r="Z627" s="19">
        <v>19</v>
      </c>
      <c r="AA627" s="19">
        <v>38</v>
      </c>
      <c r="AB627" s="19">
        <v>40</v>
      </c>
      <c r="AC627" s="19">
        <v>44</v>
      </c>
      <c r="AD627" s="19">
        <v>52</v>
      </c>
      <c r="AE627" s="19">
        <v>56</v>
      </c>
      <c r="AF627" s="19">
        <v>62</v>
      </c>
      <c r="AG627" s="19">
        <v>67</v>
      </c>
      <c r="AH627" s="31">
        <v>8</v>
      </c>
      <c r="AI627" s="19">
        <v>12</v>
      </c>
      <c r="AJ627" s="19"/>
      <c r="AK627" s="408"/>
      <c r="AL627" s="19">
        <f t="shared" si="3614"/>
        <v>4</v>
      </c>
      <c r="AM627" s="19">
        <f>K627-J627</f>
        <v>0</v>
      </c>
      <c r="AN627" s="19">
        <f t="shared" si="3555"/>
        <v>2</v>
      </c>
      <c r="AO627" s="19">
        <f>M627-L627</f>
        <v>18</v>
      </c>
      <c r="AP627" s="129">
        <f t="shared" si="3556"/>
        <v>7</v>
      </c>
      <c r="AQ627" s="129">
        <f t="shared" si="3557"/>
        <v>9</v>
      </c>
      <c r="AR627" s="129">
        <f t="shared" si="3558"/>
        <v>8</v>
      </c>
      <c r="AS627" s="129">
        <f t="shared" si="3559"/>
        <v>5</v>
      </c>
      <c r="AT627" s="129">
        <f t="shared" si="3560"/>
        <v>1</v>
      </c>
      <c r="AU627" s="129">
        <f t="shared" si="3561"/>
        <v>33</v>
      </c>
      <c r="AV627" s="129">
        <f t="shared" si="3562"/>
        <v>17</v>
      </c>
      <c r="AW627" s="129">
        <f t="shared" si="3563"/>
        <v>3</v>
      </c>
      <c r="AX627" s="19">
        <f t="shared" si="3615"/>
        <v>6</v>
      </c>
      <c r="AY627" s="129">
        <f t="shared" si="3564"/>
        <v>4</v>
      </c>
      <c r="AZ627" s="129">
        <f t="shared" si="3565"/>
        <v>9</v>
      </c>
      <c r="BA627" s="383">
        <f t="shared" ref="BA627:BA640" si="3619">IF(Y627&lt;&gt;"",Y627-X627,0)</f>
        <v>0</v>
      </c>
      <c r="BB627" s="129">
        <f t="shared" si="3566"/>
        <v>0</v>
      </c>
      <c r="BC627" s="129">
        <f t="shared" si="3567"/>
        <v>19</v>
      </c>
      <c r="BD627" s="129">
        <f t="shared" si="3568"/>
        <v>2</v>
      </c>
      <c r="BE627" s="129">
        <f t="shared" si="3569"/>
        <v>4</v>
      </c>
      <c r="BF627" s="129">
        <f t="shared" si="3570"/>
        <v>8</v>
      </c>
      <c r="BG627" s="129">
        <f t="shared" si="3571"/>
        <v>4</v>
      </c>
      <c r="BH627" s="129">
        <f t="shared" si="3572"/>
        <v>6</v>
      </c>
      <c r="BI627" s="129">
        <f t="shared" si="3573"/>
        <v>5</v>
      </c>
      <c r="BJ627" s="19">
        <f t="shared" si="3616"/>
        <v>8</v>
      </c>
      <c r="BK627" s="129">
        <f t="shared" si="3574"/>
        <v>4</v>
      </c>
      <c r="BL627" s="129">
        <f t="shared" si="3575"/>
        <v>0</v>
      </c>
      <c r="BM627" s="408"/>
      <c r="BN627" s="48">
        <f t="shared" si="3587"/>
        <v>6</v>
      </c>
      <c r="BO627" s="48">
        <f t="shared" si="3588"/>
        <v>6</v>
      </c>
      <c r="BP627" s="48">
        <f t="shared" si="3589"/>
        <v>6</v>
      </c>
      <c r="BQ627" s="48">
        <f t="shared" si="3590"/>
        <v>34</v>
      </c>
      <c r="BR627" s="48">
        <f t="shared" si="3591"/>
        <v>34</v>
      </c>
      <c r="BS627" s="48">
        <f t="shared" si="3592"/>
        <v>34</v>
      </c>
      <c r="BT627" s="48">
        <f t="shared" si="3593"/>
        <v>14</v>
      </c>
      <c r="BU627" s="48">
        <f t="shared" si="3594"/>
        <v>14</v>
      </c>
      <c r="BV627" s="48">
        <f t="shared" si="3595"/>
        <v>14</v>
      </c>
      <c r="BW627" s="48">
        <f t="shared" si="3596"/>
        <v>53</v>
      </c>
      <c r="BX627" s="48">
        <f t="shared" si="3597"/>
        <v>53</v>
      </c>
      <c r="BY627" s="48">
        <f t="shared" si="3598"/>
        <v>53</v>
      </c>
      <c r="BZ627" s="48">
        <f t="shared" si="3599"/>
        <v>19</v>
      </c>
      <c r="CA627" s="48">
        <f t="shared" si="3600"/>
        <v>19</v>
      </c>
      <c r="CB627" s="48">
        <f t="shared" si="3601"/>
        <v>19</v>
      </c>
      <c r="CC627" s="48">
        <f t="shared" si="3602"/>
        <v>19</v>
      </c>
      <c r="CD627" s="48">
        <f t="shared" si="3603"/>
        <v>19</v>
      </c>
      <c r="CE627" s="48">
        <f t="shared" si="3604"/>
        <v>19</v>
      </c>
      <c r="CF627" s="48">
        <f t="shared" si="3605"/>
        <v>14</v>
      </c>
      <c r="CG627" s="48">
        <f t="shared" si="3606"/>
        <v>14</v>
      </c>
      <c r="CH627" s="48">
        <f t="shared" si="3607"/>
        <v>14</v>
      </c>
      <c r="CI627" s="48">
        <f t="shared" si="3608"/>
        <v>15</v>
      </c>
      <c r="CJ627" s="48">
        <f t="shared" si="3609"/>
        <v>15</v>
      </c>
      <c r="CK627" s="48">
        <f t="shared" si="3610"/>
        <v>15</v>
      </c>
      <c r="CL627" s="48">
        <f t="shared" si="3611"/>
        <v>12</v>
      </c>
      <c r="CM627" s="48">
        <f t="shared" si="3612"/>
        <v>12</v>
      </c>
      <c r="CN627" s="48">
        <f t="shared" si="3613"/>
        <v>12</v>
      </c>
      <c r="CO627" s="406"/>
      <c r="CP627" s="21">
        <f>+AL627</f>
        <v>4</v>
      </c>
      <c r="CQ627" s="21">
        <f t="shared" ref="CQ627:CR629" si="3620">+CP627+AM627</f>
        <v>4</v>
      </c>
      <c r="CR627" s="21">
        <f t="shared" si="3620"/>
        <v>6</v>
      </c>
      <c r="CS627" s="21">
        <f t="shared" ref="CS627:DA629" si="3621">L627+AO627</f>
        <v>24</v>
      </c>
      <c r="CT627" s="21">
        <f t="shared" si="3621"/>
        <v>31</v>
      </c>
      <c r="CU627" s="21">
        <f t="shared" si="3621"/>
        <v>40</v>
      </c>
      <c r="CV627" s="21">
        <f t="shared" si="3621"/>
        <v>48</v>
      </c>
      <c r="CW627" s="21">
        <f t="shared" si="3621"/>
        <v>53</v>
      </c>
      <c r="CX627" s="21">
        <f t="shared" si="3621"/>
        <v>54</v>
      </c>
      <c r="CY627" s="21">
        <f t="shared" si="3621"/>
        <v>87</v>
      </c>
      <c r="CZ627" s="21">
        <f t="shared" si="3621"/>
        <v>104</v>
      </c>
      <c r="DA627" s="21">
        <f t="shared" si="3621"/>
        <v>107</v>
      </c>
      <c r="DB627" s="21">
        <f>AX627</f>
        <v>6</v>
      </c>
      <c r="DC627" s="21">
        <f t="shared" ref="DC627:DM629" si="3622">V627+AY627</f>
        <v>10</v>
      </c>
      <c r="DD627" s="21">
        <f t="shared" si="3622"/>
        <v>19</v>
      </c>
      <c r="DE627" s="21">
        <f t="shared" si="3622"/>
        <v>19</v>
      </c>
      <c r="DF627" s="21">
        <f t="shared" si="3622"/>
        <v>19</v>
      </c>
      <c r="DG627" s="21">
        <f t="shared" si="3622"/>
        <v>38</v>
      </c>
      <c r="DH627" s="21">
        <f t="shared" si="3622"/>
        <v>40</v>
      </c>
      <c r="DI627" s="21">
        <f t="shared" si="3622"/>
        <v>44</v>
      </c>
      <c r="DJ627" s="21">
        <f t="shared" si="3622"/>
        <v>52</v>
      </c>
      <c r="DK627" s="21">
        <f t="shared" si="3622"/>
        <v>56</v>
      </c>
      <c r="DL627" s="21">
        <f t="shared" si="3622"/>
        <v>62</v>
      </c>
      <c r="DM627" s="21">
        <f t="shared" si="3622"/>
        <v>67</v>
      </c>
      <c r="DN627" s="21">
        <f>BJ627</f>
        <v>8</v>
      </c>
      <c r="DO627" s="21">
        <f t="shared" ref="DO627:DP629" si="3623">AH627+BK627</f>
        <v>12</v>
      </c>
      <c r="DP627" s="21">
        <f t="shared" si="3623"/>
        <v>12</v>
      </c>
      <c r="DQ627" s="248"/>
      <c r="DR627" s="248"/>
      <c r="DS627" s="248"/>
      <c r="DT627" s="248"/>
      <c r="DU627" s="248"/>
      <c r="DV627" s="248"/>
      <c r="DW627" s="248"/>
      <c r="DX627" s="248"/>
      <c r="DY627" s="248"/>
      <c r="ED627" s="429"/>
      <c r="EE627" s="23"/>
      <c r="EF627" s="23"/>
      <c r="EG627" s="23"/>
      <c r="EH627" s="18">
        <f t="shared" si="3579"/>
        <v>4</v>
      </c>
      <c r="EI627" s="18">
        <f t="shared" si="3580"/>
        <v>12</v>
      </c>
      <c r="EJ627" s="18">
        <f t="shared" si="3581"/>
        <v>12</v>
      </c>
      <c r="EK627" s="24">
        <f t="shared" ref="EK627:EK643" si="3624">$EK$2/12</f>
        <v>0.16666666666666666</v>
      </c>
      <c r="EL627" s="14">
        <f t="shared" si="3582"/>
        <v>0.32</v>
      </c>
      <c r="EM627" s="14">
        <f t="shared" si="3582"/>
        <v>0.64</v>
      </c>
      <c r="EN627" s="14">
        <f>EJ627/EK627/EG604</f>
        <v>0.96</v>
      </c>
      <c r="EO627" s="46" t="str">
        <f t="shared" si="3583"/>
        <v>È</v>
      </c>
      <c r="EP627" s="46" t="str">
        <f t="shared" si="3583"/>
        <v>È</v>
      </c>
      <c r="EQ627" s="2">
        <f t="shared" si="3584"/>
        <v>3</v>
      </c>
      <c r="ER627" s="2">
        <f t="shared" si="3585"/>
        <v>3</v>
      </c>
      <c r="ES627" s="2">
        <f t="shared" si="3586"/>
        <v>1</v>
      </c>
    </row>
    <row r="628" spans="1:149" ht="12" customHeight="1">
      <c r="A628" s="6" t="s">
        <v>23</v>
      </c>
      <c r="B628" s="2" t="s">
        <v>162</v>
      </c>
      <c r="C628" s="3" t="s">
        <v>62</v>
      </c>
      <c r="E628" s="3" t="s">
        <v>16</v>
      </c>
      <c r="G628" s="3" t="s">
        <v>91</v>
      </c>
      <c r="I628" s="23"/>
      <c r="J628" s="19">
        <v>33</v>
      </c>
      <c r="K628" s="19">
        <v>36</v>
      </c>
      <c r="L628" s="246">
        <v>36</v>
      </c>
      <c r="M628" s="246">
        <v>69</v>
      </c>
      <c r="N628" s="246">
        <v>83</v>
      </c>
      <c r="O628" s="19">
        <v>99</v>
      </c>
      <c r="P628" s="19">
        <v>117</v>
      </c>
      <c r="Q628" s="19">
        <v>130</v>
      </c>
      <c r="R628" s="19">
        <v>135</v>
      </c>
      <c r="S628" s="19">
        <v>187</v>
      </c>
      <c r="T628" s="19">
        <v>212</v>
      </c>
      <c r="U628" s="19">
        <v>219</v>
      </c>
      <c r="V628" s="31">
        <v>32</v>
      </c>
      <c r="W628" s="19">
        <v>39</v>
      </c>
      <c r="X628" s="19">
        <v>71</v>
      </c>
      <c r="Y628" s="371">
        <v>71</v>
      </c>
      <c r="Z628" s="19">
        <v>71</v>
      </c>
      <c r="AA628" s="19">
        <v>115</v>
      </c>
      <c r="AB628" s="19">
        <v>119</v>
      </c>
      <c r="AC628" s="19">
        <v>145</v>
      </c>
      <c r="AD628" s="19">
        <v>168</v>
      </c>
      <c r="AE628" s="19">
        <v>182</v>
      </c>
      <c r="AF628" s="19">
        <v>202</v>
      </c>
      <c r="AG628" s="19">
        <v>213</v>
      </c>
      <c r="AH628" s="31">
        <v>39</v>
      </c>
      <c r="AI628" s="19">
        <v>53</v>
      </c>
      <c r="AJ628" s="19"/>
      <c r="AK628" s="408"/>
      <c r="AL628" s="19">
        <f t="shared" si="3614"/>
        <v>33</v>
      </c>
      <c r="AM628" s="19">
        <f>K628-J628</f>
        <v>3</v>
      </c>
      <c r="AN628" s="19">
        <f t="shared" si="3555"/>
        <v>0</v>
      </c>
      <c r="AO628" s="19">
        <f>M628-L628</f>
        <v>33</v>
      </c>
      <c r="AP628" s="129">
        <f t="shared" si="3556"/>
        <v>14</v>
      </c>
      <c r="AQ628" s="129">
        <f t="shared" si="3557"/>
        <v>16</v>
      </c>
      <c r="AR628" s="129">
        <f t="shared" si="3558"/>
        <v>18</v>
      </c>
      <c r="AS628" s="129">
        <f t="shared" si="3559"/>
        <v>13</v>
      </c>
      <c r="AT628" s="129">
        <f t="shared" si="3560"/>
        <v>5</v>
      </c>
      <c r="AU628" s="129">
        <f t="shared" si="3561"/>
        <v>52</v>
      </c>
      <c r="AV628" s="129">
        <f t="shared" si="3562"/>
        <v>25</v>
      </c>
      <c r="AW628" s="129">
        <f t="shared" si="3563"/>
        <v>7</v>
      </c>
      <c r="AX628" s="19">
        <f t="shared" si="3615"/>
        <v>32</v>
      </c>
      <c r="AY628" s="129">
        <f t="shared" si="3564"/>
        <v>7</v>
      </c>
      <c r="AZ628" s="129">
        <f t="shared" si="3565"/>
        <v>32</v>
      </c>
      <c r="BA628" s="383">
        <f t="shared" si="3619"/>
        <v>0</v>
      </c>
      <c r="BB628" s="129">
        <f t="shared" si="3566"/>
        <v>0</v>
      </c>
      <c r="BC628" s="129">
        <f t="shared" si="3567"/>
        <v>44</v>
      </c>
      <c r="BD628" s="129">
        <f t="shared" si="3568"/>
        <v>4</v>
      </c>
      <c r="BE628" s="129">
        <f t="shared" si="3569"/>
        <v>26</v>
      </c>
      <c r="BF628" s="129">
        <f t="shared" si="3570"/>
        <v>23</v>
      </c>
      <c r="BG628" s="129">
        <f t="shared" si="3571"/>
        <v>14</v>
      </c>
      <c r="BH628" s="129">
        <f t="shared" si="3572"/>
        <v>20</v>
      </c>
      <c r="BI628" s="129">
        <f t="shared" si="3573"/>
        <v>11</v>
      </c>
      <c r="BJ628" s="19">
        <f t="shared" si="3616"/>
        <v>39</v>
      </c>
      <c r="BK628" s="129">
        <f t="shared" si="3574"/>
        <v>14</v>
      </c>
      <c r="BL628" s="129">
        <f t="shared" si="3575"/>
        <v>0</v>
      </c>
      <c r="BM628" s="408"/>
      <c r="BN628" s="48">
        <f t="shared" si="3587"/>
        <v>36</v>
      </c>
      <c r="BO628" s="48">
        <f t="shared" si="3588"/>
        <v>36</v>
      </c>
      <c r="BP628" s="48">
        <f>SUM(AL628:AN628)</f>
        <v>36</v>
      </c>
      <c r="BQ628" s="48">
        <f t="shared" si="3590"/>
        <v>63</v>
      </c>
      <c r="BR628" s="48">
        <f t="shared" si="3591"/>
        <v>63</v>
      </c>
      <c r="BS628" s="48">
        <f>SUM(AO628:AQ628)</f>
        <v>63</v>
      </c>
      <c r="BT628" s="48">
        <f t="shared" si="3593"/>
        <v>36</v>
      </c>
      <c r="BU628" s="48">
        <f t="shared" si="3594"/>
        <v>36</v>
      </c>
      <c r="BV628" s="48">
        <f>SUM(AR628:AT628)</f>
        <v>36</v>
      </c>
      <c r="BW628" s="48">
        <f t="shared" si="3596"/>
        <v>84</v>
      </c>
      <c r="BX628" s="48">
        <f t="shared" si="3597"/>
        <v>84</v>
      </c>
      <c r="BY628" s="48">
        <f>SUM(AU628:AW628)</f>
        <v>84</v>
      </c>
      <c r="BZ628" s="48">
        <f t="shared" si="3599"/>
        <v>71</v>
      </c>
      <c r="CA628" s="48">
        <f t="shared" si="3600"/>
        <v>71</v>
      </c>
      <c r="CB628" s="48">
        <f>SUM(AX628:AZ628)</f>
        <v>71</v>
      </c>
      <c r="CC628" s="48">
        <f t="shared" si="3602"/>
        <v>44</v>
      </c>
      <c r="CD628" s="48">
        <f t="shared" si="3603"/>
        <v>44</v>
      </c>
      <c r="CE628" s="48">
        <f>SUM(BA628:BC628)</f>
        <v>44</v>
      </c>
      <c r="CF628" s="48">
        <f t="shared" si="3605"/>
        <v>53</v>
      </c>
      <c r="CG628" s="48">
        <f t="shared" si="3606"/>
        <v>53</v>
      </c>
      <c r="CH628" s="48">
        <f>SUM(BD628:BF628)</f>
        <v>53</v>
      </c>
      <c r="CI628" s="48">
        <f t="shared" si="3608"/>
        <v>45</v>
      </c>
      <c r="CJ628" s="48">
        <f t="shared" si="3609"/>
        <v>45</v>
      </c>
      <c r="CK628" s="48">
        <f>SUM(BG628:BI628)</f>
        <v>45</v>
      </c>
      <c r="CL628" s="48">
        <f t="shared" si="3611"/>
        <v>53</v>
      </c>
      <c r="CM628" s="48">
        <f t="shared" si="3612"/>
        <v>53</v>
      </c>
      <c r="CN628" s="48">
        <f>SUM(BJ628:BL628)</f>
        <v>53</v>
      </c>
      <c r="CO628" s="406"/>
      <c r="CP628" s="21">
        <f>+AL628</f>
        <v>33</v>
      </c>
      <c r="CQ628" s="21">
        <f t="shared" si="3620"/>
        <v>36</v>
      </c>
      <c r="CR628" s="21">
        <f t="shared" si="3620"/>
        <v>36</v>
      </c>
      <c r="CS628" s="21">
        <f t="shared" si="3621"/>
        <v>69</v>
      </c>
      <c r="CT628" s="21">
        <f t="shared" si="3621"/>
        <v>83</v>
      </c>
      <c r="CU628" s="21">
        <f t="shared" si="3621"/>
        <v>99</v>
      </c>
      <c r="CV628" s="21">
        <f t="shared" si="3621"/>
        <v>117</v>
      </c>
      <c r="CW628" s="21">
        <f t="shared" si="3621"/>
        <v>130</v>
      </c>
      <c r="CX628" s="21">
        <f t="shared" si="3621"/>
        <v>135</v>
      </c>
      <c r="CY628" s="21">
        <f t="shared" si="3621"/>
        <v>187</v>
      </c>
      <c r="CZ628" s="21">
        <f t="shared" si="3621"/>
        <v>212</v>
      </c>
      <c r="DA628" s="21">
        <f t="shared" si="3621"/>
        <v>219</v>
      </c>
      <c r="DB628" s="21">
        <f>AX628</f>
        <v>32</v>
      </c>
      <c r="DC628" s="21">
        <f t="shared" si="3622"/>
        <v>39</v>
      </c>
      <c r="DD628" s="21">
        <f t="shared" si="3622"/>
        <v>71</v>
      </c>
      <c r="DE628" s="21">
        <f t="shared" si="3622"/>
        <v>71</v>
      </c>
      <c r="DF628" s="21">
        <f t="shared" si="3622"/>
        <v>71</v>
      </c>
      <c r="DG628" s="21">
        <f t="shared" si="3622"/>
        <v>115</v>
      </c>
      <c r="DH628" s="21">
        <f t="shared" si="3622"/>
        <v>119</v>
      </c>
      <c r="DI628" s="21">
        <f t="shared" si="3622"/>
        <v>145</v>
      </c>
      <c r="DJ628" s="21">
        <f t="shared" si="3622"/>
        <v>168</v>
      </c>
      <c r="DK628" s="21">
        <f t="shared" si="3622"/>
        <v>182</v>
      </c>
      <c r="DL628" s="21">
        <f t="shared" si="3622"/>
        <v>202</v>
      </c>
      <c r="DM628" s="21">
        <f t="shared" si="3622"/>
        <v>213</v>
      </c>
      <c r="DN628" s="21">
        <f>BJ628</f>
        <v>39</v>
      </c>
      <c r="DO628" s="21">
        <f t="shared" si="3623"/>
        <v>53</v>
      </c>
      <c r="DP628" s="21">
        <f t="shared" si="3623"/>
        <v>53</v>
      </c>
      <c r="DQ628" s="248"/>
      <c r="DR628" s="248"/>
      <c r="DS628" s="248"/>
      <c r="DT628" s="248"/>
      <c r="DU628" s="248"/>
      <c r="DV628" s="248"/>
      <c r="DW628" s="248"/>
      <c r="DX628" s="248"/>
      <c r="DY628" s="248"/>
      <c r="ED628" s="429"/>
      <c r="EE628" s="23"/>
      <c r="EF628" s="23"/>
      <c r="EG628" s="23"/>
      <c r="EH628" s="18">
        <f t="shared" si="3579"/>
        <v>14</v>
      </c>
      <c r="EI628" s="18">
        <f t="shared" si="3580"/>
        <v>53</v>
      </c>
      <c r="EJ628" s="18">
        <f t="shared" si="3581"/>
        <v>53</v>
      </c>
      <c r="EK628" s="24">
        <f t="shared" si="3624"/>
        <v>0.16666666666666666</v>
      </c>
      <c r="EL628" s="14"/>
      <c r="EM628" s="14"/>
      <c r="EN628" s="14"/>
      <c r="EO628" s="46" t="str">
        <f>IF(EH628&lt;0,,IF(EH628&lt;EE606,"È",IF(EH628=EE606,"Æ","Ç")))</f>
        <v>Ç</v>
      </c>
      <c r="EP628" s="46" t="str">
        <f>IF(EI628&lt;0,,IF(EI628&lt;EF606,"È",IF(EI628=EF606,"Æ","Ç")))</f>
        <v>Ç</v>
      </c>
      <c r="EQ628" s="2">
        <f t="shared" si="3584"/>
        <v>3</v>
      </c>
      <c r="ER628" s="2">
        <f t="shared" si="3585"/>
        <v>3</v>
      </c>
      <c r="ES628" s="2">
        <f t="shared" si="3586"/>
        <v>3</v>
      </c>
    </row>
    <row r="629" spans="1:149" ht="12" customHeight="1">
      <c r="A629" s="6" t="s">
        <v>23</v>
      </c>
      <c r="B629" s="2" t="s">
        <v>163</v>
      </c>
      <c r="C629" s="3" t="s">
        <v>62</v>
      </c>
      <c r="E629" s="3" t="s">
        <v>16</v>
      </c>
      <c r="G629" s="3" t="s">
        <v>91</v>
      </c>
      <c r="I629" s="23"/>
      <c r="J629" s="19">
        <v>19</v>
      </c>
      <c r="K629" s="19">
        <v>20</v>
      </c>
      <c r="L629" s="246">
        <v>21</v>
      </c>
      <c r="M629" s="246">
        <v>26</v>
      </c>
      <c r="N629" s="246">
        <v>28</v>
      </c>
      <c r="O629" s="19">
        <v>38</v>
      </c>
      <c r="P629" s="19">
        <v>41</v>
      </c>
      <c r="Q629" s="19">
        <v>46</v>
      </c>
      <c r="R629" s="19">
        <v>47</v>
      </c>
      <c r="S629" s="19">
        <v>53</v>
      </c>
      <c r="T629" s="19">
        <v>58</v>
      </c>
      <c r="U629" s="19">
        <v>58</v>
      </c>
      <c r="V629" s="31">
        <v>12</v>
      </c>
      <c r="W629" s="19">
        <v>14</v>
      </c>
      <c r="X629" s="19">
        <v>23</v>
      </c>
      <c r="Y629" s="371">
        <v>23</v>
      </c>
      <c r="Z629" s="19">
        <v>23</v>
      </c>
      <c r="AA629" s="19">
        <v>42</v>
      </c>
      <c r="AB629" s="19">
        <v>42</v>
      </c>
      <c r="AC629" s="19">
        <v>51</v>
      </c>
      <c r="AD629" s="19">
        <v>57</v>
      </c>
      <c r="AE629" s="19">
        <v>60</v>
      </c>
      <c r="AF629" s="19">
        <v>64</v>
      </c>
      <c r="AG629" s="19">
        <v>72</v>
      </c>
      <c r="AH629" s="31">
        <v>20</v>
      </c>
      <c r="AI629" s="19">
        <v>27</v>
      </c>
      <c r="AJ629" s="19"/>
      <c r="AK629" s="408"/>
      <c r="AL629" s="19">
        <f t="shared" si="3614"/>
        <v>19</v>
      </c>
      <c r="AM629" s="19">
        <f>K629-J629</f>
        <v>1</v>
      </c>
      <c r="AN629" s="19">
        <f t="shared" si="3555"/>
        <v>1</v>
      </c>
      <c r="AO629" s="19">
        <f>M629-L629</f>
        <v>5</v>
      </c>
      <c r="AP629" s="129">
        <f t="shared" si="3556"/>
        <v>2</v>
      </c>
      <c r="AQ629" s="129">
        <f t="shared" si="3557"/>
        <v>10</v>
      </c>
      <c r="AR629" s="129">
        <f t="shared" si="3558"/>
        <v>3</v>
      </c>
      <c r="AS629" s="129">
        <f t="shared" si="3559"/>
        <v>5</v>
      </c>
      <c r="AT629" s="129">
        <f t="shared" si="3560"/>
        <v>1</v>
      </c>
      <c r="AU629" s="129">
        <f t="shared" si="3561"/>
        <v>6</v>
      </c>
      <c r="AV629" s="129">
        <f t="shared" si="3562"/>
        <v>5</v>
      </c>
      <c r="AW629" s="129">
        <f t="shared" si="3563"/>
        <v>0</v>
      </c>
      <c r="AX629" s="19">
        <f t="shared" si="3615"/>
        <v>12</v>
      </c>
      <c r="AY629" s="129">
        <f t="shared" si="3564"/>
        <v>2</v>
      </c>
      <c r="AZ629" s="129">
        <f t="shared" si="3565"/>
        <v>9</v>
      </c>
      <c r="BA629" s="383">
        <f t="shared" si="3619"/>
        <v>0</v>
      </c>
      <c r="BB629" s="129">
        <f t="shared" si="3566"/>
        <v>0</v>
      </c>
      <c r="BC629" s="129">
        <f t="shared" si="3567"/>
        <v>19</v>
      </c>
      <c r="BD629" s="129">
        <f t="shared" si="3568"/>
        <v>0</v>
      </c>
      <c r="BE629" s="129">
        <f t="shared" si="3569"/>
        <v>9</v>
      </c>
      <c r="BF629" s="129">
        <f t="shared" si="3570"/>
        <v>6</v>
      </c>
      <c r="BG629" s="129">
        <f t="shared" si="3571"/>
        <v>3</v>
      </c>
      <c r="BH629" s="129">
        <f t="shared" si="3572"/>
        <v>4</v>
      </c>
      <c r="BI629" s="129">
        <f t="shared" si="3573"/>
        <v>8</v>
      </c>
      <c r="BJ629" s="19">
        <f t="shared" si="3616"/>
        <v>20</v>
      </c>
      <c r="BK629" s="129">
        <f t="shared" si="3574"/>
        <v>7</v>
      </c>
      <c r="BL629" s="129">
        <f t="shared" si="3575"/>
        <v>0</v>
      </c>
      <c r="BM629" s="408"/>
      <c r="BN629" s="48">
        <f t="shared" si="3587"/>
        <v>21</v>
      </c>
      <c r="BO629" s="48">
        <f t="shared" si="3588"/>
        <v>21</v>
      </c>
      <c r="BP629" s="48">
        <f>SUM(AL629:AN629)</f>
        <v>21</v>
      </c>
      <c r="BQ629" s="48">
        <f t="shared" si="3590"/>
        <v>17</v>
      </c>
      <c r="BR629" s="48">
        <f t="shared" si="3591"/>
        <v>17</v>
      </c>
      <c r="BS629" s="48">
        <f>SUM(AO629:AQ629)</f>
        <v>17</v>
      </c>
      <c r="BT629" s="48">
        <f t="shared" si="3593"/>
        <v>9</v>
      </c>
      <c r="BU629" s="48">
        <f t="shared" si="3594"/>
        <v>9</v>
      </c>
      <c r="BV629" s="48">
        <f>SUM(AR629:AT629)</f>
        <v>9</v>
      </c>
      <c r="BW629" s="48">
        <f t="shared" si="3596"/>
        <v>11</v>
      </c>
      <c r="BX629" s="48">
        <f t="shared" si="3597"/>
        <v>11</v>
      </c>
      <c r="BY629" s="48">
        <f>SUM(AU629:AW629)</f>
        <v>11</v>
      </c>
      <c r="BZ629" s="48">
        <f t="shared" si="3599"/>
        <v>23</v>
      </c>
      <c r="CA629" s="48">
        <f t="shared" si="3600"/>
        <v>23</v>
      </c>
      <c r="CB629" s="48">
        <f>SUM(AX629:AZ629)</f>
        <v>23</v>
      </c>
      <c r="CC629" s="48">
        <f t="shared" si="3602"/>
        <v>19</v>
      </c>
      <c r="CD629" s="48">
        <f t="shared" si="3603"/>
        <v>19</v>
      </c>
      <c r="CE629" s="48">
        <f>SUM(BA629:BC629)</f>
        <v>19</v>
      </c>
      <c r="CF629" s="48">
        <f t="shared" si="3605"/>
        <v>15</v>
      </c>
      <c r="CG629" s="48">
        <f t="shared" si="3606"/>
        <v>15</v>
      </c>
      <c r="CH629" s="48">
        <f>SUM(BD629:BF629)</f>
        <v>15</v>
      </c>
      <c r="CI629" s="48">
        <f t="shared" si="3608"/>
        <v>15</v>
      </c>
      <c r="CJ629" s="48">
        <f t="shared" si="3609"/>
        <v>15</v>
      </c>
      <c r="CK629" s="48">
        <f>SUM(BG629:BI629)</f>
        <v>15</v>
      </c>
      <c r="CL629" s="48">
        <f t="shared" si="3611"/>
        <v>27</v>
      </c>
      <c r="CM629" s="48">
        <f t="shared" si="3612"/>
        <v>27</v>
      </c>
      <c r="CN629" s="48">
        <f>SUM(BJ629:BL629)</f>
        <v>27</v>
      </c>
      <c r="CO629" s="406"/>
      <c r="CP629" s="21">
        <f>+AL629</f>
        <v>19</v>
      </c>
      <c r="CQ629" s="21">
        <f t="shared" si="3620"/>
        <v>20</v>
      </c>
      <c r="CR629" s="21">
        <f t="shared" si="3620"/>
        <v>21</v>
      </c>
      <c r="CS629" s="21">
        <f t="shared" si="3621"/>
        <v>26</v>
      </c>
      <c r="CT629" s="21">
        <f t="shared" si="3621"/>
        <v>28</v>
      </c>
      <c r="CU629" s="21">
        <f t="shared" si="3621"/>
        <v>38</v>
      </c>
      <c r="CV629" s="21">
        <f t="shared" si="3621"/>
        <v>41</v>
      </c>
      <c r="CW629" s="21">
        <f t="shared" si="3621"/>
        <v>46</v>
      </c>
      <c r="CX629" s="21">
        <f t="shared" si="3621"/>
        <v>47</v>
      </c>
      <c r="CY629" s="21">
        <f t="shared" si="3621"/>
        <v>53</v>
      </c>
      <c r="CZ629" s="21">
        <f t="shared" si="3621"/>
        <v>58</v>
      </c>
      <c r="DA629" s="21">
        <f t="shared" si="3621"/>
        <v>58</v>
      </c>
      <c r="DB629" s="21">
        <f>AX629</f>
        <v>12</v>
      </c>
      <c r="DC629" s="21">
        <f t="shared" si="3622"/>
        <v>14</v>
      </c>
      <c r="DD629" s="21">
        <f t="shared" si="3622"/>
        <v>23</v>
      </c>
      <c r="DE629" s="21">
        <f t="shared" si="3622"/>
        <v>23</v>
      </c>
      <c r="DF629" s="21">
        <f t="shared" si="3622"/>
        <v>23</v>
      </c>
      <c r="DG629" s="21">
        <f t="shared" si="3622"/>
        <v>42</v>
      </c>
      <c r="DH629" s="21">
        <f t="shared" si="3622"/>
        <v>42</v>
      </c>
      <c r="DI629" s="21">
        <f t="shared" si="3622"/>
        <v>51</v>
      </c>
      <c r="DJ629" s="21">
        <f t="shared" si="3622"/>
        <v>57</v>
      </c>
      <c r="DK629" s="21">
        <f t="shared" si="3622"/>
        <v>60</v>
      </c>
      <c r="DL629" s="21">
        <f t="shared" si="3622"/>
        <v>64</v>
      </c>
      <c r="DM629" s="21">
        <f t="shared" si="3622"/>
        <v>72</v>
      </c>
      <c r="DN629" s="21">
        <f>BJ629</f>
        <v>20</v>
      </c>
      <c r="DO629" s="21">
        <f t="shared" si="3623"/>
        <v>27</v>
      </c>
      <c r="DP629" s="21">
        <f t="shared" si="3623"/>
        <v>27</v>
      </c>
      <c r="DQ629" s="248"/>
      <c r="DR629" s="248"/>
      <c r="DS629" s="248"/>
      <c r="DT629" s="248"/>
      <c r="DU629" s="248"/>
      <c r="DV629" s="248"/>
      <c r="DW629" s="248"/>
      <c r="DX629" s="248"/>
      <c r="DY629" s="248"/>
      <c r="ED629" s="429"/>
      <c r="EE629" s="23"/>
      <c r="EF629" s="23"/>
      <c r="EG629" s="23"/>
      <c r="EH629" s="18">
        <f t="shared" si="3579"/>
        <v>7</v>
      </c>
      <c r="EI629" s="18">
        <f t="shared" si="3580"/>
        <v>27</v>
      </c>
      <c r="EJ629" s="18">
        <f t="shared" si="3581"/>
        <v>27</v>
      </c>
      <c r="EK629" s="24">
        <f t="shared" si="3624"/>
        <v>0.16666666666666666</v>
      </c>
      <c r="EL629" s="14"/>
      <c r="EM629" s="14"/>
      <c r="EN629" s="14"/>
      <c r="EO629" s="46" t="str">
        <f>IF(EH629&lt;0,,IF(EH629&lt;EE605,"È",IF(EH629=EE605,"Æ","Ç")))</f>
        <v>Ç</v>
      </c>
      <c r="EP629" s="46" t="str">
        <f>IF(EI629&lt;0,,IF(EI629&lt;EF605,"È",IF(EI629=EF605,"Æ","Ç")))</f>
        <v>Ç</v>
      </c>
      <c r="EQ629" s="2">
        <f t="shared" si="3584"/>
        <v>3</v>
      </c>
      <c r="ER629" s="2">
        <f t="shared" si="3585"/>
        <v>3</v>
      </c>
      <c r="ES629" s="2">
        <f t="shared" si="3586"/>
        <v>3</v>
      </c>
    </row>
    <row r="630" spans="1:149" ht="12" customHeight="1">
      <c r="A630" s="6" t="s">
        <v>23</v>
      </c>
      <c r="B630" s="2" t="s">
        <v>6</v>
      </c>
      <c r="C630" s="3" t="s">
        <v>63</v>
      </c>
      <c r="E630" s="3" t="s">
        <v>16</v>
      </c>
      <c r="G630" s="3" t="s">
        <v>89</v>
      </c>
      <c r="I630" s="23"/>
      <c r="J630" s="19">
        <v>0</v>
      </c>
      <c r="K630" s="19">
        <v>1</v>
      </c>
      <c r="L630" s="246">
        <v>0</v>
      </c>
      <c r="M630" s="246">
        <v>0</v>
      </c>
      <c r="N630" s="246">
        <v>3</v>
      </c>
      <c r="O630" s="19">
        <v>1</v>
      </c>
      <c r="P630" s="19">
        <v>1</v>
      </c>
      <c r="Q630" s="19">
        <v>3</v>
      </c>
      <c r="R630" s="19">
        <v>0</v>
      </c>
      <c r="S630" s="19">
        <v>1</v>
      </c>
      <c r="T630" s="19">
        <v>7</v>
      </c>
      <c r="U630" s="19">
        <v>4</v>
      </c>
      <c r="V630" s="31">
        <v>1</v>
      </c>
      <c r="W630" s="19">
        <v>4</v>
      </c>
      <c r="X630" s="19">
        <v>0</v>
      </c>
      <c r="Y630" s="371">
        <v>1</v>
      </c>
      <c r="Z630" s="19">
        <v>0</v>
      </c>
      <c r="AA630" s="19">
        <v>0</v>
      </c>
      <c r="AB630" s="263">
        <v>1E-4</v>
      </c>
      <c r="AC630" s="19">
        <v>1</v>
      </c>
      <c r="AD630" s="19">
        <v>0</v>
      </c>
      <c r="AE630" s="19">
        <v>8</v>
      </c>
      <c r="AF630" s="19">
        <v>2</v>
      </c>
      <c r="AG630" s="19">
        <v>1</v>
      </c>
      <c r="AH630" s="31">
        <v>5</v>
      </c>
      <c r="AI630" s="19">
        <v>3</v>
      </c>
      <c r="AJ630" s="19"/>
      <c r="AK630" s="408"/>
      <c r="AL630" s="19">
        <f t="shared" si="3614"/>
        <v>0</v>
      </c>
      <c r="AM630" s="19">
        <f t="shared" ref="AM630:AO631" si="3625">K630</f>
        <v>1</v>
      </c>
      <c r="AN630" s="246">
        <f t="shared" ref="AN630:AV631" si="3626">L630</f>
        <v>0</v>
      </c>
      <c r="AO630" s="246">
        <f t="shared" si="3626"/>
        <v>0</v>
      </c>
      <c r="AP630" s="246">
        <f t="shared" si="3626"/>
        <v>3</v>
      </c>
      <c r="AQ630" s="246">
        <f t="shared" si="3626"/>
        <v>1</v>
      </c>
      <c r="AR630" s="246">
        <f t="shared" si="3626"/>
        <v>1</v>
      </c>
      <c r="AS630" s="246">
        <f t="shared" si="3626"/>
        <v>3</v>
      </c>
      <c r="AT630" s="246">
        <f t="shared" si="3626"/>
        <v>0</v>
      </c>
      <c r="AU630" s="246">
        <f t="shared" si="3626"/>
        <v>1</v>
      </c>
      <c r="AV630" s="246">
        <f t="shared" si="3626"/>
        <v>7</v>
      </c>
      <c r="AW630" s="376">
        <f>U630</f>
        <v>4</v>
      </c>
      <c r="AX630" s="376">
        <f t="shared" si="3615"/>
        <v>1</v>
      </c>
      <c r="AY630" s="376">
        <f t="shared" ref="AY630:BI631" si="3627">W630</f>
        <v>4</v>
      </c>
      <c r="AZ630" s="376">
        <f t="shared" si="3627"/>
        <v>0</v>
      </c>
      <c r="BA630" s="376">
        <f t="shared" si="3627"/>
        <v>1</v>
      </c>
      <c r="BB630" s="376">
        <f t="shared" si="3627"/>
        <v>0</v>
      </c>
      <c r="BC630" s="376">
        <f t="shared" si="3627"/>
        <v>0</v>
      </c>
      <c r="BD630" s="376">
        <f t="shared" si="3627"/>
        <v>1E-4</v>
      </c>
      <c r="BE630" s="376">
        <f t="shared" si="3627"/>
        <v>1</v>
      </c>
      <c r="BF630" s="376">
        <f t="shared" si="3627"/>
        <v>0</v>
      </c>
      <c r="BG630" s="376">
        <f t="shared" si="3627"/>
        <v>8</v>
      </c>
      <c r="BH630" s="376">
        <f t="shared" si="3627"/>
        <v>2</v>
      </c>
      <c r="BI630" s="376">
        <f t="shared" si="3627"/>
        <v>1</v>
      </c>
      <c r="BJ630" s="376">
        <f t="shared" si="3616"/>
        <v>5</v>
      </c>
      <c r="BK630" s="376">
        <f>AI630</f>
        <v>3</v>
      </c>
      <c r="BL630" s="376">
        <f>AJ630</f>
        <v>0</v>
      </c>
      <c r="BM630" s="408"/>
      <c r="BN630" s="48">
        <f t="shared" si="3587"/>
        <v>1</v>
      </c>
      <c r="BO630" s="48">
        <f t="shared" si="3588"/>
        <v>1</v>
      </c>
      <c r="BP630" s="48">
        <f>SUM(AL630:AN630)</f>
        <v>1</v>
      </c>
      <c r="BQ630" s="48">
        <f t="shared" si="3590"/>
        <v>4</v>
      </c>
      <c r="BR630" s="48">
        <f t="shared" si="3591"/>
        <v>4</v>
      </c>
      <c r="BS630" s="48">
        <f>SUM(AO630:AQ630)</f>
        <v>4</v>
      </c>
      <c r="BT630" s="48">
        <f t="shared" si="3593"/>
        <v>4</v>
      </c>
      <c r="BU630" s="48">
        <f t="shared" si="3594"/>
        <v>4</v>
      </c>
      <c r="BV630" s="48">
        <f>SUM(AR630:AT630)</f>
        <v>4</v>
      </c>
      <c r="BW630" s="48">
        <f t="shared" si="3596"/>
        <v>12</v>
      </c>
      <c r="BX630" s="48">
        <f t="shared" si="3597"/>
        <v>12</v>
      </c>
      <c r="BY630" s="48">
        <f>SUM(AU630:AW630)</f>
        <v>12</v>
      </c>
      <c r="BZ630" s="48">
        <f t="shared" si="3599"/>
        <v>5</v>
      </c>
      <c r="CA630" s="48">
        <f t="shared" si="3600"/>
        <v>5</v>
      </c>
      <c r="CB630" s="48">
        <f>SUM(AX630:AZ630)</f>
        <v>5</v>
      </c>
      <c r="CC630" s="48">
        <f t="shared" si="3602"/>
        <v>1</v>
      </c>
      <c r="CD630" s="48">
        <f t="shared" si="3603"/>
        <v>1</v>
      </c>
      <c r="CE630" s="48">
        <f>SUM(BA630:BC630)</f>
        <v>1</v>
      </c>
      <c r="CF630" s="48">
        <f t="shared" si="3605"/>
        <v>1.0001</v>
      </c>
      <c r="CG630" s="48">
        <f t="shared" si="3606"/>
        <v>1.0001</v>
      </c>
      <c r="CH630" s="48">
        <f>SUM(BD630:BF630)</f>
        <v>1.0001</v>
      </c>
      <c r="CI630" s="48">
        <f t="shared" si="3608"/>
        <v>11</v>
      </c>
      <c r="CJ630" s="48">
        <f t="shared" si="3609"/>
        <v>11</v>
      </c>
      <c r="CK630" s="48">
        <f>SUM(BG630:BI630)</f>
        <v>11</v>
      </c>
      <c r="CL630" s="48">
        <f t="shared" si="3611"/>
        <v>8</v>
      </c>
      <c r="CM630" s="48">
        <f t="shared" si="3612"/>
        <v>8</v>
      </c>
      <c r="CN630" s="48">
        <f>SUM(BJ630:BL630)</f>
        <v>8</v>
      </c>
      <c r="CO630" s="406"/>
      <c r="CP630" s="21">
        <f>+J630</f>
        <v>0</v>
      </c>
      <c r="CQ630" s="21">
        <f t="shared" ref="CQ630:DA630" si="3628">+CP630+K630</f>
        <v>1</v>
      </c>
      <c r="CR630" s="21">
        <f t="shared" si="3628"/>
        <v>1</v>
      </c>
      <c r="CS630" s="21">
        <f t="shared" si="3628"/>
        <v>1</v>
      </c>
      <c r="CT630" s="21">
        <f t="shared" si="3628"/>
        <v>4</v>
      </c>
      <c r="CU630" s="21">
        <f t="shared" si="3628"/>
        <v>5</v>
      </c>
      <c r="CV630" s="21">
        <f t="shared" si="3628"/>
        <v>6</v>
      </c>
      <c r="CW630" s="21">
        <f t="shared" si="3628"/>
        <v>9</v>
      </c>
      <c r="CX630" s="21">
        <f t="shared" si="3628"/>
        <v>9</v>
      </c>
      <c r="CY630" s="21">
        <f t="shared" si="3628"/>
        <v>10</v>
      </c>
      <c r="CZ630" s="21">
        <f t="shared" si="3628"/>
        <v>17</v>
      </c>
      <c r="DA630" s="21">
        <f t="shared" si="3628"/>
        <v>21</v>
      </c>
      <c r="DB630" s="21">
        <f>+V630</f>
        <v>1</v>
      </c>
      <c r="DC630" s="21">
        <f t="shared" ref="DC630:DM630" si="3629">+DB630+W630</f>
        <v>5</v>
      </c>
      <c r="DD630" s="21">
        <f t="shared" si="3629"/>
        <v>5</v>
      </c>
      <c r="DE630" s="21">
        <f t="shared" si="3629"/>
        <v>6</v>
      </c>
      <c r="DF630" s="21">
        <f t="shared" si="3629"/>
        <v>6</v>
      </c>
      <c r="DG630" s="21">
        <f t="shared" si="3629"/>
        <v>6</v>
      </c>
      <c r="DH630" s="21">
        <f t="shared" si="3629"/>
        <v>6.0000999999999998</v>
      </c>
      <c r="DI630" s="21">
        <f t="shared" si="3629"/>
        <v>7.0000999999999998</v>
      </c>
      <c r="DJ630" s="21">
        <f t="shared" si="3629"/>
        <v>7.0000999999999998</v>
      </c>
      <c r="DK630" s="21">
        <f t="shared" si="3629"/>
        <v>15.0001</v>
      </c>
      <c r="DL630" s="21">
        <f t="shared" si="3629"/>
        <v>17.0001</v>
      </c>
      <c r="DM630" s="21">
        <f t="shared" si="3629"/>
        <v>18.0001</v>
      </c>
      <c r="DN630" s="21">
        <f>BJ630</f>
        <v>5</v>
      </c>
      <c r="DO630" s="21">
        <f>DN630+BK630</f>
        <v>8</v>
      </c>
      <c r="DP630" s="21">
        <f>DO630+BL630</f>
        <v>8</v>
      </c>
      <c r="DQ630" s="248"/>
      <c r="DR630" s="248"/>
      <c r="DS630" s="248"/>
      <c r="DT630" s="248"/>
      <c r="DU630" s="248"/>
      <c r="DV630" s="248"/>
      <c r="DW630" s="248"/>
      <c r="DX630" s="248"/>
      <c r="DY630" s="248"/>
      <c r="ED630" s="429"/>
      <c r="EE630" s="23"/>
      <c r="EF630" s="23"/>
      <c r="EG630" s="23"/>
      <c r="EH630" s="397">
        <f t="shared" si="3579"/>
        <v>3</v>
      </c>
      <c r="EI630" s="18">
        <f t="shared" si="3580"/>
        <v>8</v>
      </c>
      <c r="EJ630" s="18">
        <f t="shared" si="3581"/>
        <v>8</v>
      </c>
      <c r="EK630" s="24">
        <f t="shared" si="3624"/>
        <v>0.16666666666666666</v>
      </c>
      <c r="EL630" s="14" t="e">
        <f t="shared" ref="EL630:EN637" si="3630">EH630/EE605</f>
        <v>#DIV/0!</v>
      </c>
      <c r="EM630" s="14" t="e">
        <f t="shared" si="3630"/>
        <v>#DIV/0!</v>
      </c>
      <c r="EN630" s="14">
        <f>EJ630/EK630/EG605</f>
        <v>2.526320664829353</v>
      </c>
      <c r="EO630" s="46" t="str">
        <f t="shared" ref="EO630:EO642" si="3631">IF(EH630&lt;0,,IF(EH630&lt;EE605,"È",IF(EH630=EE605,"Æ","Ç")))</f>
        <v>Ç</v>
      </c>
      <c r="EP630" s="46" t="str">
        <f t="shared" ref="EP630:EP642" si="3632">IF(EI630&lt;0,,IF(EI630&lt;EF605,"È",IF(EI630=EF605,"Æ","Ç")))</f>
        <v>Ç</v>
      </c>
      <c r="EQ630" s="2" t="e">
        <f t="shared" si="3584"/>
        <v>#DIV/0!</v>
      </c>
      <c r="ER630" s="2" t="e">
        <f t="shared" si="3585"/>
        <v>#DIV/0!</v>
      </c>
      <c r="ES630" s="2">
        <f t="shared" si="3586"/>
        <v>1</v>
      </c>
    </row>
    <row r="631" spans="1:149" s="313" customFormat="1" ht="12" customHeight="1">
      <c r="A631" s="312" t="s">
        <v>23</v>
      </c>
      <c r="B631" s="313" t="s">
        <v>7</v>
      </c>
      <c r="C631" s="314" t="s">
        <v>64</v>
      </c>
      <c r="D631" s="314"/>
      <c r="E631" s="314" t="s">
        <v>16</v>
      </c>
      <c r="F631" s="314"/>
      <c r="G631" s="314" t="s">
        <v>89</v>
      </c>
      <c r="H631" s="314"/>
      <c r="I631" s="315"/>
      <c r="J631" s="316">
        <v>0</v>
      </c>
      <c r="K631" s="316">
        <v>1</v>
      </c>
      <c r="L631" s="316">
        <v>0</v>
      </c>
      <c r="M631" s="316">
        <v>0</v>
      </c>
      <c r="N631" s="316">
        <v>1</v>
      </c>
      <c r="O631" s="316">
        <v>1</v>
      </c>
      <c r="P631" s="316">
        <v>1</v>
      </c>
      <c r="Q631" s="316">
        <v>1</v>
      </c>
      <c r="R631" s="316">
        <v>0</v>
      </c>
      <c r="S631" s="316">
        <v>0</v>
      </c>
      <c r="T631" s="316">
        <v>1</v>
      </c>
      <c r="U631" s="316">
        <v>0.85</v>
      </c>
      <c r="V631" s="317">
        <v>1</v>
      </c>
      <c r="W631" s="316">
        <v>0.75</v>
      </c>
      <c r="X631" s="316">
        <v>0</v>
      </c>
      <c r="Y631" s="375">
        <v>0.6</v>
      </c>
      <c r="Z631" s="316">
        <v>0</v>
      </c>
      <c r="AA631" s="316">
        <v>0</v>
      </c>
      <c r="AB631" s="316">
        <v>0</v>
      </c>
      <c r="AC631" s="316">
        <v>1</v>
      </c>
      <c r="AD631" s="316">
        <v>0</v>
      </c>
      <c r="AE631" s="316">
        <v>1</v>
      </c>
      <c r="AF631" s="316">
        <v>0.9</v>
      </c>
      <c r="AG631" s="316">
        <v>1</v>
      </c>
      <c r="AH631" s="317">
        <v>0.8</v>
      </c>
      <c r="AI631" s="316">
        <v>1</v>
      </c>
      <c r="AJ631" s="316"/>
      <c r="AK631" s="418"/>
      <c r="AL631" s="313">
        <f t="shared" si="3614"/>
        <v>0</v>
      </c>
      <c r="AM631" s="313">
        <f t="shared" si="3625"/>
        <v>1</v>
      </c>
      <c r="AN631" s="313">
        <f t="shared" si="3625"/>
        <v>0</v>
      </c>
      <c r="AO631" s="313">
        <f t="shared" si="3625"/>
        <v>0</v>
      </c>
      <c r="AP631" s="313">
        <f t="shared" si="3626"/>
        <v>1</v>
      </c>
      <c r="AQ631" s="313">
        <f t="shared" si="3626"/>
        <v>1</v>
      </c>
      <c r="AR631" s="313">
        <f t="shared" si="3626"/>
        <v>1</v>
      </c>
      <c r="AS631" s="313">
        <f t="shared" si="3626"/>
        <v>1</v>
      </c>
      <c r="AT631" s="313">
        <f t="shared" si="3626"/>
        <v>0</v>
      </c>
      <c r="AU631" s="313">
        <f t="shared" si="3626"/>
        <v>0</v>
      </c>
      <c r="AV631" s="313">
        <f t="shared" si="3626"/>
        <v>1</v>
      </c>
      <c r="AW631" s="313">
        <f>U631</f>
        <v>0.85</v>
      </c>
      <c r="AX631" s="313">
        <f t="shared" si="3615"/>
        <v>1</v>
      </c>
      <c r="AY631" s="313">
        <f t="shared" si="3627"/>
        <v>0.75</v>
      </c>
      <c r="AZ631" s="313">
        <f t="shared" si="3627"/>
        <v>0</v>
      </c>
      <c r="BA631" s="313">
        <f t="shared" si="3627"/>
        <v>0.6</v>
      </c>
      <c r="BB631" s="313">
        <f t="shared" si="3627"/>
        <v>0</v>
      </c>
      <c r="BC631" s="313">
        <f t="shared" si="3627"/>
        <v>0</v>
      </c>
      <c r="BD631" s="313">
        <f t="shared" si="3627"/>
        <v>0</v>
      </c>
      <c r="BE631" s="313">
        <f t="shared" si="3627"/>
        <v>1</v>
      </c>
      <c r="BF631" s="313">
        <f t="shared" si="3627"/>
        <v>0</v>
      </c>
      <c r="BG631" s="313">
        <f t="shared" si="3627"/>
        <v>1</v>
      </c>
      <c r="BH631" s="313">
        <f t="shared" si="3627"/>
        <v>0.9</v>
      </c>
      <c r="BI631" s="313">
        <f t="shared" si="3627"/>
        <v>1</v>
      </c>
      <c r="BJ631" s="313">
        <f t="shared" si="3616"/>
        <v>0.8</v>
      </c>
      <c r="BK631" s="313">
        <f>AI631</f>
        <v>1</v>
      </c>
      <c r="BL631" s="313">
        <f>AJ631</f>
        <v>0</v>
      </c>
      <c r="BM631" s="415"/>
      <c r="BN631" s="61">
        <f t="shared" si="3587"/>
        <v>1</v>
      </c>
      <c r="BO631" s="61">
        <f t="shared" si="3588"/>
        <v>1</v>
      </c>
      <c r="BP631" s="61">
        <f>(AL631*AL630+AM631*AM630+AN631*AN630)/BP630</f>
        <v>1</v>
      </c>
      <c r="BQ631" s="61">
        <f t="shared" si="3590"/>
        <v>1</v>
      </c>
      <c r="BR631" s="61">
        <f t="shared" si="3591"/>
        <v>1</v>
      </c>
      <c r="BS631" s="61">
        <f>(AO631*AO630+AP631*AP630+AQ631*AQ630)/BS630</f>
        <v>1</v>
      </c>
      <c r="BT631" s="61">
        <f t="shared" si="3593"/>
        <v>1</v>
      </c>
      <c r="BU631" s="61">
        <f t="shared" si="3594"/>
        <v>1</v>
      </c>
      <c r="BV631" s="61">
        <f>IF(BV630=0,0,(AR631*AR630+AS631*AS630+AT631*AT630)/BV630)</f>
        <v>1</v>
      </c>
      <c r="BW631" s="61">
        <f t="shared" si="3596"/>
        <v>0.8666666666666667</v>
      </c>
      <c r="BX631" s="61">
        <f t="shared" si="3597"/>
        <v>0.8666666666666667</v>
      </c>
      <c r="BY631" s="61">
        <f>(AU631*AU630+AV631*AV630+AW631*AW630)/BY630</f>
        <v>0.8666666666666667</v>
      </c>
      <c r="BZ631" s="56">
        <f t="shared" si="3599"/>
        <v>0.8</v>
      </c>
      <c r="CA631" s="56">
        <f t="shared" si="3600"/>
        <v>0.8</v>
      </c>
      <c r="CB631" s="56">
        <f>(AX631*AX630+AY631*AY630+AZ631*AZ630)/CB630</f>
        <v>0.8</v>
      </c>
      <c r="CC631" s="56">
        <f t="shared" si="3602"/>
        <v>0.6</v>
      </c>
      <c r="CD631" s="56">
        <f t="shared" si="3603"/>
        <v>0.6</v>
      </c>
      <c r="CE631" s="56">
        <f>(BA631*BA630+BB631*BB630+BC631*BC630)/CE630</f>
        <v>0.6</v>
      </c>
      <c r="CF631" s="56">
        <f t="shared" si="3605"/>
        <v>0.99990000999900008</v>
      </c>
      <c r="CG631" s="56">
        <f t="shared" si="3606"/>
        <v>0.99990000999900008</v>
      </c>
      <c r="CH631" s="56">
        <f>(BD631*BD630+BE631*BE630+BF631*BF630)/CH630</f>
        <v>0.99990000999900008</v>
      </c>
      <c r="CI631" s="56">
        <f t="shared" si="3608"/>
        <v>0.98181818181818192</v>
      </c>
      <c r="CJ631" s="56">
        <f t="shared" si="3609"/>
        <v>0.98181818181818192</v>
      </c>
      <c r="CK631" s="56">
        <f>(BG631*BG630+BH631*BH630+BI631*BI630)/CK630</f>
        <v>0.98181818181818192</v>
      </c>
      <c r="CL631" s="61">
        <f t="shared" si="3611"/>
        <v>0.875</v>
      </c>
      <c r="CM631" s="61">
        <f t="shared" si="3612"/>
        <v>0.875</v>
      </c>
      <c r="CN631" s="61">
        <f>(BJ631*BJ630+BK631*BK630+BL631*BL630)/CN630</f>
        <v>0.875</v>
      </c>
      <c r="CO631" s="426"/>
      <c r="CP631" s="316">
        <f>J631</f>
        <v>0</v>
      </c>
      <c r="CQ631" s="316">
        <f t="shared" ref="CQ631:DP631" si="3633">CQ643/CQ630</f>
        <v>1</v>
      </c>
      <c r="CR631" s="316">
        <f t="shared" si="3633"/>
        <v>1</v>
      </c>
      <c r="CS631" s="316">
        <f t="shared" si="3633"/>
        <v>1</v>
      </c>
      <c r="CT631" s="316">
        <f t="shared" si="3633"/>
        <v>1</v>
      </c>
      <c r="CU631" s="316">
        <f t="shared" si="3633"/>
        <v>1</v>
      </c>
      <c r="CV631" s="316">
        <f t="shared" si="3633"/>
        <v>1</v>
      </c>
      <c r="CW631" s="316">
        <f t="shared" si="3633"/>
        <v>1</v>
      </c>
      <c r="CX631" s="316">
        <f t="shared" si="3633"/>
        <v>1</v>
      </c>
      <c r="CY631" s="316">
        <f t="shared" si="3633"/>
        <v>0.9</v>
      </c>
      <c r="CZ631" s="316">
        <f t="shared" si="3633"/>
        <v>0.94117647058823528</v>
      </c>
      <c r="DA631" s="316">
        <f t="shared" si="3633"/>
        <v>0.92380952380952375</v>
      </c>
      <c r="DB631" s="316">
        <f t="shared" si="3633"/>
        <v>1</v>
      </c>
      <c r="DC631" s="316">
        <f t="shared" si="3633"/>
        <v>0.8</v>
      </c>
      <c r="DD631" s="316">
        <f t="shared" si="3633"/>
        <v>0.8</v>
      </c>
      <c r="DE631" s="316">
        <f t="shared" si="3633"/>
        <v>0.76666666666666661</v>
      </c>
      <c r="DF631" s="316">
        <f t="shared" si="3633"/>
        <v>0.76666666666666661</v>
      </c>
      <c r="DG631" s="316">
        <f t="shared" si="3633"/>
        <v>0.76666666666666661</v>
      </c>
      <c r="DH631" s="316">
        <f t="shared" si="3633"/>
        <v>0.76665388910184828</v>
      </c>
      <c r="DI631" s="316">
        <f t="shared" si="3633"/>
        <v>0.79998857159183434</v>
      </c>
      <c r="DJ631" s="316">
        <f t="shared" si="3633"/>
        <v>0.79998857159183434</v>
      </c>
      <c r="DK631" s="316">
        <f t="shared" si="3633"/>
        <v>0.9066606222625182</v>
      </c>
      <c r="DL631" s="316">
        <f t="shared" si="3633"/>
        <v>0.90587702425279859</v>
      </c>
      <c r="DM631" s="316">
        <f t="shared" si="3633"/>
        <v>0.9111060494108365</v>
      </c>
      <c r="DN631" s="316">
        <f t="shared" si="3633"/>
        <v>0.8</v>
      </c>
      <c r="DO631" s="316">
        <f t="shared" si="3633"/>
        <v>0.875</v>
      </c>
      <c r="DP631" s="316">
        <f t="shared" si="3633"/>
        <v>0.875</v>
      </c>
      <c r="DQ631" s="375"/>
      <c r="DR631" s="375"/>
      <c r="DS631" s="375"/>
      <c r="DT631" s="375"/>
      <c r="DU631" s="375"/>
      <c r="DV631" s="375"/>
      <c r="DW631" s="375"/>
      <c r="DX631" s="375"/>
      <c r="DY631" s="375"/>
      <c r="ED631" s="435"/>
      <c r="EE631" s="315"/>
      <c r="EF631" s="315"/>
      <c r="EG631" s="315"/>
      <c r="EH631" s="316">
        <f t="shared" si="3579"/>
        <v>1</v>
      </c>
      <c r="EI631" s="316">
        <f t="shared" si="3580"/>
        <v>0.875</v>
      </c>
      <c r="EJ631" s="316">
        <f t="shared" si="3581"/>
        <v>0.875</v>
      </c>
      <c r="EK631" s="315">
        <f t="shared" si="3624"/>
        <v>0.16666666666666666</v>
      </c>
      <c r="EL631" s="313">
        <f>EH631</f>
        <v>1</v>
      </c>
      <c r="EM631" s="313">
        <f>EI631</f>
        <v>0.875</v>
      </c>
      <c r="EN631" s="313">
        <f>EJ631</f>
        <v>0.875</v>
      </c>
      <c r="EO631" s="318" t="str">
        <f t="shared" si="3631"/>
        <v>Ç</v>
      </c>
      <c r="EP631" s="318" t="str">
        <f t="shared" si="3632"/>
        <v>È</v>
      </c>
      <c r="EQ631" s="313">
        <f t="shared" si="3584"/>
        <v>1</v>
      </c>
      <c r="ER631" s="313">
        <f t="shared" si="3585"/>
        <v>2</v>
      </c>
      <c r="ES631" s="313">
        <f t="shared" si="3586"/>
        <v>2</v>
      </c>
    </row>
    <row r="632" spans="1:149" ht="12" customHeight="1">
      <c r="A632" s="6" t="s">
        <v>23</v>
      </c>
      <c r="B632" s="2" t="s">
        <v>8</v>
      </c>
      <c r="C632" s="3" t="s">
        <v>87</v>
      </c>
      <c r="E632" s="3" t="s">
        <v>16</v>
      </c>
      <c r="G632" s="3" t="s">
        <v>91</v>
      </c>
      <c r="I632" s="23"/>
      <c r="J632" s="19">
        <v>0</v>
      </c>
      <c r="K632" s="19">
        <v>0</v>
      </c>
      <c r="L632" s="246">
        <v>0</v>
      </c>
      <c r="M632" s="246">
        <v>0</v>
      </c>
      <c r="N632" s="246">
        <v>0</v>
      </c>
      <c r="O632" s="19">
        <v>0</v>
      </c>
      <c r="P632" s="19">
        <v>0</v>
      </c>
      <c r="Q632" s="19">
        <v>0</v>
      </c>
      <c r="R632" s="19">
        <v>7</v>
      </c>
      <c r="S632" s="19">
        <v>7</v>
      </c>
      <c r="T632" s="19">
        <v>7</v>
      </c>
      <c r="U632" s="19">
        <v>7</v>
      </c>
      <c r="V632" s="31">
        <v>0</v>
      </c>
      <c r="W632" s="19">
        <v>0</v>
      </c>
      <c r="X632" s="19">
        <v>0</v>
      </c>
      <c r="Y632" s="371">
        <v>0</v>
      </c>
      <c r="Z632" s="19">
        <v>0</v>
      </c>
      <c r="AA632" s="19">
        <v>0</v>
      </c>
      <c r="AB632" s="19">
        <v>0</v>
      </c>
      <c r="AC632" s="19">
        <v>0</v>
      </c>
      <c r="AD632" s="19">
        <v>0</v>
      </c>
      <c r="AE632" s="19">
        <v>0</v>
      </c>
      <c r="AF632" s="19">
        <v>0</v>
      </c>
      <c r="AG632" s="19">
        <v>0</v>
      </c>
      <c r="AH632" s="31">
        <v>0</v>
      </c>
      <c r="AI632" s="19">
        <v>0</v>
      </c>
      <c r="AJ632" s="19"/>
      <c r="AK632" s="408"/>
      <c r="AL632" s="19">
        <f t="shared" si="3614"/>
        <v>0</v>
      </c>
      <c r="AM632" s="19">
        <f>K632-J632</f>
        <v>0</v>
      </c>
      <c r="AN632" s="19">
        <f t="shared" ref="AN632:AN638" si="3634">L632-K632</f>
        <v>0</v>
      </c>
      <c r="AO632" s="19">
        <f t="shared" ref="AO632:AO638" si="3635">M632-L632</f>
        <v>0</v>
      </c>
      <c r="AP632" s="129">
        <f t="shared" ref="AP632:AP637" si="3636">IF(N632&lt;&gt;"",N632-M632,0)</f>
        <v>0</v>
      </c>
      <c r="AQ632" s="129">
        <f t="shared" ref="AQ632:AQ640" si="3637">IF(O632&lt;&gt;"",O632-N632,0)</f>
        <v>0</v>
      </c>
      <c r="AR632" s="129">
        <f t="shared" si="3558"/>
        <v>0</v>
      </c>
      <c r="AS632" s="129">
        <f t="shared" si="3559"/>
        <v>0</v>
      </c>
      <c r="AT632" s="129">
        <f t="shared" si="3560"/>
        <v>7</v>
      </c>
      <c r="AU632" s="129">
        <f t="shared" si="3561"/>
        <v>0</v>
      </c>
      <c r="AV632" s="129">
        <f t="shared" si="3562"/>
        <v>0</v>
      </c>
      <c r="AW632" s="129">
        <f t="shared" si="3563"/>
        <v>0</v>
      </c>
      <c r="AX632" s="19">
        <f t="shared" si="3615"/>
        <v>0</v>
      </c>
      <c r="AY632" s="129">
        <f t="shared" si="3564"/>
        <v>0</v>
      </c>
      <c r="AZ632" s="129">
        <f t="shared" ref="AZ632:AZ637" si="3638">IF(X632&lt;&gt;"",X632-W632,0)</f>
        <v>0</v>
      </c>
      <c r="BA632" s="129">
        <f t="shared" si="3619"/>
        <v>0</v>
      </c>
      <c r="BB632" s="129">
        <f t="shared" si="3566"/>
        <v>0</v>
      </c>
      <c r="BC632" s="129">
        <f t="shared" si="3567"/>
        <v>0</v>
      </c>
      <c r="BD632" s="129">
        <f t="shared" si="3568"/>
        <v>0</v>
      </c>
      <c r="BE632" s="129">
        <f t="shared" si="3569"/>
        <v>0</v>
      </c>
      <c r="BF632" s="129">
        <f t="shared" si="3570"/>
        <v>0</v>
      </c>
      <c r="BG632" s="129">
        <f t="shared" si="3571"/>
        <v>0</v>
      </c>
      <c r="BH632" s="129">
        <f t="shared" si="3572"/>
        <v>0</v>
      </c>
      <c r="BI632" s="129">
        <f t="shared" si="3573"/>
        <v>0</v>
      </c>
      <c r="BJ632" s="19">
        <f t="shared" si="3616"/>
        <v>0</v>
      </c>
      <c r="BK632" s="129">
        <f t="shared" si="3574"/>
        <v>0</v>
      </c>
      <c r="BL632" s="129">
        <f t="shared" si="3575"/>
        <v>0</v>
      </c>
      <c r="BM632" s="408"/>
      <c r="BN632" s="48">
        <f t="shared" si="3587"/>
        <v>0</v>
      </c>
      <c r="BO632" s="48">
        <f t="shared" si="3588"/>
        <v>0</v>
      </c>
      <c r="BP632" s="48">
        <f t="shared" ref="BP632:BP637" si="3639">SUM(AL632:AN632)</f>
        <v>0</v>
      </c>
      <c r="BQ632" s="48">
        <f t="shared" si="3590"/>
        <v>0</v>
      </c>
      <c r="BR632" s="48">
        <f t="shared" si="3591"/>
        <v>0</v>
      </c>
      <c r="BS632" s="48">
        <f t="shared" ref="BS632:BS637" si="3640">SUM(AO632:AQ632)</f>
        <v>0</v>
      </c>
      <c r="BT632" s="48">
        <f t="shared" si="3593"/>
        <v>7</v>
      </c>
      <c r="BU632" s="48">
        <f t="shared" si="3594"/>
        <v>7</v>
      </c>
      <c r="BV632" s="48">
        <f t="shared" ref="BV632:BV637" si="3641">SUM(AR632:AT632)</f>
        <v>7</v>
      </c>
      <c r="BW632" s="48">
        <f t="shared" si="3596"/>
        <v>0</v>
      </c>
      <c r="BX632" s="48">
        <f t="shared" si="3597"/>
        <v>0</v>
      </c>
      <c r="BY632" s="48">
        <f t="shared" ref="BY632:BY637" si="3642">SUM(AU632:AW632)</f>
        <v>0</v>
      </c>
      <c r="BZ632" s="48">
        <f t="shared" si="3599"/>
        <v>0</v>
      </c>
      <c r="CA632" s="48">
        <f t="shared" si="3600"/>
        <v>0</v>
      </c>
      <c r="CB632" s="48">
        <f t="shared" ref="CB632:CB637" si="3643">SUM(AX632:AZ632)</f>
        <v>0</v>
      </c>
      <c r="CC632" s="48">
        <f t="shared" si="3602"/>
        <v>0</v>
      </c>
      <c r="CD632" s="48">
        <f t="shared" si="3603"/>
        <v>0</v>
      </c>
      <c r="CE632" s="48">
        <f t="shared" ref="CE632:CE637" si="3644">SUM(BA632:BC632)</f>
        <v>0</v>
      </c>
      <c r="CF632" s="48">
        <f t="shared" si="3605"/>
        <v>0</v>
      </c>
      <c r="CG632" s="48">
        <f t="shared" si="3606"/>
        <v>0</v>
      </c>
      <c r="CH632" s="48">
        <f t="shared" ref="CH632:CH637" si="3645">SUM(BD632:BF632)</f>
        <v>0</v>
      </c>
      <c r="CI632" s="48">
        <f t="shared" si="3608"/>
        <v>0</v>
      </c>
      <c r="CJ632" s="48">
        <f t="shared" si="3609"/>
        <v>0</v>
      </c>
      <c r="CK632" s="48">
        <f t="shared" ref="CK632:CK637" si="3646">SUM(BG632:BI632)</f>
        <v>0</v>
      </c>
      <c r="CL632" s="48">
        <f t="shared" si="3611"/>
        <v>0</v>
      </c>
      <c r="CM632" s="48">
        <f t="shared" si="3612"/>
        <v>0</v>
      </c>
      <c r="CN632" s="48">
        <f t="shared" ref="CN632:CN637" si="3647">SUM(BJ632:BL632)</f>
        <v>0</v>
      </c>
      <c r="CO632" s="406"/>
      <c r="CP632" s="21">
        <f>AL632</f>
        <v>0</v>
      </c>
      <c r="CQ632" s="21">
        <f>CP632+AM632</f>
        <v>0</v>
      </c>
      <c r="CR632" s="21">
        <f t="shared" ref="CR632:CR638" si="3648">CQ632+AN632</f>
        <v>0</v>
      </c>
      <c r="CS632" s="21">
        <f t="shared" ref="CS632:CS638" si="3649">CR632+AO632</f>
        <v>0</v>
      </c>
      <c r="CT632" s="21">
        <f t="shared" ref="CT632:CT638" si="3650">CS632+AP632</f>
        <v>0</v>
      </c>
      <c r="CU632" s="21">
        <f t="shared" ref="CU632:CU638" si="3651">CT632+AQ632</f>
        <v>0</v>
      </c>
      <c r="CV632" s="21">
        <f t="shared" ref="CV632:CV638" si="3652">CU632+AR632</f>
        <v>0</v>
      </c>
      <c r="CW632" s="21">
        <f t="shared" ref="CW632:CW638" si="3653">CV632+AS632</f>
        <v>0</v>
      </c>
      <c r="CX632" s="21">
        <f t="shared" ref="CX632:CX638" si="3654">CW632+AT632</f>
        <v>7</v>
      </c>
      <c r="CY632" s="21">
        <f t="shared" ref="CY632:CY638" si="3655">CX632+AU632</f>
        <v>7</v>
      </c>
      <c r="CZ632" s="21">
        <f t="shared" ref="CZ632:CZ638" si="3656">CY632+AV632</f>
        <v>7</v>
      </c>
      <c r="DA632" s="21">
        <f t="shared" ref="DA632:DA638" si="3657">CZ632+AW632</f>
        <v>7</v>
      </c>
      <c r="DB632" s="21">
        <f>AX632</f>
        <v>0</v>
      </c>
      <c r="DC632" s="21">
        <f t="shared" ref="DC632:DC638" si="3658">DB632+AY632</f>
        <v>0</v>
      </c>
      <c r="DD632" s="21">
        <f t="shared" ref="DD632:DD638" si="3659">DC632+AZ632</f>
        <v>0</v>
      </c>
      <c r="DE632" s="21">
        <f t="shared" ref="DE632:DE638" si="3660">DD632+BA632</f>
        <v>0</v>
      </c>
      <c r="DF632" s="21">
        <f t="shared" ref="DF632:DF638" si="3661">DE632+BB632</f>
        <v>0</v>
      </c>
      <c r="DG632" s="21">
        <f t="shared" ref="DG632:DG638" si="3662">DF632+BC632</f>
        <v>0</v>
      </c>
      <c r="DH632" s="21">
        <f t="shared" ref="DH632:DH638" si="3663">DG632+BD632</f>
        <v>0</v>
      </c>
      <c r="DI632" s="21">
        <f t="shared" ref="DI632:DI638" si="3664">DH632+BE632</f>
        <v>0</v>
      </c>
      <c r="DJ632" s="21">
        <f t="shared" ref="DJ632:DJ638" si="3665">DI632+BF632</f>
        <v>0</v>
      </c>
      <c r="DK632" s="21">
        <f t="shared" ref="DK632:DK638" si="3666">DJ632+BG632</f>
        <v>0</v>
      </c>
      <c r="DL632" s="21">
        <f t="shared" ref="DL632:DL638" si="3667">DK632+BH632</f>
        <v>0</v>
      </c>
      <c r="DM632" s="21">
        <f t="shared" ref="DM632:DM638" si="3668">DL632+BI632</f>
        <v>0</v>
      </c>
      <c r="DN632" s="21">
        <f t="shared" ref="DN632:DN637" si="3669">BJ632</f>
        <v>0</v>
      </c>
      <c r="DO632" s="21">
        <f t="shared" ref="DO632:DO638" si="3670">DN632+BK632</f>
        <v>0</v>
      </c>
      <c r="DP632" s="21">
        <f t="shared" ref="DP632:DP638" si="3671">DO632+BL632</f>
        <v>0</v>
      </c>
      <c r="DQ632" s="248"/>
      <c r="DR632" s="248"/>
      <c r="DS632" s="248"/>
      <c r="DT632" s="248"/>
      <c r="DU632" s="248"/>
      <c r="DV632" s="248"/>
      <c r="DW632" s="248"/>
      <c r="DX632" s="248"/>
      <c r="DY632" s="248"/>
      <c r="ED632" s="429"/>
      <c r="EE632" s="23"/>
      <c r="EF632" s="23"/>
      <c r="EG632" s="23"/>
      <c r="EH632" s="18">
        <f t="shared" si="3579"/>
        <v>0</v>
      </c>
      <c r="EI632" s="18">
        <f t="shared" si="3580"/>
        <v>0</v>
      </c>
      <c r="EJ632" s="18">
        <f t="shared" si="3581"/>
        <v>0</v>
      </c>
      <c r="EK632" s="24">
        <f t="shared" si="3624"/>
        <v>0.16666666666666666</v>
      </c>
      <c r="EL632" s="14" t="e">
        <f t="shared" si="3630"/>
        <v>#DIV/0!</v>
      </c>
      <c r="EM632" s="14" t="e">
        <f t="shared" si="3630"/>
        <v>#DIV/0!</v>
      </c>
      <c r="EN632" s="14">
        <f>EJ632/EK632/EG607</f>
        <v>0</v>
      </c>
      <c r="EO632" s="46" t="str">
        <f t="shared" si="3631"/>
        <v>Æ</v>
      </c>
      <c r="EP632" s="46" t="str">
        <f t="shared" si="3632"/>
        <v>Æ</v>
      </c>
      <c r="EQ632" s="2" t="e">
        <f t="shared" si="3584"/>
        <v>#DIV/0!</v>
      </c>
      <c r="ER632" s="2" t="e">
        <f t="shared" si="3585"/>
        <v>#DIV/0!</v>
      </c>
      <c r="ES632" s="2">
        <f t="shared" si="3586"/>
        <v>3</v>
      </c>
    </row>
    <row r="633" spans="1:149" ht="12" customHeight="1">
      <c r="A633" s="6" t="s">
        <v>23</v>
      </c>
      <c r="B633" s="2" t="s">
        <v>9</v>
      </c>
      <c r="C633" s="3" t="s">
        <v>65</v>
      </c>
      <c r="E633" s="3" t="s">
        <v>16</v>
      </c>
      <c r="G633" s="3" t="s">
        <v>91</v>
      </c>
      <c r="I633" s="23"/>
      <c r="J633" s="19">
        <v>78.989999999999995</v>
      </c>
      <c r="K633" s="19">
        <v>106.32</v>
      </c>
      <c r="L633" s="246">
        <v>124.32</v>
      </c>
      <c r="M633" s="246">
        <v>222.84</v>
      </c>
      <c r="N633" s="246">
        <v>259.33999999999997</v>
      </c>
      <c r="O633" s="19">
        <v>354.84</v>
      </c>
      <c r="P633" s="19">
        <v>427.29</v>
      </c>
      <c r="Q633" s="19">
        <v>490.06</v>
      </c>
      <c r="R633" s="19">
        <v>503.35</v>
      </c>
      <c r="S633" s="19">
        <v>657.6</v>
      </c>
      <c r="T633" s="19">
        <v>740.35</v>
      </c>
      <c r="U633" s="19">
        <v>769.35</v>
      </c>
      <c r="V633" s="31">
        <v>112.25</v>
      </c>
      <c r="W633" s="19">
        <v>191.5</v>
      </c>
      <c r="X633" s="19">
        <v>458.25</v>
      </c>
      <c r="Y633" s="371">
        <v>481</v>
      </c>
      <c r="Z633" s="19">
        <v>481</v>
      </c>
      <c r="AA633" s="19">
        <v>916</v>
      </c>
      <c r="AB633" s="19">
        <v>966.05</v>
      </c>
      <c r="AC633" s="19">
        <v>1247.55</v>
      </c>
      <c r="AD633" s="19">
        <v>1471.64</v>
      </c>
      <c r="AE633" s="19">
        <v>1578.14</v>
      </c>
      <c r="AF633" s="19">
        <v>1776.39</v>
      </c>
      <c r="AG633" s="19">
        <v>2141.44</v>
      </c>
      <c r="AH633" s="31">
        <v>388.95</v>
      </c>
      <c r="AI633" s="19">
        <v>534.95000000000005</v>
      </c>
      <c r="AJ633" s="19"/>
      <c r="AK633" s="408"/>
      <c r="AL633" s="19">
        <f t="shared" si="3614"/>
        <v>78.989999999999995</v>
      </c>
      <c r="AM633" s="19">
        <f t="shared" ref="AM633:AM638" si="3672">K633-J633</f>
        <v>27.33</v>
      </c>
      <c r="AN633" s="19">
        <f t="shared" si="3634"/>
        <v>18</v>
      </c>
      <c r="AO633" s="19">
        <f t="shared" si="3635"/>
        <v>98.52000000000001</v>
      </c>
      <c r="AP633" s="130">
        <f t="shared" si="3636"/>
        <v>36.499999999999972</v>
      </c>
      <c r="AQ633" s="130">
        <f t="shared" si="3637"/>
        <v>95.5</v>
      </c>
      <c r="AR633" s="130">
        <f t="shared" si="3558"/>
        <v>72.450000000000045</v>
      </c>
      <c r="AS633" s="130">
        <f t="shared" si="3559"/>
        <v>62.769999999999982</v>
      </c>
      <c r="AT633" s="130">
        <f t="shared" si="3560"/>
        <v>13.29000000000002</v>
      </c>
      <c r="AU633" s="130">
        <f t="shared" si="3561"/>
        <v>154.25</v>
      </c>
      <c r="AV633" s="130">
        <f t="shared" si="3562"/>
        <v>82.75</v>
      </c>
      <c r="AW633" s="130">
        <f t="shared" si="3563"/>
        <v>29</v>
      </c>
      <c r="AX633" s="19">
        <f t="shared" si="3615"/>
        <v>112.25</v>
      </c>
      <c r="AY633" s="130">
        <f t="shared" si="3564"/>
        <v>79.25</v>
      </c>
      <c r="AZ633" s="130">
        <f t="shared" si="3638"/>
        <v>266.75</v>
      </c>
      <c r="BA633" s="130">
        <f t="shared" si="3619"/>
        <v>22.75</v>
      </c>
      <c r="BB633" s="398">
        <f t="shared" si="3566"/>
        <v>0</v>
      </c>
      <c r="BC633" s="130">
        <f t="shared" si="3567"/>
        <v>435</v>
      </c>
      <c r="BD633" s="130">
        <f t="shared" si="3568"/>
        <v>50.049999999999955</v>
      </c>
      <c r="BE633" s="130">
        <f t="shared" si="3569"/>
        <v>281.5</v>
      </c>
      <c r="BF633" s="130">
        <f t="shared" si="3570"/>
        <v>224.09000000000015</v>
      </c>
      <c r="BG633" s="130">
        <f t="shared" si="3571"/>
        <v>106.5</v>
      </c>
      <c r="BH633" s="130">
        <f t="shared" si="3572"/>
        <v>198.25</v>
      </c>
      <c r="BI633" s="130">
        <f t="shared" si="3573"/>
        <v>365.04999999999995</v>
      </c>
      <c r="BJ633" s="19">
        <f t="shared" si="3616"/>
        <v>388.95</v>
      </c>
      <c r="BK633" s="130">
        <f t="shared" si="3574"/>
        <v>146.00000000000006</v>
      </c>
      <c r="BL633" s="130">
        <f t="shared" si="3575"/>
        <v>0</v>
      </c>
      <c r="BM633" s="408"/>
      <c r="BN633" s="48">
        <f t="shared" si="3587"/>
        <v>124.32</v>
      </c>
      <c r="BO633" s="48">
        <f t="shared" si="3588"/>
        <v>124.32</v>
      </c>
      <c r="BP633" s="48">
        <f t="shared" si="3639"/>
        <v>124.32</v>
      </c>
      <c r="BQ633" s="48">
        <f t="shared" si="3590"/>
        <v>230.51999999999998</v>
      </c>
      <c r="BR633" s="48">
        <f t="shared" si="3591"/>
        <v>230.51999999999998</v>
      </c>
      <c r="BS633" s="48">
        <f t="shared" si="3640"/>
        <v>230.51999999999998</v>
      </c>
      <c r="BT633" s="48">
        <f t="shared" si="3593"/>
        <v>148.51000000000005</v>
      </c>
      <c r="BU633" s="48">
        <f t="shared" si="3594"/>
        <v>148.51000000000005</v>
      </c>
      <c r="BV633" s="48">
        <f t="shared" si="3641"/>
        <v>148.51000000000005</v>
      </c>
      <c r="BW633" s="48">
        <f t="shared" si="3596"/>
        <v>266</v>
      </c>
      <c r="BX633" s="48">
        <f t="shared" si="3597"/>
        <v>266</v>
      </c>
      <c r="BY633" s="48">
        <f t="shared" si="3642"/>
        <v>266</v>
      </c>
      <c r="BZ633" s="48">
        <f t="shared" si="3599"/>
        <v>458.25</v>
      </c>
      <c r="CA633" s="48">
        <f t="shared" si="3600"/>
        <v>458.25</v>
      </c>
      <c r="CB633" s="48">
        <f t="shared" si="3643"/>
        <v>458.25</v>
      </c>
      <c r="CC633" s="48">
        <f t="shared" si="3602"/>
        <v>457.75</v>
      </c>
      <c r="CD633" s="48">
        <f t="shared" si="3603"/>
        <v>457.75</v>
      </c>
      <c r="CE633" s="48">
        <f t="shared" si="3644"/>
        <v>457.75</v>
      </c>
      <c r="CF633" s="48">
        <f t="shared" si="3605"/>
        <v>555.6400000000001</v>
      </c>
      <c r="CG633" s="48">
        <f t="shared" si="3606"/>
        <v>555.6400000000001</v>
      </c>
      <c r="CH633" s="48">
        <f t="shared" si="3645"/>
        <v>555.6400000000001</v>
      </c>
      <c r="CI633" s="48">
        <f t="shared" si="3608"/>
        <v>669.8</v>
      </c>
      <c r="CJ633" s="48">
        <f t="shared" si="3609"/>
        <v>669.8</v>
      </c>
      <c r="CK633" s="48">
        <f t="shared" si="3646"/>
        <v>669.8</v>
      </c>
      <c r="CL633" s="48">
        <f t="shared" si="3611"/>
        <v>534.95000000000005</v>
      </c>
      <c r="CM633" s="48">
        <f t="shared" si="3612"/>
        <v>534.95000000000005</v>
      </c>
      <c r="CN633" s="48">
        <f t="shared" si="3647"/>
        <v>534.95000000000005</v>
      </c>
      <c r="CO633" s="406"/>
      <c r="CP633" s="21">
        <f t="shared" ref="CP633:CP638" si="3673">AL633</f>
        <v>78.989999999999995</v>
      </c>
      <c r="CQ633" s="21">
        <f t="shared" ref="CQ633:CQ638" si="3674">CP633+AM633</f>
        <v>106.32</v>
      </c>
      <c r="CR633" s="21">
        <f t="shared" si="3648"/>
        <v>124.32</v>
      </c>
      <c r="CS633" s="21">
        <f t="shared" si="3649"/>
        <v>222.84</v>
      </c>
      <c r="CT633" s="21">
        <f t="shared" si="3650"/>
        <v>259.33999999999997</v>
      </c>
      <c r="CU633" s="21">
        <f t="shared" si="3651"/>
        <v>354.84</v>
      </c>
      <c r="CV633" s="21">
        <f t="shared" si="3652"/>
        <v>427.29</v>
      </c>
      <c r="CW633" s="21">
        <f t="shared" si="3653"/>
        <v>490.06</v>
      </c>
      <c r="CX633" s="21">
        <f t="shared" si="3654"/>
        <v>503.35</v>
      </c>
      <c r="CY633" s="21">
        <f t="shared" si="3655"/>
        <v>657.6</v>
      </c>
      <c r="CZ633" s="21">
        <f t="shared" si="3656"/>
        <v>740.35</v>
      </c>
      <c r="DA633" s="21">
        <f t="shared" si="3657"/>
        <v>769.35</v>
      </c>
      <c r="DB633" s="21">
        <f t="shared" ref="DB633:DB638" si="3675">AX633</f>
        <v>112.25</v>
      </c>
      <c r="DC633" s="21">
        <f t="shared" si="3658"/>
        <v>191.5</v>
      </c>
      <c r="DD633" s="21">
        <f t="shared" si="3659"/>
        <v>458.25</v>
      </c>
      <c r="DE633" s="21">
        <f t="shared" si="3660"/>
        <v>481</v>
      </c>
      <c r="DF633" s="21">
        <f t="shared" si="3661"/>
        <v>481</v>
      </c>
      <c r="DG633" s="21">
        <f t="shared" si="3662"/>
        <v>916</v>
      </c>
      <c r="DH633" s="21">
        <f t="shared" si="3663"/>
        <v>966.05</v>
      </c>
      <c r="DI633" s="21">
        <f t="shared" si="3664"/>
        <v>1247.55</v>
      </c>
      <c r="DJ633" s="21">
        <f t="shared" si="3665"/>
        <v>1471.64</v>
      </c>
      <c r="DK633" s="21">
        <f t="shared" si="3666"/>
        <v>1578.14</v>
      </c>
      <c r="DL633" s="21">
        <f t="shared" si="3667"/>
        <v>1776.39</v>
      </c>
      <c r="DM633" s="21">
        <f t="shared" si="3668"/>
        <v>2141.44</v>
      </c>
      <c r="DN633" s="21">
        <f t="shared" si="3669"/>
        <v>388.95</v>
      </c>
      <c r="DO633" s="21">
        <f t="shared" si="3670"/>
        <v>534.95000000000005</v>
      </c>
      <c r="DP633" s="21">
        <f t="shared" si="3671"/>
        <v>534.95000000000005</v>
      </c>
      <c r="DQ633" s="248"/>
      <c r="DR633" s="248"/>
      <c r="DS633" s="248"/>
      <c r="DT633" s="248"/>
      <c r="DU633" s="248"/>
      <c r="DV633" s="248"/>
      <c r="DW633" s="248"/>
      <c r="DX633" s="248"/>
      <c r="DY633" s="248"/>
      <c r="ED633" s="429"/>
      <c r="EE633" s="23"/>
      <c r="EF633" s="23"/>
      <c r="EG633" s="23"/>
      <c r="EH633" s="397">
        <f t="shared" si="3579"/>
        <v>146.00000000000006</v>
      </c>
      <c r="EI633" s="18">
        <f t="shared" si="3580"/>
        <v>534.95000000000005</v>
      </c>
      <c r="EJ633" s="18">
        <f t="shared" si="3581"/>
        <v>534.95000000000005</v>
      </c>
      <c r="EK633" s="24">
        <f t="shared" si="3624"/>
        <v>0.16666666666666666</v>
      </c>
      <c r="EL633" s="14">
        <f t="shared" si="3630"/>
        <v>0.42339294345094269</v>
      </c>
      <c r="EM633" s="14">
        <f t="shared" si="3630"/>
        <v>1.0342194296761722</v>
      </c>
      <c r="EN633" s="14">
        <f>EJ633/EK633/EG608</f>
        <v>3.0025257249766137</v>
      </c>
      <c r="EO633" s="46" t="str">
        <f t="shared" si="3631"/>
        <v>È</v>
      </c>
      <c r="EP633" s="46" t="str">
        <f t="shared" si="3632"/>
        <v>Ç</v>
      </c>
      <c r="EQ633" s="2">
        <f t="shared" si="3584"/>
        <v>3</v>
      </c>
      <c r="ER633" s="2">
        <f t="shared" si="3585"/>
        <v>1</v>
      </c>
      <c r="ES633" s="2">
        <f t="shared" si="3586"/>
        <v>1</v>
      </c>
    </row>
    <row r="634" spans="1:149" ht="12" customHeight="1">
      <c r="A634" s="6" t="s">
        <v>23</v>
      </c>
      <c r="B634" s="2" t="s">
        <v>10</v>
      </c>
      <c r="C634" s="3" t="s">
        <v>66</v>
      </c>
      <c r="E634" s="3" t="s">
        <v>16</v>
      </c>
      <c r="G634" s="3" t="s">
        <v>91</v>
      </c>
      <c r="I634" s="23"/>
      <c r="J634" s="19">
        <v>0.5</v>
      </c>
      <c r="K634" s="19">
        <v>0.5</v>
      </c>
      <c r="L634" s="246">
        <v>1.5</v>
      </c>
      <c r="M634" s="246">
        <v>2</v>
      </c>
      <c r="N634" s="246">
        <v>2</v>
      </c>
      <c r="O634" s="19">
        <v>2</v>
      </c>
      <c r="P634" s="19">
        <v>2</v>
      </c>
      <c r="Q634" s="19">
        <v>2</v>
      </c>
      <c r="R634" s="19">
        <v>2</v>
      </c>
      <c r="S634" s="19">
        <v>3</v>
      </c>
      <c r="T634" s="19">
        <v>11.5</v>
      </c>
      <c r="U634" s="19">
        <v>17.25</v>
      </c>
      <c r="V634" s="31">
        <v>0</v>
      </c>
      <c r="W634" s="19">
        <v>22.5</v>
      </c>
      <c r="X634" s="19">
        <v>29</v>
      </c>
      <c r="Y634" s="371">
        <v>29</v>
      </c>
      <c r="Z634" s="19">
        <v>29</v>
      </c>
      <c r="AA634" s="19">
        <v>65.25</v>
      </c>
      <c r="AB634" s="19">
        <v>92.75</v>
      </c>
      <c r="AC634" s="19">
        <v>129.25</v>
      </c>
      <c r="AD634" s="19">
        <v>158.25</v>
      </c>
      <c r="AE634" s="19">
        <v>173.5</v>
      </c>
      <c r="AF634" s="19">
        <v>198</v>
      </c>
      <c r="AG634" s="19">
        <v>222</v>
      </c>
      <c r="AH634" s="31">
        <v>8.5</v>
      </c>
      <c r="AI634" s="19">
        <v>37.5</v>
      </c>
      <c r="AJ634" s="19"/>
      <c r="AK634" s="408"/>
      <c r="AL634" s="19">
        <f t="shared" si="3614"/>
        <v>0.5</v>
      </c>
      <c r="AM634" s="19">
        <f t="shared" si="3672"/>
        <v>0</v>
      </c>
      <c r="AN634" s="19">
        <f t="shared" si="3634"/>
        <v>1</v>
      </c>
      <c r="AO634" s="19">
        <f t="shared" si="3635"/>
        <v>0.5</v>
      </c>
      <c r="AP634" s="129">
        <f t="shared" si="3636"/>
        <v>0</v>
      </c>
      <c r="AQ634" s="129">
        <f t="shared" si="3637"/>
        <v>0</v>
      </c>
      <c r="AR634" s="129">
        <f t="shared" si="3558"/>
        <v>0</v>
      </c>
      <c r="AS634" s="129">
        <f t="shared" si="3559"/>
        <v>0</v>
      </c>
      <c r="AT634" s="129">
        <f t="shared" si="3560"/>
        <v>0</v>
      </c>
      <c r="AU634" s="129">
        <f t="shared" si="3561"/>
        <v>1</v>
      </c>
      <c r="AV634" s="129">
        <f t="shared" si="3562"/>
        <v>8.5</v>
      </c>
      <c r="AW634" s="129">
        <f t="shared" si="3563"/>
        <v>5.75</v>
      </c>
      <c r="AX634" s="19">
        <f t="shared" si="3615"/>
        <v>0</v>
      </c>
      <c r="AY634" s="129">
        <f t="shared" si="3564"/>
        <v>22.5</v>
      </c>
      <c r="AZ634" s="129">
        <f t="shared" si="3638"/>
        <v>6.5</v>
      </c>
      <c r="BA634" s="129">
        <f t="shared" si="3619"/>
        <v>0</v>
      </c>
      <c r="BB634" s="129">
        <f t="shared" si="3566"/>
        <v>0</v>
      </c>
      <c r="BC634" s="129">
        <f t="shared" si="3567"/>
        <v>36.25</v>
      </c>
      <c r="BD634" s="129">
        <f t="shared" si="3568"/>
        <v>27.5</v>
      </c>
      <c r="BE634" s="129">
        <f t="shared" si="3569"/>
        <v>36.5</v>
      </c>
      <c r="BF634" s="129">
        <f t="shared" si="3570"/>
        <v>29</v>
      </c>
      <c r="BG634" s="129">
        <f t="shared" si="3571"/>
        <v>15.25</v>
      </c>
      <c r="BH634" s="129">
        <f t="shared" si="3572"/>
        <v>24.5</v>
      </c>
      <c r="BI634" s="129">
        <f t="shared" si="3573"/>
        <v>24</v>
      </c>
      <c r="BJ634" s="19">
        <f t="shared" si="3616"/>
        <v>8.5</v>
      </c>
      <c r="BK634" s="129">
        <f t="shared" si="3574"/>
        <v>29</v>
      </c>
      <c r="BL634" s="129">
        <f t="shared" si="3575"/>
        <v>0</v>
      </c>
      <c r="BM634" s="408"/>
      <c r="BN634" s="48">
        <f t="shared" si="3587"/>
        <v>1.5</v>
      </c>
      <c r="BO634" s="48">
        <f t="shared" si="3588"/>
        <v>1.5</v>
      </c>
      <c r="BP634" s="48">
        <f t="shared" si="3639"/>
        <v>1.5</v>
      </c>
      <c r="BQ634" s="48">
        <f t="shared" si="3590"/>
        <v>0.5</v>
      </c>
      <c r="BR634" s="48">
        <f t="shared" si="3591"/>
        <v>0.5</v>
      </c>
      <c r="BS634" s="48">
        <f t="shared" si="3640"/>
        <v>0.5</v>
      </c>
      <c r="BT634" s="48">
        <f t="shared" si="3593"/>
        <v>0</v>
      </c>
      <c r="BU634" s="48">
        <f t="shared" si="3594"/>
        <v>0</v>
      </c>
      <c r="BV634" s="48">
        <f t="shared" si="3641"/>
        <v>0</v>
      </c>
      <c r="BW634" s="48">
        <f t="shared" si="3596"/>
        <v>15.25</v>
      </c>
      <c r="BX634" s="48">
        <f t="shared" si="3597"/>
        <v>15.25</v>
      </c>
      <c r="BY634" s="48">
        <f t="shared" si="3642"/>
        <v>15.25</v>
      </c>
      <c r="BZ634" s="48">
        <f t="shared" si="3599"/>
        <v>29</v>
      </c>
      <c r="CA634" s="48">
        <f t="shared" si="3600"/>
        <v>29</v>
      </c>
      <c r="CB634" s="48">
        <f t="shared" si="3643"/>
        <v>29</v>
      </c>
      <c r="CC634" s="48">
        <f t="shared" si="3602"/>
        <v>36.25</v>
      </c>
      <c r="CD634" s="48">
        <f t="shared" si="3603"/>
        <v>36.25</v>
      </c>
      <c r="CE634" s="48">
        <f t="shared" si="3644"/>
        <v>36.25</v>
      </c>
      <c r="CF634" s="48">
        <f t="shared" si="3605"/>
        <v>93</v>
      </c>
      <c r="CG634" s="48">
        <f t="shared" si="3606"/>
        <v>93</v>
      </c>
      <c r="CH634" s="48">
        <f t="shared" si="3645"/>
        <v>93</v>
      </c>
      <c r="CI634" s="48">
        <f t="shared" si="3608"/>
        <v>63.75</v>
      </c>
      <c r="CJ634" s="48">
        <f t="shared" si="3609"/>
        <v>63.75</v>
      </c>
      <c r="CK634" s="48">
        <f t="shared" si="3646"/>
        <v>63.75</v>
      </c>
      <c r="CL634" s="48">
        <f t="shared" si="3611"/>
        <v>37.5</v>
      </c>
      <c r="CM634" s="48">
        <f t="shared" si="3612"/>
        <v>37.5</v>
      </c>
      <c r="CN634" s="48">
        <f t="shared" si="3647"/>
        <v>37.5</v>
      </c>
      <c r="CO634" s="406"/>
      <c r="CP634" s="21">
        <f t="shared" si="3673"/>
        <v>0.5</v>
      </c>
      <c r="CQ634" s="21">
        <f t="shared" si="3674"/>
        <v>0.5</v>
      </c>
      <c r="CR634" s="21">
        <f t="shared" si="3648"/>
        <v>1.5</v>
      </c>
      <c r="CS634" s="21">
        <f t="shared" si="3649"/>
        <v>2</v>
      </c>
      <c r="CT634" s="21">
        <f t="shared" si="3650"/>
        <v>2</v>
      </c>
      <c r="CU634" s="21">
        <f t="shared" si="3651"/>
        <v>2</v>
      </c>
      <c r="CV634" s="21">
        <f t="shared" si="3652"/>
        <v>2</v>
      </c>
      <c r="CW634" s="21">
        <f t="shared" si="3653"/>
        <v>2</v>
      </c>
      <c r="CX634" s="21">
        <f t="shared" si="3654"/>
        <v>2</v>
      </c>
      <c r="CY634" s="21">
        <f t="shared" si="3655"/>
        <v>3</v>
      </c>
      <c r="CZ634" s="21">
        <f t="shared" si="3656"/>
        <v>11.5</v>
      </c>
      <c r="DA634" s="21">
        <f t="shared" si="3657"/>
        <v>17.25</v>
      </c>
      <c r="DB634" s="21">
        <f t="shared" si="3675"/>
        <v>0</v>
      </c>
      <c r="DC634" s="21">
        <f t="shared" si="3658"/>
        <v>22.5</v>
      </c>
      <c r="DD634" s="21">
        <f t="shared" si="3659"/>
        <v>29</v>
      </c>
      <c r="DE634" s="21">
        <f t="shared" si="3660"/>
        <v>29</v>
      </c>
      <c r="DF634" s="21">
        <f t="shared" si="3661"/>
        <v>29</v>
      </c>
      <c r="DG634" s="21">
        <f t="shared" si="3662"/>
        <v>65.25</v>
      </c>
      <c r="DH634" s="21">
        <f t="shared" si="3663"/>
        <v>92.75</v>
      </c>
      <c r="DI634" s="21">
        <f t="shared" si="3664"/>
        <v>129.25</v>
      </c>
      <c r="DJ634" s="21">
        <f t="shared" si="3665"/>
        <v>158.25</v>
      </c>
      <c r="DK634" s="21">
        <f t="shared" si="3666"/>
        <v>173.5</v>
      </c>
      <c r="DL634" s="21">
        <f t="shared" si="3667"/>
        <v>198</v>
      </c>
      <c r="DM634" s="21">
        <f t="shared" si="3668"/>
        <v>222</v>
      </c>
      <c r="DN634" s="21">
        <f t="shared" si="3669"/>
        <v>8.5</v>
      </c>
      <c r="DO634" s="21">
        <f t="shared" si="3670"/>
        <v>37.5</v>
      </c>
      <c r="DP634" s="21">
        <f t="shared" si="3671"/>
        <v>37.5</v>
      </c>
      <c r="DQ634" s="248"/>
      <c r="DR634" s="248"/>
      <c r="DS634" s="248"/>
      <c r="DT634" s="248"/>
      <c r="DU634" s="248"/>
      <c r="DV634" s="248"/>
      <c r="DW634" s="248"/>
      <c r="DX634" s="248"/>
      <c r="DY634" s="248"/>
      <c r="ED634" s="429"/>
      <c r="EE634" s="23"/>
      <c r="EF634" s="23"/>
      <c r="EG634" s="23"/>
      <c r="EH634" s="397">
        <f t="shared" si="3579"/>
        <v>29</v>
      </c>
      <c r="EI634" s="397">
        <f t="shared" si="3580"/>
        <v>37.5</v>
      </c>
      <c r="EJ634" s="18">
        <f t="shared" si="3581"/>
        <v>37.5</v>
      </c>
      <c r="EK634" s="24">
        <f t="shared" si="3624"/>
        <v>0.16666666666666666</v>
      </c>
      <c r="EL634" s="14" t="e">
        <f t="shared" si="3630"/>
        <v>#DIV/0!</v>
      </c>
      <c r="EM634" s="14" t="e">
        <f t="shared" si="3630"/>
        <v>#DIV/0!</v>
      </c>
      <c r="EN634" s="14">
        <f>EJ634/EK634/EG609</f>
        <v>1.3975123452099798</v>
      </c>
      <c r="EO634" s="46" t="str">
        <f t="shared" si="3631"/>
        <v>Ç</v>
      </c>
      <c r="EP634" s="46" t="str">
        <f t="shared" si="3632"/>
        <v>Ç</v>
      </c>
      <c r="EQ634" s="2" t="e">
        <f t="shared" si="3584"/>
        <v>#DIV/0!</v>
      </c>
      <c r="ER634" s="2" t="e">
        <f t="shared" si="3585"/>
        <v>#DIV/0!</v>
      </c>
      <c r="ES634" s="2">
        <f t="shared" si="3586"/>
        <v>1</v>
      </c>
    </row>
    <row r="635" spans="1:149" ht="12" customHeight="1">
      <c r="A635" s="6" t="s">
        <v>23</v>
      </c>
      <c r="B635" s="2" t="s">
        <v>11</v>
      </c>
      <c r="C635" s="3" t="s">
        <v>67</v>
      </c>
      <c r="E635" s="3" t="s">
        <v>16</v>
      </c>
      <c r="G635" s="3" t="s">
        <v>91</v>
      </c>
      <c r="I635" s="23"/>
      <c r="J635" s="19">
        <v>7</v>
      </c>
      <c r="K635" s="19">
        <v>9</v>
      </c>
      <c r="L635" s="246">
        <v>9</v>
      </c>
      <c r="M635" s="246">
        <v>38</v>
      </c>
      <c r="N635" s="246">
        <v>51</v>
      </c>
      <c r="O635" s="19">
        <v>67</v>
      </c>
      <c r="P635" s="19">
        <v>83</v>
      </c>
      <c r="Q635" s="19">
        <v>95</v>
      </c>
      <c r="R635" s="19">
        <v>102</v>
      </c>
      <c r="S635" s="19">
        <v>155</v>
      </c>
      <c r="T635" s="19">
        <v>181</v>
      </c>
      <c r="U635" s="19">
        <v>188</v>
      </c>
      <c r="V635" s="31">
        <v>12</v>
      </c>
      <c r="W635" s="19">
        <v>19</v>
      </c>
      <c r="X635" s="19">
        <v>44</v>
      </c>
      <c r="Y635" s="371">
        <v>44</v>
      </c>
      <c r="Z635" s="19">
        <v>44</v>
      </c>
      <c r="AA635" s="19">
        <v>77</v>
      </c>
      <c r="AB635" s="19">
        <v>80</v>
      </c>
      <c r="AC635" s="19">
        <v>104</v>
      </c>
      <c r="AD635" s="19">
        <v>127</v>
      </c>
      <c r="AE635" s="19">
        <v>140</v>
      </c>
      <c r="AF635" s="19">
        <v>157</v>
      </c>
      <c r="AG635" s="19">
        <v>190</v>
      </c>
      <c r="AH635" s="31">
        <v>32</v>
      </c>
      <c r="AI635" s="19">
        <v>42</v>
      </c>
      <c r="AJ635" s="19"/>
      <c r="AK635" s="408"/>
      <c r="AL635" s="19">
        <f t="shared" si="3614"/>
        <v>7</v>
      </c>
      <c r="AM635" s="19">
        <f t="shared" si="3672"/>
        <v>2</v>
      </c>
      <c r="AN635" s="19">
        <f t="shared" si="3634"/>
        <v>0</v>
      </c>
      <c r="AO635" s="19">
        <f t="shared" si="3635"/>
        <v>29</v>
      </c>
      <c r="AP635" s="129">
        <f t="shared" si="3636"/>
        <v>13</v>
      </c>
      <c r="AQ635" s="129">
        <f t="shared" si="3637"/>
        <v>16</v>
      </c>
      <c r="AR635" s="129">
        <f t="shared" si="3558"/>
        <v>16</v>
      </c>
      <c r="AS635" s="129">
        <f t="shared" si="3559"/>
        <v>12</v>
      </c>
      <c r="AT635" s="129">
        <f t="shared" si="3560"/>
        <v>7</v>
      </c>
      <c r="AU635" s="129">
        <f t="shared" si="3561"/>
        <v>53</v>
      </c>
      <c r="AV635" s="129">
        <f t="shared" si="3562"/>
        <v>26</v>
      </c>
      <c r="AW635" s="129">
        <f t="shared" si="3563"/>
        <v>7</v>
      </c>
      <c r="AX635" s="19">
        <f t="shared" si="3615"/>
        <v>12</v>
      </c>
      <c r="AY635" s="129">
        <f t="shared" si="3564"/>
        <v>7</v>
      </c>
      <c r="AZ635" s="129">
        <f t="shared" si="3638"/>
        <v>25</v>
      </c>
      <c r="BA635" s="129">
        <f t="shared" si="3619"/>
        <v>0</v>
      </c>
      <c r="BB635" s="129">
        <f t="shared" si="3566"/>
        <v>0</v>
      </c>
      <c r="BC635" s="129">
        <f t="shared" si="3567"/>
        <v>33</v>
      </c>
      <c r="BD635" s="129">
        <f t="shared" si="3568"/>
        <v>3</v>
      </c>
      <c r="BE635" s="129">
        <f t="shared" si="3569"/>
        <v>24</v>
      </c>
      <c r="BF635" s="129">
        <f t="shared" si="3570"/>
        <v>23</v>
      </c>
      <c r="BG635" s="129">
        <f t="shared" si="3571"/>
        <v>13</v>
      </c>
      <c r="BH635" s="129">
        <f t="shared" si="3572"/>
        <v>17</v>
      </c>
      <c r="BI635" s="129">
        <f t="shared" si="3573"/>
        <v>33</v>
      </c>
      <c r="BJ635" s="19">
        <f t="shared" si="3616"/>
        <v>32</v>
      </c>
      <c r="BK635" s="129">
        <f t="shared" si="3574"/>
        <v>10</v>
      </c>
      <c r="BL635" s="129">
        <f t="shared" si="3575"/>
        <v>0</v>
      </c>
      <c r="BM635" s="408"/>
      <c r="BN635" s="48">
        <f t="shared" si="3587"/>
        <v>9</v>
      </c>
      <c r="BO635" s="48">
        <f t="shared" si="3588"/>
        <v>9</v>
      </c>
      <c r="BP635" s="48">
        <f t="shared" si="3639"/>
        <v>9</v>
      </c>
      <c r="BQ635" s="48">
        <f t="shared" si="3590"/>
        <v>58</v>
      </c>
      <c r="BR635" s="48">
        <f t="shared" si="3591"/>
        <v>58</v>
      </c>
      <c r="BS635" s="48">
        <f t="shared" si="3640"/>
        <v>58</v>
      </c>
      <c r="BT635" s="48">
        <f t="shared" si="3593"/>
        <v>35</v>
      </c>
      <c r="BU635" s="48">
        <f t="shared" si="3594"/>
        <v>35</v>
      </c>
      <c r="BV635" s="48">
        <f t="shared" si="3641"/>
        <v>35</v>
      </c>
      <c r="BW635" s="48">
        <f t="shared" si="3596"/>
        <v>86</v>
      </c>
      <c r="BX635" s="48">
        <f t="shared" si="3597"/>
        <v>86</v>
      </c>
      <c r="BY635" s="48">
        <f t="shared" si="3642"/>
        <v>86</v>
      </c>
      <c r="BZ635" s="48">
        <f t="shared" si="3599"/>
        <v>44</v>
      </c>
      <c r="CA635" s="48">
        <f t="shared" si="3600"/>
        <v>44</v>
      </c>
      <c r="CB635" s="48">
        <f t="shared" si="3643"/>
        <v>44</v>
      </c>
      <c r="CC635" s="48">
        <f t="shared" si="3602"/>
        <v>33</v>
      </c>
      <c r="CD635" s="48">
        <f t="shared" si="3603"/>
        <v>33</v>
      </c>
      <c r="CE635" s="48">
        <f t="shared" si="3644"/>
        <v>33</v>
      </c>
      <c r="CF635" s="48">
        <f t="shared" si="3605"/>
        <v>50</v>
      </c>
      <c r="CG635" s="48">
        <f t="shared" si="3606"/>
        <v>50</v>
      </c>
      <c r="CH635" s="48">
        <f t="shared" si="3645"/>
        <v>50</v>
      </c>
      <c r="CI635" s="48">
        <f t="shared" si="3608"/>
        <v>63</v>
      </c>
      <c r="CJ635" s="48">
        <f t="shared" si="3609"/>
        <v>63</v>
      </c>
      <c r="CK635" s="48">
        <f t="shared" si="3646"/>
        <v>63</v>
      </c>
      <c r="CL635" s="48">
        <f t="shared" si="3611"/>
        <v>42</v>
      </c>
      <c r="CM635" s="48">
        <f t="shared" si="3612"/>
        <v>42</v>
      </c>
      <c r="CN635" s="48">
        <f t="shared" si="3647"/>
        <v>42</v>
      </c>
      <c r="CO635" s="406"/>
      <c r="CP635" s="21">
        <f t="shared" si="3673"/>
        <v>7</v>
      </c>
      <c r="CQ635" s="21">
        <f t="shared" si="3674"/>
        <v>9</v>
      </c>
      <c r="CR635" s="21">
        <f t="shared" si="3648"/>
        <v>9</v>
      </c>
      <c r="CS635" s="21">
        <f t="shared" si="3649"/>
        <v>38</v>
      </c>
      <c r="CT635" s="21">
        <f t="shared" si="3650"/>
        <v>51</v>
      </c>
      <c r="CU635" s="21">
        <f t="shared" si="3651"/>
        <v>67</v>
      </c>
      <c r="CV635" s="21">
        <f t="shared" si="3652"/>
        <v>83</v>
      </c>
      <c r="CW635" s="21">
        <f t="shared" si="3653"/>
        <v>95</v>
      </c>
      <c r="CX635" s="21">
        <f t="shared" si="3654"/>
        <v>102</v>
      </c>
      <c r="CY635" s="21">
        <f t="shared" si="3655"/>
        <v>155</v>
      </c>
      <c r="CZ635" s="21">
        <f t="shared" si="3656"/>
        <v>181</v>
      </c>
      <c r="DA635" s="21">
        <f t="shared" si="3657"/>
        <v>188</v>
      </c>
      <c r="DB635" s="21">
        <f t="shared" si="3675"/>
        <v>12</v>
      </c>
      <c r="DC635" s="21">
        <f t="shared" si="3658"/>
        <v>19</v>
      </c>
      <c r="DD635" s="21">
        <f t="shared" si="3659"/>
        <v>44</v>
      </c>
      <c r="DE635" s="21">
        <f t="shared" si="3660"/>
        <v>44</v>
      </c>
      <c r="DF635" s="21">
        <f t="shared" si="3661"/>
        <v>44</v>
      </c>
      <c r="DG635" s="21">
        <f t="shared" si="3662"/>
        <v>77</v>
      </c>
      <c r="DH635" s="21">
        <f t="shared" si="3663"/>
        <v>80</v>
      </c>
      <c r="DI635" s="21">
        <f t="shared" si="3664"/>
        <v>104</v>
      </c>
      <c r="DJ635" s="21">
        <f t="shared" si="3665"/>
        <v>127</v>
      </c>
      <c r="DK635" s="21">
        <f t="shared" si="3666"/>
        <v>140</v>
      </c>
      <c r="DL635" s="21">
        <f t="shared" si="3667"/>
        <v>157</v>
      </c>
      <c r="DM635" s="21">
        <f t="shared" si="3668"/>
        <v>190</v>
      </c>
      <c r="DN635" s="21">
        <f t="shared" si="3669"/>
        <v>32</v>
      </c>
      <c r="DO635" s="21">
        <f t="shared" si="3670"/>
        <v>42</v>
      </c>
      <c r="DP635" s="21">
        <f t="shared" si="3671"/>
        <v>42</v>
      </c>
      <c r="DQ635" s="248"/>
      <c r="DR635" s="248"/>
      <c r="DS635" s="248"/>
      <c r="DT635" s="248"/>
      <c r="DU635" s="248"/>
      <c r="DV635" s="248"/>
      <c r="DW635" s="248"/>
      <c r="DX635" s="248"/>
      <c r="DY635" s="248"/>
      <c r="ED635" s="429"/>
      <c r="EE635" s="23"/>
      <c r="EF635" s="23"/>
      <c r="EG635" s="23"/>
      <c r="EH635" s="18">
        <f t="shared" si="3579"/>
        <v>10</v>
      </c>
      <c r="EI635" s="18">
        <f t="shared" si="3580"/>
        <v>42</v>
      </c>
      <c r="EJ635" s="18">
        <f t="shared" si="3581"/>
        <v>42</v>
      </c>
      <c r="EK635" s="24">
        <f t="shared" si="3624"/>
        <v>0.16666666666666666</v>
      </c>
      <c r="EL635" s="14" t="e">
        <f t="shared" si="3630"/>
        <v>#DIV/0!</v>
      </c>
      <c r="EM635" s="14" t="e">
        <f t="shared" si="3630"/>
        <v>#DIV/0!</v>
      </c>
      <c r="EN635" s="14">
        <f>EJ635/EG610</f>
        <v>0.46666666666666667</v>
      </c>
      <c r="EO635" s="46" t="str">
        <f t="shared" si="3631"/>
        <v>Ç</v>
      </c>
      <c r="EP635" s="46" t="str">
        <f t="shared" si="3632"/>
        <v>Ç</v>
      </c>
      <c r="EQ635" s="2" t="e">
        <f t="shared" si="3584"/>
        <v>#DIV/0!</v>
      </c>
      <c r="ER635" s="2" t="e">
        <f t="shared" si="3585"/>
        <v>#DIV/0!</v>
      </c>
      <c r="ES635" s="2">
        <f t="shared" si="3586"/>
        <v>3</v>
      </c>
    </row>
    <row r="636" spans="1:149" ht="12" customHeight="1">
      <c r="A636" s="6" t="s">
        <v>23</v>
      </c>
      <c r="B636" s="2" t="s">
        <v>12</v>
      </c>
      <c r="C636" s="3" t="s">
        <v>68</v>
      </c>
      <c r="E636" s="3" t="s">
        <v>16</v>
      </c>
      <c r="G636" s="3" t="s">
        <v>91</v>
      </c>
      <c r="I636" s="23"/>
      <c r="J636" s="19">
        <v>4</v>
      </c>
      <c r="K636" s="19">
        <v>5</v>
      </c>
      <c r="L636" s="246">
        <v>5</v>
      </c>
      <c r="M636" s="246">
        <v>6</v>
      </c>
      <c r="N636" s="246">
        <v>6</v>
      </c>
      <c r="O636" s="19">
        <v>6</v>
      </c>
      <c r="P636" s="19">
        <v>7</v>
      </c>
      <c r="Q636" s="19">
        <v>10</v>
      </c>
      <c r="R636" s="19">
        <v>84</v>
      </c>
      <c r="S636" s="19">
        <v>150</v>
      </c>
      <c r="T636" s="19">
        <v>180</v>
      </c>
      <c r="U636" s="19">
        <v>184</v>
      </c>
      <c r="V636" s="31">
        <v>19</v>
      </c>
      <c r="W636" s="19">
        <v>26</v>
      </c>
      <c r="X636" s="19">
        <v>62</v>
      </c>
      <c r="Y636" s="371">
        <v>62</v>
      </c>
      <c r="Z636" s="19">
        <v>62</v>
      </c>
      <c r="AA636" s="19">
        <v>101</v>
      </c>
      <c r="AB636" s="19">
        <v>104</v>
      </c>
      <c r="AC636" s="19">
        <v>105</v>
      </c>
      <c r="AD636" s="19">
        <v>113</v>
      </c>
      <c r="AE636" s="19">
        <v>136</v>
      </c>
      <c r="AF636" s="19">
        <v>159</v>
      </c>
      <c r="AG636" s="19">
        <v>191</v>
      </c>
      <c r="AH636" s="31">
        <v>31</v>
      </c>
      <c r="AI636" s="19">
        <v>43</v>
      </c>
      <c r="AJ636" s="19"/>
      <c r="AK636" s="408"/>
      <c r="AL636" s="19">
        <f t="shared" si="3614"/>
        <v>4</v>
      </c>
      <c r="AM636" s="19">
        <f t="shared" si="3672"/>
        <v>1</v>
      </c>
      <c r="AN636" s="19">
        <f t="shared" si="3634"/>
        <v>0</v>
      </c>
      <c r="AO636" s="19">
        <f t="shared" si="3635"/>
        <v>1</v>
      </c>
      <c r="AP636" s="129">
        <f t="shared" si="3636"/>
        <v>0</v>
      </c>
      <c r="AQ636" s="129">
        <f t="shared" si="3637"/>
        <v>0</v>
      </c>
      <c r="AR636" s="129">
        <f t="shared" si="3558"/>
        <v>1</v>
      </c>
      <c r="AS636" s="129">
        <f t="shared" si="3559"/>
        <v>3</v>
      </c>
      <c r="AT636" s="129">
        <f t="shared" si="3560"/>
        <v>74</v>
      </c>
      <c r="AU636" s="129">
        <f t="shared" si="3561"/>
        <v>66</v>
      </c>
      <c r="AV636" s="129">
        <f t="shared" si="3562"/>
        <v>30</v>
      </c>
      <c r="AW636" s="129">
        <f t="shared" si="3563"/>
        <v>4</v>
      </c>
      <c r="AX636" s="19">
        <f t="shared" si="3615"/>
        <v>19</v>
      </c>
      <c r="AY636" s="129">
        <f t="shared" si="3564"/>
        <v>7</v>
      </c>
      <c r="AZ636" s="129">
        <f t="shared" si="3638"/>
        <v>36</v>
      </c>
      <c r="BA636" s="129">
        <f t="shared" si="3619"/>
        <v>0</v>
      </c>
      <c r="BB636" s="129">
        <f t="shared" si="3566"/>
        <v>0</v>
      </c>
      <c r="BC636" s="129">
        <f t="shared" si="3567"/>
        <v>39</v>
      </c>
      <c r="BD636" s="129">
        <f t="shared" si="3568"/>
        <v>3</v>
      </c>
      <c r="BE636" s="129">
        <f t="shared" si="3569"/>
        <v>1</v>
      </c>
      <c r="BF636" s="129">
        <f t="shared" si="3570"/>
        <v>8</v>
      </c>
      <c r="BG636" s="129">
        <f t="shared" si="3571"/>
        <v>23</v>
      </c>
      <c r="BH636" s="129">
        <f t="shared" si="3572"/>
        <v>23</v>
      </c>
      <c r="BI636" s="129">
        <f t="shared" si="3573"/>
        <v>32</v>
      </c>
      <c r="BJ636" s="19">
        <f t="shared" si="3616"/>
        <v>31</v>
      </c>
      <c r="BK636" s="129">
        <f t="shared" si="3574"/>
        <v>12</v>
      </c>
      <c r="BL636" s="129">
        <f t="shared" si="3575"/>
        <v>0</v>
      </c>
      <c r="BM636" s="408"/>
      <c r="BN636" s="48">
        <f t="shared" si="3587"/>
        <v>5</v>
      </c>
      <c r="BO636" s="48">
        <f t="shared" si="3588"/>
        <v>5</v>
      </c>
      <c r="BP636" s="48">
        <f t="shared" si="3639"/>
        <v>5</v>
      </c>
      <c r="BQ636" s="48">
        <f t="shared" si="3590"/>
        <v>1</v>
      </c>
      <c r="BR636" s="48">
        <f t="shared" si="3591"/>
        <v>1</v>
      </c>
      <c r="BS636" s="48">
        <f t="shared" si="3640"/>
        <v>1</v>
      </c>
      <c r="BT636" s="48">
        <f t="shared" si="3593"/>
        <v>78</v>
      </c>
      <c r="BU636" s="48">
        <f t="shared" si="3594"/>
        <v>78</v>
      </c>
      <c r="BV636" s="48">
        <f t="shared" si="3641"/>
        <v>78</v>
      </c>
      <c r="BW636" s="48">
        <f t="shared" si="3596"/>
        <v>100</v>
      </c>
      <c r="BX636" s="48">
        <f t="shared" si="3597"/>
        <v>100</v>
      </c>
      <c r="BY636" s="48">
        <f t="shared" si="3642"/>
        <v>100</v>
      </c>
      <c r="BZ636" s="48">
        <f t="shared" si="3599"/>
        <v>62</v>
      </c>
      <c r="CA636" s="48">
        <f t="shared" si="3600"/>
        <v>62</v>
      </c>
      <c r="CB636" s="48">
        <f t="shared" si="3643"/>
        <v>62</v>
      </c>
      <c r="CC636" s="48">
        <f t="shared" si="3602"/>
        <v>39</v>
      </c>
      <c r="CD636" s="48">
        <f t="shared" si="3603"/>
        <v>39</v>
      </c>
      <c r="CE636" s="48">
        <f t="shared" si="3644"/>
        <v>39</v>
      </c>
      <c r="CF636" s="48">
        <f t="shared" si="3605"/>
        <v>12</v>
      </c>
      <c r="CG636" s="48">
        <f t="shared" si="3606"/>
        <v>12</v>
      </c>
      <c r="CH636" s="48">
        <f t="shared" si="3645"/>
        <v>12</v>
      </c>
      <c r="CI636" s="48">
        <f t="shared" si="3608"/>
        <v>78</v>
      </c>
      <c r="CJ636" s="48">
        <f t="shared" si="3609"/>
        <v>78</v>
      </c>
      <c r="CK636" s="48">
        <f t="shared" si="3646"/>
        <v>78</v>
      </c>
      <c r="CL636" s="48">
        <f t="shared" si="3611"/>
        <v>43</v>
      </c>
      <c r="CM636" s="48">
        <f t="shared" si="3612"/>
        <v>43</v>
      </c>
      <c r="CN636" s="48">
        <f t="shared" si="3647"/>
        <v>43</v>
      </c>
      <c r="CO636" s="406"/>
      <c r="CP636" s="21">
        <f t="shared" si="3673"/>
        <v>4</v>
      </c>
      <c r="CQ636" s="21">
        <f t="shared" si="3674"/>
        <v>5</v>
      </c>
      <c r="CR636" s="21">
        <f t="shared" si="3648"/>
        <v>5</v>
      </c>
      <c r="CS636" s="21">
        <f t="shared" si="3649"/>
        <v>6</v>
      </c>
      <c r="CT636" s="21">
        <f t="shared" si="3650"/>
        <v>6</v>
      </c>
      <c r="CU636" s="21">
        <f t="shared" si="3651"/>
        <v>6</v>
      </c>
      <c r="CV636" s="21">
        <f t="shared" si="3652"/>
        <v>7</v>
      </c>
      <c r="CW636" s="21">
        <f t="shared" si="3653"/>
        <v>10</v>
      </c>
      <c r="CX636" s="21">
        <f t="shared" si="3654"/>
        <v>84</v>
      </c>
      <c r="CY636" s="21">
        <f t="shared" si="3655"/>
        <v>150</v>
      </c>
      <c r="CZ636" s="21">
        <f t="shared" si="3656"/>
        <v>180</v>
      </c>
      <c r="DA636" s="21">
        <f t="shared" si="3657"/>
        <v>184</v>
      </c>
      <c r="DB636" s="21">
        <f t="shared" si="3675"/>
        <v>19</v>
      </c>
      <c r="DC636" s="21">
        <f t="shared" si="3658"/>
        <v>26</v>
      </c>
      <c r="DD636" s="21">
        <f t="shared" si="3659"/>
        <v>62</v>
      </c>
      <c r="DE636" s="21">
        <f t="shared" si="3660"/>
        <v>62</v>
      </c>
      <c r="DF636" s="21">
        <f t="shared" si="3661"/>
        <v>62</v>
      </c>
      <c r="DG636" s="21">
        <f t="shared" si="3662"/>
        <v>101</v>
      </c>
      <c r="DH636" s="21">
        <f t="shared" si="3663"/>
        <v>104</v>
      </c>
      <c r="DI636" s="21">
        <f t="shared" si="3664"/>
        <v>105</v>
      </c>
      <c r="DJ636" s="21">
        <f t="shared" si="3665"/>
        <v>113</v>
      </c>
      <c r="DK636" s="21">
        <f t="shared" si="3666"/>
        <v>136</v>
      </c>
      <c r="DL636" s="21">
        <f t="shared" si="3667"/>
        <v>159</v>
      </c>
      <c r="DM636" s="21">
        <f t="shared" si="3668"/>
        <v>191</v>
      </c>
      <c r="DN636" s="21">
        <f t="shared" si="3669"/>
        <v>31</v>
      </c>
      <c r="DO636" s="21">
        <f t="shared" si="3670"/>
        <v>43</v>
      </c>
      <c r="DP636" s="21">
        <f t="shared" si="3671"/>
        <v>43</v>
      </c>
      <c r="DQ636" s="248"/>
      <c r="DR636" s="248"/>
      <c r="DS636" s="248"/>
      <c r="DT636" s="248"/>
      <c r="DU636" s="248"/>
      <c r="DV636" s="248"/>
      <c r="DW636" s="248"/>
      <c r="DX636" s="248"/>
      <c r="DY636" s="248"/>
      <c r="ED636" s="429"/>
      <c r="EE636" s="23"/>
      <c r="EF636" s="23"/>
      <c r="EG636" s="23"/>
      <c r="EH636" s="18">
        <f t="shared" si="3579"/>
        <v>12</v>
      </c>
      <c r="EI636" s="18">
        <f t="shared" si="3580"/>
        <v>43</v>
      </c>
      <c r="EJ636" s="18">
        <f t="shared" si="3581"/>
        <v>43</v>
      </c>
      <c r="EK636" s="24">
        <f t="shared" si="3624"/>
        <v>0.16666666666666666</v>
      </c>
      <c r="EL636" s="14" t="e">
        <f t="shared" si="3630"/>
        <v>#DIV/0!</v>
      </c>
      <c r="EM636" s="14" t="e">
        <f t="shared" si="3630"/>
        <v>#DIV/0!</v>
      </c>
      <c r="EN636" s="14">
        <f t="shared" si="3630"/>
        <v>0.30281768333204617</v>
      </c>
      <c r="EO636" s="46" t="str">
        <f t="shared" si="3631"/>
        <v>Ç</v>
      </c>
      <c r="EP636" s="46" t="str">
        <f t="shared" si="3632"/>
        <v>Ç</v>
      </c>
      <c r="EQ636" s="2" t="e">
        <f t="shared" si="3584"/>
        <v>#DIV/0!</v>
      </c>
      <c r="ER636" s="2" t="e">
        <f t="shared" si="3585"/>
        <v>#DIV/0!</v>
      </c>
      <c r="ES636" s="2">
        <f t="shared" si="3586"/>
        <v>3</v>
      </c>
    </row>
    <row r="637" spans="1:149" ht="12" customHeight="1">
      <c r="A637" s="6" t="s">
        <v>23</v>
      </c>
      <c r="B637" s="2" t="s">
        <v>17</v>
      </c>
      <c r="C637" s="3" t="s">
        <v>69</v>
      </c>
      <c r="E637" s="3" t="s">
        <v>18</v>
      </c>
      <c r="G637" s="3" t="s">
        <v>91</v>
      </c>
      <c r="I637" s="23"/>
      <c r="J637" s="19">
        <v>0</v>
      </c>
      <c r="K637" s="19">
        <v>0</v>
      </c>
      <c r="L637" s="246">
        <v>2</v>
      </c>
      <c r="M637" s="246">
        <v>2</v>
      </c>
      <c r="N637" s="246">
        <v>2</v>
      </c>
      <c r="O637" s="19">
        <v>2</v>
      </c>
      <c r="P637" s="19">
        <v>4</v>
      </c>
      <c r="Q637" s="19">
        <v>4</v>
      </c>
      <c r="R637" s="246">
        <v>4</v>
      </c>
      <c r="S637" s="19">
        <v>4</v>
      </c>
      <c r="T637" s="19">
        <v>7</v>
      </c>
      <c r="U637" s="19">
        <v>7</v>
      </c>
      <c r="V637" s="31">
        <v>0</v>
      </c>
      <c r="W637" s="19">
        <v>2</v>
      </c>
      <c r="X637" s="19">
        <v>2</v>
      </c>
      <c r="Y637" s="371">
        <v>2</v>
      </c>
      <c r="Z637" s="19">
        <v>2</v>
      </c>
      <c r="AA637" s="19">
        <v>2</v>
      </c>
      <c r="AB637" s="19">
        <v>4</v>
      </c>
      <c r="AC637" s="19">
        <v>4</v>
      </c>
      <c r="AD637" s="19">
        <v>4</v>
      </c>
      <c r="AE637" s="19">
        <v>4</v>
      </c>
      <c r="AF637" s="19"/>
      <c r="AG637" s="19">
        <v>2</v>
      </c>
      <c r="AH637" s="31"/>
      <c r="AI637" s="19"/>
      <c r="AJ637" s="19"/>
      <c r="AK637" s="408"/>
      <c r="AL637" s="19">
        <f t="shared" si="3614"/>
        <v>0</v>
      </c>
      <c r="AM637" s="19">
        <f t="shared" si="3672"/>
        <v>0</v>
      </c>
      <c r="AN637" s="19">
        <f t="shared" si="3634"/>
        <v>2</v>
      </c>
      <c r="AO637" s="19">
        <f t="shared" si="3635"/>
        <v>0</v>
      </c>
      <c r="AP637" s="129">
        <f t="shared" si="3636"/>
        <v>0</v>
      </c>
      <c r="AQ637" s="129">
        <f t="shared" si="3637"/>
        <v>0</v>
      </c>
      <c r="AR637" s="129">
        <f t="shared" si="3558"/>
        <v>2</v>
      </c>
      <c r="AS637" s="129">
        <f t="shared" si="3559"/>
        <v>0</v>
      </c>
      <c r="AT637" s="129">
        <f t="shared" si="3560"/>
        <v>0</v>
      </c>
      <c r="AU637" s="129">
        <f t="shared" si="3561"/>
        <v>0</v>
      </c>
      <c r="AV637" s="129">
        <f t="shared" si="3562"/>
        <v>3</v>
      </c>
      <c r="AW637" s="129">
        <f t="shared" si="3563"/>
        <v>0</v>
      </c>
      <c r="AX637" s="19">
        <f t="shared" si="3615"/>
        <v>0</v>
      </c>
      <c r="AY637" s="129">
        <f t="shared" si="3564"/>
        <v>2</v>
      </c>
      <c r="AZ637" s="129">
        <f t="shared" si="3638"/>
        <v>0</v>
      </c>
      <c r="BA637" s="129">
        <f t="shared" si="3619"/>
        <v>0</v>
      </c>
      <c r="BB637" s="129">
        <f t="shared" si="3566"/>
        <v>0</v>
      </c>
      <c r="BC637" s="129">
        <f t="shared" si="3567"/>
        <v>0</v>
      </c>
      <c r="BD637" s="129">
        <f t="shared" si="3568"/>
        <v>2</v>
      </c>
      <c r="BE637" s="129">
        <f t="shared" si="3569"/>
        <v>0</v>
      </c>
      <c r="BF637" s="129">
        <f t="shared" si="3570"/>
        <v>0</v>
      </c>
      <c r="BG637" s="129">
        <f t="shared" si="3571"/>
        <v>0</v>
      </c>
      <c r="BH637" s="129">
        <f t="shared" si="3572"/>
        <v>0</v>
      </c>
      <c r="BI637" s="129">
        <f t="shared" si="3573"/>
        <v>2</v>
      </c>
      <c r="BJ637" s="19">
        <f t="shared" si="3616"/>
        <v>0</v>
      </c>
      <c r="BK637" s="129">
        <f t="shared" si="3574"/>
        <v>0</v>
      </c>
      <c r="BL637" s="129">
        <f t="shared" si="3575"/>
        <v>0</v>
      </c>
      <c r="BM637" s="408"/>
      <c r="BN637" s="48">
        <f t="shared" si="3587"/>
        <v>2</v>
      </c>
      <c r="BO637" s="48">
        <f t="shared" si="3588"/>
        <v>2</v>
      </c>
      <c r="BP637" s="48">
        <f t="shared" si="3639"/>
        <v>2</v>
      </c>
      <c r="BQ637" s="48">
        <f t="shared" si="3590"/>
        <v>0</v>
      </c>
      <c r="BR637" s="48">
        <f t="shared" si="3591"/>
        <v>0</v>
      </c>
      <c r="BS637" s="48">
        <f t="shared" si="3640"/>
        <v>0</v>
      </c>
      <c r="BT637" s="48">
        <f t="shared" si="3593"/>
        <v>2</v>
      </c>
      <c r="BU637" s="48">
        <f t="shared" si="3594"/>
        <v>2</v>
      </c>
      <c r="BV637" s="48">
        <f t="shared" si="3641"/>
        <v>2</v>
      </c>
      <c r="BW637" s="48">
        <f t="shared" si="3596"/>
        <v>3</v>
      </c>
      <c r="BX637" s="48">
        <f t="shared" si="3597"/>
        <v>3</v>
      </c>
      <c r="BY637" s="48">
        <f t="shared" si="3642"/>
        <v>3</v>
      </c>
      <c r="BZ637" s="48">
        <f t="shared" si="3599"/>
        <v>2</v>
      </c>
      <c r="CA637" s="48">
        <f t="shared" si="3600"/>
        <v>2</v>
      </c>
      <c r="CB637" s="48">
        <f t="shared" si="3643"/>
        <v>2</v>
      </c>
      <c r="CC637" s="48">
        <f t="shared" si="3602"/>
        <v>0</v>
      </c>
      <c r="CD637" s="48">
        <f t="shared" si="3603"/>
        <v>0</v>
      </c>
      <c r="CE637" s="48">
        <f t="shared" si="3644"/>
        <v>0</v>
      </c>
      <c r="CF637" s="48">
        <f t="shared" si="3605"/>
        <v>2</v>
      </c>
      <c r="CG637" s="48">
        <f t="shared" si="3606"/>
        <v>2</v>
      </c>
      <c r="CH637" s="48">
        <f t="shared" si="3645"/>
        <v>2</v>
      </c>
      <c r="CI637" s="48">
        <f t="shared" si="3608"/>
        <v>2</v>
      </c>
      <c r="CJ637" s="48">
        <f t="shared" si="3609"/>
        <v>2</v>
      </c>
      <c r="CK637" s="48">
        <f t="shared" si="3646"/>
        <v>2</v>
      </c>
      <c r="CL637" s="48">
        <f t="shared" si="3611"/>
        <v>0</v>
      </c>
      <c r="CM637" s="48">
        <f t="shared" si="3612"/>
        <v>0</v>
      </c>
      <c r="CN637" s="48">
        <f t="shared" si="3647"/>
        <v>0</v>
      </c>
      <c r="CO637" s="406"/>
      <c r="CP637" s="21">
        <f t="shared" si="3673"/>
        <v>0</v>
      </c>
      <c r="CQ637" s="21">
        <f t="shared" si="3674"/>
        <v>0</v>
      </c>
      <c r="CR637" s="21">
        <f t="shared" si="3648"/>
        <v>2</v>
      </c>
      <c r="CS637" s="21">
        <f t="shared" si="3649"/>
        <v>2</v>
      </c>
      <c r="CT637" s="21">
        <f t="shared" si="3650"/>
        <v>2</v>
      </c>
      <c r="CU637" s="21">
        <f t="shared" si="3651"/>
        <v>2</v>
      </c>
      <c r="CV637" s="21">
        <f t="shared" si="3652"/>
        <v>4</v>
      </c>
      <c r="CW637" s="21">
        <f t="shared" si="3653"/>
        <v>4</v>
      </c>
      <c r="CX637" s="21">
        <f t="shared" si="3654"/>
        <v>4</v>
      </c>
      <c r="CY637" s="21">
        <f t="shared" si="3655"/>
        <v>4</v>
      </c>
      <c r="CZ637" s="21">
        <f t="shared" si="3656"/>
        <v>7</v>
      </c>
      <c r="DA637" s="21">
        <f t="shared" si="3657"/>
        <v>7</v>
      </c>
      <c r="DB637" s="21">
        <f t="shared" si="3675"/>
        <v>0</v>
      </c>
      <c r="DC637" s="21">
        <f t="shared" si="3658"/>
        <v>2</v>
      </c>
      <c r="DD637" s="21">
        <f t="shared" si="3659"/>
        <v>2</v>
      </c>
      <c r="DE637" s="21">
        <f t="shared" si="3660"/>
        <v>2</v>
      </c>
      <c r="DF637" s="21">
        <f t="shared" si="3661"/>
        <v>2</v>
      </c>
      <c r="DG637" s="21">
        <f t="shared" si="3662"/>
        <v>2</v>
      </c>
      <c r="DH637" s="21">
        <f t="shared" si="3663"/>
        <v>4</v>
      </c>
      <c r="DI637" s="21">
        <f t="shared" si="3664"/>
        <v>4</v>
      </c>
      <c r="DJ637" s="21">
        <f t="shared" si="3665"/>
        <v>4</v>
      </c>
      <c r="DK637" s="21">
        <f t="shared" si="3666"/>
        <v>4</v>
      </c>
      <c r="DL637" s="21">
        <f t="shared" si="3667"/>
        <v>4</v>
      </c>
      <c r="DM637" s="21">
        <f t="shared" si="3668"/>
        <v>6</v>
      </c>
      <c r="DN637" s="21">
        <f t="shared" si="3669"/>
        <v>0</v>
      </c>
      <c r="DO637" s="21">
        <f t="shared" si="3670"/>
        <v>0</v>
      </c>
      <c r="DP637" s="21">
        <f t="shared" si="3671"/>
        <v>0</v>
      </c>
      <c r="DQ637" s="248"/>
      <c r="DR637" s="248"/>
      <c r="DS637" s="248"/>
      <c r="DT637" s="248"/>
      <c r="DU637" s="248"/>
      <c r="DV637" s="248"/>
      <c r="DW637" s="248"/>
      <c r="DX637" s="248"/>
      <c r="DY637" s="248"/>
      <c r="ED637" s="429"/>
      <c r="EE637" s="23"/>
      <c r="EF637" s="23"/>
      <c r="EG637" s="23"/>
      <c r="EH637" s="18">
        <f t="shared" si="3579"/>
        <v>0</v>
      </c>
      <c r="EI637" s="18">
        <f t="shared" si="3580"/>
        <v>0</v>
      </c>
      <c r="EJ637" s="18">
        <f t="shared" si="3581"/>
        <v>0</v>
      </c>
      <c r="EK637" s="24">
        <f t="shared" si="3624"/>
        <v>0.16666666666666666</v>
      </c>
      <c r="EL637" s="14">
        <f>IF(EE612=0,0,EH637/EE612)</f>
        <v>0</v>
      </c>
      <c r="EM637" s="14" t="str">
        <f>IF(EF612=0,"",EI637/EF612)</f>
        <v/>
      </c>
      <c r="EN637" s="14">
        <f t="shared" si="3630"/>
        <v>0</v>
      </c>
      <c r="EO637" s="46" t="str">
        <f t="shared" si="3631"/>
        <v>Æ</v>
      </c>
      <c r="EP637" s="46" t="str">
        <f t="shared" si="3632"/>
        <v>Æ</v>
      </c>
      <c r="EQ637" s="24" t="str">
        <f>IF(EJ612&lt;&gt;0,EM637/EJ612,"N/A")</f>
        <v>N/A</v>
      </c>
      <c r="ER637" s="2">
        <f>IF(EM637&gt;=0.9,1,IF(EM637&gt;0.75,2,3))</f>
        <v>1</v>
      </c>
      <c r="ES637" s="2">
        <f>IF(EN637="","",IF(EN637&gt;=0.9,1,IF(EN637&lt;0.75,3,2)))</f>
        <v>3</v>
      </c>
    </row>
    <row r="638" spans="1:149" ht="12" customHeight="1">
      <c r="A638" s="6" t="s">
        <v>23</v>
      </c>
      <c r="B638" s="324" t="s">
        <v>202</v>
      </c>
      <c r="C638" s="3" t="s">
        <v>70</v>
      </c>
      <c r="E638" s="3" t="s">
        <v>15</v>
      </c>
      <c r="G638" s="3" t="s">
        <v>91</v>
      </c>
      <c r="I638" s="23"/>
      <c r="J638" s="19">
        <v>0</v>
      </c>
      <c r="K638" s="19">
        <v>0</v>
      </c>
      <c r="L638" s="246">
        <v>0</v>
      </c>
      <c r="M638" s="246">
        <v>0</v>
      </c>
      <c r="N638" s="246">
        <v>0</v>
      </c>
      <c r="O638" s="19">
        <v>0</v>
      </c>
      <c r="P638" s="19">
        <v>0</v>
      </c>
      <c r="Q638" s="19">
        <v>4</v>
      </c>
      <c r="R638" s="246">
        <v>4</v>
      </c>
      <c r="S638" s="19">
        <v>4</v>
      </c>
      <c r="T638" s="19">
        <v>4</v>
      </c>
      <c r="U638" s="19">
        <v>4</v>
      </c>
      <c r="V638" s="31">
        <v>0</v>
      </c>
      <c r="W638" s="19">
        <v>0</v>
      </c>
      <c r="X638" s="19">
        <v>0</v>
      </c>
      <c r="Y638" s="371">
        <v>0</v>
      </c>
      <c r="Z638" s="19">
        <v>0</v>
      </c>
      <c r="AA638" s="19">
        <v>0</v>
      </c>
      <c r="AB638" s="19">
        <v>0</v>
      </c>
      <c r="AC638" s="19">
        <v>2</v>
      </c>
      <c r="AD638" s="19">
        <v>2</v>
      </c>
      <c r="AE638" s="19">
        <v>2</v>
      </c>
      <c r="AF638" s="19">
        <v>2</v>
      </c>
      <c r="AG638" s="19"/>
      <c r="AH638" s="31"/>
      <c r="AI638" s="19"/>
      <c r="AJ638" s="19"/>
      <c r="AK638" s="408"/>
      <c r="AL638" s="40">
        <f t="shared" si="3614"/>
        <v>0</v>
      </c>
      <c r="AM638" s="40">
        <f t="shared" si="3672"/>
        <v>0</v>
      </c>
      <c r="AN638" s="40">
        <f t="shared" si="3634"/>
        <v>0</v>
      </c>
      <c r="AO638" s="40">
        <f t="shared" si="3635"/>
        <v>0</v>
      </c>
      <c r="AP638" s="40">
        <f t="shared" ref="AP638:AW638" si="3676">N638-M638</f>
        <v>0</v>
      </c>
      <c r="AQ638" s="40">
        <f t="shared" si="3676"/>
        <v>0</v>
      </c>
      <c r="AR638" s="40">
        <f t="shared" si="3676"/>
        <v>0</v>
      </c>
      <c r="AS638" s="40">
        <f t="shared" si="3676"/>
        <v>4</v>
      </c>
      <c r="AT638" s="40">
        <f t="shared" si="3676"/>
        <v>0</v>
      </c>
      <c r="AU638" s="40">
        <f t="shared" si="3676"/>
        <v>0</v>
      </c>
      <c r="AV638" s="40">
        <f t="shared" si="3676"/>
        <v>0</v>
      </c>
      <c r="AW638" s="40">
        <f t="shared" si="3676"/>
        <v>0</v>
      </c>
      <c r="AX638" s="40">
        <f t="shared" si="3615"/>
        <v>0</v>
      </c>
      <c r="AY638" s="40">
        <f t="shared" ref="AY638:BL639" si="3677">W638-V638</f>
        <v>0</v>
      </c>
      <c r="AZ638" s="40">
        <f t="shared" si="3677"/>
        <v>0</v>
      </c>
      <c r="BA638" s="40">
        <f t="shared" si="3677"/>
        <v>0</v>
      </c>
      <c r="BB638" s="40">
        <f t="shared" si="3677"/>
        <v>0</v>
      </c>
      <c r="BC638" s="40">
        <f t="shared" si="3677"/>
        <v>0</v>
      </c>
      <c r="BD638" s="40">
        <f t="shared" si="3677"/>
        <v>0</v>
      </c>
      <c r="BE638" s="40">
        <f t="shared" si="3677"/>
        <v>2</v>
      </c>
      <c r="BF638" s="40">
        <f t="shared" si="3677"/>
        <v>0</v>
      </c>
      <c r="BG638" s="40">
        <f t="shared" si="3677"/>
        <v>0</v>
      </c>
      <c r="BH638" s="40">
        <f t="shared" si="3677"/>
        <v>0</v>
      </c>
      <c r="BI638" s="40">
        <f t="shared" si="3677"/>
        <v>-2</v>
      </c>
      <c r="BJ638" s="40">
        <f t="shared" si="3677"/>
        <v>0</v>
      </c>
      <c r="BK638" s="40">
        <f t="shared" si="3677"/>
        <v>0</v>
      </c>
      <c r="BL638" s="40">
        <f t="shared" si="3677"/>
        <v>0</v>
      </c>
      <c r="BM638" s="408"/>
      <c r="BN638" s="48">
        <f t="shared" si="3587"/>
        <v>0</v>
      </c>
      <c r="BO638" s="48">
        <f t="shared" si="3588"/>
        <v>0</v>
      </c>
      <c r="BP638" s="48">
        <f>SUM(AL638:AN638)</f>
        <v>0</v>
      </c>
      <c r="BQ638" s="48">
        <f t="shared" si="3590"/>
        <v>0</v>
      </c>
      <c r="BR638" s="48">
        <f t="shared" si="3591"/>
        <v>0</v>
      </c>
      <c r="BS638" s="48">
        <f>SUM(AO638:AQ638)</f>
        <v>0</v>
      </c>
      <c r="BT638" s="48">
        <f t="shared" si="3593"/>
        <v>4</v>
      </c>
      <c r="BU638" s="48">
        <f t="shared" si="3594"/>
        <v>4</v>
      </c>
      <c r="BV638" s="48">
        <f>SUM(AR638:AT638)</f>
        <v>4</v>
      </c>
      <c r="BW638" s="48">
        <f t="shared" si="3596"/>
        <v>0</v>
      </c>
      <c r="BX638" s="48">
        <f t="shared" si="3597"/>
        <v>0</v>
      </c>
      <c r="BY638" s="48">
        <f>SUM(AU638:AW638)</f>
        <v>0</v>
      </c>
      <c r="BZ638" s="48">
        <f t="shared" si="3599"/>
        <v>0</v>
      </c>
      <c r="CA638" s="48">
        <f t="shared" si="3600"/>
        <v>0</v>
      </c>
      <c r="CB638" s="48">
        <f>SUM(AX638:AZ638)</f>
        <v>0</v>
      </c>
      <c r="CC638" s="48">
        <f t="shared" si="3602"/>
        <v>0</v>
      </c>
      <c r="CD638" s="48">
        <f t="shared" si="3603"/>
        <v>0</v>
      </c>
      <c r="CE638" s="48">
        <f>SUM(BA638:BC638)</f>
        <v>0</v>
      </c>
      <c r="CF638" s="48">
        <f t="shared" si="3605"/>
        <v>2</v>
      </c>
      <c r="CG638" s="48">
        <f t="shared" si="3606"/>
        <v>2</v>
      </c>
      <c r="CH638" s="48">
        <f>SUM(BD638:BF638)</f>
        <v>2</v>
      </c>
      <c r="CI638" s="48">
        <f t="shared" si="3608"/>
        <v>-2</v>
      </c>
      <c r="CJ638" s="48">
        <f t="shared" si="3609"/>
        <v>-2</v>
      </c>
      <c r="CK638" s="48">
        <f>SUM(BG638:BI638)</f>
        <v>-2</v>
      </c>
      <c r="CL638" s="48">
        <f t="shared" si="3611"/>
        <v>0</v>
      </c>
      <c r="CM638" s="48">
        <f t="shared" si="3612"/>
        <v>0</v>
      </c>
      <c r="CN638" s="48">
        <f>SUM(BJ638:BL638)</f>
        <v>0</v>
      </c>
      <c r="CO638" s="406"/>
      <c r="CP638" s="48">
        <f t="shared" si="3673"/>
        <v>0</v>
      </c>
      <c r="CQ638" s="48">
        <f t="shared" si="3674"/>
        <v>0</v>
      </c>
      <c r="CR638" s="48">
        <f t="shared" si="3648"/>
        <v>0</v>
      </c>
      <c r="CS638" s="48">
        <f t="shared" si="3649"/>
        <v>0</v>
      </c>
      <c r="CT638" s="48">
        <f t="shared" si="3650"/>
        <v>0</v>
      </c>
      <c r="CU638" s="48">
        <f t="shared" si="3651"/>
        <v>0</v>
      </c>
      <c r="CV638" s="48">
        <f t="shared" si="3652"/>
        <v>0</v>
      </c>
      <c r="CW638" s="48">
        <f t="shared" si="3653"/>
        <v>4</v>
      </c>
      <c r="CX638" s="48">
        <f t="shared" si="3654"/>
        <v>4</v>
      </c>
      <c r="CY638" s="48">
        <f t="shared" si="3655"/>
        <v>4</v>
      </c>
      <c r="CZ638" s="48">
        <f t="shared" si="3656"/>
        <v>4</v>
      </c>
      <c r="DA638" s="48">
        <f t="shared" si="3657"/>
        <v>4</v>
      </c>
      <c r="DB638" s="48">
        <f t="shared" si="3675"/>
        <v>0</v>
      </c>
      <c r="DC638" s="48">
        <f t="shared" si="3658"/>
        <v>0</v>
      </c>
      <c r="DD638" s="48">
        <f t="shared" si="3659"/>
        <v>0</v>
      </c>
      <c r="DE638" s="48">
        <f t="shared" si="3660"/>
        <v>0</v>
      </c>
      <c r="DF638" s="48">
        <f t="shared" si="3661"/>
        <v>0</v>
      </c>
      <c r="DG638" s="48">
        <f t="shared" si="3662"/>
        <v>0</v>
      </c>
      <c r="DH638" s="48">
        <f t="shared" si="3663"/>
        <v>0</v>
      </c>
      <c r="DI638" s="48">
        <f t="shared" si="3664"/>
        <v>2</v>
      </c>
      <c r="DJ638" s="48">
        <f t="shared" si="3665"/>
        <v>2</v>
      </c>
      <c r="DK638" s="48">
        <f t="shared" si="3666"/>
        <v>2</v>
      </c>
      <c r="DL638" s="48">
        <f t="shared" si="3667"/>
        <v>2</v>
      </c>
      <c r="DM638" s="48">
        <f t="shared" si="3668"/>
        <v>0</v>
      </c>
      <c r="DN638" s="48">
        <f>DM638+BJ638</f>
        <v>0</v>
      </c>
      <c r="DO638" s="48">
        <f t="shared" si="3670"/>
        <v>0</v>
      </c>
      <c r="DP638" s="48">
        <f t="shared" si="3671"/>
        <v>0</v>
      </c>
      <c r="DQ638" s="48"/>
      <c r="DR638" s="48"/>
      <c r="DS638" s="48"/>
      <c r="DT638" s="48"/>
      <c r="DU638" s="48"/>
      <c r="DV638" s="48"/>
      <c r="DW638" s="48"/>
      <c r="DX638" s="48"/>
      <c r="DY638" s="48"/>
      <c r="ED638" s="429"/>
      <c r="EE638" s="23"/>
      <c r="EF638" s="23"/>
      <c r="EG638" s="23"/>
      <c r="EH638" s="18">
        <f t="shared" si="3579"/>
        <v>0</v>
      </c>
      <c r="EI638" s="18">
        <f t="shared" si="3580"/>
        <v>0</v>
      </c>
      <c r="EJ638" s="18">
        <f t="shared" si="3581"/>
        <v>0</v>
      </c>
      <c r="EK638" s="24">
        <f>IF(EK596&lt;6,0.5,IF(AND(EK596&gt;=6,EK596&lt;12),0.5,1))</f>
        <v>0.5</v>
      </c>
      <c r="EL638" s="14">
        <f>IF(EE613=0,0,EH638/EE613)</f>
        <v>0</v>
      </c>
      <c r="EM638" s="14">
        <f>IF(EF613=0,0,EI638/EF613)</f>
        <v>0</v>
      </c>
      <c r="EN638" s="14">
        <f>IF(EG613="","",EJ638/EG613)</f>
        <v>0</v>
      </c>
      <c r="EO638" s="46" t="str">
        <f t="shared" si="3631"/>
        <v>Æ</v>
      </c>
      <c r="EP638" s="46" t="str">
        <f t="shared" si="3632"/>
        <v>Ç</v>
      </c>
      <c r="EQ638" s="24" t="str">
        <f>IF(EJ613&lt;&gt;0,EM638/EJ613,"N/A")</f>
        <v>N/A</v>
      </c>
      <c r="ER638" s="24" t="str">
        <f>IF(EK613&lt;&gt;0,EN638/EK613,"N/A")</f>
        <v>N/A</v>
      </c>
      <c r="ES638" s="2">
        <f>IF(EN638="","",IF(EN638&gt;=0.9,1,IF(EN638&lt;0.75,3,2)))</f>
        <v>3</v>
      </c>
    </row>
    <row r="639" spans="1:149" ht="12" customHeight="1">
      <c r="A639" s="6" t="s">
        <v>23</v>
      </c>
      <c r="B639" s="2" t="s">
        <v>13</v>
      </c>
      <c r="C639" s="3" t="s">
        <v>71</v>
      </c>
      <c r="E639" s="3" t="s">
        <v>15</v>
      </c>
      <c r="G639" s="3" t="s">
        <v>91</v>
      </c>
      <c r="I639" s="23"/>
      <c r="J639" s="19">
        <v>0</v>
      </c>
      <c r="K639" s="19">
        <v>0</v>
      </c>
      <c r="L639" s="246">
        <v>7608.44</v>
      </c>
      <c r="M639" s="246">
        <v>7608.44</v>
      </c>
      <c r="N639" s="246">
        <v>7608.44</v>
      </c>
      <c r="O639" s="19">
        <v>7608.44</v>
      </c>
      <c r="P639" s="263">
        <v>17332.18</v>
      </c>
      <c r="Q639" s="263">
        <f>P639</f>
        <v>17332.18</v>
      </c>
      <c r="R639" s="263">
        <f>Q639</f>
        <v>17332.18</v>
      </c>
      <c r="S639" s="19">
        <v>17332</v>
      </c>
      <c r="T639" s="19">
        <v>17332</v>
      </c>
      <c r="U639" s="19">
        <v>17332</v>
      </c>
      <c r="V639" s="31">
        <v>0</v>
      </c>
      <c r="W639" s="19">
        <v>0</v>
      </c>
      <c r="X639" s="19">
        <v>0</v>
      </c>
      <c r="Y639" s="371">
        <v>0</v>
      </c>
      <c r="Z639" s="19">
        <v>0</v>
      </c>
      <c r="AA639" s="19">
        <v>0</v>
      </c>
      <c r="AB639" s="263">
        <v>60710.31</v>
      </c>
      <c r="AC639" s="19">
        <v>0</v>
      </c>
      <c r="AD639" s="19">
        <v>0</v>
      </c>
      <c r="AE639" s="19">
        <v>0</v>
      </c>
      <c r="AF639" s="19">
        <v>0</v>
      </c>
      <c r="AG639" s="19"/>
      <c r="AH639" s="404">
        <v>38314.35</v>
      </c>
      <c r="AI639" s="19"/>
      <c r="AJ639" s="19"/>
      <c r="AK639" s="408"/>
      <c r="AL639" s="19">
        <f t="shared" si="3614"/>
        <v>0</v>
      </c>
      <c r="AM639" s="19"/>
      <c r="AN639" s="19"/>
      <c r="AO639" s="19"/>
      <c r="AP639" s="19"/>
      <c r="AQ639" s="19">
        <f t="shared" si="3637"/>
        <v>0</v>
      </c>
      <c r="AR639" s="19">
        <f t="shared" si="3558"/>
        <v>9723.7400000000016</v>
      </c>
      <c r="AS639" s="19"/>
      <c r="AT639" s="19"/>
      <c r="AU639" s="19"/>
      <c r="AV639" s="19">
        <f t="shared" si="3562"/>
        <v>0</v>
      </c>
      <c r="AW639" s="19">
        <f t="shared" si="3563"/>
        <v>0</v>
      </c>
      <c r="AX639" s="19">
        <f t="shared" si="3615"/>
        <v>0</v>
      </c>
      <c r="AY639" s="19">
        <f t="shared" si="3564"/>
        <v>0</v>
      </c>
      <c r="AZ639" s="19">
        <f>IF(X639&lt;&gt;"",X639-W639,0)</f>
        <v>0</v>
      </c>
      <c r="BA639" s="19">
        <f t="shared" si="3619"/>
        <v>0</v>
      </c>
      <c r="BB639" s="19">
        <f t="shared" si="3677"/>
        <v>0</v>
      </c>
      <c r="BC639" s="19">
        <f t="shared" si="3677"/>
        <v>0</v>
      </c>
      <c r="BD639" s="19">
        <f t="shared" si="3677"/>
        <v>60710.31</v>
      </c>
      <c r="BE639" s="19">
        <f t="shared" si="3677"/>
        <v>-60710.31</v>
      </c>
      <c r="BF639" s="19">
        <f t="shared" si="3677"/>
        <v>0</v>
      </c>
      <c r="BG639" s="19">
        <f t="shared" si="3677"/>
        <v>0</v>
      </c>
      <c r="BH639" s="19">
        <f t="shared" si="3677"/>
        <v>0</v>
      </c>
      <c r="BI639" s="19">
        <f t="shared" si="3677"/>
        <v>0</v>
      </c>
      <c r="BJ639" s="19"/>
      <c r="BK639" s="19"/>
      <c r="BL639" s="19"/>
      <c r="BM639" s="408"/>
      <c r="BN639" s="40" t="s">
        <v>97</v>
      </c>
      <c r="BO639" s="40" t="s">
        <v>97</v>
      </c>
      <c r="BP639" s="40" t="s">
        <v>97</v>
      </c>
      <c r="BQ639" s="40" t="s">
        <v>97</v>
      </c>
      <c r="BR639" s="40" t="s">
        <v>97</v>
      </c>
      <c r="BS639" s="40" t="s">
        <v>97</v>
      </c>
      <c r="BT639" s="40" t="s">
        <v>97</v>
      </c>
      <c r="BU639" s="40" t="s">
        <v>97</v>
      </c>
      <c r="BV639" s="40" t="s">
        <v>97</v>
      </c>
      <c r="BW639" s="40" t="s">
        <v>97</v>
      </c>
      <c r="BX639" s="40" t="s">
        <v>97</v>
      </c>
      <c r="BY639" s="40" t="s">
        <v>97</v>
      </c>
      <c r="BZ639" s="40" t="s">
        <v>97</v>
      </c>
      <c r="CA639" s="40" t="s">
        <v>97</v>
      </c>
      <c r="CB639" s="40" t="s">
        <v>97</v>
      </c>
      <c r="CC639" s="40" t="s">
        <v>97</v>
      </c>
      <c r="CD639" s="40" t="s">
        <v>97</v>
      </c>
      <c r="CE639" s="40" t="s">
        <v>97</v>
      </c>
      <c r="CF639" s="40" t="s">
        <v>97</v>
      </c>
      <c r="CG639" s="40" t="s">
        <v>97</v>
      </c>
      <c r="CH639" s="40" t="s">
        <v>97</v>
      </c>
      <c r="CI639" s="40" t="s">
        <v>97</v>
      </c>
      <c r="CJ639" s="40" t="s">
        <v>97</v>
      </c>
      <c r="CK639" s="40" t="s">
        <v>97</v>
      </c>
      <c r="CL639" s="40" t="s">
        <v>97</v>
      </c>
      <c r="CM639" s="40" t="s">
        <v>97</v>
      </c>
      <c r="CN639" s="40" t="s">
        <v>97</v>
      </c>
      <c r="CO639" s="408"/>
      <c r="CP639" s="21">
        <f t="shared" ref="CP639:CY640" si="3678">J639</f>
        <v>0</v>
      </c>
      <c r="CQ639" s="21">
        <f t="shared" si="3678"/>
        <v>0</v>
      </c>
      <c r="CR639" s="21">
        <f t="shared" si="3678"/>
        <v>7608.44</v>
      </c>
      <c r="CS639" s="21">
        <f t="shared" si="3678"/>
        <v>7608.44</v>
      </c>
      <c r="CT639" s="21">
        <f t="shared" si="3678"/>
        <v>7608.44</v>
      </c>
      <c r="CU639" s="21">
        <f t="shared" si="3678"/>
        <v>7608.44</v>
      </c>
      <c r="CV639" s="21">
        <f t="shared" si="3678"/>
        <v>17332.18</v>
      </c>
      <c r="CW639" s="21">
        <f t="shared" si="3678"/>
        <v>17332.18</v>
      </c>
      <c r="CX639" s="21">
        <f t="shared" si="3678"/>
        <v>17332.18</v>
      </c>
      <c r="CY639" s="21">
        <f t="shared" si="3678"/>
        <v>17332</v>
      </c>
      <c r="CZ639" s="21">
        <f t="shared" ref="CZ639:DI640" si="3679">T639</f>
        <v>17332</v>
      </c>
      <c r="DA639" s="21">
        <f t="shared" si="3679"/>
        <v>17332</v>
      </c>
      <c r="DB639" s="21">
        <f t="shared" si="3679"/>
        <v>0</v>
      </c>
      <c r="DC639" s="21">
        <f t="shared" si="3679"/>
        <v>0</v>
      </c>
      <c r="DD639" s="21">
        <f t="shared" si="3679"/>
        <v>0</v>
      </c>
      <c r="DE639" s="21">
        <f t="shared" si="3679"/>
        <v>0</v>
      </c>
      <c r="DF639" s="21">
        <f t="shared" si="3679"/>
        <v>0</v>
      </c>
      <c r="DG639" s="21">
        <f t="shared" si="3679"/>
        <v>0</v>
      </c>
      <c r="DH639" s="21">
        <f t="shared" si="3679"/>
        <v>60710.31</v>
      </c>
      <c r="DI639" s="21">
        <f t="shared" si="3679"/>
        <v>0</v>
      </c>
      <c r="DJ639" s="21">
        <f t="shared" ref="DJ639:DP640" si="3680">AD639</f>
        <v>0</v>
      </c>
      <c r="DK639" s="21">
        <f t="shared" si="3680"/>
        <v>0</v>
      </c>
      <c r="DL639" s="21">
        <f t="shared" si="3680"/>
        <v>0</v>
      </c>
      <c r="DM639" s="21">
        <f t="shared" si="3680"/>
        <v>0</v>
      </c>
      <c r="DN639" s="21">
        <f t="shared" si="3680"/>
        <v>38314.35</v>
      </c>
      <c r="DO639" s="21">
        <f t="shared" si="3680"/>
        <v>0</v>
      </c>
      <c r="DP639" s="21">
        <f t="shared" si="3680"/>
        <v>0</v>
      </c>
      <c r="DQ639" s="248"/>
      <c r="DR639" s="248"/>
      <c r="DS639" s="248"/>
      <c r="DT639" s="248"/>
      <c r="DU639" s="248"/>
      <c r="DV639" s="248"/>
      <c r="DW639" s="248"/>
      <c r="DX639" s="248"/>
      <c r="DY639" s="248"/>
      <c r="ED639" s="429"/>
      <c r="EE639" s="23"/>
      <c r="EF639" s="23"/>
      <c r="EG639" s="23"/>
      <c r="EH639" s="24" t="s">
        <v>97</v>
      </c>
      <c r="EI639" s="24" t="s">
        <v>97</v>
      </c>
      <c r="EJ639" s="18">
        <f t="shared" si="3581"/>
        <v>0</v>
      </c>
      <c r="EK639" s="24">
        <f t="shared" si="3624"/>
        <v>0.16666666666666666</v>
      </c>
      <c r="EL639" s="24" t="s">
        <v>97</v>
      </c>
      <c r="EM639" s="24" t="s">
        <v>97</v>
      </c>
      <c r="EN639" s="24">
        <f>EJ639/EG614</f>
        <v>0</v>
      </c>
      <c r="EO639" s="46" t="str">
        <f t="shared" si="3631"/>
        <v>Æ</v>
      </c>
      <c r="EP639" s="46" t="str">
        <f t="shared" si="3632"/>
        <v>Æ</v>
      </c>
      <c r="EQ639" s="24" t="s">
        <v>97</v>
      </c>
      <c r="ER639" s="24" t="s">
        <v>97</v>
      </c>
      <c r="ES639" s="2">
        <f>IF(EN639&gt;=0.9,1,IF(EN639&lt;0.75,2,3))</f>
        <v>2</v>
      </c>
    </row>
    <row r="640" spans="1:149" ht="12" customHeight="1" thickBot="1">
      <c r="A640" s="6" t="s">
        <v>23</v>
      </c>
      <c r="B640" s="2" t="s">
        <v>14</v>
      </c>
      <c r="C640" s="3" t="s">
        <v>72</v>
      </c>
      <c r="E640" s="3" t="s">
        <v>15</v>
      </c>
      <c r="G640" s="3" t="s">
        <v>91</v>
      </c>
      <c r="I640" s="23"/>
      <c r="J640" s="19">
        <v>0</v>
      </c>
      <c r="K640" s="19">
        <f>J640</f>
        <v>0</v>
      </c>
      <c r="L640" s="254">
        <v>18420.009999999998</v>
      </c>
      <c r="M640" s="246">
        <v>18420.009999999998</v>
      </c>
      <c r="N640" s="246">
        <v>18420.009999999998</v>
      </c>
      <c r="O640" s="19">
        <f>11788.81+6631.2</f>
        <v>18420.009999999998</v>
      </c>
      <c r="P640" s="263">
        <f>25354.73+14262.03</f>
        <v>39616.76</v>
      </c>
      <c r="Q640" s="263">
        <f>P640</f>
        <v>39616.76</v>
      </c>
      <c r="R640" s="263">
        <f>Q640</f>
        <v>39616.76</v>
      </c>
      <c r="S640" s="19">
        <v>39617</v>
      </c>
      <c r="T640" s="19">
        <v>39617</v>
      </c>
      <c r="U640" s="19">
        <v>39617</v>
      </c>
      <c r="V640" s="34">
        <v>0</v>
      </c>
      <c r="W640" s="19">
        <v>0</v>
      </c>
      <c r="X640" s="19">
        <v>0</v>
      </c>
      <c r="Y640" s="371">
        <v>0</v>
      </c>
      <c r="Z640" s="19">
        <v>0</v>
      </c>
      <c r="AA640" s="19">
        <v>0</v>
      </c>
      <c r="AB640" s="263">
        <f>28280.45+50000</f>
        <v>78280.45</v>
      </c>
      <c r="AC640" s="19">
        <v>0</v>
      </c>
      <c r="AD640" s="19">
        <v>0</v>
      </c>
      <c r="AE640" s="19">
        <v>0</v>
      </c>
      <c r="AF640" s="19">
        <v>0</v>
      </c>
      <c r="AG640" s="19"/>
      <c r="AH640" s="387">
        <v>23968.16</v>
      </c>
      <c r="AI640" s="19"/>
      <c r="AJ640" s="19"/>
      <c r="AK640" s="408"/>
      <c r="AL640" s="19">
        <f t="shared" si="3614"/>
        <v>0</v>
      </c>
      <c r="AM640" s="19"/>
      <c r="AN640" s="19"/>
      <c r="AO640" s="19"/>
      <c r="AP640" s="19"/>
      <c r="AQ640" s="19">
        <f t="shared" si="3637"/>
        <v>0</v>
      </c>
      <c r="AR640" s="19">
        <f t="shared" si="3558"/>
        <v>21196.750000000004</v>
      </c>
      <c r="AS640" s="19"/>
      <c r="AT640" s="19"/>
      <c r="AU640" s="19"/>
      <c r="AV640" s="19">
        <f t="shared" si="3562"/>
        <v>0</v>
      </c>
      <c r="AW640" s="19">
        <f t="shared" si="3563"/>
        <v>0</v>
      </c>
      <c r="AX640" s="19">
        <f t="shared" si="3615"/>
        <v>0</v>
      </c>
      <c r="AY640" s="19">
        <f t="shared" si="3564"/>
        <v>0</v>
      </c>
      <c r="AZ640" s="19">
        <f>IF(X640&lt;&gt;"",X640-W640,0)</f>
        <v>0</v>
      </c>
      <c r="BA640" s="19">
        <f t="shared" si="3619"/>
        <v>0</v>
      </c>
      <c r="BB640" s="19"/>
      <c r="BC640" s="19"/>
      <c r="BD640" s="19"/>
      <c r="BE640" s="19"/>
      <c r="BF640" s="19"/>
      <c r="BG640" s="19"/>
      <c r="BH640" s="19"/>
      <c r="BI640" s="19"/>
      <c r="BJ640" s="19"/>
      <c r="BK640" s="19"/>
      <c r="BL640" s="19"/>
      <c r="BM640" s="408"/>
      <c r="BN640" s="40" t="s">
        <v>97</v>
      </c>
      <c r="BO640" s="40" t="s">
        <v>97</v>
      </c>
      <c r="BP640" s="40" t="s">
        <v>97</v>
      </c>
      <c r="BQ640" s="40" t="s">
        <v>97</v>
      </c>
      <c r="BR640" s="40" t="s">
        <v>97</v>
      </c>
      <c r="BS640" s="40" t="s">
        <v>97</v>
      </c>
      <c r="BT640" s="40" t="s">
        <v>97</v>
      </c>
      <c r="BU640" s="40" t="s">
        <v>97</v>
      </c>
      <c r="BV640" s="40" t="s">
        <v>97</v>
      </c>
      <c r="BW640" s="40" t="s">
        <v>97</v>
      </c>
      <c r="BX640" s="40" t="s">
        <v>97</v>
      </c>
      <c r="BY640" s="40" t="s">
        <v>97</v>
      </c>
      <c r="BZ640" s="40" t="s">
        <v>97</v>
      </c>
      <c r="CA640" s="40" t="s">
        <v>97</v>
      </c>
      <c r="CB640" s="40" t="s">
        <v>97</v>
      </c>
      <c r="CC640" s="40" t="s">
        <v>97</v>
      </c>
      <c r="CD640" s="40" t="s">
        <v>97</v>
      </c>
      <c r="CE640" s="40" t="s">
        <v>97</v>
      </c>
      <c r="CF640" s="40" t="s">
        <v>97</v>
      </c>
      <c r="CG640" s="40" t="s">
        <v>97</v>
      </c>
      <c r="CH640" s="40" t="s">
        <v>97</v>
      </c>
      <c r="CI640" s="40" t="s">
        <v>97</v>
      </c>
      <c r="CJ640" s="40" t="s">
        <v>97</v>
      </c>
      <c r="CK640" s="40" t="s">
        <v>97</v>
      </c>
      <c r="CL640" s="40" t="s">
        <v>97</v>
      </c>
      <c r="CM640" s="40" t="s">
        <v>97</v>
      </c>
      <c r="CN640" s="40" t="s">
        <v>97</v>
      </c>
      <c r="CO640" s="408"/>
      <c r="CP640" s="21">
        <f t="shared" si="3678"/>
        <v>0</v>
      </c>
      <c r="CQ640" s="21">
        <f t="shared" si="3678"/>
        <v>0</v>
      </c>
      <c r="CR640" s="21">
        <f t="shared" si="3678"/>
        <v>18420.009999999998</v>
      </c>
      <c r="CS640" s="21">
        <f t="shared" si="3678"/>
        <v>18420.009999999998</v>
      </c>
      <c r="CT640" s="21">
        <f t="shared" si="3678"/>
        <v>18420.009999999998</v>
      </c>
      <c r="CU640" s="21">
        <f t="shared" si="3678"/>
        <v>18420.009999999998</v>
      </c>
      <c r="CV640" s="21">
        <f t="shared" si="3678"/>
        <v>39616.76</v>
      </c>
      <c r="CW640" s="21">
        <f t="shared" si="3678"/>
        <v>39616.76</v>
      </c>
      <c r="CX640" s="21">
        <f t="shared" si="3678"/>
        <v>39616.76</v>
      </c>
      <c r="CY640" s="21">
        <f t="shared" si="3678"/>
        <v>39617</v>
      </c>
      <c r="CZ640" s="21">
        <f t="shared" si="3679"/>
        <v>39617</v>
      </c>
      <c r="DA640" s="21">
        <f t="shared" si="3679"/>
        <v>39617</v>
      </c>
      <c r="DB640" s="21">
        <f t="shared" si="3679"/>
        <v>0</v>
      </c>
      <c r="DC640" s="21">
        <f t="shared" si="3679"/>
        <v>0</v>
      </c>
      <c r="DD640" s="21">
        <f t="shared" si="3679"/>
        <v>0</v>
      </c>
      <c r="DE640" s="21">
        <f t="shared" si="3679"/>
        <v>0</v>
      </c>
      <c r="DF640" s="21">
        <f t="shared" si="3679"/>
        <v>0</v>
      </c>
      <c r="DG640" s="21">
        <f t="shared" si="3679"/>
        <v>0</v>
      </c>
      <c r="DH640" s="21">
        <f t="shared" si="3679"/>
        <v>78280.45</v>
      </c>
      <c r="DI640" s="21">
        <f t="shared" si="3679"/>
        <v>0</v>
      </c>
      <c r="DJ640" s="21">
        <f t="shared" si="3680"/>
        <v>0</v>
      </c>
      <c r="DK640" s="21">
        <f t="shared" si="3680"/>
        <v>0</v>
      </c>
      <c r="DL640" s="21">
        <f t="shared" si="3680"/>
        <v>0</v>
      </c>
      <c r="DM640" s="21">
        <f t="shared" si="3680"/>
        <v>0</v>
      </c>
      <c r="DN640" s="21">
        <f t="shared" si="3680"/>
        <v>23968.16</v>
      </c>
      <c r="DO640" s="21">
        <f t="shared" si="3680"/>
        <v>0</v>
      </c>
      <c r="DP640" s="21">
        <f t="shared" si="3680"/>
        <v>0</v>
      </c>
      <c r="DQ640" s="248"/>
      <c r="DR640" s="248"/>
      <c r="DS640" s="248"/>
      <c r="DT640" s="248"/>
      <c r="DU640" s="248"/>
      <c r="DV640" s="248"/>
      <c r="DW640" s="248"/>
      <c r="DX640" s="248"/>
      <c r="DY640" s="248"/>
      <c r="ED640" s="429"/>
      <c r="EE640" s="23"/>
      <c r="EF640" s="23"/>
      <c r="EG640" s="23"/>
      <c r="EH640" s="24" t="s">
        <v>97</v>
      </c>
      <c r="EI640" s="24" t="s">
        <v>97</v>
      </c>
      <c r="EJ640" s="18">
        <f t="shared" si="3581"/>
        <v>0</v>
      </c>
      <c r="EK640" s="24">
        <f t="shared" si="3624"/>
        <v>0.16666666666666666</v>
      </c>
      <c r="EL640" s="24" t="s">
        <v>97</v>
      </c>
      <c r="EM640" s="24" t="s">
        <v>97</v>
      </c>
      <c r="EN640" s="24">
        <f>EJ640/EG615</f>
        <v>0</v>
      </c>
      <c r="EO640" s="46" t="str">
        <f t="shared" si="3631"/>
        <v>Æ</v>
      </c>
      <c r="EP640" s="46" t="str">
        <f t="shared" si="3632"/>
        <v>Æ</v>
      </c>
      <c r="EQ640" s="24" t="s">
        <v>97</v>
      </c>
      <c r="ER640" s="24" t="s">
        <v>97</v>
      </c>
      <c r="ES640" s="2">
        <f>IF(EN640&gt;=0.9,1,IF(EN640&lt;0.75,2,3))</f>
        <v>2</v>
      </c>
    </row>
    <row r="641" spans="1:149" ht="12" customHeight="1">
      <c r="A641" s="6" t="s">
        <v>23</v>
      </c>
      <c r="B641" s="2" t="s">
        <v>0</v>
      </c>
      <c r="C641" s="3" t="s">
        <v>59</v>
      </c>
      <c r="E641" s="3" t="s">
        <v>16</v>
      </c>
      <c r="G641" s="28" t="s">
        <v>92</v>
      </c>
      <c r="H641" s="28"/>
      <c r="I641" s="29"/>
      <c r="J641" s="30">
        <f t="shared" ref="J641:U641" si="3681">IF(J628&lt;&gt;"",+J628-I628,"")</f>
        <v>33</v>
      </c>
      <c r="K641" s="30">
        <f t="shared" si="3681"/>
        <v>3</v>
      </c>
      <c r="L641" s="30">
        <f t="shared" si="3681"/>
        <v>0</v>
      </c>
      <c r="M641" s="30">
        <f t="shared" si="3681"/>
        <v>33</v>
      </c>
      <c r="N641" s="30">
        <f t="shared" si="3681"/>
        <v>14</v>
      </c>
      <c r="O641" s="30">
        <f t="shared" si="3681"/>
        <v>16</v>
      </c>
      <c r="P641" s="30">
        <f t="shared" si="3681"/>
        <v>18</v>
      </c>
      <c r="Q641" s="30">
        <f t="shared" si="3681"/>
        <v>13</v>
      </c>
      <c r="R641" s="30">
        <f t="shared" si="3681"/>
        <v>5</v>
      </c>
      <c r="S641" s="30">
        <f t="shared" si="3681"/>
        <v>52</v>
      </c>
      <c r="T641" s="30">
        <f t="shared" si="3681"/>
        <v>25</v>
      </c>
      <c r="U641" s="30">
        <f t="shared" si="3681"/>
        <v>7</v>
      </c>
      <c r="V641" s="30">
        <f>IF(V621&lt;&gt;"",+V621-U621,"")</f>
        <v>17</v>
      </c>
      <c r="W641" s="30">
        <f>IF(W628&lt;&gt;"",+W628-V628,"")</f>
        <v>7</v>
      </c>
      <c r="X641" s="30">
        <f>IF(X628&lt;&gt;"",+X628-W628,"")</f>
        <v>32</v>
      </c>
      <c r="Y641" s="226">
        <f>IF(Y628&lt;&gt;"",+Y628,0)</f>
        <v>71</v>
      </c>
      <c r="Z641" s="401">
        <f t="shared" ref="Z641:AG642" si="3682">IF(Z628&lt;&gt;"",+Z628-Y628,"")</f>
        <v>0</v>
      </c>
      <c r="AA641" s="30">
        <f t="shared" si="3682"/>
        <v>44</v>
      </c>
      <c r="AB641" s="30">
        <f t="shared" si="3682"/>
        <v>4</v>
      </c>
      <c r="AC641" s="30">
        <f t="shared" si="3682"/>
        <v>26</v>
      </c>
      <c r="AD641" s="30">
        <f t="shared" si="3682"/>
        <v>23</v>
      </c>
      <c r="AE641" s="30">
        <f t="shared" si="3682"/>
        <v>14</v>
      </c>
      <c r="AF641" s="30">
        <f t="shared" si="3682"/>
        <v>20</v>
      </c>
      <c r="AG641" s="30">
        <f t="shared" si="3682"/>
        <v>11</v>
      </c>
      <c r="AH641" s="30">
        <f>IF(AH628&lt;&gt;"",+AH628,"")</f>
        <v>39</v>
      </c>
      <c r="AI641" s="30">
        <f>IF(AI628&lt;&gt;"",+AI628-AH628,"")</f>
        <v>14</v>
      </c>
      <c r="AJ641" s="30" t="str">
        <f>IF(AJ628&lt;&gt;"",+AJ628-AI628,"")</f>
        <v/>
      </c>
      <c r="AK641" s="408"/>
      <c r="AL641" s="48">
        <f t="shared" si="3614"/>
        <v>33</v>
      </c>
      <c r="AM641" s="48">
        <f t="shared" ref="AM641:AV642" si="3683">K641</f>
        <v>3</v>
      </c>
      <c r="AN641" s="48">
        <f t="shared" si="3683"/>
        <v>0</v>
      </c>
      <c r="AO641" s="48">
        <f t="shared" si="3683"/>
        <v>33</v>
      </c>
      <c r="AP641" s="48">
        <f t="shared" si="3683"/>
        <v>14</v>
      </c>
      <c r="AQ641" s="48">
        <f t="shared" si="3683"/>
        <v>16</v>
      </c>
      <c r="AR641" s="48">
        <f t="shared" si="3683"/>
        <v>18</v>
      </c>
      <c r="AS641" s="48">
        <f t="shared" si="3683"/>
        <v>13</v>
      </c>
      <c r="AT641" s="48">
        <f t="shared" si="3683"/>
        <v>5</v>
      </c>
      <c r="AU641" s="48">
        <f t="shared" si="3683"/>
        <v>52</v>
      </c>
      <c r="AV641" s="48">
        <f t="shared" si="3683"/>
        <v>25</v>
      </c>
      <c r="AW641" s="48">
        <f t="shared" ref="AW641:BF642" si="3684">U641</f>
        <v>7</v>
      </c>
      <c r="AX641" s="48">
        <f t="shared" si="3684"/>
        <v>17</v>
      </c>
      <c r="AY641" s="48">
        <f t="shared" si="3684"/>
        <v>7</v>
      </c>
      <c r="AZ641" s="48">
        <f t="shared" si="3684"/>
        <v>32</v>
      </c>
      <c r="BA641" s="48">
        <f t="shared" si="3684"/>
        <v>71</v>
      </c>
      <c r="BB641" s="48">
        <f t="shared" si="3684"/>
        <v>0</v>
      </c>
      <c r="BC641" s="48">
        <f t="shared" si="3684"/>
        <v>44</v>
      </c>
      <c r="BD641" s="48">
        <f t="shared" si="3684"/>
        <v>4</v>
      </c>
      <c r="BE641" s="48">
        <f t="shared" si="3684"/>
        <v>26</v>
      </c>
      <c r="BF641" s="48">
        <f t="shared" si="3684"/>
        <v>23</v>
      </c>
      <c r="BG641" s="48">
        <f t="shared" ref="BG641:BL642" si="3685">AE641</f>
        <v>14</v>
      </c>
      <c r="BH641" s="48">
        <f t="shared" si="3685"/>
        <v>20</v>
      </c>
      <c r="BI641" s="48">
        <f t="shared" si="3685"/>
        <v>11</v>
      </c>
      <c r="BJ641" s="48">
        <f t="shared" si="3685"/>
        <v>39</v>
      </c>
      <c r="BK641" s="48">
        <f t="shared" si="3685"/>
        <v>14</v>
      </c>
      <c r="BL641" s="48" t="str">
        <f t="shared" si="3685"/>
        <v/>
      </c>
      <c r="BM641" s="408"/>
      <c r="BN641" s="48">
        <f>+AL641</f>
        <v>33</v>
      </c>
      <c r="BO641" s="48">
        <f t="shared" ref="BO641:BP643" si="3686">+BN641+AM641</f>
        <v>36</v>
      </c>
      <c r="BP641" s="48">
        <f t="shared" si="3686"/>
        <v>36</v>
      </c>
      <c r="BQ641" s="48">
        <f>+AO641</f>
        <v>33</v>
      </c>
      <c r="BR641" s="48">
        <f t="shared" ref="BR641:BS643" si="3687">+BQ641+AP641</f>
        <v>47</v>
      </c>
      <c r="BS641" s="48">
        <f t="shared" si="3687"/>
        <v>63</v>
      </c>
      <c r="BT641" s="48">
        <f>+AR641</f>
        <v>18</v>
      </c>
      <c r="BU641" s="48">
        <f t="shared" ref="BU641:BV643" si="3688">+BT641+AS641</f>
        <v>31</v>
      </c>
      <c r="BV641" s="48">
        <f t="shared" si="3688"/>
        <v>36</v>
      </c>
      <c r="BW641" s="48">
        <f>+AU641</f>
        <v>52</v>
      </c>
      <c r="BX641" s="48">
        <f t="shared" ref="BX641:BY643" si="3689">+BW641+AV641</f>
        <v>77</v>
      </c>
      <c r="BY641" s="48">
        <f t="shared" si="3689"/>
        <v>84</v>
      </c>
      <c r="BZ641" s="48">
        <f>+AX641</f>
        <v>17</v>
      </c>
      <c r="CA641" s="48">
        <f t="shared" ref="CA641:CB643" si="3690">+BZ641+AY641</f>
        <v>24</v>
      </c>
      <c r="CB641" s="48">
        <f t="shared" si="3690"/>
        <v>56</v>
      </c>
      <c r="CC641" s="48">
        <f>+BA641</f>
        <v>71</v>
      </c>
      <c r="CD641" s="48">
        <f t="shared" ref="CD641:CE643" si="3691">+CC641+BB641</f>
        <v>71</v>
      </c>
      <c r="CE641" s="48">
        <f t="shared" si="3691"/>
        <v>115</v>
      </c>
      <c r="CF641" s="48">
        <f>+BD641</f>
        <v>4</v>
      </c>
      <c r="CG641" s="48">
        <f t="shared" ref="CG641:CH643" si="3692">+CF641+BE641</f>
        <v>30</v>
      </c>
      <c r="CH641" s="48">
        <f t="shared" si="3692"/>
        <v>53</v>
      </c>
      <c r="CI641" s="48">
        <f>+BG641</f>
        <v>14</v>
      </c>
      <c r="CJ641" s="48">
        <f t="shared" ref="CJ641:CK643" si="3693">+CI641+BH641</f>
        <v>34</v>
      </c>
      <c r="CK641" s="48">
        <f t="shared" si="3693"/>
        <v>45</v>
      </c>
      <c r="CL641" s="48">
        <f>+BJ641</f>
        <v>39</v>
      </c>
      <c r="CM641" s="48">
        <f t="shared" ref="CM641:CN643" si="3694">+CL641+BK641</f>
        <v>53</v>
      </c>
      <c r="CN641" s="48" t="e">
        <f t="shared" si="3694"/>
        <v>#VALUE!</v>
      </c>
      <c r="CO641" s="406"/>
      <c r="CP641" s="40">
        <f>AL641</f>
        <v>33</v>
      </c>
      <c r="CQ641" s="40">
        <f t="shared" ref="CQ641:DA642" si="3695">CP641+AM641</f>
        <v>36</v>
      </c>
      <c r="CR641" s="40">
        <f t="shared" si="3695"/>
        <v>36</v>
      </c>
      <c r="CS641" s="40">
        <f t="shared" si="3695"/>
        <v>69</v>
      </c>
      <c r="CT641" s="40">
        <f t="shared" si="3695"/>
        <v>83</v>
      </c>
      <c r="CU641" s="40">
        <f t="shared" si="3695"/>
        <v>99</v>
      </c>
      <c r="CV641" s="40">
        <f t="shared" si="3695"/>
        <v>117</v>
      </c>
      <c r="CW641" s="40">
        <f t="shared" si="3695"/>
        <v>130</v>
      </c>
      <c r="CX641" s="40">
        <f t="shared" si="3695"/>
        <v>135</v>
      </c>
      <c r="CY641" s="40">
        <f t="shared" si="3695"/>
        <v>187</v>
      </c>
      <c r="CZ641" s="40">
        <f t="shared" si="3695"/>
        <v>212</v>
      </c>
      <c r="DA641" s="40">
        <f t="shared" si="3695"/>
        <v>219</v>
      </c>
      <c r="DB641" s="40">
        <f>AX641</f>
        <v>17</v>
      </c>
      <c r="DC641" s="40">
        <f t="shared" ref="DC641:DM642" si="3696">DB641+AY641</f>
        <v>24</v>
      </c>
      <c r="DD641" s="40">
        <f t="shared" si="3696"/>
        <v>56</v>
      </c>
      <c r="DE641" s="40">
        <f t="shared" si="3696"/>
        <v>127</v>
      </c>
      <c r="DF641" s="40">
        <f t="shared" si="3696"/>
        <v>127</v>
      </c>
      <c r="DG641" s="40">
        <f t="shared" si="3696"/>
        <v>171</v>
      </c>
      <c r="DH641" s="40">
        <f t="shared" si="3696"/>
        <v>175</v>
      </c>
      <c r="DI641" s="40">
        <f t="shared" si="3696"/>
        <v>201</v>
      </c>
      <c r="DJ641" s="40">
        <f t="shared" si="3696"/>
        <v>224</v>
      </c>
      <c r="DK641" s="40">
        <f t="shared" si="3696"/>
        <v>238</v>
      </c>
      <c r="DL641" s="40">
        <f t="shared" si="3696"/>
        <v>258</v>
      </c>
      <c r="DM641" s="40">
        <f t="shared" si="3696"/>
        <v>269</v>
      </c>
      <c r="DN641" s="40">
        <f>BJ641</f>
        <v>39</v>
      </c>
      <c r="DO641" s="40">
        <f>DN641+BK641</f>
        <v>53</v>
      </c>
      <c r="DP641" s="40" t="e">
        <f>DO641+BL641</f>
        <v>#VALUE!</v>
      </c>
      <c r="DQ641" s="40"/>
      <c r="DR641" s="40"/>
      <c r="DS641" s="40"/>
      <c r="DT641" s="40"/>
      <c r="DU641" s="40"/>
      <c r="DV641" s="40"/>
      <c r="DW641" s="40"/>
      <c r="DX641" s="40"/>
      <c r="DY641" s="40"/>
      <c r="EA641" s="53"/>
      <c r="EB641" s="53"/>
      <c r="EC641" s="53"/>
      <c r="ED641" s="429"/>
      <c r="EE641" s="54"/>
      <c r="EF641" s="54"/>
      <c r="EG641" s="54"/>
      <c r="EH641" s="18">
        <f>HLOOKUP($I$1,Month,ROW()-1)</f>
        <v>14</v>
      </c>
      <c r="EI641" s="18">
        <f>HLOOKUP($I$1,Qtr,ROW()-1)</f>
        <v>53</v>
      </c>
      <c r="EJ641" s="18">
        <f t="shared" si="3581"/>
        <v>53</v>
      </c>
      <c r="EK641" s="57">
        <f t="shared" si="3624"/>
        <v>0.16666666666666666</v>
      </c>
      <c r="EL641" s="14">
        <f>EH641/EE616</f>
        <v>0.37333333333333335</v>
      </c>
      <c r="EM641" s="14">
        <f>EI641/EF616</f>
        <v>0.56533333333333335</v>
      </c>
      <c r="EN641" s="14">
        <f>EJ641/EG616</f>
        <v>0.23555555555555555</v>
      </c>
      <c r="EO641" s="46" t="str">
        <f t="shared" si="3631"/>
        <v>È</v>
      </c>
      <c r="EP641" s="46" t="str">
        <f>IF(EI641&lt;0,,IF(EI641&gt;EF616,"È",IF(EI641=EF616,"Æ","Ç")))</f>
        <v>Ç</v>
      </c>
      <c r="EQ641" s="2">
        <f>IF(EL641&gt;=0.9,1,IF(EL641&lt;0.75,2,3))</f>
        <v>2</v>
      </c>
      <c r="ER641" s="2">
        <f>IF(EM641&gt;=0.9,1,IF(EM641&lt;0.75,2,3))</f>
        <v>2</v>
      </c>
      <c r="ES641" s="2">
        <f>IF(EN641&gt;=0.9,1,IF(EN641&lt;0.75,2,3))</f>
        <v>2</v>
      </c>
    </row>
    <row r="642" spans="1:149">
      <c r="A642" s="6" t="s">
        <v>23</v>
      </c>
      <c r="B642" s="2" t="s">
        <v>1</v>
      </c>
      <c r="C642" s="3" t="s">
        <v>60</v>
      </c>
      <c r="E642" s="3" t="s">
        <v>16</v>
      </c>
      <c r="G642" s="28" t="s">
        <v>92</v>
      </c>
      <c r="H642" s="28"/>
      <c r="I642" s="29"/>
      <c r="J642" s="30">
        <f>IF(J629&lt;&gt;"",,"")+J629-I629</f>
        <v>19</v>
      </c>
      <c r="K642" s="30">
        <f t="shared" ref="K642:U642" si="3697">IF(K629&lt;&gt;"",+K629-J629,"")</f>
        <v>1</v>
      </c>
      <c r="L642" s="30">
        <f t="shared" si="3697"/>
        <v>1</v>
      </c>
      <c r="M642" s="30">
        <f t="shared" si="3697"/>
        <v>5</v>
      </c>
      <c r="N642" s="30">
        <f t="shared" si="3697"/>
        <v>2</v>
      </c>
      <c r="O642" s="30">
        <f t="shared" si="3697"/>
        <v>10</v>
      </c>
      <c r="P642" s="30">
        <f t="shared" si="3697"/>
        <v>3</v>
      </c>
      <c r="Q642" s="30">
        <f t="shared" si="3697"/>
        <v>5</v>
      </c>
      <c r="R642" s="30">
        <f t="shared" si="3697"/>
        <v>1</v>
      </c>
      <c r="S642" s="30">
        <f t="shared" si="3697"/>
        <v>6</v>
      </c>
      <c r="T642" s="30">
        <f t="shared" si="3697"/>
        <v>5</v>
      </c>
      <c r="U642" s="30">
        <f t="shared" si="3697"/>
        <v>0</v>
      </c>
      <c r="V642" s="30">
        <f>IF(V629&lt;&gt;"",+V629,"")</f>
        <v>12</v>
      </c>
      <c r="W642" s="30">
        <f>IF(W629&lt;&gt;"",+W629-V629,"")</f>
        <v>2</v>
      </c>
      <c r="X642" s="30">
        <f>IF(X629&lt;&gt;"",+X629-W629,"")</f>
        <v>9</v>
      </c>
      <c r="Y642" s="30">
        <f>IF(Y629&lt;&gt;"",+Y629-X629,"")</f>
        <v>0</v>
      </c>
      <c r="Z642" s="30">
        <f t="shared" si="3682"/>
        <v>0</v>
      </c>
      <c r="AA642" s="30">
        <f t="shared" si="3682"/>
        <v>19</v>
      </c>
      <c r="AB642" s="30">
        <f t="shared" si="3682"/>
        <v>0</v>
      </c>
      <c r="AC642" s="30">
        <f t="shared" si="3682"/>
        <v>9</v>
      </c>
      <c r="AD642" s="30">
        <f t="shared" si="3682"/>
        <v>6</v>
      </c>
      <c r="AE642" s="30">
        <f t="shared" si="3682"/>
        <v>3</v>
      </c>
      <c r="AF642" s="30">
        <f t="shared" si="3682"/>
        <v>4</v>
      </c>
      <c r="AG642" s="30">
        <f t="shared" si="3682"/>
        <v>8</v>
      </c>
      <c r="AH642" s="30">
        <f>IF(AH629&lt;&gt;"",+AH629,"")</f>
        <v>20</v>
      </c>
      <c r="AI642" s="30">
        <f>IF(AI629&lt;&gt;"",+AI629-AH629,"")</f>
        <v>7</v>
      </c>
      <c r="AJ642" s="30" t="str">
        <f>IF(AJ629&lt;&gt;"",+AJ629-AI629,"")</f>
        <v/>
      </c>
      <c r="AK642" s="408"/>
      <c r="AL642" s="48">
        <f t="shared" si="3614"/>
        <v>19</v>
      </c>
      <c r="AM642" s="48">
        <f t="shared" si="3683"/>
        <v>1</v>
      </c>
      <c r="AN642" s="48">
        <f t="shared" si="3683"/>
        <v>1</v>
      </c>
      <c r="AO642" s="48">
        <f t="shared" si="3683"/>
        <v>5</v>
      </c>
      <c r="AP642" s="48">
        <f t="shared" si="3683"/>
        <v>2</v>
      </c>
      <c r="AQ642" s="48">
        <f t="shared" si="3683"/>
        <v>10</v>
      </c>
      <c r="AR642" s="48">
        <f t="shared" si="3683"/>
        <v>3</v>
      </c>
      <c r="AS642" s="48">
        <f t="shared" si="3683"/>
        <v>5</v>
      </c>
      <c r="AT642" s="48">
        <f t="shared" si="3683"/>
        <v>1</v>
      </c>
      <c r="AU642" s="48">
        <f t="shared" si="3683"/>
        <v>6</v>
      </c>
      <c r="AV642" s="48">
        <f t="shared" si="3683"/>
        <v>5</v>
      </c>
      <c r="AW642" s="48">
        <f t="shared" si="3684"/>
        <v>0</v>
      </c>
      <c r="AX642" s="48">
        <f t="shared" si="3684"/>
        <v>12</v>
      </c>
      <c r="AY642" s="48">
        <f t="shared" si="3684"/>
        <v>2</v>
      </c>
      <c r="AZ642" s="48">
        <f t="shared" si="3684"/>
        <v>9</v>
      </c>
      <c r="BA642" s="48">
        <f t="shared" si="3684"/>
        <v>0</v>
      </c>
      <c r="BB642" s="48">
        <f t="shared" si="3684"/>
        <v>0</v>
      </c>
      <c r="BC642" s="48">
        <f t="shared" si="3684"/>
        <v>19</v>
      </c>
      <c r="BD642" s="48">
        <f t="shared" si="3684"/>
        <v>0</v>
      </c>
      <c r="BE642" s="48">
        <f t="shared" si="3684"/>
        <v>9</v>
      </c>
      <c r="BF642" s="48">
        <f t="shared" si="3684"/>
        <v>6</v>
      </c>
      <c r="BG642" s="48">
        <f t="shared" si="3685"/>
        <v>3</v>
      </c>
      <c r="BH642" s="48">
        <f t="shared" si="3685"/>
        <v>4</v>
      </c>
      <c r="BI642" s="48">
        <f t="shared" si="3685"/>
        <v>8</v>
      </c>
      <c r="BJ642" s="48">
        <f t="shared" si="3685"/>
        <v>20</v>
      </c>
      <c r="BK642" s="48">
        <f t="shared" si="3685"/>
        <v>7</v>
      </c>
      <c r="BL642" s="48" t="str">
        <f t="shared" si="3685"/>
        <v/>
      </c>
      <c r="BM642" s="408"/>
      <c r="BN642" s="48">
        <f>+AL642</f>
        <v>19</v>
      </c>
      <c r="BO642" s="48">
        <f t="shared" si="3686"/>
        <v>20</v>
      </c>
      <c r="BP642" s="48">
        <f t="shared" si="3686"/>
        <v>21</v>
      </c>
      <c r="BQ642" s="48">
        <f>+AO642</f>
        <v>5</v>
      </c>
      <c r="BR642" s="48">
        <f t="shared" si="3687"/>
        <v>7</v>
      </c>
      <c r="BS642" s="48">
        <f t="shared" si="3687"/>
        <v>17</v>
      </c>
      <c r="BT642" s="48">
        <f>+AR642</f>
        <v>3</v>
      </c>
      <c r="BU642" s="48">
        <f t="shared" si="3688"/>
        <v>8</v>
      </c>
      <c r="BV642" s="48">
        <f t="shared" si="3688"/>
        <v>9</v>
      </c>
      <c r="BW642" s="48">
        <f>+AU642</f>
        <v>6</v>
      </c>
      <c r="BX642" s="48">
        <f t="shared" si="3689"/>
        <v>11</v>
      </c>
      <c r="BY642" s="48">
        <f t="shared" si="3689"/>
        <v>11</v>
      </c>
      <c r="BZ642" s="48">
        <f>+AX642</f>
        <v>12</v>
      </c>
      <c r="CA642" s="48">
        <f t="shared" si="3690"/>
        <v>14</v>
      </c>
      <c r="CB642" s="48">
        <f t="shared" si="3690"/>
        <v>23</v>
      </c>
      <c r="CC642" s="48">
        <f>+BA642</f>
        <v>0</v>
      </c>
      <c r="CD642" s="48">
        <f t="shared" si="3691"/>
        <v>0</v>
      </c>
      <c r="CE642" s="48">
        <f t="shared" si="3691"/>
        <v>19</v>
      </c>
      <c r="CF642" s="48">
        <f>+BD642</f>
        <v>0</v>
      </c>
      <c r="CG642" s="48">
        <f t="shared" si="3692"/>
        <v>9</v>
      </c>
      <c r="CH642" s="48">
        <f t="shared" si="3692"/>
        <v>15</v>
      </c>
      <c r="CI642" s="48">
        <f>+BG642</f>
        <v>3</v>
      </c>
      <c r="CJ642" s="48">
        <f t="shared" si="3693"/>
        <v>7</v>
      </c>
      <c r="CK642" s="48">
        <f t="shared" si="3693"/>
        <v>15</v>
      </c>
      <c r="CL642" s="48">
        <f>+BJ642</f>
        <v>20</v>
      </c>
      <c r="CM642" s="48">
        <f t="shared" si="3694"/>
        <v>27</v>
      </c>
      <c r="CN642" s="48" t="e">
        <f t="shared" si="3694"/>
        <v>#VALUE!</v>
      </c>
      <c r="CO642" s="406"/>
      <c r="CP642" s="40">
        <f>AL642</f>
        <v>19</v>
      </c>
      <c r="CQ642" s="40">
        <f t="shared" si="3695"/>
        <v>20</v>
      </c>
      <c r="CR642" s="40">
        <f t="shared" si="3695"/>
        <v>21</v>
      </c>
      <c r="CS642" s="40">
        <f t="shared" si="3695"/>
        <v>26</v>
      </c>
      <c r="CT642" s="40">
        <f t="shared" si="3695"/>
        <v>28</v>
      </c>
      <c r="CU642" s="40">
        <f t="shared" si="3695"/>
        <v>38</v>
      </c>
      <c r="CV642" s="40">
        <f t="shared" si="3695"/>
        <v>41</v>
      </c>
      <c r="CW642" s="40">
        <f t="shared" si="3695"/>
        <v>46</v>
      </c>
      <c r="CX642" s="40">
        <f t="shared" si="3695"/>
        <v>47</v>
      </c>
      <c r="CY642" s="40">
        <f t="shared" si="3695"/>
        <v>53</v>
      </c>
      <c r="CZ642" s="40">
        <f t="shared" si="3695"/>
        <v>58</v>
      </c>
      <c r="DA642" s="40">
        <f t="shared" si="3695"/>
        <v>58</v>
      </c>
      <c r="DB642" s="40">
        <f>AX642</f>
        <v>12</v>
      </c>
      <c r="DC642" s="40">
        <f t="shared" si="3696"/>
        <v>14</v>
      </c>
      <c r="DD642" s="40">
        <f t="shared" si="3696"/>
        <v>23</v>
      </c>
      <c r="DE642" s="40">
        <f t="shared" si="3696"/>
        <v>23</v>
      </c>
      <c r="DF642" s="40">
        <f t="shared" si="3696"/>
        <v>23</v>
      </c>
      <c r="DG642" s="40">
        <f t="shared" si="3696"/>
        <v>42</v>
      </c>
      <c r="DH642" s="40">
        <f t="shared" si="3696"/>
        <v>42</v>
      </c>
      <c r="DI642" s="40">
        <f t="shared" si="3696"/>
        <v>51</v>
      </c>
      <c r="DJ642" s="40">
        <f t="shared" si="3696"/>
        <v>57</v>
      </c>
      <c r="DK642" s="40">
        <f t="shared" si="3696"/>
        <v>60</v>
      </c>
      <c r="DL642" s="40">
        <f t="shared" si="3696"/>
        <v>64</v>
      </c>
      <c r="DM642" s="40">
        <f t="shared" si="3696"/>
        <v>72</v>
      </c>
      <c r="DN642" s="40">
        <f>BJ642</f>
        <v>20</v>
      </c>
      <c r="DO642" s="40">
        <f>DN642+BK642</f>
        <v>27</v>
      </c>
      <c r="DP642" s="40" t="e">
        <f>DO642+BL642</f>
        <v>#VALUE!</v>
      </c>
      <c r="DQ642" s="40"/>
      <c r="DR642" s="40"/>
      <c r="DS642" s="40"/>
      <c r="DT642" s="40"/>
      <c r="DU642" s="40"/>
      <c r="DV642" s="40"/>
      <c r="DW642" s="40"/>
      <c r="DX642" s="40"/>
      <c r="DY642" s="40"/>
      <c r="EA642" s="53"/>
      <c r="EB642" s="53"/>
      <c r="EC642" s="53"/>
      <c r="ED642" s="429"/>
      <c r="EE642" s="54"/>
      <c r="EF642" s="54"/>
      <c r="EG642" s="54"/>
      <c r="EH642" s="18">
        <f>HLOOKUP($I$1,Month,ROW()-1)</f>
        <v>7</v>
      </c>
      <c r="EI642" s="18">
        <f>HLOOKUP($I$1,Qtr,ROW()-1)</f>
        <v>27</v>
      </c>
      <c r="EJ642" s="18">
        <f t="shared" si="3581"/>
        <v>27</v>
      </c>
      <c r="EK642" s="57">
        <f t="shared" si="3624"/>
        <v>0.16666666666666666</v>
      </c>
      <c r="EL642" s="14">
        <f>EH642/EE617</f>
        <v>1.2923068970419105</v>
      </c>
      <c r="EM642" s="14">
        <f>EI642/EF617</f>
        <v>2.4923061585808273</v>
      </c>
      <c r="EN642" s="14">
        <f>EJ642/EG617</f>
        <v>0.45957425956224945</v>
      </c>
      <c r="EO642" s="46" t="str">
        <f t="shared" si="3631"/>
        <v>Ç</v>
      </c>
      <c r="EP642" s="46" t="str">
        <f t="shared" si="3632"/>
        <v>Ç</v>
      </c>
      <c r="EQ642" s="2">
        <f>IF(EL642&gt;=0.9,1,IF(EL642&lt;0.75,2,3))</f>
        <v>1</v>
      </c>
      <c r="ER642" s="2">
        <f>IF(EM642&gt;=0.9,1,IF(EM642&lt;0.75,2,3))</f>
        <v>1</v>
      </c>
      <c r="ES642" s="2">
        <f>IF(EN642&gt;=0.9,1,IF(EN642&lt;0.75,2,3))</f>
        <v>2</v>
      </c>
    </row>
    <row r="643" spans="1:149">
      <c r="A643" s="6" t="s">
        <v>23</v>
      </c>
      <c r="B643" s="2" t="s">
        <v>98</v>
      </c>
      <c r="G643" s="28" t="s">
        <v>92</v>
      </c>
      <c r="H643" s="28"/>
      <c r="I643" s="29"/>
      <c r="J643" s="32">
        <f>J630*J631</f>
        <v>0</v>
      </c>
      <c r="K643" s="32">
        <f t="shared" ref="K643:AJ643" si="3698">K630*K631</f>
        <v>1</v>
      </c>
      <c r="L643" s="32">
        <f t="shared" si="3698"/>
        <v>0</v>
      </c>
      <c r="M643" s="32">
        <f t="shared" si="3698"/>
        <v>0</v>
      </c>
      <c r="N643" s="32">
        <f t="shared" si="3698"/>
        <v>3</v>
      </c>
      <c r="O643" s="32">
        <f t="shared" si="3698"/>
        <v>1</v>
      </c>
      <c r="P643" s="32">
        <f t="shared" si="3698"/>
        <v>1</v>
      </c>
      <c r="Q643" s="32">
        <f t="shared" si="3698"/>
        <v>3</v>
      </c>
      <c r="R643" s="32">
        <f t="shared" si="3698"/>
        <v>0</v>
      </c>
      <c r="S643" s="32">
        <f t="shared" si="3698"/>
        <v>0</v>
      </c>
      <c r="T643" s="32">
        <f t="shared" si="3698"/>
        <v>7</v>
      </c>
      <c r="U643" s="32">
        <f t="shared" si="3698"/>
        <v>3.4</v>
      </c>
      <c r="V643" s="32">
        <f t="shared" si="3698"/>
        <v>1</v>
      </c>
      <c r="W643" s="32">
        <f t="shared" si="3698"/>
        <v>3</v>
      </c>
      <c r="X643" s="32">
        <f t="shared" si="3698"/>
        <v>0</v>
      </c>
      <c r="Y643" s="32">
        <f t="shared" si="3698"/>
        <v>0.6</v>
      </c>
      <c r="Z643" s="32">
        <f t="shared" si="3698"/>
        <v>0</v>
      </c>
      <c r="AA643" s="32">
        <f t="shared" si="3698"/>
        <v>0</v>
      </c>
      <c r="AB643" s="32">
        <f t="shared" si="3698"/>
        <v>0</v>
      </c>
      <c r="AC643" s="32">
        <f t="shared" si="3698"/>
        <v>1</v>
      </c>
      <c r="AD643" s="32">
        <f t="shared" si="3698"/>
        <v>0</v>
      </c>
      <c r="AE643" s="32">
        <f t="shared" si="3698"/>
        <v>8</v>
      </c>
      <c r="AF643" s="32">
        <f t="shared" si="3698"/>
        <v>1.8</v>
      </c>
      <c r="AG643" s="32">
        <f t="shared" si="3698"/>
        <v>1</v>
      </c>
      <c r="AH643" s="32">
        <f t="shared" si="3698"/>
        <v>4</v>
      </c>
      <c r="AI643" s="32">
        <f t="shared" si="3698"/>
        <v>3</v>
      </c>
      <c r="AJ643" s="32">
        <f t="shared" si="3698"/>
        <v>0</v>
      </c>
      <c r="AK643" s="408"/>
      <c r="AL643" s="56">
        <f t="shared" ref="AL643:BL643" si="3699">AL630*AL631</f>
        <v>0</v>
      </c>
      <c r="AM643" s="56">
        <f t="shared" si="3699"/>
        <v>1</v>
      </c>
      <c r="AN643" s="56">
        <f t="shared" si="3699"/>
        <v>0</v>
      </c>
      <c r="AO643" s="56">
        <f t="shared" si="3699"/>
        <v>0</v>
      </c>
      <c r="AP643" s="56">
        <f t="shared" si="3699"/>
        <v>3</v>
      </c>
      <c r="AQ643" s="56">
        <f t="shared" si="3699"/>
        <v>1</v>
      </c>
      <c r="AR643" s="56">
        <f t="shared" si="3699"/>
        <v>1</v>
      </c>
      <c r="AS643" s="56">
        <f t="shared" si="3699"/>
        <v>3</v>
      </c>
      <c r="AT643" s="56">
        <f t="shared" si="3699"/>
        <v>0</v>
      </c>
      <c r="AU643" s="56">
        <f t="shared" si="3699"/>
        <v>0</v>
      </c>
      <c r="AV643" s="56">
        <f t="shared" si="3699"/>
        <v>7</v>
      </c>
      <c r="AW643" s="56">
        <f t="shared" si="3699"/>
        <v>3.4</v>
      </c>
      <c r="AX643" s="56">
        <f t="shared" si="3699"/>
        <v>1</v>
      </c>
      <c r="AY643" s="56">
        <f t="shared" si="3699"/>
        <v>3</v>
      </c>
      <c r="AZ643" s="56">
        <f t="shared" si="3699"/>
        <v>0</v>
      </c>
      <c r="BA643" s="56">
        <f t="shared" si="3699"/>
        <v>0.6</v>
      </c>
      <c r="BB643" s="56">
        <f t="shared" si="3699"/>
        <v>0</v>
      </c>
      <c r="BC643" s="56">
        <f t="shared" si="3699"/>
        <v>0</v>
      </c>
      <c r="BD643" s="56">
        <f t="shared" si="3699"/>
        <v>0</v>
      </c>
      <c r="BE643" s="56">
        <f t="shared" si="3699"/>
        <v>1</v>
      </c>
      <c r="BF643" s="56">
        <f t="shared" si="3699"/>
        <v>0</v>
      </c>
      <c r="BG643" s="56">
        <f t="shared" si="3699"/>
        <v>8</v>
      </c>
      <c r="BH643" s="56">
        <f t="shared" si="3699"/>
        <v>1.8</v>
      </c>
      <c r="BI643" s="56">
        <f t="shared" si="3699"/>
        <v>1</v>
      </c>
      <c r="BJ643" s="56">
        <f t="shared" si="3699"/>
        <v>4</v>
      </c>
      <c r="BK643" s="56">
        <f t="shared" si="3699"/>
        <v>3</v>
      </c>
      <c r="BL643" s="56">
        <f t="shared" si="3699"/>
        <v>0</v>
      </c>
      <c r="BM643" s="408"/>
      <c r="BN643" s="56">
        <f>+AL643</f>
        <v>0</v>
      </c>
      <c r="BO643" s="56">
        <f t="shared" si="3686"/>
        <v>1</v>
      </c>
      <c r="BP643" s="56">
        <f t="shared" si="3686"/>
        <v>1</v>
      </c>
      <c r="BQ643" s="56">
        <f>+AO643</f>
        <v>0</v>
      </c>
      <c r="BR643" s="56">
        <f t="shared" si="3687"/>
        <v>3</v>
      </c>
      <c r="BS643" s="56">
        <f t="shared" si="3687"/>
        <v>4</v>
      </c>
      <c r="BT643" s="56">
        <f>+AR643</f>
        <v>1</v>
      </c>
      <c r="BU643" s="56">
        <f t="shared" si="3688"/>
        <v>4</v>
      </c>
      <c r="BV643" s="56">
        <f t="shared" si="3688"/>
        <v>4</v>
      </c>
      <c r="BW643" s="56">
        <f>+AU643</f>
        <v>0</v>
      </c>
      <c r="BX643" s="56">
        <f t="shared" si="3689"/>
        <v>7</v>
      </c>
      <c r="BY643" s="56">
        <f t="shared" si="3689"/>
        <v>10.4</v>
      </c>
      <c r="BZ643" s="56">
        <f>+AX643</f>
        <v>1</v>
      </c>
      <c r="CA643" s="56">
        <f t="shared" si="3690"/>
        <v>4</v>
      </c>
      <c r="CB643" s="56">
        <f t="shared" si="3690"/>
        <v>4</v>
      </c>
      <c r="CC643" s="56">
        <f>+BA643</f>
        <v>0.6</v>
      </c>
      <c r="CD643" s="56">
        <f t="shared" si="3691"/>
        <v>0.6</v>
      </c>
      <c r="CE643" s="56">
        <f t="shared" si="3691"/>
        <v>0.6</v>
      </c>
      <c r="CF643" s="56">
        <f>+BD643</f>
        <v>0</v>
      </c>
      <c r="CG643" s="56">
        <f t="shared" si="3692"/>
        <v>1</v>
      </c>
      <c r="CH643" s="56">
        <f t="shared" si="3692"/>
        <v>1</v>
      </c>
      <c r="CI643" s="56">
        <f>+BG643</f>
        <v>8</v>
      </c>
      <c r="CJ643" s="56">
        <f t="shared" si="3693"/>
        <v>9.8000000000000007</v>
      </c>
      <c r="CK643" s="56">
        <f t="shared" si="3693"/>
        <v>10.8</v>
      </c>
      <c r="CL643" s="56">
        <f>+BJ643</f>
        <v>4</v>
      </c>
      <c r="CM643" s="56">
        <f t="shared" si="3694"/>
        <v>7</v>
      </c>
      <c r="CN643" s="56">
        <f t="shared" si="3694"/>
        <v>7</v>
      </c>
      <c r="CO643" s="406"/>
      <c r="CP643" s="60">
        <f>J643</f>
        <v>0</v>
      </c>
      <c r="CQ643" s="60">
        <f t="shared" ref="CQ643:DA643" si="3700">CP643+K643</f>
        <v>1</v>
      </c>
      <c r="CR643" s="60">
        <f t="shared" si="3700"/>
        <v>1</v>
      </c>
      <c r="CS643" s="60">
        <f t="shared" si="3700"/>
        <v>1</v>
      </c>
      <c r="CT643" s="60">
        <f t="shared" si="3700"/>
        <v>4</v>
      </c>
      <c r="CU643" s="60">
        <f t="shared" si="3700"/>
        <v>5</v>
      </c>
      <c r="CV643" s="60">
        <f t="shared" si="3700"/>
        <v>6</v>
      </c>
      <c r="CW643" s="60">
        <f t="shared" si="3700"/>
        <v>9</v>
      </c>
      <c r="CX643" s="60">
        <f t="shared" si="3700"/>
        <v>9</v>
      </c>
      <c r="CY643" s="60">
        <f t="shared" si="3700"/>
        <v>9</v>
      </c>
      <c r="CZ643" s="60">
        <f t="shared" si="3700"/>
        <v>16</v>
      </c>
      <c r="DA643" s="60">
        <f t="shared" si="3700"/>
        <v>19.399999999999999</v>
      </c>
      <c r="DB643" s="60">
        <f>V643</f>
        <v>1</v>
      </c>
      <c r="DC643" s="60">
        <f t="shared" ref="DC643:DM643" si="3701">DB643+W643</f>
        <v>4</v>
      </c>
      <c r="DD643" s="60">
        <f t="shared" si="3701"/>
        <v>4</v>
      </c>
      <c r="DE643" s="60">
        <f t="shared" si="3701"/>
        <v>4.5999999999999996</v>
      </c>
      <c r="DF643" s="60">
        <f t="shared" si="3701"/>
        <v>4.5999999999999996</v>
      </c>
      <c r="DG643" s="60">
        <f t="shared" si="3701"/>
        <v>4.5999999999999996</v>
      </c>
      <c r="DH643" s="60">
        <f t="shared" si="3701"/>
        <v>4.5999999999999996</v>
      </c>
      <c r="DI643" s="60">
        <f t="shared" si="3701"/>
        <v>5.6</v>
      </c>
      <c r="DJ643" s="60">
        <f t="shared" si="3701"/>
        <v>5.6</v>
      </c>
      <c r="DK643" s="60">
        <f t="shared" si="3701"/>
        <v>13.6</v>
      </c>
      <c r="DL643" s="60">
        <f t="shared" si="3701"/>
        <v>15.4</v>
      </c>
      <c r="DM643" s="60">
        <f t="shared" si="3701"/>
        <v>16.399999999999999</v>
      </c>
      <c r="DN643" s="60">
        <f>AH643</f>
        <v>4</v>
      </c>
      <c r="DO643" s="60">
        <f>DN643+AI643</f>
        <v>7</v>
      </c>
      <c r="DP643" s="60">
        <f>DO643+AJ643</f>
        <v>7</v>
      </c>
      <c r="DQ643" s="60"/>
      <c r="DR643" s="60"/>
      <c r="DS643" s="60"/>
      <c r="DT643" s="60"/>
      <c r="DU643" s="60"/>
      <c r="DV643" s="60"/>
      <c r="DW643" s="60"/>
      <c r="DX643" s="60"/>
      <c r="DY643" s="60"/>
      <c r="EA643" s="53"/>
      <c r="EB643" s="53"/>
      <c r="EC643" s="53"/>
      <c r="ED643" s="429"/>
      <c r="EE643" s="54"/>
      <c r="EF643" s="54"/>
      <c r="EG643" s="54"/>
      <c r="EH643" s="18">
        <f>HLOOKUP($I$1,Month,ROW()-1)</f>
        <v>3</v>
      </c>
      <c r="EI643" s="18">
        <f>HLOOKUP($I$1,Qtr,ROW()-1)</f>
        <v>7</v>
      </c>
      <c r="EJ643" s="18">
        <f t="shared" si="3581"/>
        <v>7</v>
      </c>
      <c r="EK643" s="57">
        <f t="shared" si="3624"/>
        <v>0.16666666666666666</v>
      </c>
      <c r="EL643" s="14"/>
      <c r="EM643" s="14" t="e">
        <f>EI643/EF619</f>
        <v>#DIV/0!</v>
      </c>
      <c r="EN643" s="14"/>
      <c r="EO643" s="46" t="str">
        <f>IF(EH643&lt;0,,IF(EH643&lt;EE619,"È",IF(EH643=EE619,"Æ","Ç")))</f>
        <v>Ç</v>
      </c>
      <c r="EP643" s="46" t="str">
        <f>IF(EI643&lt;0,,IF(EI643&lt;EF619,"È",IF(EI643=EF619,"Æ","Ç")))</f>
        <v>Ç</v>
      </c>
    </row>
    <row r="644" spans="1:149" ht="13.5" thickBot="1">
      <c r="K644" s="42" t="s">
        <v>114</v>
      </c>
      <c r="AL644" s="14"/>
      <c r="CN644" s="23" t="s">
        <v>152</v>
      </c>
      <c r="CP644" s="2">
        <v>10</v>
      </c>
      <c r="CQ644" s="2">
        <v>11</v>
      </c>
      <c r="CR644" s="2">
        <v>12</v>
      </c>
      <c r="CS644" s="2">
        <v>1</v>
      </c>
      <c r="CT644" s="2">
        <v>2</v>
      </c>
      <c r="CU644" s="2">
        <v>3</v>
      </c>
      <c r="CV644" s="2">
        <v>4</v>
      </c>
      <c r="CW644" s="2">
        <v>5</v>
      </c>
      <c r="CX644" s="2">
        <v>6</v>
      </c>
      <c r="CY644" s="2">
        <v>7</v>
      </c>
      <c r="CZ644" s="2">
        <v>8</v>
      </c>
      <c r="DA644" s="2">
        <v>9</v>
      </c>
      <c r="DB644" s="2">
        <v>10</v>
      </c>
      <c r="DC644" s="2">
        <v>11</v>
      </c>
      <c r="DD644" s="2">
        <v>12</v>
      </c>
      <c r="DE644" s="2">
        <v>1</v>
      </c>
      <c r="DF644" s="2">
        <v>2</v>
      </c>
      <c r="DG644" s="2">
        <v>3</v>
      </c>
      <c r="DH644" s="2">
        <v>4</v>
      </c>
      <c r="DI644" s="2">
        <v>5</v>
      </c>
      <c r="DJ644" s="2">
        <v>6</v>
      </c>
      <c r="DK644" s="2">
        <v>7</v>
      </c>
      <c r="DL644" s="2">
        <v>8</v>
      </c>
      <c r="DM644" s="2">
        <v>9</v>
      </c>
      <c r="DN644" s="2">
        <v>10</v>
      </c>
      <c r="DO644" s="2">
        <v>11</v>
      </c>
      <c r="DP644" s="2">
        <v>12</v>
      </c>
      <c r="ED644" s="429"/>
      <c r="EE644" s="23"/>
      <c r="EF644" s="23"/>
      <c r="EG644" s="23"/>
      <c r="EH644" s="23"/>
      <c r="EI644" s="23"/>
      <c r="EJ644" s="23"/>
      <c r="EK644" s="23"/>
    </row>
    <row r="645" spans="1:149" ht="13.5" thickBot="1">
      <c r="E645" s="666" t="s">
        <v>88</v>
      </c>
      <c r="F645" s="667"/>
      <c r="G645" s="667"/>
      <c r="H645" s="667"/>
      <c r="I645" s="668"/>
      <c r="CN645" s="23" t="s">
        <v>153</v>
      </c>
      <c r="CP645" s="2">
        <v>1</v>
      </c>
      <c r="CQ645" s="2">
        <v>2</v>
      </c>
      <c r="CR645" s="2">
        <v>3</v>
      </c>
      <c r="CS645" s="2">
        <v>4</v>
      </c>
      <c r="CT645" s="2">
        <v>5</v>
      </c>
      <c r="CU645" s="2">
        <v>6</v>
      </c>
      <c r="CV645" s="2">
        <v>7</v>
      </c>
      <c r="CW645" s="2">
        <v>8</v>
      </c>
      <c r="CX645" s="2">
        <v>9</v>
      </c>
      <c r="CY645" s="2">
        <v>10</v>
      </c>
      <c r="CZ645" s="2">
        <v>11</v>
      </c>
      <c r="DA645" s="2">
        <v>12</v>
      </c>
      <c r="DB645" s="2">
        <v>1</v>
      </c>
      <c r="DC645" s="2">
        <v>2</v>
      </c>
      <c r="DD645" s="2">
        <v>3</v>
      </c>
      <c r="DE645" s="2">
        <v>4</v>
      </c>
      <c r="DF645" s="2">
        <v>5</v>
      </c>
      <c r="DG645" s="2">
        <v>6</v>
      </c>
      <c r="DH645" s="2">
        <v>7</v>
      </c>
      <c r="DI645" s="2">
        <v>8</v>
      </c>
      <c r="DJ645" s="2">
        <v>9</v>
      </c>
      <c r="DK645" s="2">
        <v>10</v>
      </c>
      <c r="DL645" s="2">
        <v>11</v>
      </c>
      <c r="DM645" s="2">
        <v>12</v>
      </c>
      <c r="ED645" s="429"/>
      <c r="EE645" s="23"/>
      <c r="EF645" s="23"/>
      <c r="EG645" s="23"/>
      <c r="EH645" s="23"/>
      <c r="EI645" s="23"/>
      <c r="EJ645" s="23"/>
      <c r="EK645" s="23"/>
    </row>
    <row r="646" spans="1:149" ht="13.5" thickBot="1">
      <c r="A646" s="6" t="s">
        <v>30</v>
      </c>
      <c r="C646" s="11" t="s">
        <v>73</v>
      </c>
      <c r="E646" s="8" t="s">
        <v>34</v>
      </c>
      <c r="F646" s="11" t="s">
        <v>33</v>
      </c>
      <c r="G646" s="9" t="s">
        <v>34</v>
      </c>
      <c r="H646" s="11" t="s">
        <v>33</v>
      </c>
      <c r="I646" s="11" t="s">
        <v>34</v>
      </c>
      <c r="AL646" s="109"/>
    </row>
    <row r="647" spans="1:149">
      <c r="A647" s="6" t="s">
        <v>23</v>
      </c>
      <c r="B647" s="2" t="s">
        <v>24</v>
      </c>
      <c r="C647" s="3" t="s">
        <v>74</v>
      </c>
      <c r="E647" s="4" t="str">
        <f>C604</f>
        <v>BInBusNew</v>
      </c>
      <c r="F647" s="4" t="s">
        <v>31</v>
      </c>
      <c r="G647" s="28" t="str">
        <f>C603</f>
        <v>BAllNew</v>
      </c>
      <c r="H647" s="28"/>
      <c r="I647" s="28"/>
      <c r="J647" s="62">
        <f t="shared" ref="J647:AJ647" si="3702">J604/J603</f>
        <v>0.44999999999999996</v>
      </c>
      <c r="K647" s="62">
        <f t="shared" si="3702"/>
        <v>0.45000000008999996</v>
      </c>
      <c r="L647" s="62">
        <f t="shared" si="3702"/>
        <v>0.45000000012000002</v>
      </c>
      <c r="M647" s="62">
        <f t="shared" si="3702"/>
        <v>0.45000000013499997</v>
      </c>
      <c r="N647" s="62">
        <f t="shared" si="3702"/>
        <v>0.45000000014399993</v>
      </c>
      <c r="O647" s="62">
        <f t="shared" si="3702"/>
        <v>0.45000000014999997</v>
      </c>
      <c r="P647" s="62">
        <f t="shared" si="3702"/>
        <v>0.45000000015428565</v>
      </c>
      <c r="Q647" s="62">
        <f t="shared" si="3702"/>
        <v>0.45000000015749991</v>
      </c>
      <c r="R647" s="62">
        <f t="shared" si="3702"/>
        <v>0.45000000015999991</v>
      </c>
      <c r="S647" s="62">
        <f t="shared" si="3702"/>
        <v>0.45000000016199992</v>
      </c>
      <c r="T647" s="62">
        <f t="shared" si="3702"/>
        <v>0.45000000016363628</v>
      </c>
      <c r="U647" s="62">
        <f t="shared" si="3702"/>
        <v>0.45000000016499991</v>
      </c>
      <c r="V647" s="62">
        <f t="shared" si="3702"/>
        <v>0.5</v>
      </c>
      <c r="W647" s="62">
        <f t="shared" si="3702"/>
        <v>0.50000012000002414</v>
      </c>
      <c r="X647" s="62">
        <f t="shared" si="3702"/>
        <v>0.50000016000004277</v>
      </c>
      <c r="Y647" s="62">
        <f t="shared" si="3702"/>
        <v>0.50000018000005408</v>
      </c>
      <c r="Z647" s="62">
        <f t="shared" si="3702"/>
        <v>0.50000019200006152</v>
      </c>
      <c r="AA647" s="62">
        <f t="shared" si="3702"/>
        <v>0.50000020000006673</v>
      </c>
      <c r="AB647" s="62">
        <f t="shared" si="3702"/>
        <v>0.50000020571435633</v>
      </c>
      <c r="AC647" s="62">
        <f t="shared" si="3702"/>
        <v>0.50000021000007355</v>
      </c>
      <c r="AD647" s="62">
        <f t="shared" si="3702"/>
        <v>0.50000021333340916</v>
      </c>
      <c r="AE647" s="62">
        <f t="shared" si="3702"/>
        <v>0.50000021600007782</v>
      </c>
      <c r="AF647" s="62">
        <f t="shared" si="3702"/>
        <v>0.50000021818189755</v>
      </c>
      <c r="AG647" s="62">
        <f t="shared" si="3702"/>
        <v>0.50000022000008071</v>
      </c>
      <c r="AH647" s="62">
        <f t="shared" si="3702"/>
        <v>0.5</v>
      </c>
      <c r="AI647" s="62">
        <f t="shared" si="3702"/>
        <v>0.5</v>
      </c>
      <c r="AJ647" s="62" t="e">
        <f t="shared" si="3702"/>
        <v>#DIV/0!</v>
      </c>
      <c r="AK647" s="412"/>
      <c r="AL647" s="14">
        <f t="shared" ref="AL647:BL647" si="3703">AL604/AL603</f>
        <v>0.44999999999999996</v>
      </c>
      <c r="AM647" s="14">
        <f t="shared" si="3703"/>
        <v>0.45000000017999997</v>
      </c>
      <c r="AN647" s="14">
        <f t="shared" si="3703"/>
        <v>0.45000000018000008</v>
      </c>
      <c r="AO647" s="14">
        <f t="shared" si="3703"/>
        <v>0.45000000017999986</v>
      </c>
      <c r="AP647" s="14">
        <f t="shared" si="3703"/>
        <v>0.45000000017999986</v>
      </c>
      <c r="AQ647" s="14">
        <f t="shared" si="3703"/>
        <v>0.45000000017999986</v>
      </c>
      <c r="AR647" s="14">
        <f t="shared" si="3703"/>
        <v>0.45000000017999986</v>
      </c>
      <c r="AS647" s="14">
        <f t="shared" si="3703"/>
        <v>0.45000000017999986</v>
      </c>
      <c r="AT647" s="14">
        <f t="shared" si="3703"/>
        <v>0.45000000017999986</v>
      </c>
      <c r="AU647" s="14">
        <f t="shared" si="3703"/>
        <v>0.45000000017999986</v>
      </c>
      <c r="AV647" s="14">
        <f t="shared" si="3703"/>
        <v>0.45000000017999986</v>
      </c>
      <c r="AW647" s="14">
        <f t="shared" si="3703"/>
        <v>0.45000000017999986</v>
      </c>
      <c r="AX647" s="14">
        <f t="shared" si="3703"/>
        <v>0.5</v>
      </c>
      <c r="AY647" s="14">
        <f t="shared" si="3703"/>
        <v>0.50000024000009624</v>
      </c>
      <c r="AZ647" s="14">
        <f t="shared" si="3703"/>
        <v>0.50000024000009602</v>
      </c>
      <c r="BA647" s="14">
        <f t="shared" si="3703"/>
        <v>0.50000024000009602</v>
      </c>
      <c r="BB647" s="14">
        <f t="shared" si="3703"/>
        <v>0.50000024000009624</v>
      </c>
      <c r="BC647" s="14">
        <f t="shared" si="3703"/>
        <v>0.5000002400000958</v>
      </c>
      <c r="BD647" s="14">
        <f t="shared" si="3703"/>
        <v>0.5000002400000958</v>
      </c>
      <c r="BE647" s="14">
        <f t="shared" si="3703"/>
        <v>0.5000002400000958</v>
      </c>
      <c r="BF647" s="14">
        <f t="shared" si="3703"/>
        <v>0.50000024000009624</v>
      </c>
      <c r="BG647" s="14">
        <f t="shared" si="3703"/>
        <v>0.50000024000009624</v>
      </c>
      <c r="BH647" s="14">
        <f t="shared" si="3703"/>
        <v>0.50000024000009624</v>
      </c>
      <c r="BI647" s="14">
        <f t="shared" si="3703"/>
        <v>0.50000024000009624</v>
      </c>
      <c r="BJ647" s="14">
        <f t="shared" si="3703"/>
        <v>0.5</v>
      </c>
      <c r="BK647" s="14">
        <f t="shared" si="3703"/>
        <v>0.5</v>
      </c>
      <c r="BL647" s="14" t="e">
        <f t="shared" si="3703"/>
        <v>#DIV/0!</v>
      </c>
      <c r="BM647" s="412"/>
      <c r="BN647" s="14">
        <f t="shared" ref="BN647:CN647" si="3704">BN604/BN603</f>
        <v>0.45000000012000002</v>
      </c>
      <c r="BO647" s="14">
        <f t="shared" si="3704"/>
        <v>0.45000000012000002</v>
      </c>
      <c r="BP647" s="14">
        <f t="shared" si="3704"/>
        <v>0.45000000012000002</v>
      </c>
      <c r="BQ647" s="14">
        <f t="shared" si="3704"/>
        <v>0.45000000017999986</v>
      </c>
      <c r="BR647" s="14">
        <f t="shared" si="3704"/>
        <v>0.45000000017999986</v>
      </c>
      <c r="BS647" s="14">
        <f t="shared" si="3704"/>
        <v>0.45000000017999986</v>
      </c>
      <c r="BT647" s="14">
        <f t="shared" si="3704"/>
        <v>0.45000000017999986</v>
      </c>
      <c r="BU647" s="14">
        <f t="shared" si="3704"/>
        <v>0.45000000017999986</v>
      </c>
      <c r="BV647" s="14">
        <f t="shared" si="3704"/>
        <v>0.45000000017999986</v>
      </c>
      <c r="BW647" s="14">
        <f t="shared" si="3704"/>
        <v>0.45000000017999986</v>
      </c>
      <c r="BX647" s="14">
        <f t="shared" si="3704"/>
        <v>0.45000000017999986</v>
      </c>
      <c r="BY647" s="14">
        <f t="shared" si="3704"/>
        <v>0.45000000017999986</v>
      </c>
      <c r="BZ647" s="14">
        <f t="shared" si="3704"/>
        <v>0.50000016000004277</v>
      </c>
      <c r="CA647" s="14">
        <f t="shared" si="3704"/>
        <v>0.50000016000004277</v>
      </c>
      <c r="CB647" s="14">
        <f t="shared" si="3704"/>
        <v>0.50000016000004277</v>
      </c>
      <c r="CC647" s="14">
        <f t="shared" si="3704"/>
        <v>0.50000024000009602</v>
      </c>
      <c r="CD647" s="14">
        <f t="shared" si="3704"/>
        <v>0.50000024000009602</v>
      </c>
      <c r="CE647" s="14">
        <f t="shared" si="3704"/>
        <v>0.50000024000009602</v>
      </c>
      <c r="CF647" s="14">
        <f t="shared" si="3704"/>
        <v>0.50000024000009591</v>
      </c>
      <c r="CG647" s="14">
        <f t="shared" si="3704"/>
        <v>0.50000024000009591</v>
      </c>
      <c r="CH647" s="14">
        <f t="shared" si="3704"/>
        <v>0.50000024000009591</v>
      </c>
      <c r="CI647" s="14">
        <f t="shared" si="3704"/>
        <v>0.50000024000009624</v>
      </c>
      <c r="CJ647" s="14">
        <f t="shared" si="3704"/>
        <v>0.50000024000009624</v>
      </c>
      <c r="CK647" s="14">
        <f t="shared" si="3704"/>
        <v>0.50000024000009624</v>
      </c>
      <c r="CL647" s="14">
        <f t="shared" si="3704"/>
        <v>0.5</v>
      </c>
      <c r="CM647" s="14">
        <f t="shared" si="3704"/>
        <v>0.5</v>
      </c>
      <c r="CN647" s="14">
        <f t="shared" si="3704"/>
        <v>0.5</v>
      </c>
      <c r="CO647" s="412"/>
      <c r="CP647" s="14">
        <f t="shared" ref="CP647:DP647" si="3705">CP604/CP603</f>
        <v>0.44999999999999996</v>
      </c>
      <c r="CQ647" s="14">
        <f t="shared" si="3705"/>
        <v>0.45000000008999996</v>
      </c>
      <c r="CR647" s="14">
        <f t="shared" si="3705"/>
        <v>0.45000000012000002</v>
      </c>
      <c r="CS647" s="14">
        <f t="shared" si="3705"/>
        <v>0.45000000013499997</v>
      </c>
      <c r="CT647" s="14">
        <f t="shared" si="3705"/>
        <v>0.45000000014399993</v>
      </c>
      <c r="CU647" s="14">
        <f t="shared" si="3705"/>
        <v>0.45000000014999997</v>
      </c>
      <c r="CV647" s="14">
        <f t="shared" si="3705"/>
        <v>0.45000000015428565</v>
      </c>
      <c r="CW647" s="14">
        <f t="shared" si="3705"/>
        <v>0.45000000015749991</v>
      </c>
      <c r="CX647" s="14">
        <f t="shared" si="3705"/>
        <v>0.45000000015999991</v>
      </c>
      <c r="CY647" s="14">
        <f t="shared" si="3705"/>
        <v>0.45000000016199992</v>
      </c>
      <c r="CZ647" s="14">
        <f t="shared" si="3705"/>
        <v>0.45000000016363628</v>
      </c>
      <c r="DA647" s="14">
        <f t="shared" si="3705"/>
        <v>0.45000000016499991</v>
      </c>
      <c r="DB647" s="14">
        <f t="shared" si="3705"/>
        <v>0.5</v>
      </c>
      <c r="DC647" s="14">
        <f t="shared" si="3705"/>
        <v>0.50000012000002414</v>
      </c>
      <c r="DD647" s="14">
        <f t="shared" si="3705"/>
        <v>0.50000016000004277</v>
      </c>
      <c r="DE647" s="14">
        <f t="shared" si="3705"/>
        <v>0.50000018000005408</v>
      </c>
      <c r="DF647" s="14">
        <f t="shared" si="3705"/>
        <v>0.50000019200006152</v>
      </c>
      <c r="DG647" s="14">
        <f t="shared" si="3705"/>
        <v>0.50000020000006673</v>
      </c>
      <c r="DH647" s="14">
        <f t="shared" si="3705"/>
        <v>0.50000020571435633</v>
      </c>
      <c r="DI647" s="14">
        <f t="shared" si="3705"/>
        <v>0.50000021000007355</v>
      </c>
      <c r="DJ647" s="14">
        <f t="shared" si="3705"/>
        <v>0.50000021333340916</v>
      </c>
      <c r="DK647" s="14">
        <f t="shared" si="3705"/>
        <v>0.50000021600007782</v>
      </c>
      <c r="DL647" s="14">
        <f t="shared" si="3705"/>
        <v>0.50000021818189755</v>
      </c>
      <c r="DM647" s="14">
        <f t="shared" si="3705"/>
        <v>0.50000022000008071</v>
      </c>
      <c r="DN647" s="14">
        <f t="shared" si="3705"/>
        <v>0.5</v>
      </c>
      <c r="DO647" s="14">
        <f t="shared" si="3705"/>
        <v>0.5</v>
      </c>
      <c r="DP647" s="14">
        <f t="shared" si="3705"/>
        <v>0.33333333333333331</v>
      </c>
      <c r="DQ647" s="14"/>
      <c r="DR647" s="14"/>
      <c r="DS647" s="14"/>
      <c r="DT647" s="14"/>
      <c r="DU647" s="14"/>
      <c r="DV647" s="14"/>
      <c r="DW647" s="14"/>
      <c r="DX647" s="14"/>
      <c r="DY647" s="14"/>
      <c r="DZ647" s="14"/>
      <c r="EA647" s="14">
        <f>EA604/EA603</f>
        <v>0.45000000016499991</v>
      </c>
      <c r="EB647" s="14">
        <f>EB604/EB603</f>
        <v>0.50000022000008071</v>
      </c>
      <c r="EC647" s="14"/>
      <c r="ED647" s="429"/>
      <c r="EE647" s="14">
        <f>EE604/EE603</f>
        <v>0.5</v>
      </c>
      <c r="EF647" s="14">
        <f>EF604/EF603</f>
        <v>0.5</v>
      </c>
      <c r="EG647" s="14">
        <f>EG604/EG603</f>
        <v>0.5</v>
      </c>
      <c r="EK647" s="24"/>
      <c r="EL647" s="47"/>
      <c r="EM647" s="47"/>
      <c r="EN647" s="47"/>
    </row>
    <row r="648" spans="1:149">
      <c r="A648" s="6" t="s">
        <v>23</v>
      </c>
      <c r="B648" s="2" t="s">
        <v>25</v>
      </c>
      <c r="C648" s="3" t="s">
        <v>75</v>
      </c>
      <c r="E648" s="4" t="str">
        <f>C617</f>
        <v>BSEE</v>
      </c>
      <c r="F648" s="4" t="s">
        <v>31</v>
      </c>
      <c r="G648" s="28" t="str">
        <f>C616</f>
        <v>BSUniq</v>
      </c>
      <c r="H648" s="28"/>
      <c r="I648" s="28"/>
      <c r="J648" s="62">
        <f t="shared" ref="J648:AJ648" si="3706">J617/J616</f>
        <v>6.3291139240506333E-2</v>
      </c>
      <c r="K648" s="62">
        <f t="shared" si="3706"/>
        <v>3.1645569620253167E-2</v>
      </c>
      <c r="L648" s="62">
        <f t="shared" si="3706"/>
        <v>2.1097046413502109E-2</v>
      </c>
      <c r="M648" s="62">
        <f t="shared" si="3706"/>
        <v>4.2194092827004225E-2</v>
      </c>
      <c r="N648" s="62">
        <f t="shared" si="3706"/>
        <v>3.3755274227848103E-2</v>
      </c>
      <c r="O648" s="62">
        <f t="shared" si="3706"/>
        <v>2.8129395189873414E-2</v>
      </c>
      <c r="P648" s="62">
        <f t="shared" si="3706"/>
        <v>2.4110910162748647E-2</v>
      </c>
      <c r="Q648" s="62">
        <f t="shared" si="3706"/>
        <v>2.1097046392405065E-2</v>
      </c>
      <c r="R648" s="62">
        <f t="shared" si="3706"/>
        <v>1.875293012658227E-2</v>
      </c>
      <c r="S648" s="62">
        <f t="shared" si="3706"/>
        <v>1.6877637113924045E-2</v>
      </c>
      <c r="T648" s="62">
        <f t="shared" si="3706"/>
        <v>1.5343306467203676E-2</v>
      </c>
      <c r="U648" s="62">
        <f t="shared" si="3706"/>
        <v>1.4064697594936703E-2</v>
      </c>
      <c r="V648" s="62">
        <f t="shared" si="3706"/>
        <v>0.16877637113924043</v>
      </c>
      <c r="W648" s="62">
        <f t="shared" si="3706"/>
        <v>8.43881855696203E-2</v>
      </c>
      <c r="X648" s="62">
        <f t="shared" si="3706"/>
        <v>5.6258790379746869E-2</v>
      </c>
      <c r="Y648" s="62">
        <f t="shared" si="3706"/>
        <v>6.8565400843881866E-2</v>
      </c>
      <c r="Z648" s="62">
        <f t="shared" si="3706"/>
        <v>5.4852354430379752E-2</v>
      </c>
      <c r="AA648" s="62">
        <f t="shared" si="3706"/>
        <v>4.5710295358649788E-2</v>
      </c>
      <c r="AB648" s="62">
        <f t="shared" si="3706"/>
        <v>3.9180253164556963E-2</v>
      </c>
      <c r="AC648" s="62">
        <f t="shared" si="3706"/>
        <v>3.4282721518987341E-2</v>
      </c>
      <c r="AD648" s="62">
        <f t="shared" si="3706"/>
        <v>3.047353023909986E-2</v>
      </c>
      <c r="AE648" s="62">
        <f t="shared" si="3706"/>
        <v>2.7426177215189855E-2</v>
      </c>
      <c r="AF648" s="62">
        <f t="shared" si="3706"/>
        <v>2.4932888377445322E-2</v>
      </c>
      <c r="AG648" s="62">
        <f t="shared" si="3706"/>
        <v>2.285514767932488E-2</v>
      </c>
      <c r="AH648" s="62">
        <f t="shared" si="3706"/>
        <v>0.28888906666666647</v>
      </c>
      <c r="AI648" s="62">
        <f t="shared" si="3706"/>
        <v>0.14444453333333324</v>
      </c>
      <c r="AJ648" s="62" t="e">
        <f t="shared" si="3706"/>
        <v>#DIV/0!</v>
      </c>
      <c r="AK648" s="412"/>
      <c r="AL648" s="14">
        <f t="shared" ref="AL648:BL648" si="3707">AL617/AL616</f>
        <v>6.3291139240506333E-2</v>
      </c>
      <c r="AM648" s="14">
        <f t="shared" si="3707"/>
        <v>3.1645569620253167E-2</v>
      </c>
      <c r="AN648" s="14">
        <f t="shared" si="3707"/>
        <v>2.1097046413502109E-2</v>
      </c>
      <c r="AO648" s="14">
        <f t="shared" si="3707"/>
        <v>4.2194092827004225E-2</v>
      </c>
      <c r="AP648" s="14">
        <f t="shared" si="3707"/>
        <v>3.3755274227848103E-2</v>
      </c>
      <c r="AQ648" s="14">
        <f t="shared" si="3707"/>
        <v>2.8129395189873414E-2</v>
      </c>
      <c r="AR648" s="14">
        <f t="shared" si="3707"/>
        <v>2.4110910162748647E-2</v>
      </c>
      <c r="AS648" s="14">
        <f t="shared" si="3707"/>
        <v>2.1097046392405065E-2</v>
      </c>
      <c r="AT648" s="14">
        <f t="shared" si="3707"/>
        <v>1.875293012658227E-2</v>
      </c>
      <c r="AU648" s="14">
        <f t="shared" si="3707"/>
        <v>1.6877637113924045E-2</v>
      </c>
      <c r="AV648" s="14">
        <f t="shared" si="3707"/>
        <v>1.5343306467203676E-2</v>
      </c>
      <c r="AW648" s="14">
        <f t="shared" si="3707"/>
        <v>1.4064697594936703E-2</v>
      </c>
      <c r="AX648" s="14">
        <f t="shared" si="3707"/>
        <v>0.16877637113924043</v>
      </c>
      <c r="AY648" s="14">
        <f t="shared" si="3707"/>
        <v>0.1687763711392406</v>
      </c>
      <c r="AZ648" s="14">
        <f t="shared" si="3707"/>
        <v>0.1687763711392406</v>
      </c>
      <c r="BA648" s="14">
        <f t="shared" si="3707"/>
        <v>0.27426160337552746</v>
      </c>
      <c r="BB648" s="14">
        <f t="shared" si="3707"/>
        <v>0.27426177215189879</v>
      </c>
      <c r="BC648" s="14">
        <f t="shared" si="3707"/>
        <v>0.27426177215189873</v>
      </c>
      <c r="BD648" s="14">
        <f t="shared" si="3707"/>
        <v>0.27426177215189873</v>
      </c>
      <c r="BE648" s="14">
        <f t="shared" si="3707"/>
        <v>0.27426177215189873</v>
      </c>
      <c r="BF648" s="14">
        <f t="shared" si="3707"/>
        <v>0.27426177215189873</v>
      </c>
      <c r="BG648" s="14">
        <f t="shared" si="3707"/>
        <v>0.27426177215189856</v>
      </c>
      <c r="BH648" s="14">
        <f t="shared" si="3707"/>
        <v>0.27426177215189856</v>
      </c>
      <c r="BI648" s="14">
        <f t="shared" si="3707"/>
        <v>0.27426177215189856</v>
      </c>
      <c r="BJ648" s="14">
        <f t="shared" si="3707"/>
        <v>0.28888906666666647</v>
      </c>
      <c r="BK648" s="14">
        <f t="shared" si="3707"/>
        <v>0.14444453333333324</v>
      </c>
      <c r="BL648" s="14" t="e">
        <f t="shared" si="3707"/>
        <v>#DIV/0!</v>
      </c>
      <c r="BM648" s="412"/>
      <c r="BN648" s="14">
        <f t="shared" ref="BN648:CN648" si="3708">BN617/BN616</f>
        <v>6.3291139240506333E-2</v>
      </c>
      <c r="BO648" s="14">
        <f t="shared" si="3708"/>
        <v>4.2194092827004218E-2</v>
      </c>
      <c r="BP648" s="14">
        <f t="shared" si="3708"/>
        <v>3.1645569620253167E-2</v>
      </c>
      <c r="BQ648" s="14">
        <f t="shared" si="3708"/>
        <v>4.2194092827004225E-2</v>
      </c>
      <c r="BR648" s="14">
        <f t="shared" si="3708"/>
        <v>3.7505860271917491E-2</v>
      </c>
      <c r="BS648" s="14">
        <f t="shared" si="3708"/>
        <v>3.375527423909986E-2</v>
      </c>
      <c r="BT648" s="14">
        <f t="shared" si="3708"/>
        <v>2.4110910162748647E-2</v>
      </c>
      <c r="BU648" s="14">
        <f t="shared" si="3708"/>
        <v>2.2503516151898738E-2</v>
      </c>
      <c r="BV648" s="14">
        <f t="shared" si="3708"/>
        <v>2.1097046392405061E-2</v>
      </c>
      <c r="BW648" s="14">
        <f t="shared" si="3708"/>
        <v>1.6877637113924045E-2</v>
      </c>
      <c r="BX648" s="14">
        <f t="shared" si="3708"/>
        <v>1.607394010849909E-2</v>
      </c>
      <c r="BY648" s="14">
        <f t="shared" si="3708"/>
        <v>1.5343306467203676E-2</v>
      </c>
      <c r="BZ648" s="14">
        <f t="shared" si="3708"/>
        <v>5.6258790379746813E-2</v>
      </c>
      <c r="CA648" s="14">
        <f t="shared" si="3708"/>
        <v>0.11251758075949368</v>
      </c>
      <c r="CB648" s="14">
        <f t="shared" si="3708"/>
        <v>5.6258790379746869E-2</v>
      </c>
      <c r="CC648" s="14">
        <f t="shared" si="3708"/>
        <v>4.5710267229254573E-2</v>
      </c>
      <c r="CD648" s="14">
        <f t="shared" si="3708"/>
        <v>9.1420562587904375E-2</v>
      </c>
      <c r="CE648" s="14">
        <f t="shared" si="3708"/>
        <v>0.13713085794655416</v>
      </c>
      <c r="CF648" s="14">
        <f t="shared" si="3708"/>
        <v>3.047353023909986E-2</v>
      </c>
      <c r="CG648" s="14">
        <f t="shared" si="3708"/>
        <v>6.094706047819972E-2</v>
      </c>
      <c r="CH648" s="14">
        <f t="shared" si="3708"/>
        <v>9.1420590717299577E-2</v>
      </c>
      <c r="CI648" s="14">
        <f t="shared" si="3708"/>
        <v>2.285514767932488E-2</v>
      </c>
      <c r="CJ648" s="14">
        <f t="shared" si="3708"/>
        <v>4.5710295358649761E-2</v>
      </c>
      <c r="CK648" s="14">
        <f t="shared" si="3708"/>
        <v>6.8565443037974641E-2</v>
      </c>
      <c r="CL648" s="14">
        <f t="shared" si="3708"/>
        <v>9.6296355555555491E-2</v>
      </c>
      <c r="CM648" s="14">
        <f t="shared" si="3708"/>
        <v>0.11555562666666659</v>
      </c>
      <c r="CN648" s="14">
        <f t="shared" si="3708"/>
        <v>0.28888906666666647</v>
      </c>
      <c r="CO648" s="412"/>
      <c r="CP648" s="14">
        <f t="shared" ref="CP648:DP648" si="3709">CP617/CP616</f>
        <v>6.3291139240506333E-2</v>
      </c>
      <c r="CQ648" s="14">
        <f t="shared" si="3709"/>
        <v>4.2194092827004218E-2</v>
      </c>
      <c r="CR648" s="14">
        <f t="shared" si="3709"/>
        <v>3.1645569620253167E-2</v>
      </c>
      <c r="CS648" s="14">
        <f t="shared" si="3709"/>
        <v>3.5864978902953593E-2</v>
      </c>
      <c r="CT648" s="14">
        <f t="shared" si="3709"/>
        <v>3.5161744011251758E-2</v>
      </c>
      <c r="CU648" s="14">
        <f t="shared" si="3709"/>
        <v>3.3152501490857945E-2</v>
      </c>
      <c r="CV648" s="14">
        <f t="shared" si="3709"/>
        <v>3.0892103658830623E-2</v>
      </c>
      <c r="CW648" s="14">
        <f t="shared" si="3709"/>
        <v>2.8715424266291614E-2</v>
      </c>
      <c r="CX648" s="14">
        <f t="shared" si="3709"/>
        <v>2.6722925438349743E-2</v>
      </c>
      <c r="CY648" s="14">
        <f t="shared" si="3709"/>
        <v>2.493287301572689E-2</v>
      </c>
      <c r="CZ648" s="14">
        <f t="shared" si="3709"/>
        <v>2.3334611924306355E-2</v>
      </c>
      <c r="DA648" s="14">
        <f t="shared" si="3709"/>
        <v>2.1908471258249483E-2</v>
      </c>
      <c r="DB648" s="14">
        <f t="shared" si="3709"/>
        <v>0.16877637113924043</v>
      </c>
      <c r="DC648" s="14">
        <f t="shared" si="3709"/>
        <v>0.16877637113924052</v>
      </c>
      <c r="DD648" s="14">
        <f t="shared" si="3709"/>
        <v>0.16877637113924054</v>
      </c>
      <c r="DE648" s="14">
        <f t="shared" si="3709"/>
        <v>0.19514767919831227</v>
      </c>
      <c r="DF648" s="14">
        <f t="shared" si="3709"/>
        <v>0.21097049778902957</v>
      </c>
      <c r="DG648" s="14">
        <f t="shared" si="3709"/>
        <v>0.22151904351617444</v>
      </c>
      <c r="DH648" s="14">
        <f t="shared" si="3709"/>
        <v>0.22905371903556362</v>
      </c>
      <c r="DI648" s="14">
        <f t="shared" si="3709"/>
        <v>0.2347047256751055</v>
      </c>
      <c r="DJ648" s="14">
        <f t="shared" si="3709"/>
        <v>0.23909995306141588</v>
      </c>
      <c r="DK648" s="14">
        <f t="shared" si="3709"/>
        <v>0.24261613497046416</v>
      </c>
      <c r="DL648" s="14">
        <f t="shared" si="3709"/>
        <v>0.24549301107786728</v>
      </c>
      <c r="DM648" s="14">
        <f t="shared" si="3709"/>
        <v>0.24789040783403654</v>
      </c>
      <c r="DN648" s="14">
        <f t="shared" si="3709"/>
        <v>0.28888906666666647</v>
      </c>
      <c r="DO648" s="14">
        <f t="shared" si="3709"/>
        <v>0.19259271111111098</v>
      </c>
      <c r="DP648" s="14">
        <f t="shared" si="3709"/>
        <v>0.28888906666666647</v>
      </c>
      <c r="DQ648" s="14"/>
      <c r="DR648" s="14"/>
      <c r="DS648" s="14"/>
      <c r="DT648" s="14"/>
      <c r="DU648" s="14"/>
      <c r="DV648" s="14"/>
      <c r="DW648" s="14"/>
      <c r="DX648" s="14"/>
      <c r="DY648" s="14"/>
      <c r="DZ648" s="14"/>
      <c r="EA648" s="14">
        <f>EA617/EA616</f>
        <v>2.1908471258249483E-2</v>
      </c>
      <c r="EB648" s="14">
        <f>EB617/EB616</f>
        <v>0.24789040783403654</v>
      </c>
      <c r="EC648" s="14"/>
      <c r="ED648" s="429"/>
      <c r="EE648" s="14">
        <f>EE617/EE616</f>
        <v>0.14444453333333324</v>
      </c>
      <c r="EF648" s="14">
        <f>EF617/EF616</f>
        <v>0.11555562666666659</v>
      </c>
      <c r="EG648" s="14">
        <f>+EF648</f>
        <v>0.11555562666666659</v>
      </c>
      <c r="EK648" s="24"/>
      <c r="EL648" s="47"/>
      <c r="EM648" s="47"/>
      <c r="EN648" s="47"/>
    </row>
    <row r="649" spans="1:149">
      <c r="A649" s="6" t="s">
        <v>23</v>
      </c>
      <c r="B649" s="2" t="s">
        <v>160</v>
      </c>
      <c r="C649" s="3" t="s">
        <v>76</v>
      </c>
      <c r="E649" s="3" t="str">
        <f>C606</f>
        <v>BSatRate</v>
      </c>
      <c r="F649" s="3" t="s">
        <v>32</v>
      </c>
      <c r="G649" s="28" t="str">
        <f>C603</f>
        <v>BAllNew</v>
      </c>
      <c r="H649" s="63" t="s">
        <v>31</v>
      </c>
      <c r="I649" s="28" t="str">
        <f>C605</f>
        <v>BSatResp</v>
      </c>
      <c r="J649" s="62">
        <f t="shared" ref="J649:AJ649" si="3710">J606*J605/J603</f>
        <v>0.25</v>
      </c>
      <c r="K649" s="62">
        <f t="shared" si="3710"/>
        <v>0.125000000025</v>
      </c>
      <c r="L649" s="62">
        <f t="shared" si="3710"/>
        <v>8.3333333355555567E-2</v>
      </c>
      <c r="M649" s="62">
        <f t="shared" si="3710"/>
        <v>6.2500000018750002E-2</v>
      </c>
      <c r="N649" s="62">
        <f t="shared" si="3710"/>
        <v>5.0000000015999996E-2</v>
      </c>
      <c r="O649" s="62">
        <f t="shared" si="3710"/>
        <v>4.1666666680555554E-2</v>
      </c>
      <c r="P649" s="62">
        <f t="shared" si="3710"/>
        <v>3.5714285726530612E-2</v>
      </c>
      <c r="Q649" s="62">
        <f t="shared" si="3710"/>
        <v>3.1250000010937501E-2</v>
      </c>
      <c r="R649" s="62">
        <f t="shared" si="3710"/>
        <v>2.7777777787654317E-2</v>
      </c>
      <c r="S649" s="62">
        <f t="shared" si="3710"/>
        <v>2.5000000008999997E-2</v>
      </c>
      <c r="T649" s="62">
        <f t="shared" si="3710"/>
        <v>2.2727272735537186E-2</v>
      </c>
      <c r="U649" s="62">
        <f t="shared" si="3710"/>
        <v>2.0833333340972218E-2</v>
      </c>
      <c r="V649" s="62">
        <f t="shared" si="3710"/>
        <v>0.18049999999999997</v>
      </c>
      <c r="W649" s="62">
        <f t="shared" si="3710"/>
        <v>0.18049984609996919</v>
      </c>
      <c r="X649" s="62">
        <f t="shared" si="3710"/>
        <v>0.1804997947999453</v>
      </c>
      <c r="Y649" s="62">
        <f t="shared" si="3710"/>
        <v>0.18049976914993074</v>
      </c>
      <c r="Z649" s="62">
        <f t="shared" si="3710"/>
        <v>0.18049975375992122</v>
      </c>
      <c r="AA649" s="62">
        <f t="shared" si="3710"/>
        <v>0.18049974349991449</v>
      </c>
      <c r="AB649" s="62">
        <f t="shared" si="3710"/>
        <v>0.18049973617133808</v>
      </c>
      <c r="AC649" s="62">
        <f t="shared" si="3710"/>
        <v>0.18049973067490571</v>
      </c>
      <c r="AD649" s="62">
        <f t="shared" si="3710"/>
        <v>0.18049972639990269</v>
      </c>
      <c r="AE649" s="62">
        <f t="shared" si="3710"/>
        <v>0.18049972297990022</v>
      </c>
      <c r="AF649" s="62">
        <f t="shared" si="3710"/>
        <v>0.18049972018171639</v>
      </c>
      <c r="AG649" s="62">
        <f t="shared" si="3710"/>
        <v>0.18049971784989652</v>
      </c>
      <c r="AH649" s="62">
        <f t="shared" si="3710"/>
        <v>0</v>
      </c>
      <c r="AI649" s="62">
        <f t="shared" si="3710"/>
        <v>0</v>
      </c>
      <c r="AJ649" s="62" t="e">
        <f t="shared" si="3710"/>
        <v>#DIV/0!</v>
      </c>
      <c r="AK649" s="412"/>
      <c r="AL649" s="14">
        <f t="shared" ref="AL649:BL649" si="3711">AL606*AL605/AL603</f>
        <v>0.25</v>
      </c>
      <c r="AM649" s="14">
        <f t="shared" si="3711"/>
        <v>0.25000000010000001</v>
      </c>
      <c r="AN649" s="14">
        <f t="shared" si="3711"/>
        <v>0.25000000010000006</v>
      </c>
      <c r="AO649" s="14">
        <f t="shared" si="3711"/>
        <v>0.25000000009999995</v>
      </c>
      <c r="AP649" s="14">
        <f t="shared" si="3711"/>
        <v>0.25000000009999995</v>
      </c>
      <c r="AQ649" s="14">
        <f t="shared" si="3711"/>
        <v>0.25000000009999995</v>
      </c>
      <c r="AR649" s="14">
        <f t="shared" si="3711"/>
        <v>0.25000000009999995</v>
      </c>
      <c r="AS649" s="14">
        <f t="shared" si="3711"/>
        <v>0.25000000009999995</v>
      </c>
      <c r="AT649" s="14">
        <f t="shared" si="3711"/>
        <v>0.25000000009999995</v>
      </c>
      <c r="AU649" s="14">
        <f t="shared" si="3711"/>
        <v>0.25000000009999995</v>
      </c>
      <c r="AV649" s="14">
        <f t="shared" si="3711"/>
        <v>0.25000000009999995</v>
      </c>
      <c r="AW649" s="14">
        <f t="shared" si="3711"/>
        <v>0.25000000009999995</v>
      </c>
      <c r="AX649" s="14">
        <f t="shared" si="3711"/>
        <v>0.18049999999999997</v>
      </c>
      <c r="AY649" s="14">
        <f t="shared" si="3711"/>
        <v>0.18049969219987688</v>
      </c>
      <c r="AZ649" s="14">
        <f t="shared" si="3711"/>
        <v>0.18049969219987688</v>
      </c>
      <c r="BA649" s="14">
        <f t="shared" si="3711"/>
        <v>0.18049969219987688</v>
      </c>
      <c r="BB649" s="14">
        <f t="shared" si="3711"/>
        <v>0.18049969219987697</v>
      </c>
      <c r="BC649" s="14">
        <f t="shared" si="3711"/>
        <v>0.18049969219987669</v>
      </c>
      <c r="BD649" s="14">
        <f t="shared" si="3711"/>
        <v>0.1804996921998768</v>
      </c>
      <c r="BE649" s="14">
        <f t="shared" si="3711"/>
        <v>0.1804996921998768</v>
      </c>
      <c r="BF649" s="14">
        <f t="shared" si="3711"/>
        <v>0.1804996921998768</v>
      </c>
      <c r="BG649" s="14">
        <f t="shared" si="3711"/>
        <v>0.1804996921998768</v>
      </c>
      <c r="BH649" s="14">
        <f t="shared" si="3711"/>
        <v>0.1804996921998768</v>
      </c>
      <c r="BI649" s="14">
        <f t="shared" si="3711"/>
        <v>0.1804996921998768</v>
      </c>
      <c r="BJ649" s="14">
        <f t="shared" si="3711"/>
        <v>0</v>
      </c>
      <c r="BK649" s="14">
        <f t="shared" si="3711"/>
        <v>0</v>
      </c>
      <c r="BL649" s="14" t="e">
        <f t="shared" si="3711"/>
        <v>#DIV/0!</v>
      </c>
      <c r="BM649" s="412"/>
      <c r="BN649" s="14">
        <f t="shared" ref="BN649:CN649" si="3712">BN606*BN605/BN603</f>
        <v>0.25000000006666667</v>
      </c>
      <c r="BO649" s="14">
        <f t="shared" si="3712"/>
        <v>0.25000000006666667</v>
      </c>
      <c r="BP649" s="14">
        <f t="shared" si="3712"/>
        <v>0.25000000006666667</v>
      </c>
      <c r="BQ649" s="14">
        <f t="shared" si="3712"/>
        <v>0.25000000009999995</v>
      </c>
      <c r="BR649" s="14">
        <f t="shared" si="3712"/>
        <v>0.25000000009999995</v>
      </c>
      <c r="BS649" s="14">
        <f t="shared" si="3712"/>
        <v>0.25000000009999995</v>
      </c>
      <c r="BT649" s="14">
        <f t="shared" si="3712"/>
        <v>0.25000000009999995</v>
      </c>
      <c r="BU649" s="14">
        <f t="shared" si="3712"/>
        <v>0.25000000009999995</v>
      </c>
      <c r="BV649" s="14">
        <f t="shared" si="3712"/>
        <v>0.25000000009999995</v>
      </c>
      <c r="BW649" s="14">
        <f t="shared" si="3712"/>
        <v>0.25000000009999995</v>
      </c>
      <c r="BX649" s="14">
        <f t="shared" si="3712"/>
        <v>0.25000000009999995</v>
      </c>
      <c r="BY649" s="14">
        <f t="shared" si="3712"/>
        <v>0.25000000009999995</v>
      </c>
      <c r="BZ649" s="14">
        <f t="shared" si="3712"/>
        <v>0.1804997947999453</v>
      </c>
      <c r="CA649" s="14">
        <f t="shared" si="3712"/>
        <v>0.1804997947999453</v>
      </c>
      <c r="CB649" s="14">
        <f t="shared" si="3712"/>
        <v>0.1804997947999453</v>
      </c>
      <c r="CC649" s="14">
        <f t="shared" si="3712"/>
        <v>0.18049969219987685</v>
      </c>
      <c r="CD649" s="14">
        <f t="shared" si="3712"/>
        <v>0.18049969219987685</v>
      </c>
      <c r="CE649" s="14">
        <f t="shared" si="3712"/>
        <v>0.18049969219987685</v>
      </c>
      <c r="CF649" s="14">
        <f t="shared" si="3712"/>
        <v>0.1804996921998768</v>
      </c>
      <c r="CG649" s="14">
        <f t="shared" si="3712"/>
        <v>0.1804996921998768</v>
      </c>
      <c r="CH649" s="14">
        <f t="shared" si="3712"/>
        <v>0.1804996921998768</v>
      </c>
      <c r="CI649" s="14">
        <f t="shared" si="3712"/>
        <v>0.1804996921998768</v>
      </c>
      <c r="CJ649" s="14">
        <f t="shared" si="3712"/>
        <v>0.1804996921998768</v>
      </c>
      <c r="CK649" s="14">
        <f t="shared" si="3712"/>
        <v>0.1804996921998768</v>
      </c>
      <c r="CL649" s="14">
        <f t="shared" si="3712"/>
        <v>0</v>
      </c>
      <c r="CM649" s="14">
        <f t="shared" si="3712"/>
        <v>0</v>
      </c>
      <c r="CN649" s="14">
        <f t="shared" si="3712"/>
        <v>0</v>
      </c>
      <c r="CO649" s="412"/>
      <c r="CP649" s="14">
        <f t="shared" ref="CP649:DP649" si="3713">CP606*CP605/CP603</f>
        <v>0.25</v>
      </c>
      <c r="CQ649" s="14">
        <f t="shared" si="3713"/>
        <v>0.25000000005</v>
      </c>
      <c r="CR649" s="14">
        <f t="shared" si="3713"/>
        <v>0.25000000006666667</v>
      </c>
      <c r="CS649" s="14">
        <f t="shared" si="3713"/>
        <v>0.25000000007500001</v>
      </c>
      <c r="CT649" s="14">
        <f t="shared" si="3713"/>
        <v>0.25000000008000001</v>
      </c>
      <c r="CU649" s="14">
        <f t="shared" si="3713"/>
        <v>0.25000000008333334</v>
      </c>
      <c r="CV649" s="14">
        <f t="shared" si="3713"/>
        <v>0.25000000008571427</v>
      </c>
      <c r="CW649" s="14">
        <f t="shared" si="3713"/>
        <v>0.25000000008750001</v>
      </c>
      <c r="CX649" s="14">
        <f t="shared" si="3713"/>
        <v>0.25000000008888884</v>
      </c>
      <c r="CY649" s="14">
        <f t="shared" si="3713"/>
        <v>0.25000000008999995</v>
      </c>
      <c r="CZ649" s="14">
        <f t="shared" si="3713"/>
        <v>0.250000000090909</v>
      </c>
      <c r="DA649" s="14">
        <f t="shared" si="3713"/>
        <v>0.25000000009166656</v>
      </c>
      <c r="DB649" s="14">
        <f t="shared" si="3713"/>
        <v>0.18049999999999997</v>
      </c>
      <c r="DC649" s="14">
        <f t="shared" si="3713"/>
        <v>0.18049984609996919</v>
      </c>
      <c r="DD649" s="14">
        <f t="shared" si="3713"/>
        <v>0.1804997947999453</v>
      </c>
      <c r="DE649" s="14">
        <f t="shared" si="3713"/>
        <v>0.18049976914993074</v>
      </c>
      <c r="DF649" s="14">
        <f t="shared" si="3713"/>
        <v>0.18049975375992122</v>
      </c>
      <c r="DG649" s="14">
        <f t="shared" si="3713"/>
        <v>0.18049974349991449</v>
      </c>
      <c r="DH649" s="14">
        <f t="shared" si="3713"/>
        <v>0.18049973617133808</v>
      </c>
      <c r="DI649" s="14">
        <f t="shared" si="3713"/>
        <v>0.18049973067490571</v>
      </c>
      <c r="DJ649" s="14">
        <f t="shared" si="3713"/>
        <v>0.18049972639990269</v>
      </c>
      <c r="DK649" s="14">
        <f t="shared" si="3713"/>
        <v>0.18049972297990022</v>
      </c>
      <c r="DL649" s="14">
        <f t="shared" si="3713"/>
        <v>0.18049972018171639</v>
      </c>
      <c r="DM649" s="14">
        <f t="shared" si="3713"/>
        <v>0.18049971784989652</v>
      </c>
      <c r="DN649" s="14">
        <f t="shared" si="3713"/>
        <v>0</v>
      </c>
      <c r="DO649" s="14">
        <f t="shared" si="3713"/>
        <v>0</v>
      </c>
      <c r="DP649" s="14">
        <f t="shared" si="3713"/>
        <v>0</v>
      </c>
      <c r="DQ649" s="14"/>
      <c r="DR649" s="14"/>
      <c r="DS649" s="14"/>
      <c r="DT649" s="14"/>
      <c r="DU649" s="14"/>
      <c r="DV649" s="14"/>
      <c r="DW649" s="14"/>
      <c r="DX649" s="14"/>
      <c r="DY649" s="14"/>
      <c r="DZ649" s="14"/>
      <c r="EA649" s="14">
        <f>EA606*EA605/EA603</f>
        <v>0.25000000009166656</v>
      </c>
      <c r="EB649" s="14">
        <f>EB606*EB605/EB603</f>
        <v>0.18049971784989652</v>
      </c>
      <c r="EC649" s="14"/>
      <c r="ED649" s="429"/>
      <c r="EE649" s="14" t="e">
        <f>EE605*EE606/EE605</f>
        <v>#DIV/0!</v>
      </c>
      <c r="EF649" s="14" t="e">
        <f>EF606*EF605/EF605</f>
        <v>#DIV/0!</v>
      </c>
      <c r="EG649" s="14">
        <f>EG605*EG606/EG605</f>
        <v>0.95</v>
      </c>
      <c r="EK649" s="24"/>
      <c r="EL649" s="47"/>
      <c r="EM649" s="47"/>
      <c r="EN649" s="47"/>
    </row>
    <row r="650" spans="1:149">
      <c r="A650" s="6" t="s">
        <v>23</v>
      </c>
      <c r="B650" s="2" t="s">
        <v>26</v>
      </c>
      <c r="C650" s="3" t="s">
        <v>84</v>
      </c>
      <c r="E650" s="3" t="str">
        <f>C607</f>
        <v>BSpec1</v>
      </c>
      <c r="F650" s="4" t="s">
        <v>31</v>
      </c>
      <c r="G650" s="28" t="str">
        <f>C616</f>
        <v>BSUniq</v>
      </c>
      <c r="H650" s="28"/>
      <c r="I650" s="28"/>
      <c r="J650" s="62">
        <f t="shared" ref="J650:AJ650" si="3714">J607/J616</f>
        <v>5.0632911392405063E-2</v>
      </c>
      <c r="K650" s="62">
        <f t="shared" si="3714"/>
        <v>5.0632911392405063E-2</v>
      </c>
      <c r="L650" s="62">
        <f t="shared" si="3714"/>
        <v>5.0632911392405063E-2</v>
      </c>
      <c r="M650" s="62">
        <f t="shared" si="3714"/>
        <v>5.0632911392405063E-2</v>
      </c>
      <c r="N650" s="62">
        <f t="shared" si="3714"/>
        <v>5.0632911392405063E-2</v>
      </c>
      <c r="O650" s="62">
        <f t="shared" si="3714"/>
        <v>5.0632911392405063E-2</v>
      </c>
      <c r="P650" s="62">
        <f t="shared" si="3714"/>
        <v>5.0632911392405063E-2</v>
      </c>
      <c r="Q650" s="62">
        <f t="shared" si="3714"/>
        <v>5.0632911392405063E-2</v>
      </c>
      <c r="R650" s="62">
        <f t="shared" si="3714"/>
        <v>5.0632911392405063E-2</v>
      </c>
      <c r="S650" s="62">
        <f t="shared" si="3714"/>
        <v>5.0632911392405063E-2</v>
      </c>
      <c r="T650" s="62">
        <f t="shared" si="3714"/>
        <v>5.0632911392405063E-2</v>
      </c>
      <c r="U650" s="62">
        <f t="shared" si="3714"/>
        <v>5.0632911392405063E-2</v>
      </c>
      <c r="V650" s="62">
        <f t="shared" si="3714"/>
        <v>5.9071729957805914E-2</v>
      </c>
      <c r="W650" s="62">
        <f t="shared" si="3714"/>
        <v>5.9071814345991562E-2</v>
      </c>
      <c r="X650" s="62">
        <f t="shared" si="3714"/>
        <v>5.9071842475386778E-2</v>
      </c>
      <c r="Y650" s="62">
        <f t="shared" si="3714"/>
        <v>5.9071856540084386E-2</v>
      </c>
      <c r="Z650" s="62">
        <f t="shared" si="3714"/>
        <v>5.9071864978902953E-2</v>
      </c>
      <c r="AA650" s="62">
        <f t="shared" si="3714"/>
        <v>5.9071870604781994E-2</v>
      </c>
      <c r="AB650" s="62">
        <f t="shared" si="3714"/>
        <v>5.9071874623267032E-2</v>
      </c>
      <c r="AC650" s="62">
        <f t="shared" si="3714"/>
        <v>5.9071877637130801E-2</v>
      </c>
      <c r="AD650" s="62">
        <f t="shared" si="3714"/>
        <v>5.907187998124707E-2</v>
      </c>
      <c r="AE650" s="62">
        <f t="shared" si="3714"/>
        <v>5.9071881856540082E-2</v>
      </c>
      <c r="AF650" s="62">
        <f t="shared" si="3714"/>
        <v>5.907188339087073E-2</v>
      </c>
      <c r="AG650" s="62">
        <f t="shared" si="3714"/>
        <v>5.9071884669479609E-2</v>
      </c>
      <c r="AH650" s="62">
        <f t="shared" si="3714"/>
        <v>0</v>
      </c>
      <c r="AI650" s="62">
        <f t="shared" si="3714"/>
        <v>0</v>
      </c>
      <c r="AJ650" s="62" t="e">
        <f t="shared" si="3714"/>
        <v>#DIV/0!</v>
      </c>
      <c r="AK650" s="412"/>
      <c r="AL650" s="14">
        <f t="shared" ref="AL650:BL650" si="3715">AL607/AL616</f>
        <v>5.0632911392405063E-2</v>
      </c>
      <c r="AM650" s="14">
        <f t="shared" si="3715"/>
        <v>2.5316455696202531E-2</v>
      </c>
      <c r="AN650" s="14">
        <f t="shared" si="3715"/>
        <v>1.6877637130801686E-2</v>
      </c>
      <c r="AO650" s="14">
        <f t="shared" si="3715"/>
        <v>1.2658227848101266E-2</v>
      </c>
      <c r="AP650" s="14">
        <f t="shared" si="3715"/>
        <v>1.0126582278481013E-2</v>
      </c>
      <c r="AQ650" s="14">
        <f t="shared" si="3715"/>
        <v>8.4388185654008432E-3</v>
      </c>
      <c r="AR650" s="14">
        <f t="shared" si="3715"/>
        <v>7.2332730560578659E-3</v>
      </c>
      <c r="AS650" s="14">
        <f t="shared" si="3715"/>
        <v>6.3291139240506328E-3</v>
      </c>
      <c r="AT650" s="14">
        <f t="shared" si="3715"/>
        <v>5.6258790436005627E-3</v>
      </c>
      <c r="AU650" s="14">
        <f t="shared" si="3715"/>
        <v>5.0632911392405064E-3</v>
      </c>
      <c r="AV650" s="14">
        <f t="shared" si="3715"/>
        <v>4.6029919447640967E-3</v>
      </c>
      <c r="AW650" s="14">
        <f t="shared" si="3715"/>
        <v>4.2194092827004216E-3</v>
      </c>
      <c r="AX650" s="14">
        <f t="shared" si="3715"/>
        <v>5.9071729957805914E-2</v>
      </c>
      <c r="AY650" s="14">
        <f t="shared" si="3715"/>
        <v>5.9071729957805914E-2</v>
      </c>
      <c r="AZ650" s="14">
        <f t="shared" si="3715"/>
        <v>5.9071729957805914E-2</v>
      </c>
      <c r="BA650" s="14">
        <f t="shared" si="3715"/>
        <v>5.9071729957805914E-2</v>
      </c>
      <c r="BB650" s="14">
        <f t="shared" si="3715"/>
        <v>5.9071729957805914E-2</v>
      </c>
      <c r="BC650" s="14">
        <f t="shared" si="3715"/>
        <v>5.9071729957805914E-2</v>
      </c>
      <c r="BD650" s="14">
        <f t="shared" si="3715"/>
        <v>5.9071729957805914E-2</v>
      </c>
      <c r="BE650" s="14">
        <f t="shared" si="3715"/>
        <v>5.9071729957805914E-2</v>
      </c>
      <c r="BF650" s="14">
        <f t="shared" si="3715"/>
        <v>5.9071729957805914E-2</v>
      </c>
      <c r="BG650" s="14">
        <f t="shared" si="3715"/>
        <v>5.9071729957805914E-2</v>
      </c>
      <c r="BH650" s="14">
        <f t="shared" si="3715"/>
        <v>5.9071729957805914E-2</v>
      </c>
      <c r="BI650" s="14">
        <f t="shared" si="3715"/>
        <v>5.9071729957805914E-2</v>
      </c>
      <c r="BJ650" s="14">
        <f t="shared" si="3715"/>
        <v>0</v>
      </c>
      <c r="BK650" s="14">
        <f t="shared" si="3715"/>
        <v>0</v>
      </c>
      <c r="BL650" s="14" t="e">
        <f t="shared" si="3715"/>
        <v>#DIV/0!</v>
      </c>
      <c r="BM650" s="412"/>
      <c r="BN650" s="14">
        <f t="shared" ref="BN650:CN650" si="3716">BN607/BN616</f>
        <v>0.15189873417721519</v>
      </c>
      <c r="BO650" s="14">
        <f t="shared" si="3716"/>
        <v>5.0632911392405063E-2</v>
      </c>
      <c r="BP650" s="14">
        <f t="shared" si="3716"/>
        <v>2.5316455696202531E-2</v>
      </c>
      <c r="BQ650" s="14">
        <f t="shared" si="3716"/>
        <v>3.7974683544303799E-2</v>
      </c>
      <c r="BR650" s="14">
        <f t="shared" si="3716"/>
        <v>1.6877637130801686E-2</v>
      </c>
      <c r="BS650" s="14">
        <f t="shared" si="3716"/>
        <v>1.0126582278481013E-2</v>
      </c>
      <c r="BT650" s="14">
        <f t="shared" si="3716"/>
        <v>2.1699819168173599E-2</v>
      </c>
      <c r="BU650" s="14">
        <f t="shared" si="3716"/>
        <v>1.0126582278481013E-2</v>
      </c>
      <c r="BV650" s="14">
        <f t="shared" si="3716"/>
        <v>6.3291139240506328E-3</v>
      </c>
      <c r="BW650" s="14">
        <f t="shared" si="3716"/>
        <v>1.5189873417721518E-2</v>
      </c>
      <c r="BX650" s="14">
        <f t="shared" si="3716"/>
        <v>7.2332730560578659E-3</v>
      </c>
      <c r="BY650" s="14">
        <f t="shared" si="3716"/>
        <v>4.6029919447640967E-3</v>
      </c>
      <c r="BZ650" s="14">
        <f t="shared" si="3716"/>
        <v>5.9071729957805907E-2</v>
      </c>
      <c r="CA650" s="14">
        <f t="shared" si="3716"/>
        <v>5.9071729957805907E-2</v>
      </c>
      <c r="CB650" s="14">
        <f t="shared" si="3716"/>
        <v>5.9071842475386778E-2</v>
      </c>
      <c r="CC650" s="14">
        <f t="shared" si="3716"/>
        <v>5.9071842475386778E-2</v>
      </c>
      <c r="CD650" s="14">
        <f t="shared" si="3716"/>
        <v>5.9071842475386778E-2</v>
      </c>
      <c r="CE650" s="14">
        <f t="shared" si="3716"/>
        <v>2.9535864978902954E-2</v>
      </c>
      <c r="CF650" s="14">
        <f t="shared" si="3716"/>
        <v>1.969057665260197E-2</v>
      </c>
      <c r="CG650" s="14">
        <f t="shared" si="3716"/>
        <v>1.969057665260197E-2</v>
      </c>
      <c r="CH650" s="14">
        <f t="shared" si="3716"/>
        <v>1.969057665260197E-2</v>
      </c>
      <c r="CI650" s="14">
        <f t="shared" si="3716"/>
        <v>1.4767932489451477E-2</v>
      </c>
      <c r="CJ650" s="14">
        <f t="shared" si="3716"/>
        <v>1.4767932489451477E-2</v>
      </c>
      <c r="CK650" s="14">
        <f t="shared" si="3716"/>
        <v>1.4767932489451477E-2</v>
      </c>
      <c r="CL650" s="14">
        <f t="shared" si="3716"/>
        <v>0</v>
      </c>
      <c r="CM650" s="14">
        <f t="shared" si="3716"/>
        <v>0</v>
      </c>
      <c r="CN650" s="14">
        <f t="shared" si="3716"/>
        <v>0</v>
      </c>
      <c r="CO650" s="412"/>
      <c r="CP650" s="14">
        <f t="shared" ref="CP650:DP650" si="3717">CP607/CP616</f>
        <v>5.0632911392405063E-2</v>
      </c>
      <c r="CQ650" s="14">
        <f t="shared" si="3717"/>
        <v>3.3755274261603373E-2</v>
      </c>
      <c r="CR650" s="14">
        <f t="shared" si="3717"/>
        <v>2.5316455696202531E-2</v>
      </c>
      <c r="CS650" s="14">
        <f t="shared" si="3717"/>
        <v>2.0253164556962026E-2</v>
      </c>
      <c r="CT650" s="14">
        <f t="shared" si="3717"/>
        <v>1.6877637130801686E-2</v>
      </c>
      <c r="CU650" s="14">
        <f t="shared" si="3717"/>
        <v>1.4466546112115732E-2</v>
      </c>
      <c r="CV650" s="14">
        <f t="shared" si="3717"/>
        <v>1.2658227848101266E-2</v>
      </c>
      <c r="CW650" s="14">
        <f t="shared" si="3717"/>
        <v>1.1251758087201125E-2</v>
      </c>
      <c r="CX650" s="14">
        <f t="shared" si="3717"/>
        <v>1.0126582278481013E-2</v>
      </c>
      <c r="CY650" s="14">
        <f t="shared" si="3717"/>
        <v>9.2059838895281933E-3</v>
      </c>
      <c r="CZ650" s="14">
        <f t="shared" si="3717"/>
        <v>8.4388185654008432E-3</v>
      </c>
      <c r="DA650" s="14">
        <f t="shared" si="3717"/>
        <v>7.7896786757546254E-3</v>
      </c>
      <c r="DB650" s="14">
        <f t="shared" si="3717"/>
        <v>5.9071729957805914E-2</v>
      </c>
      <c r="DC650" s="14">
        <f t="shared" si="3717"/>
        <v>5.9054852320675102E-2</v>
      </c>
      <c r="DD650" s="14">
        <f t="shared" si="3717"/>
        <v>5.9049226441631499E-2</v>
      </c>
      <c r="DE650" s="14">
        <f t="shared" si="3717"/>
        <v>5.90464135021097E-2</v>
      </c>
      <c r="DF650" s="14">
        <f t="shared" si="3717"/>
        <v>5.9044725738396614E-2</v>
      </c>
      <c r="DG650" s="14">
        <f t="shared" si="3717"/>
        <v>5.9043600562587902E-2</v>
      </c>
      <c r="DH650" s="14">
        <f t="shared" si="3717"/>
        <v>5.9042796865581677E-2</v>
      </c>
      <c r="DI650" s="14">
        <f t="shared" si="3717"/>
        <v>5.9042194092827002E-2</v>
      </c>
      <c r="DJ650" s="14">
        <f t="shared" si="3717"/>
        <v>5.9041725269573374E-2</v>
      </c>
      <c r="DK650" s="14">
        <f t="shared" si="3717"/>
        <v>5.904135021097047E-2</v>
      </c>
      <c r="DL650" s="14">
        <f t="shared" si="3717"/>
        <v>5.9041043344840817E-2</v>
      </c>
      <c r="DM650" s="14">
        <f t="shared" si="3717"/>
        <v>5.904078762306611E-2</v>
      </c>
      <c r="DN650" s="14">
        <f t="shared" si="3717"/>
        <v>0</v>
      </c>
      <c r="DO650" s="14">
        <f t="shared" si="3717"/>
        <v>0</v>
      </c>
      <c r="DP650" s="14">
        <f t="shared" si="3717"/>
        <v>0</v>
      </c>
      <c r="DQ650" s="14"/>
      <c r="DR650" s="14"/>
      <c r="DS650" s="14"/>
      <c r="DT650" s="14"/>
      <c r="DU650" s="14"/>
      <c r="DV650" s="14"/>
      <c r="DW650" s="14"/>
      <c r="DX650" s="14"/>
      <c r="DY650" s="14"/>
      <c r="DZ650" s="14"/>
      <c r="EA650" s="14">
        <f>EA607/EA616</f>
        <v>7.7896786757546254E-3</v>
      </c>
      <c r="EB650" s="14">
        <f>EB607/EB616</f>
        <v>5.904078762306611E-2</v>
      </c>
      <c r="EC650" s="14"/>
      <c r="ED650" s="429"/>
      <c r="EE650" s="14">
        <f>EE607/EE616</f>
        <v>0</v>
      </c>
      <c r="EF650" s="14">
        <f>EF607/EF616</f>
        <v>0</v>
      </c>
      <c r="EG650" s="14">
        <f>EG607/EG616</f>
        <v>6.2189629629629636E-2</v>
      </c>
      <c r="EK650" s="24"/>
      <c r="EL650" s="47"/>
      <c r="EM650" s="47"/>
      <c r="EN650" s="47"/>
    </row>
    <row r="651" spans="1:149">
      <c r="A651" s="6" t="s">
        <v>23</v>
      </c>
      <c r="B651" s="2" t="s">
        <v>27</v>
      </c>
      <c r="C651" s="3" t="s">
        <v>77</v>
      </c>
      <c r="E651" s="3" t="str">
        <f>C609</f>
        <v>BOnlHrs</v>
      </c>
      <c r="F651" s="4" t="s">
        <v>31</v>
      </c>
      <c r="G651" s="28" t="str">
        <f>C608</f>
        <v>BTotHrs</v>
      </c>
      <c r="H651" s="28"/>
      <c r="I651" s="28"/>
      <c r="J651" s="62">
        <f t="shared" ref="J651:AJ651" si="3718">J609/J608</f>
        <v>0.1</v>
      </c>
      <c r="K651" s="62">
        <f t="shared" si="3718"/>
        <v>0.1</v>
      </c>
      <c r="L651" s="62">
        <f t="shared" si="3718"/>
        <v>0.1</v>
      </c>
      <c r="M651" s="62">
        <f t="shared" si="3718"/>
        <v>0.1</v>
      </c>
      <c r="N651" s="62">
        <f t="shared" si="3718"/>
        <v>0.1</v>
      </c>
      <c r="O651" s="62">
        <f t="shared" si="3718"/>
        <v>0.1</v>
      </c>
      <c r="P651" s="62">
        <f t="shared" si="3718"/>
        <v>0.1</v>
      </c>
      <c r="Q651" s="62">
        <f t="shared" si="3718"/>
        <v>0.1</v>
      </c>
      <c r="R651" s="62">
        <f t="shared" si="3718"/>
        <v>0.1</v>
      </c>
      <c r="S651" s="62">
        <f t="shared" si="3718"/>
        <v>0.1</v>
      </c>
      <c r="T651" s="62">
        <f t="shared" si="3718"/>
        <v>0.1</v>
      </c>
      <c r="U651" s="62">
        <f t="shared" si="3718"/>
        <v>0.1</v>
      </c>
      <c r="V651" s="62">
        <v>0.1</v>
      </c>
      <c r="W651" s="62">
        <v>0.1</v>
      </c>
      <c r="X651" s="62">
        <v>0.1</v>
      </c>
      <c r="Y651" s="62">
        <v>0.1</v>
      </c>
      <c r="Z651" s="62">
        <v>0.1</v>
      </c>
      <c r="AA651" s="62">
        <v>0.1</v>
      </c>
      <c r="AB651" s="62">
        <v>0.1</v>
      </c>
      <c r="AC651" s="62">
        <v>0.1</v>
      </c>
      <c r="AD651" s="62">
        <v>0.1</v>
      </c>
      <c r="AE651" s="62">
        <f t="shared" si="3718"/>
        <v>9.9752391573729879E-2</v>
      </c>
      <c r="AF651" s="62">
        <f t="shared" si="3718"/>
        <v>9.975239382674328E-2</v>
      </c>
      <c r="AG651" s="62">
        <f t="shared" si="3718"/>
        <v>9.9752395704254454E-2</v>
      </c>
      <c r="AH651" s="62">
        <f t="shared" si="3718"/>
        <v>0</v>
      </c>
      <c r="AI651" s="62">
        <f t="shared" si="3718"/>
        <v>0</v>
      </c>
      <c r="AJ651" s="62">
        <f t="shared" si="3718"/>
        <v>0</v>
      </c>
      <c r="AK651" s="412"/>
      <c r="AL651" s="14">
        <f t="shared" ref="AL651:BL651" si="3719">AL609/AL608</f>
        <v>0.1</v>
      </c>
      <c r="AM651" s="14">
        <f t="shared" si="3719"/>
        <v>0.1</v>
      </c>
      <c r="AN651" s="14">
        <f t="shared" si="3719"/>
        <v>0.1</v>
      </c>
      <c r="AO651" s="14">
        <f t="shared" si="3719"/>
        <v>0.1</v>
      </c>
      <c r="AP651" s="14">
        <f t="shared" si="3719"/>
        <v>0.1</v>
      </c>
      <c r="AQ651" s="14">
        <f t="shared" si="3719"/>
        <v>0.1</v>
      </c>
      <c r="AR651" s="14">
        <f t="shared" si="3719"/>
        <v>0.1</v>
      </c>
      <c r="AS651" s="14">
        <f t="shared" si="3719"/>
        <v>0.1</v>
      </c>
      <c r="AT651" s="14">
        <f t="shared" si="3719"/>
        <v>0.1</v>
      </c>
      <c r="AU651" s="14">
        <f t="shared" si="3719"/>
        <v>0.1</v>
      </c>
      <c r="AV651" s="14">
        <f t="shared" si="3719"/>
        <v>0.1</v>
      </c>
      <c r="AW651" s="14">
        <f t="shared" si="3719"/>
        <v>0.1</v>
      </c>
      <c r="AX651" s="14">
        <f t="shared" si="3719"/>
        <v>9.9752168525402723E-2</v>
      </c>
      <c r="AY651" s="14">
        <f t="shared" si="3719"/>
        <v>9.975241635687733E-2</v>
      </c>
      <c r="AZ651" s="14">
        <f t="shared" si="3719"/>
        <v>9.9752416356877344E-2</v>
      </c>
      <c r="BA651" s="14">
        <f t="shared" si="3719"/>
        <v>9.9752416356877316E-2</v>
      </c>
      <c r="BB651" s="14">
        <f t="shared" si="3719"/>
        <v>9.9752416356877316E-2</v>
      </c>
      <c r="BC651" s="14">
        <f t="shared" si="3719"/>
        <v>9.9752416356877371E-2</v>
      </c>
      <c r="BD651" s="14">
        <f t="shared" si="3719"/>
        <v>9.9752416356877371E-2</v>
      </c>
      <c r="BE651" s="14">
        <f t="shared" si="3719"/>
        <v>9.9752416356877371E-2</v>
      </c>
      <c r="BF651" s="14">
        <f t="shared" si="3719"/>
        <v>9.9752416356877371E-2</v>
      </c>
      <c r="BG651" s="14">
        <f t="shared" si="3719"/>
        <v>9.9752416356877371E-2</v>
      </c>
      <c r="BH651" s="14">
        <f t="shared" si="3719"/>
        <v>9.975241635687726E-2</v>
      </c>
      <c r="BI651" s="14">
        <f t="shared" si="3719"/>
        <v>9.975241635687726E-2</v>
      </c>
      <c r="BJ651" s="14">
        <f t="shared" si="3719"/>
        <v>0</v>
      </c>
      <c r="BK651" s="14">
        <f t="shared" si="3719"/>
        <v>0</v>
      </c>
      <c r="BL651" s="14">
        <f t="shared" si="3719"/>
        <v>0</v>
      </c>
      <c r="BM651" s="412"/>
      <c r="BN651" s="14">
        <f t="shared" ref="BN651:CN651" si="3720">BN609/BN608</f>
        <v>0.3</v>
      </c>
      <c r="BO651" s="14">
        <f t="shared" si="3720"/>
        <v>0.3</v>
      </c>
      <c r="BP651" s="14">
        <f t="shared" si="3720"/>
        <v>0.3</v>
      </c>
      <c r="BQ651" s="14">
        <f t="shared" si="3720"/>
        <v>0.3</v>
      </c>
      <c r="BR651" s="14">
        <f t="shared" si="3720"/>
        <v>0.3</v>
      </c>
      <c r="BS651" s="14">
        <f t="shared" si="3720"/>
        <v>0.3</v>
      </c>
      <c r="BT651" s="14">
        <f t="shared" si="3720"/>
        <v>0.3</v>
      </c>
      <c r="BU651" s="14">
        <f t="shared" si="3720"/>
        <v>0.3</v>
      </c>
      <c r="BV651" s="14">
        <f t="shared" si="3720"/>
        <v>0.3</v>
      </c>
      <c r="BW651" s="14">
        <f t="shared" si="3720"/>
        <v>0.3</v>
      </c>
      <c r="BX651" s="14">
        <f t="shared" si="3720"/>
        <v>0.3</v>
      </c>
      <c r="BY651" s="14">
        <f t="shared" si="3720"/>
        <v>0.3</v>
      </c>
      <c r="BZ651" s="14">
        <f t="shared" si="3720"/>
        <v>0.1</v>
      </c>
      <c r="CA651" s="14">
        <f t="shared" si="3720"/>
        <v>0.1</v>
      </c>
      <c r="CB651" s="14">
        <f t="shared" si="3720"/>
        <v>0.29925700123915738</v>
      </c>
      <c r="CC651" s="14">
        <f t="shared" si="3720"/>
        <v>0.1</v>
      </c>
      <c r="CD651" s="14">
        <f t="shared" si="3720"/>
        <v>0.1</v>
      </c>
      <c r="CE651" s="14">
        <f t="shared" si="3720"/>
        <v>0.299257249070632</v>
      </c>
      <c r="CF651" s="14">
        <f t="shared" si="3720"/>
        <v>0.29925724907063211</v>
      </c>
      <c r="CG651" s="14">
        <f t="shared" si="3720"/>
        <v>0.29925724907063211</v>
      </c>
      <c r="CH651" s="14">
        <f t="shared" si="3720"/>
        <v>0.29925724907063211</v>
      </c>
      <c r="CI651" s="14">
        <f t="shared" si="3720"/>
        <v>0.29925724907063189</v>
      </c>
      <c r="CJ651" s="14">
        <f t="shared" si="3720"/>
        <v>0.29925724907063189</v>
      </c>
      <c r="CK651" s="14">
        <f t="shared" si="3720"/>
        <v>0.29925724907063184</v>
      </c>
      <c r="CL651" s="14">
        <f t="shared" si="3720"/>
        <v>0</v>
      </c>
      <c r="CM651" s="14">
        <f t="shared" si="3720"/>
        <v>0</v>
      </c>
      <c r="CN651" s="14">
        <f t="shared" si="3720"/>
        <v>0</v>
      </c>
      <c r="CO651" s="412"/>
      <c r="CP651" s="14">
        <f t="shared" ref="CP651:DP651" si="3721">CP609/CP608</f>
        <v>0.1</v>
      </c>
      <c r="CQ651" s="14">
        <f t="shared" si="3721"/>
        <v>0.1</v>
      </c>
      <c r="CR651" s="14">
        <f t="shared" si="3721"/>
        <v>0.1</v>
      </c>
      <c r="CS651" s="14">
        <f t="shared" si="3721"/>
        <v>0.1</v>
      </c>
      <c r="CT651" s="14">
        <f t="shared" si="3721"/>
        <v>0.1</v>
      </c>
      <c r="CU651" s="14">
        <f t="shared" si="3721"/>
        <v>0.1</v>
      </c>
      <c r="CV651" s="14">
        <f t="shared" si="3721"/>
        <v>0.1</v>
      </c>
      <c r="CW651" s="14">
        <f t="shared" si="3721"/>
        <v>0.1</v>
      </c>
      <c r="CX651" s="14">
        <f t="shared" si="3721"/>
        <v>0.1</v>
      </c>
      <c r="CY651" s="14">
        <f t="shared" si="3721"/>
        <v>0.1</v>
      </c>
      <c r="CZ651" s="14">
        <f t="shared" si="3721"/>
        <v>0.1</v>
      </c>
      <c r="DA651" s="14">
        <f t="shared" si="3721"/>
        <v>0.1</v>
      </c>
      <c r="DB651" s="14">
        <f t="shared" si="3721"/>
        <v>9.9752168525402723E-2</v>
      </c>
      <c r="DC651" s="14">
        <f t="shared" si="3721"/>
        <v>9.975229244114002E-2</v>
      </c>
      <c r="DD651" s="14">
        <f t="shared" si="3721"/>
        <v>9.9752333746385799E-2</v>
      </c>
      <c r="DE651" s="109">
        <f t="shared" si="3721"/>
        <v>9.9752354399008675E-2</v>
      </c>
      <c r="DF651" s="14">
        <f t="shared" si="3721"/>
        <v>9.97523667905824E-2</v>
      </c>
      <c r="DG651" s="14">
        <f t="shared" si="3721"/>
        <v>9.9752375051631564E-2</v>
      </c>
      <c r="DH651" s="14">
        <f t="shared" si="3721"/>
        <v>9.9752380952380967E-2</v>
      </c>
      <c r="DI651" s="14">
        <f t="shared" si="3721"/>
        <v>9.9752385377943009E-2</v>
      </c>
      <c r="DJ651" s="14">
        <f t="shared" si="3721"/>
        <v>9.9752388820046833E-2</v>
      </c>
      <c r="DK651" s="14">
        <f t="shared" si="3721"/>
        <v>9.9752391573729879E-2</v>
      </c>
      <c r="DL651" s="14">
        <f t="shared" si="3721"/>
        <v>9.975239382674328E-2</v>
      </c>
      <c r="DM651" s="14">
        <f t="shared" si="3721"/>
        <v>9.9752395704254454E-2</v>
      </c>
      <c r="DN651" s="14">
        <f t="shared" si="3721"/>
        <v>0</v>
      </c>
      <c r="DO651" s="14">
        <f t="shared" si="3721"/>
        <v>0</v>
      </c>
      <c r="DP651" s="14">
        <f t="shared" si="3721"/>
        <v>0</v>
      </c>
      <c r="DQ651" s="14"/>
      <c r="DR651" s="14"/>
      <c r="DS651" s="14"/>
      <c r="DT651" s="14"/>
      <c r="DU651" s="14"/>
      <c r="DV651" s="14"/>
      <c r="DW651" s="14"/>
      <c r="DX651" s="14"/>
      <c r="DY651" s="14"/>
      <c r="DZ651" s="14"/>
      <c r="EA651" s="14">
        <f>EA609/EA608</f>
        <v>0.1</v>
      </c>
      <c r="EB651" s="14">
        <f>EB609/EB608</f>
        <v>9.9752395704254454E-2</v>
      </c>
      <c r="EC651" s="14"/>
      <c r="ED651" s="429"/>
      <c r="EE651" s="14">
        <f>EE609/EE608</f>
        <v>0</v>
      </c>
      <c r="EF651" s="14">
        <f>EF609/EF608</f>
        <v>0</v>
      </c>
      <c r="EG651" s="14">
        <f>AG651</f>
        <v>9.9752395704254454E-2</v>
      </c>
      <c r="EK651" s="24"/>
      <c r="EL651" s="47"/>
      <c r="EM651" s="47"/>
      <c r="EN651" s="47"/>
    </row>
    <row r="652" spans="1:149">
      <c r="A652" s="6" t="s">
        <v>23</v>
      </c>
      <c r="B652" s="2" t="s">
        <v>28</v>
      </c>
      <c r="C652" s="3" t="s">
        <v>78</v>
      </c>
      <c r="E652" s="3" t="str">
        <f>C614</f>
        <v>BColCash</v>
      </c>
      <c r="F652" s="4" t="s">
        <v>31</v>
      </c>
      <c r="G652" s="28" t="str">
        <f>C615</f>
        <v>BFSFunds</v>
      </c>
      <c r="H652" s="28"/>
      <c r="I652" s="28"/>
      <c r="J652" s="62" t="str">
        <f t="shared" ref="J652:AJ652" si="3722">IF(J615&lt;&gt;0,J614/J615,"")</f>
        <v/>
      </c>
      <c r="K652" s="62" t="str">
        <f t="shared" si="3722"/>
        <v/>
      </c>
      <c r="L652" s="62">
        <f t="shared" si="3722"/>
        <v>0.5</v>
      </c>
      <c r="M652" s="62">
        <f t="shared" si="3722"/>
        <v>0.5</v>
      </c>
      <c r="N652" s="62">
        <f t="shared" si="3722"/>
        <v>0.5</v>
      </c>
      <c r="O652" s="62">
        <f t="shared" si="3722"/>
        <v>0.5</v>
      </c>
      <c r="P652" s="62">
        <f t="shared" si="3722"/>
        <v>0.5</v>
      </c>
      <c r="Q652" s="62">
        <f t="shared" si="3722"/>
        <v>0.5</v>
      </c>
      <c r="R652" s="62">
        <f t="shared" si="3722"/>
        <v>0.5</v>
      </c>
      <c r="S652" s="62">
        <f t="shared" si="3722"/>
        <v>0.5</v>
      </c>
      <c r="T652" s="62">
        <f t="shared" si="3722"/>
        <v>0.5</v>
      </c>
      <c r="U652" s="62">
        <f t="shared" si="3722"/>
        <v>0.5</v>
      </c>
      <c r="V652" s="62" t="str">
        <f t="shared" si="3722"/>
        <v/>
      </c>
      <c r="W652" s="62" t="str">
        <f t="shared" si="3722"/>
        <v/>
      </c>
      <c r="X652" s="62" t="str">
        <f t="shared" si="3722"/>
        <v/>
      </c>
      <c r="Y652" s="62" t="str">
        <f t="shared" si="3722"/>
        <v/>
      </c>
      <c r="Z652" s="62" t="str">
        <f t="shared" si="3722"/>
        <v/>
      </c>
      <c r="AA652" s="62">
        <f t="shared" si="3722"/>
        <v>0.81832339059392889</v>
      </c>
      <c r="AB652" s="62">
        <f t="shared" si="3722"/>
        <v>0.81832339059392889</v>
      </c>
      <c r="AC652" s="62">
        <f t="shared" si="3722"/>
        <v>0.81832339059392889</v>
      </c>
      <c r="AD652" s="62">
        <f t="shared" si="3722"/>
        <v>0.81832339059392889</v>
      </c>
      <c r="AE652" s="62">
        <f t="shared" si="3722"/>
        <v>0.81832339059392889</v>
      </c>
      <c r="AF652" s="62">
        <f t="shared" si="3722"/>
        <v>0.81832339059392889</v>
      </c>
      <c r="AG652" s="62">
        <f t="shared" si="3722"/>
        <v>0.81831141138982721</v>
      </c>
      <c r="AH652" s="62" t="str">
        <f t="shared" si="3722"/>
        <v/>
      </c>
      <c r="AI652" s="62" t="str">
        <f t="shared" si="3722"/>
        <v/>
      </c>
      <c r="AJ652" s="62" t="str">
        <f t="shared" si="3722"/>
        <v/>
      </c>
      <c r="AK652" s="412"/>
      <c r="AL652" s="14"/>
      <c r="AM652" s="14"/>
      <c r="AN652" s="14"/>
      <c r="AO652" s="14"/>
      <c r="AP652" s="14"/>
      <c r="AQ652" s="14"/>
      <c r="AR652" s="14"/>
      <c r="AS652" s="14"/>
      <c r="AT652" s="14"/>
      <c r="AU652" s="14"/>
      <c r="AV652" s="14"/>
      <c r="AW652" s="14"/>
      <c r="AX652" s="14"/>
      <c r="AY652" s="14"/>
      <c r="AZ652" s="14"/>
      <c r="BA652" s="14"/>
      <c r="BB652" s="14"/>
      <c r="BC652" s="14"/>
      <c r="BD652" s="14"/>
      <c r="BE652" s="14"/>
      <c r="BF652" s="14"/>
      <c r="BG652" s="14"/>
      <c r="BH652" s="14"/>
      <c r="BI652" s="14"/>
      <c r="BJ652" s="14"/>
      <c r="BK652" s="14"/>
      <c r="BL652" s="14"/>
      <c r="BM652" s="412"/>
      <c r="BN652" s="14"/>
      <c r="BO652" s="14"/>
      <c r="BP652" s="14"/>
      <c r="BQ652" s="14"/>
      <c r="BR652" s="14"/>
      <c r="BS652" s="14"/>
      <c r="BT652" s="14"/>
      <c r="BU652" s="14"/>
      <c r="BV652" s="14"/>
      <c r="BW652" s="14"/>
      <c r="BX652" s="14"/>
      <c r="BY652" s="14"/>
      <c r="BZ652" s="14"/>
      <c r="CA652" s="14"/>
      <c r="CB652" s="14"/>
      <c r="CC652" s="14"/>
      <c r="CD652" s="14"/>
      <c r="CE652" s="14"/>
      <c r="CF652" s="14"/>
      <c r="CG652" s="14"/>
      <c r="CH652" s="14"/>
      <c r="CI652" s="14"/>
      <c r="CJ652" s="14"/>
      <c r="CK652" s="14"/>
      <c r="CL652" s="14"/>
      <c r="CM652" s="14"/>
      <c r="CN652" s="14"/>
      <c r="CO652" s="412"/>
      <c r="CP652" s="14" t="str">
        <f t="shared" ref="CP652:DP652" si="3723">IF(CP615&lt;&gt;0,CP614/CP615,"")</f>
        <v/>
      </c>
      <c r="CQ652" s="14" t="str">
        <f t="shared" si="3723"/>
        <v/>
      </c>
      <c r="CR652" s="14">
        <f t="shared" si="3723"/>
        <v>0.5</v>
      </c>
      <c r="CS652" s="14">
        <f t="shared" si="3723"/>
        <v>0.5</v>
      </c>
      <c r="CT652" s="14">
        <f t="shared" si="3723"/>
        <v>0.5</v>
      </c>
      <c r="CU652" s="14">
        <f t="shared" si="3723"/>
        <v>0.5</v>
      </c>
      <c r="CV652" s="14">
        <f t="shared" si="3723"/>
        <v>0.5</v>
      </c>
      <c r="CW652" s="14">
        <f t="shared" si="3723"/>
        <v>0.5</v>
      </c>
      <c r="CX652" s="14">
        <f t="shared" si="3723"/>
        <v>0.5</v>
      </c>
      <c r="CY652" s="14">
        <f t="shared" si="3723"/>
        <v>0.5</v>
      </c>
      <c r="CZ652" s="14">
        <f t="shared" si="3723"/>
        <v>0.5</v>
      </c>
      <c r="DA652" s="14">
        <f t="shared" si="3723"/>
        <v>0.5</v>
      </c>
      <c r="DB652" s="14" t="str">
        <f t="shared" si="3723"/>
        <v/>
      </c>
      <c r="DC652" s="14" t="str">
        <f t="shared" si="3723"/>
        <v/>
      </c>
      <c r="DD652" s="14" t="str">
        <f t="shared" si="3723"/>
        <v/>
      </c>
      <c r="DE652" s="14" t="str">
        <f t="shared" si="3723"/>
        <v/>
      </c>
      <c r="DF652" s="14" t="str">
        <f t="shared" si="3723"/>
        <v/>
      </c>
      <c r="DG652" s="14">
        <f t="shared" si="3723"/>
        <v>0.81832339059392889</v>
      </c>
      <c r="DH652" s="14">
        <f t="shared" si="3723"/>
        <v>0.81832339059392889</v>
      </c>
      <c r="DI652" s="14">
        <f t="shared" si="3723"/>
        <v>0.81832339059392889</v>
      </c>
      <c r="DJ652" s="14">
        <f t="shared" si="3723"/>
        <v>0.81832339059392889</v>
      </c>
      <c r="DK652" s="14">
        <f t="shared" si="3723"/>
        <v>0.81832339059392889</v>
      </c>
      <c r="DL652" s="14">
        <f t="shared" si="3723"/>
        <v>0.81832339059392889</v>
      </c>
      <c r="DM652" s="14">
        <f t="shared" si="3723"/>
        <v>0.81831141138982721</v>
      </c>
      <c r="DN652" s="14" t="str">
        <f t="shared" si="3723"/>
        <v/>
      </c>
      <c r="DO652" s="14" t="str">
        <f t="shared" si="3723"/>
        <v/>
      </c>
      <c r="DP652" s="14" t="str">
        <f t="shared" si="3723"/>
        <v/>
      </c>
      <c r="DQ652" s="14"/>
      <c r="DR652" s="14"/>
      <c r="DS652" s="14"/>
      <c r="DT652" s="14"/>
      <c r="DU652" s="14"/>
      <c r="DV652" s="14"/>
      <c r="DW652" s="14"/>
      <c r="DX652" s="14"/>
      <c r="DY652" s="14"/>
      <c r="DZ652" s="14"/>
      <c r="EA652" s="14">
        <f>IF(EA615&lt;&gt;0,EA614/EA615,"")</f>
        <v>0.5</v>
      </c>
      <c r="EB652" s="14">
        <f>IF(EB615&lt;&gt;0,EB614/EB615,"")</f>
        <v>0.81831141138982721</v>
      </c>
      <c r="EC652" s="14"/>
      <c r="ED652" s="429"/>
      <c r="EE652" s="14"/>
      <c r="EF652" s="14"/>
      <c r="EG652" s="14">
        <f>IF(EG615&lt;&gt;0,EG614/EG615,"")</f>
        <v>0.5048209028459274</v>
      </c>
      <c r="EK652" s="24"/>
      <c r="EL652" s="65"/>
      <c r="EM652" s="65"/>
      <c r="EN652" s="47"/>
    </row>
    <row r="653" spans="1:149">
      <c r="A653" s="6" t="s">
        <v>29</v>
      </c>
      <c r="G653" s="28"/>
      <c r="H653" s="28"/>
      <c r="I653" s="28"/>
      <c r="J653" s="64"/>
      <c r="K653" s="64"/>
      <c r="L653" s="64"/>
      <c r="M653" s="64"/>
      <c r="N653" s="64"/>
      <c r="O653" s="64"/>
      <c r="P653" s="64"/>
      <c r="Q653" s="64"/>
      <c r="R653" s="64"/>
      <c r="S653" s="64"/>
      <c r="T653" s="64"/>
      <c r="U653" s="64"/>
      <c r="V653" s="64"/>
      <c r="W653" s="64"/>
      <c r="X653" s="64"/>
      <c r="Y653" s="64"/>
      <c r="Z653" s="64"/>
      <c r="AA653" s="64"/>
      <c r="AB653" s="64"/>
      <c r="AC653" s="64"/>
      <c r="AD653" s="64"/>
      <c r="AE653" s="64"/>
      <c r="AF653" s="64"/>
      <c r="AG653" s="64"/>
      <c r="AH653" s="64"/>
      <c r="AI653" s="64"/>
      <c r="AJ653" s="64"/>
      <c r="ED653" s="429"/>
      <c r="EE653" s="23"/>
      <c r="EF653" s="23"/>
      <c r="EG653" s="23"/>
      <c r="EH653" s="25"/>
      <c r="EI653" s="25"/>
      <c r="EJ653" s="25"/>
      <c r="EK653" s="23"/>
    </row>
    <row r="654" spans="1:149">
      <c r="A654" s="6" t="s">
        <v>23</v>
      </c>
      <c r="B654" s="2" t="s">
        <v>24</v>
      </c>
      <c r="C654" s="3" t="s">
        <v>83</v>
      </c>
      <c r="E654" s="4" t="str">
        <f>C627</f>
        <v>AInBusNew</v>
      </c>
      <c r="F654" s="4" t="s">
        <v>31</v>
      </c>
      <c r="G654" s="28" t="str">
        <f>C626</f>
        <v>AAllNew</v>
      </c>
      <c r="H654" s="28"/>
      <c r="I654" s="28"/>
      <c r="J654" s="62">
        <f t="shared" ref="J654:AJ654" si="3724">IF(J626&lt;&gt;0,J627/J626,"")</f>
        <v>0.5714285714285714</v>
      </c>
      <c r="K654" s="62">
        <f t="shared" si="3724"/>
        <v>0.44444444444444442</v>
      </c>
      <c r="L654" s="62">
        <f t="shared" si="3724"/>
        <v>0.66666666666666663</v>
      </c>
      <c r="M654" s="62">
        <f t="shared" si="3724"/>
        <v>0.64864864864864868</v>
      </c>
      <c r="N654" s="62">
        <f t="shared" si="3724"/>
        <v>0.62</v>
      </c>
      <c r="O654" s="62">
        <f t="shared" si="3724"/>
        <v>0.625</v>
      </c>
      <c r="P654" s="62">
        <f t="shared" si="3724"/>
        <v>0.6</v>
      </c>
      <c r="Q654" s="62">
        <f t="shared" si="3724"/>
        <v>0.58241758241758246</v>
      </c>
      <c r="R654" s="62">
        <f t="shared" si="3724"/>
        <v>0.5625</v>
      </c>
      <c r="S654" s="62">
        <f t="shared" si="3724"/>
        <v>0.59183673469387754</v>
      </c>
      <c r="T654" s="62">
        <f t="shared" si="3724"/>
        <v>0.60465116279069764</v>
      </c>
      <c r="U654" s="62">
        <f t="shared" si="3724"/>
        <v>0.601123595505618</v>
      </c>
      <c r="V654" s="62">
        <f t="shared" si="3724"/>
        <v>0.54545454545454541</v>
      </c>
      <c r="W654" s="62">
        <f t="shared" si="3724"/>
        <v>0.55555555555555558</v>
      </c>
      <c r="X654" s="62">
        <f t="shared" si="3724"/>
        <v>0.45238095238095238</v>
      </c>
      <c r="Y654" s="62">
        <f t="shared" si="3724"/>
        <v>0.45238095238095238</v>
      </c>
      <c r="Z654" s="62">
        <f t="shared" si="3724"/>
        <v>0.45238095238095238</v>
      </c>
      <c r="AA654" s="62">
        <f t="shared" si="3724"/>
        <v>0.50666666666666671</v>
      </c>
      <c r="AB654" s="62">
        <f t="shared" si="3724"/>
        <v>0.51282051282051277</v>
      </c>
      <c r="AC654" s="62">
        <f t="shared" si="3724"/>
        <v>0.43137254901960786</v>
      </c>
      <c r="AD654" s="62">
        <f t="shared" si="3724"/>
        <v>0.41599999999999998</v>
      </c>
      <c r="AE654" s="62">
        <f t="shared" si="3724"/>
        <v>0.40579710144927539</v>
      </c>
      <c r="AF654" s="62">
        <f t="shared" si="3724"/>
        <v>0.4</v>
      </c>
      <c r="AG654" s="62">
        <f t="shared" si="3724"/>
        <v>0.41104294478527609</v>
      </c>
      <c r="AH654" s="62">
        <f t="shared" si="3724"/>
        <v>0.47058823529411764</v>
      </c>
      <c r="AI654" s="62">
        <f t="shared" si="3724"/>
        <v>0.44444444444444442</v>
      </c>
      <c r="AJ654" s="62" t="str">
        <f t="shared" si="3724"/>
        <v/>
      </c>
      <c r="AK654" s="412"/>
      <c r="AL654" s="14">
        <f t="shared" ref="AL654:BL654" si="3725">IF(AL626&lt;&gt;0,AL627/AL626,"")</f>
        <v>0.5714285714285714</v>
      </c>
      <c r="AM654" s="14">
        <f t="shared" si="3725"/>
        <v>0</v>
      </c>
      <c r="AN654" s="14" t="str">
        <f t="shared" si="3725"/>
        <v/>
      </c>
      <c r="AO654" s="14">
        <f t="shared" si="3725"/>
        <v>0.6428571428571429</v>
      </c>
      <c r="AP654" s="14">
        <f t="shared" si="3725"/>
        <v>0.53846153846153844</v>
      </c>
      <c r="AQ654" s="14">
        <f t="shared" si="3725"/>
        <v>0.6428571428571429</v>
      </c>
      <c r="AR654" s="14">
        <f t="shared" si="3725"/>
        <v>0.5</v>
      </c>
      <c r="AS654" s="14">
        <f t="shared" si="3725"/>
        <v>0.45454545454545453</v>
      </c>
      <c r="AT654" s="14">
        <f t="shared" si="3725"/>
        <v>0.2</v>
      </c>
      <c r="AU654" s="14">
        <f t="shared" si="3725"/>
        <v>0.6470588235294118</v>
      </c>
      <c r="AV654" s="14">
        <f t="shared" si="3725"/>
        <v>0.68</v>
      </c>
      <c r="AW654" s="14">
        <f t="shared" si="3725"/>
        <v>0.5</v>
      </c>
      <c r="AX654" s="14">
        <f t="shared" si="3725"/>
        <v>0.54545454545454541</v>
      </c>
      <c r="AY654" s="14">
        <f t="shared" si="3725"/>
        <v>0.5714285714285714</v>
      </c>
      <c r="AZ654" s="14">
        <f t="shared" si="3725"/>
        <v>0.375</v>
      </c>
      <c r="BA654" s="14" t="str">
        <f t="shared" si="3725"/>
        <v/>
      </c>
      <c r="BB654" s="14" t="str">
        <f t="shared" si="3725"/>
        <v/>
      </c>
      <c r="BC654" s="14">
        <f t="shared" si="3725"/>
        <v>0.5757575757575758</v>
      </c>
      <c r="BD654" s="14">
        <f t="shared" si="3725"/>
        <v>0.66666666666666663</v>
      </c>
      <c r="BE654" s="14">
        <f t="shared" si="3725"/>
        <v>0.16666666666666666</v>
      </c>
      <c r="BF654" s="14">
        <f t="shared" si="3725"/>
        <v>0.34782608695652173</v>
      </c>
      <c r="BG654" s="14">
        <f t="shared" si="3725"/>
        <v>0.30769230769230771</v>
      </c>
      <c r="BH654" s="14">
        <f t="shared" si="3725"/>
        <v>0.35294117647058826</v>
      </c>
      <c r="BI654" s="14">
        <f t="shared" si="3725"/>
        <v>0.625</v>
      </c>
      <c r="BJ654" s="14">
        <f t="shared" si="3725"/>
        <v>0.47058823529411764</v>
      </c>
      <c r="BK654" s="14">
        <f t="shared" si="3725"/>
        <v>0.4</v>
      </c>
      <c r="BL654" s="14" t="str">
        <f t="shared" si="3725"/>
        <v/>
      </c>
      <c r="BM654" s="412"/>
      <c r="BN654" s="14">
        <f t="shared" ref="BN654:CN654" si="3726">IF(BN626&lt;&gt;0,BN627/BN626,"")</f>
        <v>0.66666666666666663</v>
      </c>
      <c r="BO654" s="14">
        <f t="shared" si="3726"/>
        <v>0.66666666666666663</v>
      </c>
      <c r="BP654" s="14">
        <f t="shared" si="3726"/>
        <v>0.66666666666666663</v>
      </c>
      <c r="BQ654" s="14">
        <f t="shared" si="3726"/>
        <v>0.61818181818181817</v>
      </c>
      <c r="BR654" s="14">
        <f t="shared" si="3726"/>
        <v>0.61818181818181817</v>
      </c>
      <c r="BS654" s="14">
        <f t="shared" si="3726"/>
        <v>0.61818181818181817</v>
      </c>
      <c r="BT654" s="14">
        <f t="shared" si="3726"/>
        <v>0.4375</v>
      </c>
      <c r="BU654" s="14">
        <f t="shared" si="3726"/>
        <v>0.4375</v>
      </c>
      <c r="BV654" s="14">
        <f t="shared" si="3726"/>
        <v>0.4375</v>
      </c>
      <c r="BW654" s="14">
        <f t="shared" si="3726"/>
        <v>0.64634146341463417</v>
      </c>
      <c r="BX654" s="14">
        <f t="shared" si="3726"/>
        <v>0.64634146341463417</v>
      </c>
      <c r="BY654" s="14">
        <f t="shared" si="3726"/>
        <v>0.64634146341463417</v>
      </c>
      <c r="BZ654" s="14">
        <f t="shared" si="3726"/>
        <v>0.45238095238095238</v>
      </c>
      <c r="CA654" s="14">
        <f t="shared" si="3726"/>
        <v>0.45238095238095238</v>
      </c>
      <c r="CB654" s="14">
        <f t="shared" si="3726"/>
        <v>0.45238095238095238</v>
      </c>
      <c r="CC654" s="14">
        <f t="shared" si="3726"/>
        <v>0.5757575757575758</v>
      </c>
      <c r="CD654" s="14">
        <f t="shared" si="3726"/>
        <v>0.5757575757575758</v>
      </c>
      <c r="CE654" s="14">
        <f t="shared" si="3726"/>
        <v>0.5757575757575758</v>
      </c>
      <c r="CF654" s="14">
        <f t="shared" si="3726"/>
        <v>0.28000000000000003</v>
      </c>
      <c r="CG654" s="14">
        <f t="shared" si="3726"/>
        <v>0.28000000000000003</v>
      </c>
      <c r="CH654" s="14">
        <f t="shared" si="3726"/>
        <v>0.28000000000000003</v>
      </c>
      <c r="CI654" s="14">
        <f t="shared" si="3726"/>
        <v>0.39473684210526316</v>
      </c>
      <c r="CJ654" s="14">
        <f t="shared" si="3726"/>
        <v>0.39473684210526316</v>
      </c>
      <c r="CK654" s="14">
        <f t="shared" si="3726"/>
        <v>0.39473684210526316</v>
      </c>
      <c r="CL654" s="14">
        <f t="shared" si="3726"/>
        <v>0.44444444444444442</v>
      </c>
      <c r="CM654" s="14">
        <f t="shared" si="3726"/>
        <v>0.44444444444444442</v>
      </c>
      <c r="CN654" s="14">
        <f t="shared" si="3726"/>
        <v>0.44444444444444442</v>
      </c>
      <c r="CO654" s="412"/>
      <c r="CP654" s="14">
        <f t="shared" ref="CP654:DP654" si="3727">IF(CP626&lt;&gt;0,CP627/CP626,"")</f>
        <v>0.5714285714285714</v>
      </c>
      <c r="CQ654" s="14">
        <f t="shared" si="3727"/>
        <v>0.44444444444444442</v>
      </c>
      <c r="CR654" s="14">
        <f t="shared" si="3727"/>
        <v>0.66666666666666663</v>
      </c>
      <c r="CS654" s="14">
        <f t="shared" si="3727"/>
        <v>0.64864864864864868</v>
      </c>
      <c r="CT654" s="14">
        <f t="shared" si="3727"/>
        <v>0.62</v>
      </c>
      <c r="CU654" s="14">
        <f t="shared" si="3727"/>
        <v>0.625</v>
      </c>
      <c r="CV654" s="14">
        <f t="shared" si="3727"/>
        <v>0.6</v>
      </c>
      <c r="CW654" s="14">
        <f t="shared" si="3727"/>
        <v>0.58241758241758246</v>
      </c>
      <c r="CX654" s="14">
        <f t="shared" si="3727"/>
        <v>0.5625</v>
      </c>
      <c r="CY654" s="14">
        <f t="shared" si="3727"/>
        <v>0.59183673469387754</v>
      </c>
      <c r="CZ654" s="14">
        <f t="shared" si="3727"/>
        <v>0.60465116279069764</v>
      </c>
      <c r="DA654" s="14">
        <f t="shared" si="3727"/>
        <v>0.601123595505618</v>
      </c>
      <c r="DB654" s="14">
        <f t="shared" si="3727"/>
        <v>0.54545454545454541</v>
      </c>
      <c r="DC654" s="14">
        <f t="shared" si="3727"/>
        <v>0.55555555555555558</v>
      </c>
      <c r="DD654" s="14">
        <f t="shared" si="3727"/>
        <v>0.45238095238095238</v>
      </c>
      <c r="DE654" s="14">
        <f t="shared" si="3727"/>
        <v>0.45238095238095238</v>
      </c>
      <c r="DF654" s="14">
        <f t="shared" si="3727"/>
        <v>0.45238095238095238</v>
      </c>
      <c r="DG654" s="14">
        <f t="shared" si="3727"/>
        <v>0.50666666666666671</v>
      </c>
      <c r="DH654" s="14">
        <f t="shared" si="3727"/>
        <v>0.51282051282051277</v>
      </c>
      <c r="DI654" s="14">
        <f t="shared" si="3727"/>
        <v>0.43137254901960786</v>
      </c>
      <c r="DJ654" s="14">
        <f t="shared" si="3727"/>
        <v>0.41599999999999998</v>
      </c>
      <c r="DK654" s="14">
        <f t="shared" si="3727"/>
        <v>0.40579710144927539</v>
      </c>
      <c r="DL654" s="14">
        <f t="shared" si="3727"/>
        <v>0.4</v>
      </c>
      <c r="DM654" s="14">
        <f t="shared" si="3727"/>
        <v>0.41104294478527609</v>
      </c>
      <c r="DN654" s="14">
        <f t="shared" si="3727"/>
        <v>0.47058823529411764</v>
      </c>
      <c r="DO654" s="14">
        <f t="shared" si="3727"/>
        <v>0.44444444444444442</v>
      </c>
      <c r="DP654" s="14">
        <f t="shared" si="3727"/>
        <v>0.44444444444444442</v>
      </c>
      <c r="DQ654" s="14"/>
      <c r="DR654" s="14"/>
      <c r="DS654" s="14"/>
      <c r="DT654" s="14"/>
      <c r="DU654" s="14"/>
      <c r="DV654" s="14"/>
      <c r="DW654" s="14"/>
      <c r="DX654" s="14"/>
      <c r="DY654" s="14"/>
      <c r="ED654" s="429"/>
      <c r="EE654" s="23"/>
      <c r="EF654" s="23"/>
      <c r="EG654" s="23"/>
      <c r="EH654" s="14">
        <f>IF(EH626&lt;&gt;0,EH627/EH626,"")</f>
        <v>0.4</v>
      </c>
      <c r="EI654" s="109">
        <f>IF(EI626&lt;&gt;0,EI627/EI626,"0%")</f>
        <v>0.44444444444444442</v>
      </c>
      <c r="EJ654" s="14">
        <f>IF(EJ626&lt;&gt;0,EJ627/EJ626,"")</f>
        <v>0.44444444444444442</v>
      </c>
      <c r="EK654" s="24"/>
      <c r="EL654" s="47">
        <f t="shared" ref="EL654:EN658" si="3728">+EH654-EE647</f>
        <v>-9.9999999999999978E-2</v>
      </c>
      <c r="EM654" s="47">
        <f t="shared" si="3728"/>
        <v>-5.555555555555558E-2</v>
      </c>
      <c r="EN654" s="47">
        <f t="shared" si="3728"/>
        <v>-5.555555555555558E-2</v>
      </c>
      <c r="EO654" s="46" t="str">
        <f t="shared" ref="EO654:EP658" si="3729">IF(EH654&lt;0,,IF(EH654&lt;EE647,"È",IF(EH654=EE647,"Æ","Ç")))</f>
        <v>È</v>
      </c>
      <c r="EP654" s="46" t="str">
        <f>IF(EI654&lt;0,,IF(EI654&lt;EF647,"È",IF(EI654=EF647,"Æ","Ç")))</f>
        <v>È</v>
      </c>
      <c r="EQ654" s="2">
        <f t="shared" ref="EQ654:ES658" si="3730">IF(EH654/EE647&gt;=0.9,1,IF(EH654/EE647&lt;0.75,3,2))</f>
        <v>2</v>
      </c>
      <c r="ER654" s="2">
        <f t="shared" si="3730"/>
        <v>2</v>
      </c>
      <c r="ES654" s="2">
        <f t="shared" si="3730"/>
        <v>2</v>
      </c>
    </row>
    <row r="655" spans="1:149">
      <c r="A655" s="6" t="s">
        <v>23</v>
      </c>
      <c r="B655" s="2" t="s">
        <v>25</v>
      </c>
      <c r="C655" s="3" t="s">
        <v>79</v>
      </c>
      <c r="E655" s="4" t="str">
        <f>C642</f>
        <v>ASEE</v>
      </c>
      <c r="F655" s="4" t="s">
        <v>31</v>
      </c>
      <c r="G655" s="28" t="str">
        <f>C641</f>
        <v>ASUniq</v>
      </c>
      <c r="H655" s="28"/>
      <c r="I655" s="28"/>
      <c r="J655" s="62">
        <f>IF(J641&lt;&gt;0,J642/J641,"")</f>
        <v>0.5757575757575758</v>
      </c>
      <c r="K655" s="62">
        <f>IF(K641&lt;&gt;0,K642/K641,"")</f>
        <v>0.33333333333333331</v>
      </c>
      <c r="L655" s="62" t="str">
        <f>IF(L641&lt;&gt;0,L642/L641,"")</f>
        <v/>
      </c>
      <c r="M655" s="62">
        <f>IF(M641&lt;&gt;0,M642/M641,"")</f>
        <v>0.15151515151515152</v>
      </c>
      <c r="N655" s="62">
        <f>IF(N641&lt;&gt;0,N642/N641,"")</f>
        <v>0.14285714285714285</v>
      </c>
      <c r="O655" s="62">
        <f>IF(O641&lt;&gt;"",O642/O641,"")</f>
        <v>0.625</v>
      </c>
      <c r="P655" s="62">
        <f t="shared" ref="P655:AJ655" si="3731">IF(P641&lt;&gt;"",P642/P641,"")</f>
        <v>0.16666666666666666</v>
      </c>
      <c r="Q655" s="62">
        <f t="shared" si="3731"/>
        <v>0.38461538461538464</v>
      </c>
      <c r="R655" s="62">
        <f t="shared" si="3731"/>
        <v>0.2</v>
      </c>
      <c r="S655" s="62">
        <f t="shared" si="3731"/>
        <v>0.11538461538461539</v>
      </c>
      <c r="T655" s="62">
        <f t="shared" si="3731"/>
        <v>0.2</v>
      </c>
      <c r="U655" s="62">
        <f t="shared" si="3731"/>
        <v>0</v>
      </c>
      <c r="V655" s="62">
        <f t="shared" si="3731"/>
        <v>0.70588235294117652</v>
      </c>
      <c r="W655" s="62">
        <f t="shared" si="3731"/>
        <v>0.2857142857142857</v>
      </c>
      <c r="X655" s="62">
        <f t="shared" si="3731"/>
        <v>0.28125</v>
      </c>
      <c r="Y655" s="62">
        <f t="shared" si="3731"/>
        <v>0</v>
      </c>
      <c r="Z655" s="62" t="e">
        <f t="shared" si="3731"/>
        <v>#DIV/0!</v>
      </c>
      <c r="AA655" s="62">
        <f t="shared" si="3731"/>
        <v>0.43181818181818182</v>
      </c>
      <c r="AB655" s="62">
        <f t="shared" si="3731"/>
        <v>0</v>
      </c>
      <c r="AC655" s="62">
        <f t="shared" si="3731"/>
        <v>0.34615384615384615</v>
      </c>
      <c r="AD655" s="62">
        <f t="shared" si="3731"/>
        <v>0.2608695652173913</v>
      </c>
      <c r="AE655" s="62">
        <f t="shared" si="3731"/>
        <v>0.21428571428571427</v>
      </c>
      <c r="AF655" s="62">
        <f t="shared" si="3731"/>
        <v>0.2</v>
      </c>
      <c r="AG655" s="62">
        <f t="shared" si="3731"/>
        <v>0.72727272727272729</v>
      </c>
      <c r="AH655" s="62">
        <f t="shared" si="3731"/>
        <v>0.51282051282051277</v>
      </c>
      <c r="AI655" s="62">
        <f t="shared" si="3731"/>
        <v>0.5</v>
      </c>
      <c r="AJ655" s="62" t="str">
        <f t="shared" si="3731"/>
        <v/>
      </c>
      <c r="AK655" s="412"/>
      <c r="AL655" s="14">
        <f t="shared" ref="AL655:BL655" si="3732">IF(AL641&lt;&gt;0,AL642/AL641,"")</f>
        <v>0.5757575757575758</v>
      </c>
      <c r="AM655" s="14">
        <f t="shared" si="3732"/>
        <v>0.33333333333333331</v>
      </c>
      <c r="AN655" s="14" t="str">
        <f t="shared" si="3732"/>
        <v/>
      </c>
      <c r="AO655" s="14">
        <f t="shared" si="3732"/>
        <v>0.15151515151515152</v>
      </c>
      <c r="AP655" s="14">
        <f t="shared" si="3732"/>
        <v>0.14285714285714285</v>
      </c>
      <c r="AQ655" s="14">
        <f t="shared" si="3732"/>
        <v>0.625</v>
      </c>
      <c r="AR655" s="14">
        <f t="shared" si="3732"/>
        <v>0.16666666666666666</v>
      </c>
      <c r="AS655" s="14">
        <f t="shared" si="3732"/>
        <v>0.38461538461538464</v>
      </c>
      <c r="AT655" s="14">
        <f t="shared" si="3732"/>
        <v>0.2</v>
      </c>
      <c r="AU655" s="14">
        <f t="shared" si="3732"/>
        <v>0.11538461538461539</v>
      </c>
      <c r="AV655" s="14">
        <f t="shared" si="3732"/>
        <v>0.2</v>
      </c>
      <c r="AW655" s="14">
        <f t="shared" si="3732"/>
        <v>0</v>
      </c>
      <c r="AX655" s="14">
        <f t="shared" si="3732"/>
        <v>0.70588235294117652</v>
      </c>
      <c r="AY655" s="14">
        <f t="shared" si="3732"/>
        <v>0.2857142857142857</v>
      </c>
      <c r="AZ655" s="14">
        <f t="shared" si="3732"/>
        <v>0.28125</v>
      </c>
      <c r="BA655" s="14">
        <f t="shared" si="3732"/>
        <v>0</v>
      </c>
      <c r="BB655" s="14" t="str">
        <f t="shared" si="3732"/>
        <v/>
      </c>
      <c r="BC655" s="14">
        <f t="shared" si="3732"/>
        <v>0.43181818181818182</v>
      </c>
      <c r="BD655" s="14">
        <f t="shared" si="3732"/>
        <v>0</v>
      </c>
      <c r="BE655" s="14">
        <f t="shared" si="3732"/>
        <v>0.34615384615384615</v>
      </c>
      <c r="BF655" s="14">
        <f t="shared" si="3732"/>
        <v>0.2608695652173913</v>
      </c>
      <c r="BG655" s="14">
        <f t="shared" si="3732"/>
        <v>0.21428571428571427</v>
      </c>
      <c r="BH655" s="14">
        <f t="shared" si="3732"/>
        <v>0.2</v>
      </c>
      <c r="BI655" s="14">
        <f t="shared" si="3732"/>
        <v>0.72727272727272729</v>
      </c>
      <c r="BJ655" s="14">
        <f t="shared" si="3732"/>
        <v>0.51282051282051277</v>
      </c>
      <c r="BK655" s="14">
        <f t="shared" si="3732"/>
        <v>0.5</v>
      </c>
      <c r="BL655" s="14" t="e">
        <f t="shared" si="3732"/>
        <v>#VALUE!</v>
      </c>
      <c r="BM655" s="412"/>
      <c r="BN655" s="14">
        <f t="shared" ref="BN655:CN655" si="3733">IF(BN641&lt;&gt;0,BN642/BN641,"")</f>
        <v>0.5757575757575758</v>
      </c>
      <c r="BO655" s="14">
        <f t="shared" si="3733"/>
        <v>0.55555555555555558</v>
      </c>
      <c r="BP655" s="14">
        <f t="shared" si="3733"/>
        <v>0.58333333333333337</v>
      </c>
      <c r="BQ655" s="14">
        <f t="shared" si="3733"/>
        <v>0.15151515151515152</v>
      </c>
      <c r="BR655" s="14">
        <f t="shared" si="3733"/>
        <v>0.14893617021276595</v>
      </c>
      <c r="BS655" s="14">
        <f t="shared" si="3733"/>
        <v>0.26984126984126983</v>
      </c>
      <c r="BT655" s="14">
        <f t="shared" si="3733"/>
        <v>0.16666666666666666</v>
      </c>
      <c r="BU655" s="14">
        <f t="shared" si="3733"/>
        <v>0.25806451612903225</v>
      </c>
      <c r="BV655" s="14">
        <f t="shared" si="3733"/>
        <v>0.25</v>
      </c>
      <c r="BW655" s="14">
        <f t="shared" si="3733"/>
        <v>0.11538461538461539</v>
      </c>
      <c r="BX655" s="14">
        <f t="shared" si="3733"/>
        <v>0.14285714285714285</v>
      </c>
      <c r="BY655" s="14">
        <f t="shared" si="3733"/>
        <v>0.13095238095238096</v>
      </c>
      <c r="BZ655" s="14">
        <f t="shared" si="3733"/>
        <v>0.70588235294117652</v>
      </c>
      <c r="CA655" s="14">
        <f t="shared" si="3733"/>
        <v>0.58333333333333337</v>
      </c>
      <c r="CB655" s="14">
        <f t="shared" si="3733"/>
        <v>0.4107142857142857</v>
      </c>
      <c r="CC655" s="14">
        <f t="shared" si="3733"/>
        <v>0</v>
      </c>
      <c r="CD655" s="14">
        <f t="shared" si="3733"/>
        <v>0</v>
      </c>
      <c r="CE655" s="14">
        <f t="shared" si="3733"/>
        <v>0.16521739130434782</v>
      </c>
      <c r="CF655" s="14">
        <f t="shared" si="3733"/>
        <v>0</v>
      </c>
      <c r="CG655" s="14">
        <f t="shared" si="3733"/>
        <v>0.3</v>
      </c>
      <c r="CH655" s="14">
        <f t="shared" si="3733"/>
        <v>0.28301886792452829</v>
      </c>
      <c r="CI655" s="14">
        <f t="shared" si="3733"/>
        <v>0.21428571428571427</v>
      </c>
      <c r="CJ655" s="14">
        <f t="shared" si="3733"/>
        <v>0.20588235294117646</v>
      </c>
      <c r="CK655" s="14">
        <f t="shared" si="3733"/>
        <v>0.33333333333333331</v>
      </c>
      <c r="CL655" s="14">
        <f t="shared" si="3733"/>
        <v>0.51282051282051277</v>
      </c>
      <c r="CM655" s="14">
        <f t="shared" si="3733"/>
        <v>0.50943396226415094</v>
      </c>
      <c r="CN655" s="14" t="e">
        <f t="shared" si="3733"/>
        <v>#VALUE!</v>
      </c>
      <c r="CO655" s="412"/>
      <c r="CP655" s="14">
        <f t="shared" ref="CP655:DP655" si="3734">IF(CP641&lt;&gt;0,CP642/CP641,"")</f>
        <v>0.5757575757575758</v>
      </c>
      <c r="CQ655" s="14">
        <f t="shared" si="3734"/>
        <v>0.55555555555555558</v>
      </c>
      <c r="CR655" s="14">
        <f t="shared" si="3734"/>
        <v>0.58333333333333337</v>
      </c>
      <c r="CS655" s="14">
        <f t="shared" si="3734"/>
        <v>0.37681159420289856</v>
      </c>
      <c r="CT655" s="14">
        <f t="shared" si="3734"/>
        <v>0.33734939759036142</v>
      </c>
      <c r="CU655" s="14">
        <f t="shared" si="3734"/>
        <v>0.38383838383838381</v>
      </c>
      <c r="CV655" s="14">
        <f t="shared" si="3734"/>
        <v>0.3504273504273504</v>
      </c>
      <c r="CW655" s="14">
        <f t="shared" si="3734"/>
        <v>0.35384615384615387</v>
      </c>
      <c r="CX655" s="14">
        <f t="shared" si="3734"/>
        <v>0.34814814814814815</v>
      </c>
      <c r="CY655" s="14">
        <f t="shared" si="3734"/>
        <v>0.28342245989304815</v>
      </c>
      <c r="CZ655" s="14">
        <f t="shared" si="3734"/>
        <v>0.27358490566037735</v>
      </c>
      <c r="DA655" s="14">
        <f t="shared" si="3734"/>
        <v>0.26484018264840181</v>
      </c>
      <c r="DB655" s="14">
        <f t="shared" si="3734"/>
        <v>0.70588235294117652</v>
      </c>
      <c r="DC655" s="14">
        <f t="shared" si="3734"/>
        <v>0.58333333333333337</v>
      </c>
      <c r="DD655" s="14">
        <f t="shared" si="3734"/>
        <v>0.4107142857142857</v>
      </c>
      <c r="DE655" s="14">
        <f t="shared" si="3734"/>
        <v>0.18110236220472442</v>
      </c>
      <c r="DF655" s="14">
        <f t="shared" si="3734"/>
        <v>0.18110236220472442</v>
      </c>
      <c r="DG655" s="14">
        <f t="shared" si="3734"/>
        <v>0.24561403508771928</v>
      </c>
      <c r="DH655" s="14">
        <f t="shared" si="3734"/>
        <v>0.24</v>
      </c>
      <c r="DI655" s="14">
        <f t="shared" si="3734"/>
        <v>0.2537313432835821</v>
      </c>
      <c r="DJ655" s="14">
        <f t="shared" si="3734"/>
        <v>0.2544642857142857</v>
      </c>
      <c r="DK655" s="14">
        <f t="shared" si="3734"/>
        <v>0.25210084033613445</v>
      </c>
      <c r="DL655" s="14">
        <f t="shared" si="3734"/>
        <v>0.24806201550387597</v>
      </c>
      <c r="DM655" s="14">
        <f t="shared" si="3734"/>
        <v>0.26765799256505574</v>
      </c>
      <c r="DN655" s="14">
        <f t="shared" si="3734"/>
        <v>0.51282051282051277</v>
      </c>
      <c r="DO655" s="14">
        <f t="shared" si="3734"/>
        <v>0.50943396226415094</v>
      </c>
      <c r="DP655" s="14" t="e">
        <f t="shared" si="3734"/>
        <v>#VALUE!</v>
      </c>
      <c r="DQ655" s="14"/>
      <c r="DR655" s="14"/>
      <c r="DS655" s="14"/>
      <c r="DT655" s="14"/>
      <c r="DU655" s="14"/>
      <c r="DV655" s="14"/>
      <c r="DW655" s="14"/>
      <c r="DX655" s="14"/>
      <c r="DY655" s="14"/>
      <c r="ED655" s="429"/>
      <c r="EE655" s="23"/>
      <c r="EF655" s="23"/>
      <c r="EG655" s="23"/>
      <c r="EH655" s="14">
        <f>IF(EH641&lt;&gt;0,EH642/EH641,"")</f>
        <v>0.5</v>
      </c>
      <c r="EI655" s="109">
        <f>IF(EI628&lt;&gt;0,EI629/EI628,"0%")</f>
        <v>0.50943396226415094</v>
      </c>
      <c r="EJ655" s="14">
        <f>IF(EJ641&lt;&gt;0,EJ629/EJ628,"")</f>
        <v>0.50943396226415094</v>
      </c>
      <c r="EK655" s="24"/>
      <c r="EL655" s="47">
        <f t="shared" si="3728"/>
        <v>0.35555546666666676</v>
      </c>
      <c r="EM655" s="47">
        <f t="shared" si="3728"/>
        <v>0.39387833559748436</v>
      </c>
      <c r="EN655" s="47">
        <f t="shared" si="3728"/>
        <v>0.39387833559748436</v>
      </c>
      <c r="EO655" s="46" t="str">
        <f t="shared" si="3729"/>
        <v>Ç</v>
      </c>
      <c r="EP655" s="46" t="str">
        <f t="shared" si="3729"/>
        <v>Ç</v>
      </c>
      <c r="EQ655" s="2">
        <f t="shared" si="3730"/>
        <v>1</v>
      </c>
      <c r="ER655" s="2">
        <f t="shared" si="3730"/>
        <v>1</v>
      </c>
      <c r="ES655" s="2">
        <f t="shared" si="3730"/>
        <v>1</v>
      </c>
    </row>
    <row r="656" spans="1:149">
      <c r="A656" s="6" t="s">
        <v>23</v>
      </c>
      <c r="B656" s="2" t="s">
        <v>160</v>
      </c>
      <c r="C656" s="3" t="s">
        <v>80</v>
      </c>
      <c r="E656" s="3" t="str">
        <f>C631</f>
        <v>ASatRate</v>
      </c>
      <c r="F656" s="3" t="s">
        <v>32</v>
      </c>
      <c r="G656" s="28" t="str">
        <f>C626</f>
        <v>AAllNew</v>
      </c>
      <c r="H656" s="63" t="s">
        <v>31</v>
      </c>
      <c r="I656" s="28" t="str">
        <f>C630</f>
        <v>ASatResp</v>
      </c>
      <c r="J656" s="62">
        <f t="shared" ref="J656:AJ656" si="3735">IF(J626&lt;&gt;0,J631*J630/J626,"")</f>
        <v>0</v>
      </c>
      <c r="K656" s="62">
        <f t="shared" si="3735"/>
        <v>0.1111111111111111</v>
      </c>
      <c r="L656" s="62">
        <f t="shared" si="3735"/>
        <v>0</v>
      </c>
      <c r="M656" s="62">
        <f t="shared" si="3735"/>
        <v>0</v>
      </c>
      <c r="N656" s="62">
        <f t="shared" si="3735"/>
        <v>0.06</v>
      </c>
      <c r="O656" s="62">
        <f t="shared" si="3735"/>
        <v>1.5625E-2</v>
      </c>
      <c r="P656" s="62">
        <f t="shared" si="3735"/>
        <v>1.2500000000000001E-2</v>
      </c>
      <c r="Q656" s="62">
        <f t="shared" si="3735"/>
        <v>3.2967032967032968E-2</v>
      </c>
      <c r="R656" s="62">
        <f t="shared" si="3735"/>
        <v>0</v>
      </c>
      <c r="S656" s="62">
        <f t="shared" si="3735"/>
        <v>0</v>
      </c>
      <c r="T656" s="62">
        <f t="shared" si="3735"/>
        <v>4.0697674418604654E-2</v>
      </c>
      <c r="U656" s="62">
        <f t="shared" si="3735"/>
        <v>1.9101123595505618E-2</v>
      </c>
      <c r="V656" s="62">
        <f t="shared" si="3735"/>
        <v>9.0909090909090912E-2</v>
      </c>
      <c r="W656" s="62">
        <f t="shared" si="3735"/>
        <v>0.16666666666666666</v>
      </c>
      <c r="X656" s="62">
        <f t="shared" si="3735"/>
        <v>0</v>
      </c>
      <c r="Y656" s="62">
        <f t="shared" si="3735"/>
        <v>1.4285714285714285E-2</v>
      </c>
      <c r="Z656" s="62">
        <f t="shared" si="3735"/>
        <v>0</v>
      </c>
      <c r="AA656" s="62">
        <f t="shared" si="3735"/>
        <v>0</v>
      </c>
      <c r="AB656" s="62">
        <f t="shared" si="3735"/>
        <v>0</v>
      </c>
      <c r="AC656" s="62">
        <f t="shared" si="3735"/>
        <v>9.8039215686274508E-3</v>
      </c>
      <c r="AD656" s="62">
        <f t="shared" si="3735"/>
        <v>0</v>
      </c>
      <c r="AE656" s="62">
        <f t="shared" si="3735"/>
        <v>5.7971014492753624E-2</v>
      </c>
      <c r="AF656" s="62">
        <f t="shared" si="3735"/>
        <v>1.1612903225806452E-2</v>
      </c>
      <c r="AG656" s="62">
        <f t="shared" si="3735"/>
        <v>6.1349693251533744E-3</v>
      </c>
      <c r="AH656" s="62">
        <f t="shared" si="3735"/>
        <v>0.23529411764705882</v>
      </c>
      <c r="AI656" s="62">
        <f t="shared" si="3735"/>
        <v>0.1111111111111111</v>
      </c>
      <c r="AJ656" s="62" t="str">
        <f t="shared" si="3735"/>
        <v/>
      </c>
      <c r="AK656" s="412"/>
      <c r="AL656" s="14">
        <f t="shared" ref="AL656:BL656" si="3736">IF(AL626&lt;&gt;0,AL631*AL630/AL626,"")</f>
        <v>0</v>
      </c>
      <c r="AM656" s="14">
        <f t="shared" si="3736"/>
        <v>0.5</v>
      </c>
      <c r="AN656" s="14" t="str">
        <f t="shared" si="3736"/>
        <v/>
      </c>
      <c r="AO656" s="14">
        <f t="shared" si="3736"/>
        <v>0</v>
      </c>
      <c r="AP656" s="14">
        <f t="shared" si="3736"/>
        <v>0.23076923076923078</v>
      </c>
      <c r="AQ656" s="14">
        <f t="shared" si="3736"/>
        <v>7.1428571428571425E-2</v>
      </c>
      <c r="AR656" s="14">
        <f t="shared" si="3736"/>
        <v>6.25E-2</v>
      </c>
      <c r="AS656" s="14">
        <f t="shared" si="3736"/>
        <v>0.27272727272727271</v>
      </c>
      <c r="AT656" s="14">
        <f t="shared" si="3736"/>
        <v>0</v>
      </c>
      <c r="AU656" s="14">
        <f t="shared" si="3736"/>
        <v>0</v>
      </c>
      <c r="AV656" s="14">
        <f t="shared" si="3736"/>
        <v>0.28000000000000003</v>
      </c>
      <c r="AW656" s="14">
        <f t="shared" si="3736"/>
        <v>0.56666666666666665</v>
      </c>
      <c r="AX656" s="14">
        <f t="shared" si="3736"/>
        <v>9.0909090909090912E-2</v>
      </c>
      <c r="AY656" s="14">
        <f t="shared" si="3736"/>
        <v>0.42857142857142855</v>
      </c>
      <c r="AZ656" s="14">
        <f t="shared" si="3736"/>
        <v>0</v>
      </c>
      <c r="BA656" s="14" t="str">
        <f t="shared" si="3736"/>
        <v/>
      </c>
      <c r="BB656" s="14" t="str">
        <f t="shared" si="3736"/>
        <v/>
      </c>
      <c r="BC656" s="14">
        <f t="shared" si="3736"/>
        <v>0</v>
      </c>
      <c r="BD656" s="14">
        <f t="shared" si="3736"/>
        <v>0</v>
      </c>
      <c r="BE656" s="14">
        <f t="shared" si="3736"/>
        <v>4.1666666666666664E-2</v>
      </c>
      <c r="BF656" s="14">
        <f t="shared" si="3736"/>
        <v>0</v>
      </c>
      <c r="BG656" s="14">
        <f t="shared" si="3736"/>
        <v>0.61538461538461542</v>
      </c>
      <c r="BH656" s="14">
        <f t="shared" si="3736"/>
        <v>0.10588235294117647</v>
      </c>
      <c r="BI656" s="14">
        <f t="shared" si="3736"/>
        <v>0.125</v>
      </c>
      <c r="BJ656" s="14">
        <f t="shared" si="3736"/>
        <v>0.23529411764705882</v>
      </c>
      <c r="BK656" s="14">
        <f t="shared" si="3736"/>
        <v>0.3</v>
      </c>
      <c r="BL656" s="14" t="str">
        <f t="shared" si="3736"/>
        <v/>
      </c>
      <c r="BM656" s="412"/>
      <c r="BN656" s="14">
        <f t="shared" ref="BN656:CN656" si="3737">IF(BN626&lt;&gt;0,BN631*BN630/BN626,"")</f>
        <v>0.1111111111111111</v>
      </c>
      <c r="BO656" s="14">
        <f t="shared" si="3737"/>
        <v>0.1111111111111111</v>
      </c>
      <c r="BP656" s="14">
        <f t="shared" si="3737"/>
        <v>0.1111111111111111</v>
      </c>
      <c r="BQ656" s="14">
        <f t="shared" si="3737"/>
        <v>7.2727272727272724E-2</v>
      </c>
      <c r="BR656" s="14">
        <f t="shared" si="3737"/>
        <v>7.2727272727272724E-2</v>
      </c>
      <c r="BS656" s="14">
        <f t="shared" si="3737"/>
        <v>7.2727272727272724E-2</v>
      </c>
      <c r="BT656" s="14">
        <f t="shared" si="3737"/>
        <v>0.125</v>
      </c>
      <c r="BU656" s="14">
        <f t="shared" si="3737"/>
        <v>0.125</v>
      </c>
      <c r="BV656" s="14">
        <f t="shared" si="3737"/>
        <v>0.125</v>
      </c>
      <c r="BW656" s="14">
        <f t="shared" si="3737"/>
        <v>0.12682926829268293</v>
      </c>
      <c r="BX656" s="14">
        <f t="shared" si="3737"/>
        <v>0.12682926829268293</v>
      </c>
      <c r="BY656" s="14">
        <f t="shared" si="3737"/>
        <v>0.12682926829268293</v>
      </c>
      <c r="BZ656" s="14">
        <f t="shared" si="3737"/>
        <v>9.5238095238095233E-2</v>
      </c>
      <c r="CA656" s="14">
        <f t="shared" si="3737"/>
        <v>9.5238095238095233E-2</v>
      </c>
      <c r="CB656" s="14">
        <f t="shared" si="3737"/>
        <v>9.5238095238095233E-2</v>
      </c>
      <c r="CC656" s="14">
        <f t="shared" si="3737"/>
        <v>1.8181818181818181E-2</v>
      </c>
      <c r="CD656" s="14">
        <f t="shared" si="3737"/>
        <v>1.8181818181818181E-2</v>
      </c>
      <c r="CE656" s="14">
        <f t="shared" si="3737"/>
        <v>1.8181818181818181E-2</v>
      </c>
      <c r="CF656" s="14">
        <f t="shared" si="3737"/>
        <v>0.02</v>
      </c>
      <c r="CG656" s="14">
        <f t="shared" si="3737"/>
        <v>0.02</v>
      </c>
      <c r="CH656" s="14">
        <f t="shared" si="3737"/>
        <v>0.02</v>
      </c>
      <c r="CI656" s="14">
        <f t="shared" si="3737"/>
        <v>0.28421052631578947</v>
      </c>
      <c r="CJ656" s="14">
        <f t="shared" si="3737"/>
        <v>0.28421052631578947</v>
      </c>
      <c r="CK656" s="14">
        <f t="shared" si="3737"/>
        <v>0.28421052631578947</v>
      </c>
      <c r="CL656" s="14">
        <f t="shared" si="3737"/>
        <v>0.25925925925925924</v>
      </c>
      <c r="CM656" s="14">
        <f t="shared" si="3737"/>
        <v>0.25925925925925924</v>
      </c>
      <c r="CN656" s="14">
        <f t="shared" si="3737"/>
        <v>0.25925925925925924</v>
      </c>
      <c r="CO656" s="412"/>
      <c r="CP656" s="14">
        <f t="shared" ref="CP656:DP656" si="3738">IF(CP626&lt;&gt;0,CP631*CP630/CP626,"")</f>
        <v>0</v>
      </c>
      <c r="CQ656" s="14">
        <f t="shared" si="3738"/>
        <v>0.1111111111111111</v>
      </c>
      <c r="CR656" s="14">
        <f t="shared" si="3738"/>
        <v>0.1111111111111111</v>
      </c>
      <c r="CS656" s="14">
        <f t="shared" si="3738"/>
        <v>2.7027027027027029E-2</v>
      </c>
      <c r="CT656" s="14">
        <f t="shared" si="3738"/>
        <v>0.08</v>
      </c>
      <c r="CU656" s="14">
        <f t="shared" si="3738"/>
        <v>7.8125E-2</v>
      </c>
      <c r="CV656" s="14">
        <f t="shared" si="3738"/>
        <v>7.4999999999999997E-2</v>
      </c>
      <c r="CW656" s="14">
        <f t="shared" si="3738"/>
        <v>9.8901098901098897E-2</v>
      </c>
      <c r="CX656" s="14">
        <f t="shared" si="3738"/>
        <v>9.375E-2</v>
      </c>
      <c r="CY656" s="14">
        <f t="shared" si="3738"/>
        <v>6.1224489795918366E-2</v>
      </c>
      <c r="CZ656" s="14">
        <f t="shared" si="3738"/>
        <v>9.3023255813953487E-2</v>
      </c>
      <c r="DA656" s="14">
        <f t="shared" si="3738"/>
        <v>0.10898876404494381</v>
      </c>
      <c r="DB656" s="14">
        <f t="shared" si="3738"/>
        <v>9.0909090909090912E-2</v>
      </c>
      <c r="DC656" s="14">
        <f t="shared" si="3738"/>
        <v>0.22222222222222221</v>
      </c>
      <c r="DD656" s="14">
        <f t="shared" si="3738"/>
        <v>9.5238095238095233E-2</v>
      </c>
      <c r="DE656" s="14">
        <f t="shared" si="3738"/>
        <v>0.10952380952380951</v>
      </c>
      <c r="DF656" s="14">
        <f t="shared" si="3738"/>
        <v>0.10952380952380951</v>
      </c>
      <c r="DG656" s="14">
        <f t="shared" si="3738"/>
        <v>6.133333333333333E-2</v>
      </c>
      <c r="DH656" s="14">
        <f t="shared" si="3738"/>
        <v>5.8974358974358973E-2</v>
      </c>
      <c r="DI656" s="14">
        <f t="shared" si="3738"/>
        <v>5.4901960784313725E-2</v>
      </c>
      <c r="DJ656" s="14">
        <f t="shared" si="3738"/>
        <v>4.48E-2</v>
      </c>
      <c r="DK656" s="14">
        <f t="shared" si="3738"/>
        <v>9.855072463768115E-2</v>
      </c>
      <c r="DL656" s="14">
        <f t="shared" si="3738"/>
        <v>9.9354838709677415E-2</v>
      </c>
      <c r="DM656" s="14">
        <f t="shared" si="3738"/>
        <v>0.10061349693251533</v>
      </c>
      <c r="DN656" s="14">
        <f t="shared" si="3738"/>
        <v>0.23529411764705882</v>
      </c>
      <c r="DO656" s="14">
        <f t="shared" si="3738"/>
        <v>0.25925925925925924</v>
      </c>
      <c r="DP656" s="14">
        <f t="shared" si="3738"/>
        <v>0.25925925925925924</v>
      </c>
      <c r="DQ656" s="14"/>
      <c r="DR656" s="14"/>
      <c r="DS656" s="14"/>
      <c r="DT656" s="14"/>
      <c r="DU656" s="14"/>
      <c r="DV656" s="14"/>
      <c r="DW656" s="14"/>
      <c r="DX656" s="14"/>
      <c r="DY656" s="14"/>
      <c r="ED656" s="429"/>
      <c r="EE656" s="23"/>
      <c r="EF656" s="23"/>
      <c r="EG656" s="23"/>
      <c r="EH656" s="14">
        <f>IF(EH630&lt;&gt;0,EH631*EH630/EH630,"")</f>
        <v>1</v>
      </c>
      <c r="EI656" s="109">
        <f>IF(EI630&lt;&gt;0,EI631*EI630/EI630,"0%")</f>
        <v>0.875</v>
      </c>
      <c r="EJ656" s="14">
        <f>IF(EJ630&lt;&gt;0,EJ631*EJ630/EJ630,"")</f>
        <v>0.875</v>
      </c>
      <c r="EK656" s="24"/>
      <c r="EL656" s="47" t="e">
        <f t="shared" si="3728"/>
        <v>#DIV/0!</v>
      </c>
      <c r="EM656" s="47" t="e">
        <f t="shared" si="3728"/>
        <v>#DIV/0!</v>
      </c>
      <c r="EN656" s="47">
        <f t="shared" si="3728"/>
        <v>-7.4999999999999956E-2</v>
      </c>
      <c r="EO656" s="46" t="e">
        <f t="shared" si="3729"/>
        <v>#DIV/0!</v>
      </c>
      <c r="EP656" s="46" t="e">
        <f t="shared" si="3729"/>
        <v>#DIV/0!</v>
      </c>
      <c r="EQ656" s="2" t="e">
        <f t="shared" si="3730"/>
        <v>#DIV/0!</v>
      </c>
      <c r="ER656" s="2" t="e">
        <f t="shared" si="3730"/>
        <v>#DIV/0!</v>
      </c>
      <c r="ES656" s="2">
        <f t="shared" si="3730"/>
        <v>1</v>
      </c>
    </row>
    <row r="657" spans="1:150">
      <c r="A657" s="6" t="s">
        <v>23</v>
      </c>
      <c r="B657" s="2" t="s">
        <v>26</v>
      </c>
      <c r="C657" s="3" t="s">
        <v>85</v>
      </c>
      <c r="E657" s="3" t="str">
        <f>C632</f>
        <v>ASpec1</v>
      </c>
      <c r="F657" s="4" t="s">
        <v>31</v>
      </c>
      <c r="G657" s="28" t="str">
        <f>C641</f>
        <v>ASUniq</v>
      </c>
      <c r="H657" s="28"/>
      <c r="I657" s="28"/>
      <c r="J657" s="62">
        <f>IF(J641&lt;&gt;0,J632/J641,"")</f>
        <v>0</v>
      </c>
      <c r="K657" s="62">
        <f>IF(K641&lt;&gt;0,K632/K641,"")</f>
        <v>0</v>
      </c>
      <c r="L657" s="62" t="str">
        <f>IF(L641&lt;&gt;0,L632/L641,"")</f>
        <v/>
      </c>
      <c r="M657" s="62">
        <f>IF(M641&lt;&gt;0,M632/M641,"")</f>
        <v>0</v>
      </c>
      <c r="N657" s="62">
        <f>IF(N641&lt;&gt;0,N632/N641,"")</f>
        <v>0</v>
      </c>
      <c r="O657" s="62">
        <f>IF(O641&lt;&gt;"",O632/O641,"")</f>
        <v>0</v>
      </c>
      <c r="P657" s="62">
        <f t="shared" ref="P657:AJ657" si="3739">IF(P641&lt;&gt;"",P632/P641,"")</f>
        <v>0</v>
      </c>
      <c r="Q657" s="62">
        <f t="shared" si="3739"/>
        <v>0</v>
      </c>
      <c r="R657" s="62">
        <f t="shared" si="3739"/>
        <v>1.4</v>
      </c>
      <c r="S657" s="62">
        <f t="shared" si="3739"/>
        <v>0.13461538461538461</v>
      </c>
      <c r="T657" s="62">
        <f t="shared" si="3739"/>
        <v>0.28000000000000003</v>
      </c>
      <c r="U657" s="62">
        <f t="shared" si="3739"/>
        <v>1</v>
      </c>
      <c r="V657" s="62">
        <f t="shared" si="3739"/>
        <v>0</v>
      </c>
      <c r="W657" s="62">
        <f t="shared" si="3739"/>
        <v>0</v>
      </c>
      <c r="X657" s="62">
        <f t="shared" si="3739"/>
        <v>0</v>
      </c>
      <c r="Y657" s="62">
        <f t="shared" si="3739"/>
        <v>0</v>
      </c>
      <c r="Z657" s="62">
        <f>IF(Z641=0,0,Z632/Z641)</f>
        <v>0</v>
      </c>
      <c r="AA657" s="62">
        <f t="shared" si="3739"/>
        <v>0</v>
      </c>
      <c r="AB657" s="62">
        <f t="shared" si="3739"/>
        <v>0</v>
      </c>
      <c r="AC657" s="62">
        <f t="shared" si="3739"/>
        <v>0</v>
      </c>
      <c r="AD657" s="62">
        <f t="shared" si="3739"/>
        <v>0</v>
      </c>
      <c r="AE657" s="62">
        <f t="shared" si="3739"/>
        <v>0</v>
      </c>
      <c r="AF657" s="62">
        <f t="shared" si="3739"/>
        <v>0</v>
      </c>
      <c r="AG657" s="62">
        <f t="shared" si="3739"/>
        <v>0</v>
      </c>
      <c r="AH657" s="62">
        <f t="shared" si="3739"/>
        <v>0</v>
      </c>
      <c r="AI657" s="62">
        <f t="shared" si="3739"/>
        <v>0</v>
      </c>
      <c r="AJ657" s="62" t="str">
        <f t="shared" si="3739"/>
        <v/>
      </c>
      <c r="AK657" s="412"/>
      <c r="AL657" s="14">
        <f t="shared" ref="AL657:BL657" si="3740">IF(AL641&lt;&gt;0,AL632/AL641,"")</f>
        <v>0</v>
      </c>
      <c r="AM657" s="14">
        <f t="shared" si="3740"/>
        <v>0</v>
      </c>
      <c r="AN657" s="14" t="str">
        <f t="shared" si="3740"/>
        <v/>
      </c>
      <c r="AO657" s="14">
        <f t="shared" si="3740"/>
        <v>0</v>
      </c>
      <c r="AP657" s="14">
        <f t="shared" si="3740"/>
        <v>0</v>
      </c>
      <c r="AQ657" s="14">
        <f t="shared" si="3740"/>
        <v>0</v>
      </c>
      <c r="AR657" s="14">
        <f t="shared" si="3740"/>
        <v>0</v>
      </c>
      <c r="AS657" s="14">
        <f t="shared" si="3740"/>
        <v>0</v>
      </c>
      <c r="AT657" s="14">
        <f t="shared" si="3740"/>
        <v>1.4</v>
      </c>
      <c r="AU657" s="14">
        <f t="shared" si="3740"/>
        <v>0</v>
      </c>
      <c r="AV657" s="14">
        <f t="shared" si="3740"/>
        <v>0</v>
      </c>
      <c r="AW657" s="14">
        <f t="shared" si="3740"/>
        <v>0</v>
      </c>
      <c r="AX657" s="14">
        <f t="shared" si="3740"/>
        <v>0</v>
      </c>
      <c r="AY657" s="14">
        <f t="shared" si="3740"/>
        <v>0</v>
      </c>
      <c r="AZ657" s="14">
        <f t="shared" si="3740"/>
        <v>0</v>
      </c>
      <c r="BA657" s="14">
        <f t="shared" si="3740"/>
        <v>0</v>
      </c>
      <c r="BB657" s="14" t="str">
        <f t="shared" si="3740"/>
        <v/>
      </c>
      <c r="BC657" s="14">
        <f t="shared" si="3740"/>
        <v>0</v>
      </c>
      <c r="BD657" s="14">
        <f t="shared" si="3740"/>
        <v>0</v>
      </c>
      <c r="BE657" s="14">
        <f t="shared" si="3740"/>
        <v>0</v>
      </c>
      <c r="BF657" s="14">
        <f t="shared" si="3740"/>
        <v>0</v>
      </c>
      <c r="BG657" s="14">
        <f t="shared" si="3740"/>
        <v>0</v>
      </c>
      <c r="BH657" s="14">
        <f t="shared" si="3740"/>
        <v>0</v>
      </c>
      <c r="BI657" s="14">
        <f t="shared" si="3740"/>
        <v>0</v>
      </c>
      <c r="BJ657" s="14">
        <f t="shared" si="3740"/>
        <v>0</v>
      </c>
      <c r="BK657" s="14">
        <f t="shared" si="3740"/>
        <v>0</v>
      </c>
      <c r="BL657" s="14" t="e">
        <f t="shared" si="3740"/>
        <v>#VALUE!</v>
      </c>
      <c r="BM657" s="412"/>
      <c r="BN657" s="14">
        <f t="shared" ref="BN657:CN657" si="3741">IF(BN641&lt;&gt;0,BN632/BN641,"")</f>
        <v>0</v>
      </c>
      <c r="BO657" s="14">
        <f t="shared" si="3741"/>
        <v>0</v>
      </c>
      <c r="BP657" s="14">
        <f t="shared" si="3741"/>
        <v>0</v>
      </c>
      <c r="BQ657" s="14">
        <f t="shared" si="3741"/>
        <v>0</v>
      </c>
      <c r="BR657" s="14">
        <f t="shared" si="3741"/>
        <v>0</v>
      </c>
      <c r="BS657" s="14">
        <f t="shared" si="3741"/>
        <v>0</v>
      </c>
      <c r="BT657" s="14">
        <f t="shared" si="3741"/>
        <v>0.3888888888888889</v>
      </c>
      <c r="BU657" s="14">
        <f t="shared" si="3741"/>
        <v>0.22580645161290322</v>
      </c>
      <c r="BV657" s="14">
        <f t="shared" si="3741"/>
        <v>0.19444444444444445</v>
      </c>
      <c r="BW657" s="14">
        <f t="shared" si="3741"/>
        <v>0</v>
      </c>
      <c r="BX657" s="14">
        <f t="shared" si="3741"/>
        <v>0</v>
      </c>
      <c r="BY657" s="14">
        <f t="shared" si="3741"/>
        <v>0</v>
      </c>
      <c r="BZ657" s="14">
        <f t="shared" si="3741"/>
        <v>0</v>
      </c>
      <c r="CA657" s="14">
        <f t="shared" si="3741"/>
        <v>0</v>
      </c>
      <c r="CB657" s="14">
        <f t="shared" si="3741"/>
        <v>0</v>
      </c>
      <c r="CC657" s="14">
        <f t="shared" si="3741"/>
        <v>0</v>
      </c>
      <c r="CD657" s="14">
        <f t="shared" si="3741"/>
        <v>0</v>
      </c>
      <c r="CE657" s="14">
        <f t="shared" si="3741"/>
        <v>0</v>
      </c>
      <c r="CF657" s="14">
        <f t="shared" si="3741"/>
        <v>0</v>
      </c>
      <c r="CG657" s="14">
        <f t="shared" si="3741"/>
        <v>0</v>
      </c>
      <c r="CH657" s="14">
        <f t="shared" si="3741"/>
        <v>0</v>
      </c>
      <c r="CI657" s="14">
        <f t="shared" si="3741"/>
        <v>0</v>
      </c>
      <c r="CJ657" s="14">
        <f t="shared" si="3741"/>
        <v>0</v>
      </c>
      <c r="CK657" s="14">
        <f t="shared" si="3741"/>
        <v>0</v>
      </c>
      <c r="CL657" s="14">
        <f t="shared" si="3741"/>
        <v>0</v>
      </c>
      <c r="CM657" s="14">
        <f t="shared" si="3741"/>
        <v>0</v>
      </c>
      <c r="CN657" s="14" t="e">
        <f t="shared" si="3741"/>
        <v>#VALUE!</v>
      </c>
      <c r="CO657" s="412"/>
      <c r="CP657" s="14">
        <f t="shared" ref="CP657:DP657" si="3742">IF(CP641&lt;&gt;0,CP632/CP641,"")</f>
        <v>0</v>
      </c>
      <c r="CQ657" s="14">
        <f t="shared" si="3742"/>
        <v>0</v>
      </c>
      <c r="CR657" s="14">
        <f t="shared" si="3742"/>
        <v>0</v>
      </c>
      <c r="CS657" s="14">
        <f t="shared" si="3742"/>
        <v>0</v>
      </c>
      <c r="CT657" s="14">
        <f t="shared" si="3742"/>
        <v>0</v>
      </c>
      <c r="CU657" s="14">
        <f t="shared" si="3742"/>
        <v>0</v>
      </c>
      <c r="CV657" s="14">
        <f t="shared" si="3742"/>
        <v>0</v>
      </c>
      <c r="CW657" s="14">
        <f t="shared" si="3742"/>
        <v>0</v>
      </c>
      <c r="CX657" s="14">
        <f t="shared" si="3742"/>
        <v>5.185185185185185E-2</v>
      </c>
      <c r="CY657" s="14">
        <f t="shared" si="3742"/>
        <v>3.7433155080213901E-2</v>
      </c>
      <c r="CZ657" s="14">
        <f t="shared" si="3742"/>
        <v>3.3018867924528301E-2</v>
      </c>
      <c r="DA657" s="14">
        <f t="shared" si="3742"/>
        <v>3.1963470319634701E-2</v>
      </c>
      <c r="DB657" s="14">
        <f t="shared" si="3742"/>
        <v>0</v>
      </c>
      <c r="DC657" s="14">
        <f t="shared" si="3742"/>
        <v>0</v>
      </c>
      <c r="DD657" s="14">
        <f t="shared" si="3742"/>
        <v>0</v>
      </c>
      <c r="DE657" s="14">
        <f t="shared" si="3742"/>
        <v>0</v>
      </c>
      <c r="DF657" s="14">
        <f>IF(DF641&lt;&gt;"",DF632/DF641,"")</f>
        <v>0</v>
      </c>
      <c r="DG657" s="14">
        <f t="shared" si="3742"/>
        <v>0</v>
      </c>
      <c r="DH657" s="14">
        <f t="shared" si="3742"/>
        <v>0</v>
      </c>
      <c r="DI657" s="14">
        <f t="shared" si="3742"/>
        <v>0</v>
      </c>
      <c r="DJ657" s="14">
        <f t="shared" si="3742"/>
        <v>0</v>
      </c>
      <c r="DK657" s="14">
        <f t="shared" si="3742"/>
        <v>0</v>
      </c>
      <c r="DL657" s="14">
        <f t="shared" si="3742"/>
        <v>0</v>
      </c>
      <c r="DM657" s="14">
        <f t="shared" si="3742"/>
        <v>0</v>
      </c>
      <c r="DN657" s="14">
        <f t="shared" si="3742"/>
        <v>0</v>
      </c>
      <c r="DO657" s="14">
        <f t="shared" si="3742"/>
        <v>0</v>
      </c>
      <c r="DP657" s="14" t="e">
        <f t="shared" si="3742"/>
        <v>#VALUE!</v>
      </c>
      <c r="DQ657" s="14"/>
      <c r="DR657" s="14"/>
      <c r="DS657" s="14"/>
      <c r="DT657" s="14"/>
      <c r="DU657" s="14"/>
      <c r="DV657" s="14"/>
      <c r="DW657" s="14"/>
      <c r="DX657" s="14"/>
      <c r="DY657" s="14"/>
      <c r="ED657" s="429"/>
      <c r="EE657" s="23"/>
      <c r="EF657" s="23"/>
      <c r="EG657" s="23"/>
      <c r="EH657" s="14">
        <f>IF(EH628&lt;&gt;0,EH632/EH628,"0%")</f>
        <v>0</v>
      </c>
      <c r="EI657" s="14">
        <f>IF(EI628&lt;&gt;0,EI632/EI628,"0%")</f>
        <v>0</v>
      </c>
      <c r="EJ657" s="14" t="str">
        <f>IF(EJ628&lt;&gt;0,"0%",EJ632/EJ628)</f>
        <v>0%</v>
      </c>
      <c r="EK657" s="24"/>
      <c r="EL657" s="47">
        <f t="shared" si="3728"/>
        <v>0</v>
      </c>
      <c r="EM657" s="47">
        <f t="shared" si="3728"/>
        <v>0</v>
      </c>
      <c r="EN657" s="47">
        <f t="shared" si="3728"/>
        <v>-6.2189629629629636E-2</v>
      </c>
      <c r="EO657" s="46" t="str">
        <f t="shared" si="3729"/>
        <v>Æ</v>
      </c>
      <c r="EP657" s="46" t="str">
        <f t="shared" si="3729"/>
        <v>Æ</v>
      </c>
      <c r="EQ657" s="2" t="e">
        <f t="shared" si="3730"/>
        <v>#DIV/0!</v>
      </c>
      <c r="ER657" s="2" t="e">
        <f t="shared" si="3730"/>
        <v>#DIV/0!</v>
      </c>
      <c r="ES657" s="2">
        <f t="shared" si="3730"/>
        <v>3</v>
      </c>
    </row>
    <row r="658" spans="1:150">
      <c r="A658" s="6" t="s">
        <v>23</v>
      </c>
      <c r="B658" s="2" t="s">
        <v>27</v>
      </c>
      <c r="C658" s="3" t="s">
        <v>81</v>
      </c>
      <c r="E658" s="3" t="str">
        <f>C634</f>
        <v>AOnlHrs</v>
      </c>
      <c r="F658" s="4" t="s">
        <v>31</v>
      </c>
      <c r="G658" s="28" t="str">
        <f>C633</f>
        <v>ATotHrs</v>
      </c>
      <c r="H658" s="28"/>
      <c r="I658" s="28"/>
      <c r="J658" s="62">
        <f t="shared" ref="J658:AJ658" si="3743">IF(J633&lt;&gt;0,J634/J633,"")</f>
        <v>6.3299151791365998E-3</v>
      </c>
      <c r="K658" s="62">
        <f t="shared" si="3743"/>
        <v>4.7027840481565089E-3</v>
      </c>
      <c r="L658" s="62">
        <f t="shared" si="3743"/>
        <v>1.2065637065637066E-2</v>
      </c>
      <c r="M658" s="62">
        <f t="shared" si="3743"/>
        <v>8.9750493627714957E-3</v>
      </c>
      <c r="N658" s="62">
        <f t="shared" si="3743"/>
        <v>7.7118840132644412E-3</v>
      </c>
      <c r="O658" s="62">
        <f t="shared" si="3743"/>
        <v>5.6363431405703985E-3</v>
      </c>
      <c r="P658" s="62">
        <f t="shared" si="3743"/>
        <v>4.6806618455849658E-3</v>
      </c>
      <c r="Q658" s="62">
        <f t="shared" si="3743"/>
        <v>4.0811329224992856E-3</v>
      </c>
      <c r="R658" s="62">
        <f t="shared" si="3743"/>
        <v>3.973378364954803E-3</v>
      </c>
      <c r="S658" s="62">
        <f t="shared" si="3743"/>
        <v>4.5620437956204376E-3</v>
      </c>
      <c r="T658" s="62">
        <f t="shared" si="3743"/>
        <v>1.5533193759708245E-2</v>
      </c>
      <c r="U658" s="62">
        <f t="shared" si="3743"/>
        <v>2.2421524663677129E-2</v>
      </c>
      <c r="V658" s="62">
        <f t="shared" si="3743"/>
        <v>0</v>
      </c>
      <c r="W658" s="62">
        <f t="shared" si="3743"/>
        <v>0.1174934725848564</v>
      </c>
      <c r="X658" s="62">
        <f t="shared" si="3743"/>
        <v>6.3284233496999451E-2</v>
      </c>
      <c r="Y658" s="62">
        <f t="shared" si="3743"/>
        <v>6.0291060291060294E-2</v>
      </c>
      <c r="Z658" s="62">
        <f t="shared" si="3743"/>
        <v>6.0291060291060294E-2</v>
      </c>
      <c r="AA658" s="62">
        <f t="shared" si="3743"/>
        <v>7.1233624454148478E-2</v>
      </c>
      <c r="AB658" s="62">
        <f t="shared" si="3743"/>
        <v>9.6009523316598525E-2</v>
      </c>
      <c r="AC658" s="62">
        <f t="shared" si="3743"/>
        <v>0.10360306200152299</v>
      </c>
      <c r="AD658" s="62">
        <f t="shared" si="3743"/>
        <v>0.10753309233236388</v>
      </c>
      <c r="AE658" s="62">
        <f t="shared" si="3743"/>
        <v>0.10993954908943439</v>
      </c>
      <c r="AF658" s="62">
        <f t="shared" si="3743"/>
        <v>0.11146201003158089</v>
      </c>
      <c r="AG658" s="62">
        <f t="shared" si="3743"/>
        <v>0.10366855947399881</v>
      </c>
      <c r="AH658" s="62">
        <f t="shared" si="3743"/>
        <v>2.1853708702918112E-2</v>
      </c>
      <c r="AI658" s="62">
        <f t="shared" si="3743"/>
        <v>7.0100009346667908E-2</v>
      </c>
      <c r="AJ658" s="62" t="str">
        <f t="shared" si="3743"/>
        <v/>
      </c>
      <c r="AK658" s="412"/>
      <c r="AL658" s="14">
        <f t="shared" ref="AL658:BL658" si="3744">IF(AL633&lt;&gt;0,AL634/AL633,"")</f>
        <v>6.3299151791365998E-3</v>
      </c>
      <c r="AM658" s="14">
        <f t="shared" si="3744"/>
        <v>0</v>
      </c>
      <c r="AN658" s="14">
        <f t="shared" si="3744"/>
        <v>5.5555555555555552E-2</v>
      </c>
      <c r="AO658" s="14">
        <f t="shared" si="3744"/>
        <v>5.0751116524563539E-3</v>
      </c>
      <c r="AP658" s="14">
        <f t="shared" si="3744"/>
        <v>0</v>
      </c>
      <c r="AQ658" s="14">
        <f t="shared" si="3744"/>
        <v>0</v>
      </c>
      <c r="AR658" s="14">
        <f t="shared" si="3744"/>
        <v>0</v>
      </c>
      <c r="AS658" s="14">
        <f t="shared" si="3744"/>
        <v>0</v>
      </c>
      <c r="AT658" s="14">
        <f t="shared" si="3744"/>
        <v>0</v>
      </c>
      <c r="AU658" s="14">
        <f t="shared" si="3744"/>
        <v>6.4829821717990272E-3</v>
      </c>
      <c r="AV658" s="14">
        <f t="shared" si="3744"/>
        <v>0.1027190332326284</v>
      </c>
      <c r="AW658" s="14">
        <f t="shared" si="3744"/>
        <v>0.19827586206896552</v>
      </c>
      <c r="AX658" s="14">
        <f t="shared" si="3744"/>
        <v>0</v>
      </c>
      <c r="AY658" s="14">
        <f t="shared" si="3744"/>
        <v>0.28391167192429023</v>
      </c>
      <c r="AZ658" s="14">
        <f t="shared" si="3744"/>
        <v>2.4367385192127462E-2</v>
      </c>
      <c r="BA658" s="14">
        <f t="shared" si="3744"/>
        <v>0</v>
      </c>
      <c r="BB658" s="14" t="str">
        <f t="shared" si="3744"/>
        <v/>
      </c>
      <c r="BC658" s="14">
        <f t="shared" si="3744"/>
        <v>8.3333333333333329E-2</v>
      </c>
      <c r="BD658" s="14">
        <f t="shared" si="3744"/>
        <v>0.54945054945054994</v>
      </c>
      <c r="BE658" s="14">
        <f t="shared" si="3744"/>
        <v>0.12966252220248667</v>
      </c>
      <c r="BF658" s="14">
        <f t="shared" si="3744"/>
        <v>0.12941228970502913</v>
      </c>
      <c r="BG658" s="14">
        <f t="shared" si="3744"/>
        <v>0.14319248826291081</v>
      </c>
      <c r="BH658" s="14">
        <f t="shared" si="3744"/>
        <v>0.1235813366960908</v>
      </c>
      <c r="BI658" s="14">
        <f t="shared" si="3744"/>
        <v>6.5744418572798252E-2</v>
      </c>
      <c r="BJ658" s="14">
        <f t="shared" si="3744"/>
        <v>2.1853708702918112E-2</v>
      </c>
      <c r="BK658" s="14">
        <f t="shared" si="3744"/>
        <v>0.1986301369863013</v>
      </c>
      <c r="BL658" s="14" t="str">
        <f t="shared" si="3744"/>
        <v/>
      </c>
      <c r="BM658" s="412"/>
      <c r="BN658" s="14">
        <f t="shared" ref="BN658:CN658" si="3745">IF(BN633&lt;&gt;0,BN634/BN633,"")</f>
        <v>1.2065637065637066E-2</v>
      </c>
      <c r="BO658" s="14">
        <f t="shared" si="3745"/>
        <v>1.2065637065637066E-2</v>
      </c>
      <c r="BP658" s="14">
        <f t="shared" si="3745"/>
        <v>1.2065637065637066E-2</v>
      </c>
      <c r="BQ658" s="14">
        <f t="shared" si="3745"/>
        <v>2.1690091965989935E-3</v>
      </c>
      <c r="BR658" s="14">
        <f t="shared" si="3745"/>
        <v>2.1690091965989935E-3</v>
      </c>
      <c r="BS658" s="14">
        <f t="shared" si="3745"/>
        <v>2.1690091965989935E-3</v>
      </c>
      <c r="BT658" s="14">
        <f t="shared" si="3745"/>
        <v>0</v>
      </c>
      <c r="BU658" s="14">
        <f t="shared" si="3745"/>
        <v>0</v>
      </c>
      <c r="BV658" s="14">
        <f t="shared" si="3745"/>
        <v>0</v>
      </c>
      <c r="BW658" s="14">
        <f t="shared" si="3745"/>
        <v>5.733082706766917E-2</v>
      </c>
      <c r="BX658" s="14">
        <f t="shared" si="3745"/>
        <v>5.733082706766917E-2</v>
      </c>
      <c r="BY658" s="14">
        <f t="shared" si="3745"/>
        <v>5.733082706766917E-2</v>
      </c>
      <c r="BZ658" s="14">
        <f t="shared" si="3745"/>
        <v>6.3284233496999451E-2</v>
      </c>
      <c r="CA658" s="14">
        <f t="shared" si="3745"/>
        <v>6.3284233496999451E-2</v>
      </c>
      <c r="CB658" s="14">
        <f t="shared" si="3745"/>
        <v>6.3284233496999451E-2</v>
      </c>
      <c r="CC658" s="14">
        <f t="shared" si="3745"/>
        <v>7.9191698525395954E-2</v>
      </c>
      <c r="CD658" s="14">
        <f t="shared" si="3745"/>
        <v>7.9191698525395954E-2</v>
      </c>
      <c r="CE658" s="14">
        <f t="shared" si="3745"/>
        <v>7.9191698525395954E-2</v>
      </c>
      <c r="CF658" s="14">
        <f t="shared" si="3745"/>
        <v>0.16737455906702178</v>
      </c>
      <c r="CG658" s="14">
        <f t="shared" si="3745"/>
        <v>0.16737455906702178</v>
      </c>
      <c r="CH658" s="14">
        <f t="shared" si="3745"/>
        <v>0.16737455906702178</v>
      </c>
      <c r="CI658" s="14">
        <f t="shared" si="3745"/>
        <v>9.5177664974619297E-2</v>
      </c>
      <c r="CJ658" s="14">
        <f t="shared" si="3745"/>
        <v>9.5177664974619297E-2</v>
      </c>
      <c r="CK658" s="14">
        <f t="shared" si="3745"/>
        <v>9.5177664974619297E-2</v>
      </c>
      <c r="CL658" s="14">
        <f t="shared" si="3745"/>
        <v>7.0100009346667908E-2</v>
      </c>
      <c r="CM658" s="14">
        <f t="shared" si="3745"/>
        <v>7.0100009346667908E-2</v>
      </c>
      <c r="CN658" s="14">
        <f t="shared" si="3745"/>
        <v>7.0100009346667908E-2</v>
      </c>
      <c r="CO658" s="412"/>
      <c r="CP658" s="14">
        <f t="shared" ref="CP658:DP658" si="3746">IF(CP633&lt;&gt;0,CP634/CP633,"")</f>
        <v>6.3299151791365998E-3</v>
      </c>
      <c r="CQ658" s="14">
        <f t="shared" si="3746"/>
        <v>4.7027840481565089E-3</v>
      </c>
      <c r="CR658" s="14">
        <f t="shared" si="3746"/>
        <v>1.2065637065637066E-2</v>
      </c>
      <c r="CS658" s="14">
        <f t="shared" si="3746"/>
        <v>8.9750493627714957E-3</v>
      </c>
      <c r="CT658" s="14">
        <f t="shared" si="3746"/>
        <v>7.7118840132644412E-3</v>
      </c>
      <c r="CU658" s="14">
        <f t="shared" si="3746"/>
        <v>5.6363431405703985E-3</v>
      </c>
      <c r="CV658" s="14">
        <f t="shared" si="3746"/>
        <v>4.6806618455849658E-3</v>
      </c>
      <c r="CW658" s="14">
        <f t="shared" si="3746"/>
        <v>4.0811329224992856E-3</v>
      </c>
      <c r="CX658" s="14">
        <f t="shared" si="3746"/>
        <v>3.973378364954803E-3</v>
      </c>
      <c r="CY658" s="14">
        <f t="shared" si="3746"/>
        <v>4.5620437956204376E-3</v>
      </c>
      <c r="CZ658" s="14">
        <f t="shared" si="3746"/>
        <v>1.5533193759708245E-2</v>
      </c>
      <c r="DA658" s="14">
        <f t="shared" si="3746"/>
        <v>2.2421524663677129E-2</v>
      </c>
      <c r="DB658" s="14">
        <f t="shared" si="3746"/>
        <v>0</v>
      </c>
      <c r="DC658" s="14">
        <f t="shared" si="3746"/>
        <v>0.1174934725848564</v>
      </c>
      <c r="DD658" s="14">
        <f t="shared" si="3746"/>
        <v>6.3284233496999451E-2</v>
      </c>
      <c r="DE658" s="109">
        <f t="shared" si="3746"/>
        <v>6.0291060291060294E-2</v>
      </c>
      <c r="DF658" s="14">
        <f t="shared" si="3746"/>
        <v>6.0291060291060294E-2</v>
      </c>
      <c r="DG658" s="14">
        <f t="shared" si="3746"/>
        <v>7.1233624454148478E-2</v>
      </c>
      <c r="DH658" s="14">
        <f t="shared" si="3746"/>
        <v>9.6009523316598525E-2</v>
      </c>
      <c r="DI658" s="14">
        <f t="shared" si="3746"/>
        <v>0.10360306200152299</v>
      </c>
      <c r="DJ658" s="14">
        <f t="shared" si="3746"/>
        <v>0.10753309233236388</v>
      </c>
      <c r="DK658" s="14">
        <f t="shared" si="3746"/>
        <v>0.10993954908943439</v>
      </c>
      <c r="DL658" s="14">
        <f t="shared" si="3746"/>
        <v>0.11146201003158089</v>
      </c>
      <c r="DM658" s="14">
        <f t="shared" si="3746"/>
        <v>0.10366855947399881</v>
      </c>
      <c r="DN658" s="14">
        <f t="shared" si="3746"/>
        <v>2.1853708702918112E-2</v>
      </c>
      <c r="DO658" s="14">
        <f t="shared" si="3746"/>
        <v>7.0100009346667908E-2</v>
      </c>
      <c r="DP658" s="14">
        <f t="shared" si="3746"/>
        <v>7.0100009346667908E-2</v>
      </c>
      <c r="DQ658" s="14"/>
      <c r="DR658" s="14"/>
      <c r="DS658" s="14"/>
      <c r="DT658" s="14"/>
      <c r="DU658" s="14"/>
      <c r="DV658" s="14"/>
      <c r="DW658" s="14"/>
      <c r="DX658" s="14"/>
      <c r="DY658" s="14"/>
      <c r="ED658" s="429"/>
      <c r="EE658" s="23"/>
      <c r="EF658" s="23"/>
      <c r="EG658" s="23"/>
      <c r="EH658" s="14">
        <f>IF(EH633&lt;&gt;0,EH634/EH633,"0%")</f>
        <v>0.1986301369863013</v>
      </c>
      <c r="EI658" s="109">
        <f>IF(EI633&lt;&gt;0,EI634/EI633,"0%")</f>
        <v>7.0100009346667908E-2</v>
      </c>
      <c r="EJ658" s="14">
        <f>IF(EJ633&lt;&gt;0,EJ634/EJ633,"")</f>
        <v>7.0100009346667908E-2</v>
      </c>
      <c r="EK658" s="24"/>
      <c r="EL658" s="47">
        <f t="shared" si="3728"/>
        <v>0.1986301369863013</v>
      </c>
      <c r="EM658" s="47">
        <f t="shared" si="3728"/>
        <v>7.0100009346667908E-2</v>
      </c>
      <c r="EN658" s="47">
        <f t="shared" si="3728"/>
        <v>-2.9652386357586547E-2</v>
      </c>
      <c r="EO658" s="46" t="str">
        <f t="shared" si="3729"/>
        <v>Ç</v>
      </c>
      <c r="EP658" s="46" t="str">
        <f t="shared" si="3729"/>
        <v>Ç</v>
      </c>
      <c r="EQ658" s="2" t="e">
        <f t="shared" si="3730"/>
        <v>#DIV/0!</v>
      </c>
      <c r="ER658" s="2" t="e">
        <f t="shared" si="3730"/>
        <v>#DIV/0!</v>
      </c>
      <c r="ES658" s="2">
        <f t="shared" si="3730"/>
        <v>3</v>
      </c>
    </row>
    <row r="659" spans="1:150">
      <c r="A659" s="6" t="s">
        <v>23</v>
      </c>
      <c r="B659" s="2" t="s">
        <v>28</v>
      </c>
      <c r="C659" s="3" t="s">
        <v>82</v>
      </c>
      <c r="E659" s="3" t="str">
        <f>C639</f>
        <v>AColCash</v>
      </c>
      <c r="F659" s="4" t="s">
        <v>31</v>
      </c>
      <c r="G659" s="28" t="str">
        <f>C640</f>
        <v>AFSFunds</v>
      </c>
      <c r="H659" s="28"/>
      <c r="I659" s="28"/>
      <c r="J659" s="62" t="str">
        <f t="shared" ref="J659:AJ659" si="3747">IF(J640&lt;&gt;0,J639/J640,"")</f>
        <v/>
      </c>
      <c r="K659" s="62" t="str">
        <f t="shared" si="3747"/>
        <v/>
      </c>
      <c r="L659" s="62">
        <f t="shared" si="3747"/>
        <v>0.41305297879860003</v>
      </c>
      <c r="M659" s="62">
        <f t="shared" si="3747"/>
        <v>0.41305297879860003</v>
      </c>
      <c r="N659" s="62">
        <f t="shared" si="3747"/>
        <v>0.41305297879860003</v>
      </c>
      <c r="O659" s="62">
        <f t="shared" si="3747"/>
        <v>0.41305297879860003</v>
      </c>
      <c r="P659" s="62">
        <f t="shared" si="3747"/>
        <v>0.43749615061908143</v>
      </c>
      <c r="Q659" s="62">
        <f t="shared" si="3747"/>
        <v>0.43749615061908143</v>
      </c>
      <c r="R659" s="62">
        <f t="shared" si="3747"/>
        <v>0.43749615061908143</v>
      </c>
      <c r="S659" s="62">
        <f t="shared" si="3747"/>
        <v>0.43748895676098642</v>
      </c>
      <c r="T659" s="62">
        <f t="shared" si="3747"/>
        <v>0.43748895676098642</v>
      </c>
      <c r="U659" s="62">
        <f t="shared" si="3747"/>
        <v>0.43748895676098642</v>
      </c>
      <c r="V659" s="62" t="str">
        <f t="shared" si="3747"/>
        <v/>
      </c>
      <c r="W659" s="62" t="str">
        <f t="shared" si="3747"/>
        <v/>
      </c>
      <c r="X659" s="62" t="str">
        <f t="shared" si="3747"/>
        <v/>
      </c>
      <c r="Y659" s="62" t="str">
        <f t="shared" si="3747"/>
        <v/>
      </c>
      <c r="Z659" s="62" t="str">
        <f t="shared" si="3747"/>
        <v/>
      </c>
      <c r="AA659" s="62" t="str">
        <f t="shared" si="3747"/>
        <v/>
      </c>
      <c r="AB659" s="62">
        <f t="shared" si="3747"/>
        <v>0.77554881199584313</v>
      </c>
      <c r="AC659" s="62" t="str">
        <f t="shared" si="3747"/>
        <v/>
      </c>
      <c r="AD659" s="62" t="str">
        <f t="shared" si="3747"/>
        <v/>
      </c>
      <c r="AE659" s="62" t="str">
        <f t="shared" si="3747"/>
        <v/>
      </c>
      <c r="AF659" s="62" t="str">
        <f t="shared" si="3747"/>
        <v/>
      </c>
      <c r="AG659" s="62" t="str">
        <f t="shared" si="3747"/>
        <v/>
      </c>
      <c r="AH659" s="62">
        <f t="shared" si="3747"/>
        <v>1.5985519956475591</v>
      </c>
      <c r="AI659" s="62" t="str">
        <f t="shared" si="3747"/>
        <v/>
      </c>
      <c r="AJ659" s="62" t="str">
        <f t="shared" si="3747"/>
        <v/>
      </c>
      <c r="AK659" s="412"/>
      <c r="AL659" s="14"/>
      <c r="AM659" s="14"/>
      <c r="AN659" s="14"/>
      <c r="AO659" s="14"/>
      <c r="AP659" s="14"/>
      <c r="AQ659" s="14"/>
      <c r="AR659" s="14"/>
      <c r="AS659" s="14"/>
      <c r="AT659" s="14"/>
      <c r="AU659" s="14"/>
      <c r="AV659" s="14"/>
      <c r="AW659" s="14"/>
      <c r="AX659" s="14"/>
      <c r="AY659" s="14"/>
      <c r="AZ659" s="14"/>
      <c r="BA659" s="14"/>
      <c r="BB659" s="14"/>
      <c r="BC659" s="14"/>
      <c r="BD659" s="14"/>
      <c r="BE659" s="14"/>
      <c r="BF659" s="14"/>
      <c r="BG659" s="14"/>
      <c r="BH659" s="14"/>
      <c r="BI659" s="14"/>
      <c r="BJ659" s="14"/>
      <c r="BK659" s="14"/>
      <c r="BL659" s="14"/>
      <c r="BM659" s="412"/>
      <c r="BN659" s="14"/>
      <c r="BO659" s="14"/>
      <c r="BP659" s="14"/>
      <c r="BQ659" s="14"/>
      <c r="BR659" s="14"/>
      <c r="BS659" s="14"/>
      <c r="BT659" s="14"/>
      <c r="BU659" s="14"/>
      <c r="BV659" s="14"/>
      <c r="BW659" s="14"/>
      <c r="BX659" s="14"/>
      <c r="BY659" s="14"/>
      <c r="BZ659" s="14"/>
      <c r="CA659" s="14"/>
      <c r="CB659" s="14"/>
      <c r="CC659" s="14"/>
      <c r="CD659" s="14"/>
      <c r="CE659" s="14"/>
      <c r="CF659" s="14"/>
      <c r="CG659" s="14"/>
      <c r="CH659" s="14"/>
      <c r="CI659" s="14"/>
      <c r="CJ659" s="14"/>
      <c r="CK659" s="14"/>
      <c r="CL659" s="14"/>
      <c r="CM659" s="14"/>
      <c r="CN659" s="14"/>
      <c r="CO659" s="412"/>
      <c r="CP659" s="14" t="str">
        <f t="shared" ref="CP659:DP659" si="3748">IF(CP640&lt;&gt;0,CP639/CP640,"")</f>
        <v/>
      </c>
      <c r="CQ659" s="14" t="str">
        <f t="shared" si="3748"/>
        <v/>
      </c>
      <c r="CR659" s="14">
        <f t="shared" si="3748"/>
        <v>0.41305297879860003</v>
      </c>
      <c r="CS659" s="14">
        <f t="shared" si="3748"/>
        <v>0.41305297879860003</v>
      </c>
      <c r="CT659" s="14">
        <f t="shared" si="3748"/>
        <v>0.41305297879860003</v>
      </c>
      <c r="CU659" s="14">
        <f t="shared" si="3748"/>
        <v>0.41305297879860003</v>
      </c>
      <c r="CV659" s="14">
        <f t="shared" si="3748"/>
        <v>0.43749615061908143</v>
      </c>
      <c r="CW659" s="14">
        <f t="shared" si="3748"/>
        <v>0.43749615061908143</v>
      </c>
      <c r="CX659" s="14">
        <f t="shared" si="3748"/>
        <v>0.43749615061908143</v>
      </c>
      <c r="CY659" s="14">
        <f t="shared" si="3748"/>
        <v>0.43748895676098642</v>
      </c>
      <c r="CZ659" s="14">
        <f t="shared" si="3748"/>
        <v>0.43748895676098642</v>
      </c>
      <c r="DA659" s="14">
        <f t="shared" si="3748"/>
        <v>0.43748895676098642</v>
      </c>
      <c r="DB659" s="14" t="str">
        <f t="shared" si="3748"/>
        <v/>
      </c>
      <c r="DC659" s="14" t="str">
        <f t="shared" si="3748"/>
        <v/>
      </c>
      <c r="DD659" s="14" t="str">
        <f t="shared" si="3748"/>
        <v/>
      </c>
      <c r="DE659" s="14" t="str">
        <f t="shared" si="3748"/>
        <v/>
      </c>
      <c r="DF659" s="14" t="str">
        <f t="shared" si="3748"/>
        <v/>
      </c>
      <c r="DG659" s="14" t="str">
        <f t="shared" si="3748"/>
        <v/>
      </c>
      <c r="DH659" s="14">
        <f t="shared" si="3748"/>
        <v>0.77554881199584313</v>
      </c>
      <c r="DI659" s="14" t="str">
        <f t="shared" si="3748"/>
        <v/>
      </c>
      <c r="DJ659" s="14" t="str">
        <f t="shared" si="3748"/>
        <v/>
      </c>
      <c r="DK659" s="14" t="str">
        <f t="shared" si="3748"/>
        <v/>
      </c>
      <c r="DL659" s="14" t="str">
        <f t="shared" si="3748"/>
        <v/>
      </c>
      <c r="DM659" s="14" t="str">
        <f t="shared" si="3748"/>
        <v/>
      </c>
      <c r="DN659" s="14">
        <f t="shared" si="3748"/>
        <v>1.5985519956475591</v>
      </c>
      <c r="DO659" s="14" t="str">
        <f t="shared" si="3748"/>
        <v/>
      </c>
      <c r="DP659" s="14" t="str">
        <f t="shared" si="3748"/>
        <v/>
      </c>
      <c r="DQ659" s="14"/>
      <c r="DR659" s="14"/>
      <c r="DS659" s="14"/>
      <c r="DT659" s="14"/>
      <c r="DU659" s="14"/>
      <c r="DV659" s="14"/>
      <c r="DW659" s="14"/>
      <c r="DX659" s="14"/>
      <c r="DY659" s="14"/>
      <c r="ED659" s="429"/>
      <c r="EE659" s="23"/>
      <c r="EF659" s="23"/>
      <c r="EG659" s="23"/>
      <c r="EH659" s="24" t="s">
        <v>97</v>
      </c>
      <c r="EI659" s="24" t="s">
        <v>97</v>
      </c>
      <c r="EJ659" s="14" t="str">
        <f>IF(EJ640&lt;&gt;0,EJ639/EJ640,"")</f>
        <v/>
      </c>
      <c r="EK659" s="24"/>
      <c r="EL659" s="24" t="s">
        <v>97</v>
      </c>
      <c r="EM659" s="24" t="s">
        <v>97</v>
      </c>
      <c r="EN659" s="47" t="str">
        <f>IF(EJ659="","",+EJ659-EG652)</f>
        <v/>
      </c>
      <c r="EO659" s="100" t="s">
        <v>97</v>
      </c>
      <c r="EP659" s="100" t="s">
        <v>97</v>
      </c>
      <c r="EQ659" s="24" t="s">
        <v>97</v>
      </c>
      <c r="ER659" s="24" t="s">
        <v>97</v>
      </c>
      <c r="ES659" s="2" t="e">
        <f>IF(EJ659/EG652&gt;=0.9,1,IF(EJ659/EG652&lt;0.75,3,2))</f>
        <v>#VALUE!</v>
      </c>
    </row>
    <row r="660" spans="1:150">
      <c r="CY660" s="266"/>
      <c r="ED660" s="429"/>
      <c r="EE660" s="23"/>
      <c r="EF660" s="23"/>
      <c r="EG660" s="23"/>
      <c r="EH660" s="23"/>
      <c r="EI660" s="23"/>
      <c r="EJ660" s="23"/>
      <c r="EK660" s="23"/>
    </row>
    <row r="661" spans="1:150" ht="13.5" thickBot="1">
      <c r="A661" s="6" t="s">
        <v>183</v>
      </c>
      <c r="C661" s="3" t="s">
        <v>186</v>
      </c>
      <c r="E661" s="107">
        <f>I661</f>
        <v>40391</v>
      </c>
      <c r="G661" s="132" t="s">
        <v>161</v>
      </c>
      <c r="I661" s="107">
        <f>$I$1</f>
        <v>40391</v>
      </c>
      <c r="J661" s="669" t="s">
        <v>95</v>
      </c>
      <c r="K661" s="669"/>
      <c r="L661" s="669"/>
      <c r="M661" s="669"/>
      <c r="N661" s="669"/>
      <c r="O661" s="669"/>
      <c r="P661" s="669"/>
      <c r="Q661" s="669"/>
      <c r="R661" s="669"/>
      <c r="S661" s="669"/>
      <c r="T661" s="669"/>
      <c r="U661" s="669"/>
      <c r="V661" s="669"/>
      <c r="W661" s="669"/>
      <c r="X661" s="669"/>
      <c r="Y661" s="669"/>
      <c r="Z661" s="669"/>
      <c r="AA661" s="669"/>
      <c r="AB661" s="669"/>
      <c r="AC661" s="669"/>
      <c r="AD661" s="669"/>
      <c r="AE661" s="669"/>
      <c r="AF661" s="669"/>
      <c r="AG661" s="669"/>
      <c r="AH661" s="669"/>
      <c r="AI661" s="669"/>
      <c r="AJ661" s="669"/>
      <c r="AL661" s="669" t="s">
        <v>115</v>
      </c>
      <c r="AM661" s="669"/>
      <c r="AN661" s="669"/>
      <c r="AO661" s="669"/>
      <c r="AP661" s="669"/>
      <c r="AQ661" s="669"/>
      <c r="AR661" s="669"/>
      <c r="AS661" s="669"/>
      <c r="AT661" s="669"/>
      <c r="AU661" s="669"/>
      <c r="AV661" s="669"/>
      <c r="AW661" s="669"/>
      <c r="AX661" s="669"/>
      <c r="AY661" s="669"/>
      <c r="AZ661" s="669"/>
      <c r="BA661" s="669"/>
      <c r="BB661" s="669"/>
      <c r="BC661" s="669"/>
      <c r="BD661" s="669"/>
      <c r="BE661" s="669"/>
      <c r="BF661" s="669"/>
      <c r="BG661" s="669"/>
      <c r="BH661" s="669"/>
      <c r="BI661" s="669"/>
      <c r="BJ661" s="669"/>
      <c r="BK661" s="669"/>
      <c r="BL661" s="669"/>
      <c r="BN661" s="669" t="s">
        <v>116</v>
      </c>
      <c r="BO661" s="669"/>
      <c r="BP661" s="669"/>
      <c r="BQ661" s="669"/>
      <c r="BR661" s="669"/>
      <c r="BS661" s="669"/>
      <c r="BT661" s="669"/>
      <c r="BU661" s="669"/>
      <c r="BV661" s="669"/>
      <c r="BW661" s="669"/>
      <c r="BX661" s="669"/>
      <c r="BY661" s="669"/>
      <c r="BZ661" s="669"/>
      <c r="CA661" s="669"/>
      <c r="CB661" s="669"/>
      <c r="CC661" s="669"/>
      <c r="CD661" s="669"/>
      <c r="CE661" s="669"/>
      <c r="CF661" s="669"/>
      <c r="CG661" s="669"/>
      <c r="CH661" s="669"/>
      <c r="CI661" s="669"/>
      <c r="CJ661" s="669"/>
      <c r="CK661" s="669"/>
      <c r="CL661" s="669"/>
      <c r="CM661" s="669"/>
      <c r="CN661" s="669"/>
      <c r="CP661" s="669" t="s">
        <v>117</v>
      </c>
      <c r="CQ661" s="669"/>
      <c r="CR661" s="669"/>
      <c r="CS661" s="669"/>
      <c r="CT661" s="669"/>
      <c r="CU661" s="669"/>
      <c r="CV661" s="669"/>
      <c r="CW661" s="669"/>
      <c r="CX661" s="669"/>
      <c r="CY661" s="669"/>
      <c r="CZ661" s="669"/>
      <c r="DA661" s="669"/>
      <c r="DB661" s="669"/>
      <c r="DC661" s="669"/>
      <c r="DD661" s="669"/>
      <c r="DE661" s="669"/>
      <c r="DF661" s="669"/>
      <c r="DG661" s="669"/>
      <c r="DH661" s="669"/>
      <c r="DI661" s="669"/>
      <c r="DJ661" s="669"/>
      <c r="DK661" s="669"/>
      <c r="DL661" s="669"/>
      <c r="DM661" s="669"/>
      <c r="DN661" s="669"/>
      <c r="DO661" s="669"/>
      <c r="DP661" s="669"/>
      <c r="DQ661" s="578"/>
      <c r="DR661" s="578"/>
      <c r="DS661" s="578"/>
      <c r="DT661" s="578"/>
      <c r="DU661" s="578"/>
      <c r="DV661" s="578"/>
      <c r="DW661" s="578"/>
      <c r="DX661" s="578"/>
      <c r="DY661" s="578"/>
      <c r="DZ661" s="670" t="s">
        <v>118</v>
      </c>
      <c r="EA661" s="671"/>
      <c r="EB661" s="672"/>
      <c r="EC661" s="579"/>
      <c r="ED661" s="427"/>
      <c r="EE661" s="669" t="s">
        <v>112</v>
      </c>
      <c r="EF661" s="669"/>
      <c r="EG661" s="669"/>
      <c r="EH661" s="669" t="s">
        <v>111</v>
      </c>
      <c r="EI661" s="669"/>
      <c r="EJ661" s="669"/>
      <c r="EK661" s="45">
        <f>IF(MONTH(I661)&gt;9,MONTH(I661)-9,MONTH(I661)+3)</f>
        <v>11</v>
      </c>
      <c r="EL661" s="673" t="s">
        <v>119</v>
      </c>
      <c r="EM661" s="674"/>
      <c r="EN661" s="674"/>
      <c r="EO661" s="674"/>
      <c r="EP661" s="674"/>
      <c r="EQ661" s="674"/>
      <c r="ER661" s="674"/>
      <c r="ES661" s="674"/>
    </row>
    <row r="662" spans="1:150" ht="26.25" thickBot="1">
      <c r="A662" s="665" t="s">
        <v>19</v>
      </c>
      <c r="B662" s="665"/>
      <c r="C662" s="8" t="s">
        <v>34</v>
      </c>
      <c r="D662" s="9"/>
      <c r="E662" s="10" t="s">
        <v>93</v>
      </c>
      <c r="F662" s="1"/>
      <c r="G662" s="17" t="s">
        <v>90</v>
      </c>
      <c r="H662" s="1"/>
      <c r="I662" s="1" t="s">
        <v>96</v>
      </c>
      <c r="J662" s="13">
        <v>39630</v>
      </c>
      <c r="K662" s="13">
        <v>39661</v>
      </c>
      <c r="L662" s="13">
        <v>39692</v>
      </c>
      <c r="M662" s="13">
        <v>39722</v>
      </c>
      <c r="N662" s="13">
        <v>39753</v>
      </c>
      <c r="O662" s="13">
        <v>39783</v>
      </c>
      <c r="P662" s="13">
        <v>39814</v>
      </c>
      <c r="Q662" s="13">
        <v>39845</v>
      </c>
      <c r="R662" s="13">
        <v>39873</v>
      </c>
      <c r="S662" s="13">
        <v>39904</v>
      </c>
      <c r="T662" s="13">
        <v>39934</v>
      </c>
      <c r="U662" s="13">
        <v>39965</v>
      </c>
      <c r="V662" s="13">
        <v>39995</v>
      </c>
      <c r="W662" s="13">
        <v>40026</v>
      </c>
      <c r="X662" s="13">
        <v>40057</v>
      </c>
      <c r="Y662" s="13">
        <v>40087</v>
      </c>
      <c r="Z662" s="13">
        <v>40118</v>
      </c>
      <c r="AA662" s="13">
        <v>40148</v>
      </c>
      <c r="AB662" s="13">
        <v>40179</v>
      </c>
      <c r="AC662" s="13">
        <v>40210</v>
      </c>
      <c r="AD662" s="13">
        <v>40238</v>
      </c>
      <c r="AE662" s="13">
        <v>40269</v>
      </c>
      <c r="AF662" s="13">
        <v>40299</v>
      </c>
      <c r="AG662" s="13">
        <v>40330</v>
      </c>
      <c r="AH662" s="13">
        <v>40360</v>
      </c>
      <c r="AI662" s="13">
        <v>40391</v>
      </c>
      <c r="AJ662" s="13">
        <v>40422</v>
      </c>
      <c r="AK662" s="406"/>
      <c r="AL662" s="13">
        <v>39630</v>
      </c>
      <c r="AM662" s="13">
        <v>39661</v>
      </c>
      <c r="AN662" s="13">
        <v>39692</v>
      </c>
      <c r="AO662" s="13">
        <v>39722</v>
      </c>
      <c r="AP662" s="13">
        <v>39753</v>
      </c>
      <c r="AQ662" s="13">
        <v>39783</v>
      </c>
      <c r="AR662" s="13">
        <v>39814</v>
      </c>
      <c r="AS662" s="13">
        <v>39845</v>
      </c>
      <c r="AT662" s="13">
        <v>39873</v>
      </c>
      <c r="AU662" s="13">
        <v>39904</v>
      </c>
      <c r="AV662" s="13">
        <v>39934</v>
      </c>
      <c r="AW662" s="13">
        <v>39965</v>
      </c>
      <c r="AX662" s="13">
        <v>39995</v>
      </c>
      <c r="AY662" s="13">
        <v>40026</v>
      </c>
      <c r="AZ662" s="13">
        <v>40057</v>
      </c>
      <c r="BA662" s="13">
        <v>40087</v>
      </c>
      <c r="BB662" s="13">
        <v>40118</v>
      </c>
      <c r="BC662" s="13">
        <v>40148</v>
      </c>
      <c r="BD662" s="13">
        <v>40179</v>
      </c>
      <c r="BE662" s="13">
        <v>40210</v>
      </c>
      <c r="BF662" s="13">
        <v>40238</v>
      </c>
      <c r="BG662" s="13">
        <v>40269</v>
      </c>
      <c r="BH662" s="13">
        <v>40299</v>
      </c>
      <c r="BI662" s="13">
        <v>40330</v>
      </c>
      <c r="BJ662" s="13">
        <v>40360</v>
      </c>
      <c r="BK662" s="13">
        <v>40391</v>
      </c>
      <c r="BL662" s="13">
        <v>40422</v>
      </c>
      <c r="BM662" s="406"/>
      <c r="BN662" s="13">
        <v>39630</v>
      </c>
      <c r="BO662" s="13">
        <v>39661</v>
      </c>
      <c r="BP662" s="13">
        <v>39692</v>
      </c>
      <c r="BQ662" s="13">
        <v>39722</v>
      </c>
      <c r="BR662" s="13">
        <v>39753</v>
      </c>
      <c r="BS662" s="13">
        <v>39783</v>
      </c>
      <c r="BT662" s="13">
        <v>39814</v>
      </c>
      <c r="BU662" s="13">
        <v>39845</v>
      </c>
      <c r="BV662" s="13">
        <v>39873</v>
      </c>
      <c r="BW662" s="13">
        <v>39904</v>
      </c>
      <c r="BX662" s="13">
        <v>39934</v>
      </c>
      <c r="BY662" s="13">
        <v>39965</v>
      </c>
      <c r="BZ662" s="13">
        <v>39995</v>
      </c>
      <c r="CA662" s="13">
        <v>40026</v>
      </c>
      <c r="CB662" s="13">
        <v>40057</v>
      </c>
      <c r="CC662" s="13">
        <v>40087</v>
      </c>
      <c r="CD662" s="13">
        <v>40118</v>
      </c>
      <c r="CE662" s="13">
        <v>40148</v>
      </c>
      <c r="CF662" s="13">
        <v>40179</v>
      </c>
      <c r="CG662" s="13">
        <v>40210</v>
      </c>
      <c r="CH662" s="13">
        <v>40238</v>
      </c>
      <c r="CI662" s="13">
        <v>40269</v>
      </c>
      <c r="CJ662" s="13">
        <v>40299</v>
      </c>
      <c r="CK662" s="13">
        <v>40330</v>
      </c>
      <c r="CL662" s="13">
        <v>40360</v>
      </c>
      <c r="CM662" s="13">
        <v>40391</v>
      </c>
      <c r="CN662" s="13">
        <v>40422</v>
      </c>
      <c r="CO662" s="420"/>
      <c r="CP662" s="13">
        <v>39630</v>
      </c>
      <c r="CQ662" s="13">
        <v>39661</v>
      </c>
      <c r="CR662" s="13">
        <v>39692</v>
      </c>
      <c r="CS662" s="13">
        <v>39722</v>
      </c>
      <c r="CT662" s="13">
        <v>39753</v>
      </c>
      <c r="CU662" s="13">
        <v>39783</v>
      </c>
      <c r="CV662" s="13">
        <v>39814</v>
      </c>
      <c r="CW662" s="13">
        <v>39845</v>
      </c>
      <c r="CX662" s="13">
        <v>39873</v>
      </c>
      <c r="CY662" s="13">
        <v>39904</v>
      </c>
      <c r="CZ662" s="13">
        <v>39934</v>
      </c>
      <c r="DA662" s="13">
        <v>39965</v>
      </c>
      <c r="DB662" s="13">
        <v>39995</v>
      </c>
      <c r="DC662" s="13">
        <v>40026</v>
      </c>
      <c r="DD662" s="13">
        <v>40057</v>
      </c>
      <c r="DE662" s="13">
        <v>40087</v>
      </c>
      <c r="DF662" s="13">
        <v>40118</v>
      </c>
      <c r="DG662" s="13">
        <v>40148</v>
      </c>
      <c r="DH662" s="13">
        <v>40179</v>
      </c>
      <c r="DI662" s="13">
        <v>40210</v>
      </c>
      <c r="DJ662" s="13">
        <v>40238</v>
      </c>
      <c r="DK662" s="13">
        <v>40269</v>
      </c>
      <c r="DL662" s="13">
        <v>40299</v>
      </c>
      <c r="DM662" s="13">
        <v>40330</v>
      </c>
      <c r="DN662" s="13">
        <v>40360</v>
      </c>
      <c r="DO662" s="13">
        <v>40391</v>
      </c>
      <c r="DP662" s="13">
        <v>40422</v>
      </c>
      <c r="DQ662" s="580"/>
      <c r="DR662" s="580"/>
      <c r="DS662" s="580"/>
      <c r="DT662" s="580"/>
      <c r="DU662" s="580"/>
      <c r="DV662" s="580"/>
      <c r="DW662" s="580"/>
      <c r="DX662" s="580"/>
      <c r="DY662" s="580"/>
      <c r="DZ662" s="1">
        <v>2008</v>
      </c>
      <c r="EA662" s="135">
        <v>2009</v>
      </c>
      <c r="EB662" s="135">
        <v>2010</v>
      </c>
      <c r="EC662" s="577"/>
      <c r="ED662" s="428"/>
      <c r="EE662" s="115" t="s">
        <v>89</v>
      </c>
      <c r="EF662" s="115" t="s">
        <v>110</v>
      </c>
      <c r="EG662" s="115" t="s">
        <v>128</v>
      </c>
      <c r="EH662" s="115" t="s">
        <v>89</v>
      </c>
      <c r="EI662" s="115" t="s">
        <v>110</v>
      </c>
      <c r="EJ662" s="115" t="s">
        <v>91</v>
      </c>
      <c r="EK662" s="45">
        <f>IF(MONTH(I661)&gt;6,MONTH(I661)-6,MONTH(I661)+6)</f>
        <v>2</v>
      </c>
      <c r="EL662" s="115" t="s">
        <v>124</v>
      </c>
      <c r="EM662" s="115" t="s">
        <v>125</v>
      </c>
      <c r="EN662" s="115" t="s">
        <v>126</v>
      </c>
      <c r="EO662" s="115" t="s">
        <v>122</v>
      </c>
      <c r="EP662" s="115" t="s">
        <v>123</v>
      </c>
      <c r="EQ662" s="115" t="s">
        <v>120</v>
      </c>
      <c r="ER662" s="115" t="s">
        <v>127</v>
      </c>
      <c r="ES662" s="115" t="s">
        <v>121</v>
      </c>
      <c r="ET662" s="1"/>
    </row>
    <row r="663" spans="1:150">
      <c r="A663" s="36" t="s">
        <v>20</v>
      </c>
      <c r="B663" s="36"/>
      <c r="C663" s="37"/>
      <c r="D663" s="37"/>
      <c r="E663" s="37"/>
      <c r="F663" s="37"/>
      <c r="G663" s="37"/>
      <c r="H663" s="37"/>
      <c r="I663" s="37"/>
      <c r="J663" s="38"/>
      <c r="K663" s="38"/>
      <c r="L663" s="10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407"/>
      <c r="AL663" s="38"/>
      <c r="AM663" s="38"/>
      <c r="AN663" s="38"/>
      <c r="AO663" s="38"/>
      <c r="AP663" s="38"/>
      <c r="AQ663" s="38"/>
      <c r="AR663" s="38"/>
      <c r="AS663" s="38"/>
      <c r="AT663" s="38"/>
      <c r="AU663" s="38"/>
      <c r="AV663" s="38"/>
      <c r="AW663" s="38"/>
      <c r="AX663" s="38"/>
      <c r="AY663" s="38"/>
      <c r="AZ663" s="38"/>
      <c r="BA663" s="38"/>
      <c r="BB663" s="38"/>
      <c r="BC663" s="38"/>
      <c r="BD663" s="38"/>
      <c r="BE663" s="38"/>
      <c r="BF663" s="38"/>
      <c r="BG663" s="38"/>
      <c r="BH663" s="38"/>
      <c r="BI663" s="38"/>
      <c r="BJ663" s="38"/>
      <c r="BK663" s="38"/>
      <c r="BL663" s="38"/>
      <c r="BM663" s="407"/>
      <c r="BN663" s="39"/>
      <c r="BO663" s="39"/>
      <c r="BP663" s="39"/>
      <c r="BQ663" s="39"/>
      <c r="BR663" s="39"/>
      <c r="BS663" s="39"/>
      <c r="BT663" s="39"/>
      <c r="BU663" s="39"/>
      <c r="BV663" s="39"/>
      <c r="BW663" s="39"/>
      <c r="BX663" s="39"/>
      <c r="BY663" s="39"/>
      <c r="BZ663" s="39"/>
      <c r="CA663" s="39"/>
      <c r="CB663" s="39"/>
      <c r="CC663" s="39"/>
      <c r="CD663" s="39"/>
      <c r="CE663" s="39"/>
      <c r="CF663" s="39"/>
      <c r="CG663" s="39"/>
      <c r="CH663" s="39"/>
      <c r="CI663" s="39"/>
      <c r="CJ663" s="39"/>
      <c r="CK663" s="39"/>
      <c r="CL663" s="39"/>
      <c r="CM663" s="39"/>
      <c r="CN663" s="39"/>
      <c r="CO663" s="407"/>
      <c r="CP663" s="38"/>
      <c r="CQ663" s="38"/>
      <c r="CR663" s="38"/>
      <c r="CS663" s="38"/>
      <c r="CT663" s="38"/>
      <c r="CU663" s="38"/>
      <c r="CV663" s="38"/>
      <c r="CW663" s="38"/>
      <c r="CX663" s="38"/>
      <c r="CY663" s="38"/>
      <c r="CZ663" s="38"/>
      <c r="DA663" s="38"/>
      <c r="DB663" s="38"/>
      <c r="DC663" s="38"/>
      <c r="DD663" s="38"/>
      <c r="DE663" s="38"/>
      <c r="DF663" s="38"/>
      <c r="DG663" s="38"/>
      <c r="DH663" s="38"/>
      <c r="DI663" s="38"/>
      <c r="DJ663" s="38"/>
      <c r="DK663" s="38"/>
      <c r="DL663" s="38"/>
      <c r="DM663" s="38"/>
      <c r="DN663" s="38"/>
      <c r="DO663" s="38"/>
      <c r="DP663" s="38"/>
      <c r="DQ663" s="38"/>
      <c r="DR663" s="38"/>
      <c r="DS663" s="38"/>
      <c r="DT663" s="38"/>
      <c r="DU663" s="38"/>
      <c r="DV663" s="38"/>
      <c r="DW663" s="38"/>
      <c r="DX663" s="38"/>
      <c r="DY663" s="38"/>
      <c r="DZ663" s="37"/>
      <c r="EA663" s="37"/>
      <c r="EB663" s="37"/>
      <c r="EC663" s="37"/>
      <c r="ED663" s="408"/>
      <c r="EE663" s="40"/>
      <c r="EF663" s="37"/>
      <c r="EG663" s="37"/>
      <c r="EH663" s="37"/>
      <c r="EI663" s="110" t="s">
        <v>155</v>
      </c>
      <c r="EJ663" s="110">
        <f>IF(I661&lt;M662,2008,IF(AND(I661&gt;=M662,I661&lt;=X662),2009,2010))</f>
        <v>2010</v>
      </c>
      <c r="EK663" s="40"/>
      <c r="EL663" s="37"/>
      <c r="EM663" s="37"/>
      <c r="EN663" s="37"/>
      <c r="EO663" s="37"/>
      <c r="EP663" s="37"/>
      <c r="EQ663" s="37"/>
      <c r="ER663" s="37"/>
      <c r="ES663" s="37"/>
      <c r="ET663" s="37"/>
    </row>
    <row r="664" spans="1:150">
      <c r="A664" s="134" t="s">
        <v>22</v>
      </c>
      <c r="B664" s="2" t="s">
        <v>0</v>
      </c>
      <c r="C664" s="3" t="s">
        <v>35</v>
      </c>
      <c r="E664" s="3" t="s">
        <v>16</v>
      </c>
      <c r="F664" s="1"/>
      <c r="G664" s="1" t="s">
        <v>91</v>
      </c>
      <c r="H664" s="1"/>
      <c r="I664" s="212">
        <v>83.97</v>
      </c>
      <c r="J664" s="223">
        <v>93.3</v>
      </c>
      <c r="K664" s="223">
        <v>102.63</v>
      </c>
      <c r="L664" s="223">
        <v>111.96</v>
      </c>
      <c r="M664" s="214">
        <v>7.583333333333333</v>
      </c>
      <c r="N664" s="213">
        <v>15.166666663333334</v>
      </c>
      <c r="O664" s="213">
        <v>22.749999993333333</v>
      </c>
      <c r="P664" s="213">
        <v>30.333333323333335</v>
      </c>
      <c r="Q664" s="213">
        <v>37.916666653333337</v>
      </c>
      <c r="R664" s="213">
        <v>45.499999983333339</v>
      </c>
      <c r="S664" s="213">
        <v>53.083333313333341</v>
      </c>
      <c r="T664" s="213">
        <v>60.666666643333343</v>
      </c>
      <c r="U664" s="213">
        <v>68.249999973333345</v>
      </c>
      <c r="V664" s="213">
        <v>75.833333303333347</v>
      </c>
      <c r="W664" s="213">
        <v>83.41666663333335</v>
      </c>
      <c r="X664" s="213">
        <v>90.999999963333352</v>
      </c>
      <c r="Y664" s="219">
        <f>129/12</f>
        <v>10.75</v>
      </c>
      <c r="Z664" s="246">
        <f>Y664+10.75</f>
        <v>21.5</v>
      </c>
      <c r="AA664" s="376">
        <f t="shared" ref="AA664:AJ664" si="3749">Z664+10.75</f>
        <v>32.25</v>
      </c>
      <c r="AB664" s="376">
        <f t="shared" si="3749"/>
        <v>43</v>
      </c>
      <c r="AC664" s="376">
        <f t="shared" si="3749"/>
        <v>53.75</v>
      </c>
      <c r="AD664" s="376">
        <f t="shared" si="3749"/>
        <v>64.5</v>
      </c>
      <c r="AE664" s="376">
        <f t="shared" si="3749"/>
        <v>75.25</v>
      </c>
      <c r="AF664" s="376">
        <f t="shared" si="3749"/>
        <v>86</v>
      </c>
      <c r="AG664" s="376">
        <f t="shared" si="3749"/>
        <v>96.75</v>
      </c>
      <c r="AH664" s="376">
        <f t="shared" si="3749"/>
        <v>107.5</v>
      </c>
      <c r="AI664" s="376">
        <f t="shared" si="3749"/>
        <v>118.25</v>
      </c>
      <c r="AJ664" s="376">
        <f t="shared" si="3749"/>
        <v>129</v>
      </c>
      <c r="AK664" s="408"/>
      <c r="AL664" s="48">
        <f>J664-I664</f>
        <v>9.3299999999999983</v>
      </c>
      <c r="AM664" s="48">
        <f t="shared" ref="AM664:AM670" si="3750">K664-J664</f>
        <v>9.3299999999999983</v>
      </c>
      <c r="AN664" s="48">
        <f t="shared" ref="AN664:AN670" si="3751">L664-K664</f>
        <v>9.3299999999999983</v>
      </c>
      <c r="AO664" s="48">
        <f>M664</f>
        <v>7.583333333333333</v>
      </c>
      <c r="AP664" s="48">
        <f t="shared" ref="AP664:AP670" si="3752">N664-M664</f>
        <v>7.5833333300000012</v>
      </c>
      <c r="AQ664" s="48">
        <f t="shared" ref="AQ664:AQ670" si="3753">O664-N664</f>
        <v>7.5833333299999985</v>
      </c>
      <c r="AR664" s="48">
        <f t="shared" ref="AR664:AR670" si="3754">P664-O664</f>
        <v>7.5833333300000021</v>
      </c>
      <c r="AS664" s="48">
        <f t="shared" ref="AS664:AS670" si="3755">Q664-P664</f>
        <v>7.5833333300000021</v>
      </c>
      <c r="AT664" s="48">
        <f t="shared" ref="AT664:AT670" si="3756">R664-Q664</f>
        <v>7.5833333300000021</v>
      </c>
      <c r="AU664" s="48">
        <f t="shared" ref="AU664:AU670" si="3757">S664-R664</f>
        <v>7.5833333300000021</v>
      </c>
      <c r="AV664" s="48">
        <f t="shared" ref="AV664:AV670" si="3758">T664-S664</f>
        <v>7.5833333300000021</v>
      </c>
      <c r="AW664" s="48">
        <f t="shared" ref="AW664:AW670" si="3759">U664-T664</f>
        <v>7.5833333300000021</v>
      </c>
      <c r="AX664" s="48">
        <f>V664-U664</f>
        <v>7.5833333300000021</v>
      </c>
      <c r="AY664" s="48">
        <f t="shared" ref="AY664:AY670" si="3760">W664-V664</f>
        <v>7.5833333300000021</v>
      </c>
      <c r="AZ664" s="48">
        <f t="shared" ref="AZ664:AZ670" si="3761">X664-W664</f>
        <v>7.5833333300000021</v>
      </c>
      <c r="BA664" s="48">
        <f>Y664</f>
        <v>10.75</v>
      </c>
      <c r="BB664" s="48">
        <f t="shared" ref="BB664:BB670" si="3762">Z664-Y664</f>
        <v>10.75</v>
      </c>
      <c r="BC664" s="48">
        <f t="shared" ref="BC664:BC670" si="3763">AA664-Z664</f>
        <v>10.75</v>
      </c>
      <c r="BD664" s="48">
        <f t="shared" ref="BD664:BD670" si="3764">AB664-AA664</f>
        <v>10.75</v>
      </c>
      <c r="BE664" s="48">
        <f t="shared" ref="BE664:BE670" si="3765">AC664-AB664</f>
        <v>10.75</v>
      </c>
      <c r="BF664" s="48">
        <f t="shared" ref="BF664:BF670" si="3766">AD664-AC664</f>
        <v>10.75</v>
      </c>
      <c r="BG664" s="48">
        <f t="shared" ref="BG664:BG670" si="3767">AE664-AD664</f>
        <v>10.75</v>
      </c>
      <c r="BH664" s="48">
        <f t="shared" ref="BH664:BH670" si="3768">AF664-AE664</f>
        <v>10.75</v>
      </c>
      <c r="BI664" s="48">
        <f t="shared" ref="BI664:BI670" si="3769">AG664-AF664</f>
        <v>10.75</v>
      </c>
      <c r="BJ664" s="48">
        <f t="shared" ref="BJ664:BL668" si="3770">AH664-AG664</f>
        <v>10.75</v>
      </c>
      <c r="BK664" s="48">
        <f t="shared" si="3770"/>
        <v>10.75</v>
      </c>
      <c r="BL664" s="48">
        <f t="shared" si="3770"/>
        <v>10.75</v>
      </c>
      <c r="BM664" s="408"/>
      <c r="BN664" s="48">
        <f>BP664</f>
        <v>27.989999999999995</v>
      </c>
      <c r="BO664" s="48">
        <f>BP664</f>
        <v>27.989999999999995</v>
      </c>
      <c r="BP664" s="48">
        <f>SUM(AL664:AN664)</f>
        <v>27.989999999999995</v>
      </c>
      <c r="BQ664" s="48">
        <f>BS664</f>
        <v>22.749999993333333</v>
      </c>
      <c r="BR664" s="48">
        <f>BS664</f>
        <v>22.749999993333333</v>
      </c>
      <c r="BS664" s="48">
        <f>SUM(AO664:AQ664)</f>
        <v>22.749999993333333</v>
      </c>
      <c r="BT664" s="48">
        <f>BV664</f>
        <v>22.749999990000006</v>
      </c>
      <c r="BU664" s="48">
        <f>BV664</f>
        <v>22.749999990000006</v>
      </c>
      <c r="BV664" s="48">
        <f>SUM(AR664:AT664)</f>
        <v>22.749999990000006</v>
      </c>
      <c r="BW664" s="48">
        <f>BY664</f>
        <v>22.749999990000006</v>
      </c>
      <c r="BX664" s="48">
        <f>BY664</f>
        <v>22.749999990000006</v>
      </c>
      <c r="BY664" s="48">
        <f>SUM(AU664:AW664)</f>
        <v>22.749999990000006</v>
      </c>
      <c r="BZ664" s="48">
        <f>CB664</f>
        <v>22.749999990000006</v>
      </c>
      <c r="CA664" s="48">
        <f>CB664</f>
        <v>22.749999990000006</v>
      </c>
      <c r="CB664" s="48">
        <f>SUM(AX664:AZ664)</f>
        <v>22.749999990000006</v>
      </c>
      <c r="CC664" s="48">
        <f>CE664</f>
        <v>32.25</v>
      </c>
      <c r="CD664" s="48">
        <f>CE664</f>
        <v>32.25</v>
      </c>
      <c r="CE664" s="48">
        <f>SUM(BA664:BC664)</f>
        <v>32.25</v>
      </c>
      <c r="CF664" s="48">
        <f>CH664</f>
        <v>32.25</v>
      </c>
      <c r="CG664" s="48">
        <f>CH664</f>
        <v>32.25</v>
      </c>
      <c r="CH664" s="48">
        <f>SUM(BD664:BF664)</f>
        <v>32.25</v>
      </c>
      <c r="CI664" s="48">
        <f>CK664</f>
        <v>32.25</v>
      </c>
      <c r="CJ664" s="48">
        <f>CK664</f>
        <v>32.25</v>
      </c>
      <c r="CK664" s="48">
        <f>SUM(BG664:BI664)</f>
        <v>32.25</v>
      </c>
      <c r="CL664" s="48">
        <f>CN664</f>
        <v>32.25</v>
      </c>
      <c r="CM664" s="48">
        <f>CN664</f>
        <v>32.25</v>
      </c>
      <c r="CN664" s="48">
        <f t="shared" ref="CN664:CN671" si="3771">SUM(BJ664:BL664)</f>
        <v>32.25</v>
      </c>
      <c r="CO664" s="406"/>
      <c r="CP664" s="48">
        <f t="shared" ref="CP664:CR668" si="3772">I664+AL664</f>
        <v>93.3</v>
      </c>
      <c r="CQ664" s="48">
        <f t="shared" si="3772"/>
        <v>102.63</v>
      </c>
      <c r="CR664" s="48">
        <f t="shared" si="3772"/>
        <v>111.96</v>
      </c>
      <c r="CS664" s="48">
        <f>AO664</f>
        <v>7.583333333333333</v>
      </c>
      <c r="CT664" s="48">
        <f t="shared" ref="CT664:DD668" si="3773">M664+AP664</f>
        <v>15.166666663333334</v>
      </c>
      <c r="CU664" s="48">
        <f t="shared" si="3773"/>
        <v>22.749999993333333</v>
      </c>
      <c r="CV664" s="48">
        <f t="shared" si="3773"/>
        <v>30.333333323333335</v>
      </c>
      <c r="CW664" s="48">
        <f t="shared" si="3773"/>
        <v>37.916666653333337</v>
      </c>
      <c r="CX664" s="48">
        <f t="shared" si="3773"/>
        <v>45.499999983333339</v>
      </c>
      <c r="CY664" s="48">
        <f t="shared" si="3773"/>
        <v>53.083333313333341</v>
      </c>
      <c r="CZ664" s="48">
        <f t="shared" si="3773"/>
        <v>60.666666643333343</v>
      </c>
      <c r="DA664" s="48">
        <f t="shared" si="3773"/>
        <v>68.249999973333345</v>
      </c>
      <c r="DB664" s="48">
        <f t="shared" si="3773"/>
        <v>75.833333303333347</v>
      </c>
      <c r="DC664" s="48">
        <f t="shared" si="3773"/>
        <v>83.41666663333335</v>
      </c>
      <c r="DD664" s="48">
        <f t="shared" si="3773"/>
        <v>90.999999963333352</v>
      </c>
      <c r="DE664" s="48">
        <f>+BA664</f>
        <v>10.75</v>
      </c>
      <c r="DF664" s="48">
        <f t="shared" ref="DF664:DP668" si="3774">Y664+BB664</f>
        <v>21.5</v>
      </c>
      <c r="DG664" s="48">
        <f t="shared" si="3774"/>
        <v>32.25</v>
      </c>
      <c r="DH664" s="48">
        <f t="shared" si="3774"/>
        <v>43</v>
      </c>
      <c r="DI664" s="48">
        <f t="shared" si="3774"/>
        <v>53.75</v>
      </c>
      <c r="DJ664" s="48">
        <f t="shared" si="3774"/>
        <v>64.5</v>
      </c>
      <c r="DK664" s="48">
        <f t="shared" si="3774"/>
        <v>75.25</v>
      </c>
      <c r="DL664" s="48">
        <f t="shared" si="3774"/>
        <v>86</v>
      </c>
      <c r="DM664" s="48">
        <f t="shared" si="3774"/>
        <v>96.75</v>
      </c>
      <c r="DN664" s="48">
        <f t="shared" si="3774"/>
        <v>107.5</v>
      </c>
      <c r="DO664" s="48">
        <f t="shared" si="3774"/>
        <v>118.25</v>
      </c>
      <c r="DP664" s="48">
        <f t="shared" si="3774"/>
        <v>129</v>
      </c>
      <c r="DQ664" s="48"/>
      <c r="DR664" s="48"/>
      <c r="DS664" s="48"/>
      <c r="DT664" s="48"/>
      <c r="DU664" s="48"/>
      <c r="DV664" s="48"/>
      <c r="DW664" s="48"/>
      <c r="DX664" s="48"/>
      <c r="DY664" s="48"/>
      <c r="DZ664" s="1">
        <f>'Input &amp; Calc'!L664</f>
        <v>111.96</v>
      </c>
      <c r="EA664" s="49">
        <f>DD664</f>
        <v>90.999999963333352</v>
      </c>
      <c r="EB664" s="50">
        <f>DP664</f>
        <v>129</v>
      </c>
      <c r="EC664" s="50"/>
      <c r="ED664" s="408"/>
      <c r="EE664" s="51">
        <f t="shared" ref="EE664:EE679" si="3775">HLOOKUP($I$1,Month,ROW()-1)</f>
        <v>10.75</v>
      </c>
      <c r="EF664" s="51">
        <f t="shared" ref="EF664:EF679" si="3776">HLOOKUP($I$1,Qtr,ROW()-1)</f>
        <v>32.25</v>
      </c>
      <c r="EG664" s="51">
        <f>HLOOKUP($EJ$3,Budget,ROW()-1)</f>
        <v>129</v>
      </c>
      <c r="EH664" s="40"/>
      <c r="EI664" s="110" t="s">
        <v>154</v>
      </c>
      <c r="EJ664" s="110">
        <f>IF(AND(I661&gt;=J662,I661&lt;=U662),2009,2010)</f>
        <v>2010</v>
      </c>
      <c r="EK664" s="675" t="s">
        <v>129</v>
      </c>
      <c r="EL664" s="37"/>
      <c r="EM664" s="37"/>
      <c r="EN664" s="37"/>
      <c r="EO664" s="49"/>
      <c r="EP664" s="49"/>
      <c r="EQ664" s="49"/>
      <c r="ER664" s="1"/>
      <c r="ES664" s="1"/>
      <c r="ET664" s="1"/>
    </row>
    <row r="665" spans="1:150">
      <c r="A665" s="134" t="s">
        <v>22</v>
      </c>
      <c r="B665" s="2" t="s">
        <v>1</v>
      </c>
      <c r="C665" s="3" t="s">
        <v>36</v>
      </c>
      <c r="E665" s="3" t="s">
        <v>16</v>
      </c>
      <c r="F665" s="1"/>
      <c r="G665" s="1" t="s">
        <v>91</v>
      </c>
      <c r="H665" s="1"/>
      <c r="I665" s="212">
        <v>7.47</v>
      </c>
      <c r="J665" s="215">
        <v>8.2999999999999989</v>
      </c>
      <c r="K665" s="215">
        <v>9.129999999999999</v>
      </c>
      <c r="L665" s="215">
        <v>9.9599999999999991</v>
      </c>
      <c r="M665" s="214">
        <v>1.6666666666666667</v>
      </c>
      <c r="N665" s="213">
        <v>3.3333333366666666</v>
      </c>
      <c r="O665" s="213">
        <v>5.0000000066666663</v>
      </c>
      <c r="P665" s="213">
        <v>6.666666676666666</v>
      </c>
      <c r="Q665" s="213">
        <v>8.3333333466666666</v>
      </c>
      <c r="R665" s="213">
        <v>10.000000016666666</v>
      </c>
      <c r="S665" s="213">
        <v>11.666666686666666</v>
      </c>
      <c r="T665" s="213">
        <v>13.333333356666666</v>
      </c>
      <c r="U665" s="213">
        <v>15.000000026666665</v>
      </c>
      <c r="V665" s="213">
        <v>16.666666696666667</v>
      </c>
      <c r="W665" s="213">
        <v>18.333333366666668</v>
      </c>
      <c r="X665" s="213">
        <v>20.00000003666667</v>
      </c>
      <c r="Y665" s="219">
        <f>ROUND(Z665/2,0)</f>
        <v>1</v>
      </c>
      <c r="Z665" s="246">
        <f t="shared" ref="Z665:AH665" si="3777">AA665-(AB665-AA665)</f>
        <v>2</v>
      </c>
      <c r="AA665" s="246">
        <f t="shared" si="3777"/>
        <v>3</v>
      </c>
      <c r="AB665" s="246">
        <f t="shared" si="3777"/>
        <v>4</v>
      </c>
      <c r="AC665" s="246">
        <f t="shared" si="3777"/>
        <v>5</v>
      </c>
      <c r="AD665" s="246">
        <f t="shared" si="3777"/>
        <v>6</v>
      </c>
      <c r="AE665" s="246">
        <f t="shared" si="3777"/>
        <v>7</v>
      </c>
      <c r="AF665" s="246">
        <f t="shared" si="3777"/>
        <v>8</v>
      </c>
      <c r="AG665" s="246">
        <f t="shared" si="3777"/>
        <v>9</v>
      </c>
      <c r="AH665" s="246">
        <f t="shared" si="3777"/>
        <v>10</v>
      </c>
      <c r="AI665" s="246">
        <f>-ROUND(AJ665/12,0)+AJ665</f>
        <v>11</v>
      </c>
      <c r="AJ665" s="246">
        <v>12</v>
      </c>
      <c r="AK665" s="408"/>
      <c r="AL665" s="48">
        <f>J665-I665</f>
        <v>0.82999999999999918</v>
      </c>
      <c r="AM665" s="48">
        <f t="shared" si="3750"/>
        <v>0.83000000000000007</v>
      </c>
      <c r="AN665" s="48">
        <f t="shared" si="3751"/>
        <v>0.83000000000000007</v>
      </c>
      <c r="AO665" s="276">
        <f>M665</f>
        <v>1.6666666666666667</v>
      </c>
      <c r="AP665" s="276">
        <f t="shared" si="3752"/>
        <v>1.6666666699999999</v>
      </c>
      <c r="AQ665" s="276">
        <f t="shared" si="3753"/>
        <v>1.6666666699999997</v>
      </c>
      <c r="AR665" s="276">
        <f t="shared" si="3754"/>
        <v>1.6666666699999997</v>
      </c>
      <c r="AS665" s="276">
        <f t="shared" si="3755"/>
        <v>1.6666666700000006</v>
      </c>
      <c r="AT665" s="276">
        <f t="shared" si="3756"/>
        <v>1.6666666699999997</v>
      </c>
      <c r="AU665" s="276">
        <f t="shared" si="3757"/>
        <v>1.6666666699999997</v>
      </c>
      <c r="AV665" s="276">
        <f t="shared" si="3758"/>
        <v>1.6666666699999997</v>
      </c>
      <c r="AW665" s="276">
        <f t="shared" si="3759"/>
        <v>1.6666666699999997</v>
      </c>
      <c r="AX665" s="276">
        <f>V665-U665</f>
        <v>1.6666666700000015</v>
      </c>
      <c r="AY665" s="48">
        <f t="shared" si="3760"/>
        <v>1.6666666700000015</v>
      </c>
      <c r="AZ665" s="48">
        <f t="shared" si="3761"/>
        <v>1.6666666700000015</v>
      </c>
      <c r="BA665" s="48">
        <f>Y665</f>
        <v>1</v>
      </c>
      <c r="BB665" s="48">
        <f t="shared" si="3762"/>
        <v>1</v>
      </c>
      <c r="BC665" s="48">
        <f t="shared" si="3763"/>
        <v>1</v>
      </c>
      <c r="BD665" s="48">
        <f t="shared" si="3764"/>
        <v>1</v>
      </c>
      <c r="BE665" s="48">
        <f t="shared" si="3765"/>
        <v>1</v>
      </c>
      <c r="BF665" s="48">
        <f t="shared" si="3766"/>
        <v>1</v>
      </c>
      <c r="BG665" s="48">
        <f t="shared" si="3767"/>
        <v>1</v>
      </c>
      <c r="BH665" s="48">
        <f t="shared" si="3768"/>
        <v>1</v>
      </c>
      <c r="BI665" s="48">
        <f t="shared" si="3769"/>
        <v>1</v>
      </c>
      <c r="BJ665" s="48">
        <f t="shared" si="3770"/>
        <v>1</v>
      </c>
      <c r="BK665" s="48">
        <f t="shared" si="3770"/>
        <v>1</v>
      </c>
      <c r="BL665" s="48">
        <f t="shared" si="3770"/>
        <v>1</v>
      </c>
      <c r="BM665" s="408"/>
      <c r="BN665" s="276">
        <f t="shared" ref="BN665:BN679" si="3778">BP665</f>
        <v>2.4899999999999993</v>
      </c>
      <c r="BO665" s="276">
        <f t="shared" ref="BO665:BO679" si="3779">BP665</f>
        <v>2.4899999999999993</v>
      </c>
      <c r="BP665" s="276">
        <f t="shared" ref="BP665:BP671" si="3780">SUM(AL665:AN665)</f>
        <v>2.4899999999999993</v>
      </c>
      <c r="BQ665" s="276">
        <f t="shared" ref="BQ665:BQ679" si="3781">BS665</f>
        <v>5.0000000066666663</v>
      </c>
      <c r="BR665" s="276">
        <f t="shared" ref="BR665:BR679" si="3782">BS665</f>
        <v>5.0000000066666663</v>
      </c>
      <c r="BS665" s="276">
        <f t="shared" ref="BS665:BS671" si="3783">SUM(AO665:AQ665)</f>
        <v>5.0000000066666663</v>
      </c>
      <c r="BT665" s="276">
        <f t="shared" ref="BT665:BT679" si="3784">BV665</f>
        <v>5.0000000099999999</v>
      </c>
      <c r="BU665" s="276">
        <f t="shared" ref="BU665:BU679" si="3785">BV665</f>
        <v>5.0000000099999999</v>
      </c>
      <c r="BV665" s="276">
        <f t="shared" ref="BV665:BV671" si="3786">SUM(AR665:AT665)</f>
        <v>5.0000000099999999</v>
      </c>
      <c r="BW665" s="276">
        <f t="shared" ref="BW665:BW679" si="3787">BY665</f>
        <v>5.0000000099999991</v>
      </c>
      <c r="BX665" s="276">
        <f t="shared" ref="BX665:BX679" si="3788">BY665</f>
        <v>5.0000000099999991</v>
      </c>
      <c r="BY665" s="276">
        <f t="shared" ref="BY665:BY671" si="3789">SUM(AU665:AW665)</f>
        <v>5.0000000099999991</v>
      </c>
      <c r="BZ665" s="276">
        <f t="shared" ref="BZ665:BZ679" si="3790">CB665</f>
        <v>5.0000000100000044</v>
      </c>
      <c r="CA665" s="276">
        <f t="shared" ref="CA665:CA679" si="3791">CB665</f>
        <v>5.0000000100000044</v>
      </c>
      <c r="CB665" s="276">
        <f>SUM(AX665:AZ665)</f>
        <v>5.0000000100000044</v>
      </c>
      <c r="CC665" s="48">
        <f t="shared" ref="CC665:CC679" si="3792">CE665</f>
        <v>3</v>
      </c>
      <c r="CD665" s="48">
        <f t="shared" ref="CD665:CD679" si="3793">CE665</f>
        <v>3</v>
      </c>
      <c r="CE665" s="48">
        <f t="shared" ref="CE665:CE670" si="3794">SUM(BA665:BC665)</f>
        <v>3</v>
      </c>
      <c r="CF665" s="48">
        <f t="shared" ref="CF665:CF675" si="3795">CH665</f>
        <v>3</v>
      </c>
      <c r="CG665" s="48">
        <f t="shared" ref="CG665:CG675" si="3796">CH665</f>
        <v>3</v>
      </c>
      <c r="CH665" s="48">
        <f t="shared" ref="CH665:CH670" si="3797">SUM(BD665:BF665)</f>
        <v>3</v>
      </c>
      <c r="CI665" s="48">
        <f t="shared" ref="CI665:CI675" si="3798">CK665</f>
        <v>3</v>
      </c>
      <c r="CJ665" s="48">
        <f t="shared" ref="CJ665:CJ675" si="3799">CK665</f>
        <v>3</v>
      </c>
      <c r="CK665" s="48">
        <f t="shared" ref="CK665:CK670" si="3800">SUM(BG665:BI665)</f>
        <v>3</v>
      </c>
      <c r="CL665" s="48">
        <f t="shared" ref="CL665:CL675" si="3801">CN665</f>
        <v>3</v>
      </c>
      <c r="CM665" s="48">
        <f t="shared" ref="CM665:CM675" si="3802">CN665</f>
        <v>3</v>
      </c>
      <c r="CN665" s="48">
        <f t="shared" si="3771"/>
        <v>3</v>
      </c>
      <c r="CO665" s="406"/>
      <c r="CP665" s="48">
        <f t="shared" si="3772"/>
        <v>8.2999999999999989</v>
      </c>
      <c r="CQ665" s="48">
        <f t="shared" si="3772"/>
        <v>9.129999999999999</v>
      </c>
      <c r="CR665" s="48">
        <f t="shared" si="3772"/>
        <v>9.9599999999999991</v>
      </c>
      <c r="CS665" s="48">
        <f>AO665</f>
        <v>1.6666666666666667</v>
      </c>
      <c r="CT665" s="48">
        <f t="shared" si="3773"/>
        <v>3.3333333366666666</v>
      </c>
      <c r="CU665" s="48">
        <f t="shared" si="3773"/>
        <v>5.0000000066666663</v>
      </c>
      <c r="CV665" s="48">
        <f t="shared" si="3773"/>
        <v>6.666666676666666</v>
      </c>
      <c r="CW665" s="48">
        <f t="shared" si="3773"/>
        <v>8.3333333466666666</v>
      </c>
      <c r="CX665" s="48">
        <f t="shared" si="3773"/>
        <v>10.000000016666666</v>
      </c>
      <c r="CY665" s="48">
        <f t="shared" si="3773"/>
        <v>11.666666686666666</v>
      </c>
      <c r="CZ665" s="48">
        <f t="shared" si="3773"/>
        <v>13.333333356666666</v>
      </c>
      <c r="DA665" s="48">
        <f t="shared" si="3773"/>
        <v>15.000000026666665</v>
      </c>
      <c r="DB665" s="48">
        <f t="shared" si="3773"/>
        <v>16.666666696666667</v>
      </c>
      <c r="DC665" s="48">
        <f t="shared" si="3773"/>
        <v>18.333333366666668</v>
      </c>
      <c r="DD665" s="48">
        <f t="shared" si="3773"/>
        <v>20.00000003666667</v>
      </c>
      <c r="DE665" s="48">
        <f>+BA665</f>
        <v>1</v>
      </c>
      <c r="DF665" s="48">
        <f t="shared" si="3774"/>
        <v>2</v>
      </c>
      <c r="DG665" s="48">
        <f t="shared" si="3774"/>
        <v>3</v>
      </c>
      <c r="DH665" s="48">
        <f t="shared" si="3774"/>
        <v>4</v>
      </c>
      <c r="DI665" s="48">
        <f t="shared" si="3774"/>
        <v>5</v>
      </c>
      <c r="DJ665" s="48">
        <f t="shared" si="3774"/>
        <v>6</v>
      </c>
      <c r="DK665" s="48">
        <f t="shared" si="3774"/>
        <v>7</v>
      </c>
      <c r="DL665" s="48">
        <f t="shared" si="3774"/>
        <v>8</v>
      </c>
      <c r="DM665" s="48">
        <f t="shared" si="3774"/>
        <v>9</v>
      </c>
      <c r="DN665" s="48">
        <f t="shared" si="3774"/>
        <v>10</v>
      </c>
      <c r="DO665" s="48">
        <f t="shared" si="3774"/>
        <v>11</v>
      </c>
      <c r="DP665" s="48">
        <f t="shared" si="3774"/>
        <v>12</v>
      </c>
      <c r="DQ665" s="48"/>
      <c r="DR665" s="48"/>
      <c r="DS665" s="48"/>
      <c r="DT665" s="48"/>
      <c r="DU665" s="48"/>
      <c r="DV665" s="48"/>
      <c r="DW665" s="48"/>
      <c r="DX665" s="48"/>
      <c r="DY665" s="48"/>
      <c r="DZ665" s="1">
        <f>'Input &amp; Calc'!L665</f>
        <v>9.9599999999999991</v>
      </c>
      <c r="EA665" s="49">
        <f>DD665</f>
        <v>20.00000003666667</v>
      </c>
      <c r="EB665" s="50">
        <f>DP665</f>
        <v>12</v>
      </c>
      <c r="EC665" s="50"/>
      <c r="ED665" s="408"/>
      <c r="EE665" s="51">
        <f t="shared" si="3775"/>
        <v>1</v>
      </c>
      <c r="EF665" s="51">
        <f t="shared" si="3776"/>
        <v>3</v>
      </c>
      <c r="EG665" s="51">
        <f>HLOOKUP($EJ$3,Budget,ROW()-1)</f>
        <v>12</v>
      </c>
      <c r="EH665" s="40"/>
      <c r="EI665" s="111" t="s">
        <v>157</v>
      </c>
      <c r="EJ665" s="113">
        <f>HLOOKUP($I$1,YTD,47)</f>
        <v>70</v>
      </c>
      <c r="EK665" s="675"/>
      <c r="EL665" s="37"/>
      <c r="EM665" s="37"/>
      <c r="EN665" s="37"/>
      <c r="EO665" s="49"/>
      <c r="EP665" s="49"/>
      <c r="EQ665" s="49"/>
      <c r="ER665" s="1"/>
      <c r="ES665" s="1"/>
      <c r="ET665" s="1"/>
    </row>
    <row r="666" spans="1:150">
      <c r="A666" s="134" t="s">
        <v>22</v>
      </c>
      <c r="B666" s="2" t="s">
        <v>2</v>
      </c>
      <c r="C666" s="3" t="s">
        <v>37</v>
      </c>
      <c r="E666" s="3" t="s">
        <v>16</v>
      </c>
      <c r="F666" s="1"/>
      <c r="G666" s="1" t="s">
        <v>91</v>
      </c>
      <c r="H666" s="1"/>
      <c r="I666" s="212">
        <v>18</v>
      </c>
      <c r="J666" s="215">
        <v>20</v>
      </c>
      <c r="K666" s="215">
        <v>22</v>
      </c>
      <c r="L666" s="215">
        <v>24</v>
      </c>
      <c r="M666" s="214">
        <v>1.25</v>
      </c>
      <c r="N666" s="213">
        <v>2.5</v>
      </c>
      <c r="O666" s="213">
        <v>3.75</v>
      </c>
      <c r="P666" s="213">
        <v>5</v>
      </c>
      <c r="Q666" s="213">
        <v>6.25</v>
      </c>
      <c r="R666" s="213">
        <v>7.5</v>
      </c>
      <c r="S666" s="213">
        <v>8.75</v>
      </c>
      <c r="T666" s="213">
        <v>10</v>
      </c>
      <c r="U666" s="213">
        <v>11.25</v>
      </c>
      <c r="V666" s="213">
        <v>12.5</v>
      </c>
      <c r="W666" s="213">
        <v>13.75</v>
      </c>
      <c r="X666" s="213">
        <v>15</v>
      </c>
      <c r="Y666" s="219">
        <f>7/12</f>
        <v>0.58333333333333337</v>
      </c>
      <c r="Z666" s="246">
        <f>Y666+0.58333</f>
        <v>1.1666633333333334</v>
      </c>
      <c r="AA666" s="376">
        <f t="shared" ref="AA666:AJ666" si="3803">Z666+0.58333</f>
        <v>1.7499933333333333</v>
      </c>
      <c r="AB666" s="376">
        <f t="shared" si="3803"/>
        <v>2.3333233333333334</v>
      </c>
      <c r="AC666" s="376">
        <f t="shared" si="3803"/>
        <v>2.9166533333333335</v>
      </c>
      <c r="AD666" s="376">
        <f t="shared" si="3803"/>
        <v>3.4999833333333337</v>
      </c>
      <c r="AE666" s="376">
        <f t="shared" si="3803"/>
        <v>4.0833133333333338</v>
      </c>
      <c r="AF666" s="376">
        <f t="shared" si="3803"/>
        <v>4.6666433333333339</v>
      </c>
      <c r="AG666" s="376">
        <f t="shared" si="3803"/>
        <v>5.249973333333334</v>
      </c>
      <c r="AH666" s="376">
        <f t="shared" si="3803"/>
        <v>5.8333033333333342</v>
      </c>
      <c r="AI666" s="376">
        <f t="shared" si="3803"/>
        <v>6.4166333333333343</v>
      </c>
      <c r="AJ666" s="263">
        <f t="shared" si="3803"/>
        <v>6.9999633333333344</v>
      </c>
      <c r="AK666" s="408"/>
      <c r="AL666" s="48">
        <f>J666-I666</f>
        <v>2</v>
      </c>
      <c r="AM666" s="48">
        <f t="shared" si="3750"/>
        <v>2</v>
      </c>
      <c r="AN666" s="48">
        <f t="shared" si="3751"/>
        <v>2</v>
      </c>
      <c r="AO666" s="48">
        <f>M666</f>
        <v>1.25</v>
      </c>
      <c r="AP666" s="48">
        <f t="shared" si="3752"/>
        <v>1.25</v>
      </c>
      <c r="AQ666" s="48">
        <f t="shared" si="3753"/>
        <v>1.25</v>
      </c>
      <c r="AR666" s="48">
        <f t="shared" si="3754"/>
        <v>1.25</v>
      </c>
      <c r="AS666" s="48">
        <f t="shared" si="3755"/>
        <v>1.25</v>
      </c>
      <c r="AT666" s="48">
        <f t="shared" si="3756"/>
        <v>1.25</v>
      </c>
      <c r="AU666" s="48">
        <f t="shared" si="3757"/>
        <v>1.25</v>
      </c>
      <c r="AV666" s="48">
        <f t="shared" si="3758"/>
        <v>1.25</v>
      </c>
      <c r="AW666" s="48">
        <f t="shared" si="3759"/>
        <v>1.25</v>
      </c>
      <c r="AX666" s="48">
        <f>V666-U666</f>
        <v>1.25</v>
      </c>
      <c r="AY666" s="48">
        <f t="shared" si="3760"/>
        <v>1.25</v>
      </c>
      <c r="AZ666" s="48">
        <f t="shared" si="3761"/>
        <v>1.25</v>
      </c>
      <c r="BA666" s="48">
        <f>Y666</f>
        <v>0.58333333333333337</v>
      </c>
      <c r="BB666" s="48">
        <f t="shared" si="3762"/>
        <v>0.58333000000000002</v>
      </c>
      <c r="BC666" s="48">
        <f t="shared" si="3763"/>
        <v>0.5833299999999999</v>
      </c>
      <c r="BD666" s="48">
        <f t="shared" si="3764"/>
        <v>0.58333000000000013</v>
      </c>
      <c r="BE666" s="48">
        <f t="shared" si="3765"/>
        <v>0.58333000000000013</v>
      </c>
      <c r="BF666" s="48">
        <f t="shared" si="3766"/>
        <v>0.58333000000000013</v>
      </c>
      <c r="BG666" s="48">
        <f t="shared" si="3767"/>
        <v>0.58333000000000013</v>
      </c>
      <c r="BH666" s="48">
        <f t="shared" si="3768"/>
        <v>0.58333000000000013</v>
      </c>
      <c r="BI666" s="48">
        <f t="shared" si="3769"/>
        <v>0.58333000000000013</v>
      </c>
      <c r="BJ666" s="48">
        <f t="shared" si="3770"/>
        <v>0.58333000000000013</v>
      </c>
      <c r="BK666" s="48">
        <f t="shared" si="3770"/>
        <v>0.58333000000000013</v>
      </c>
      <c r="BL666" s="48">
        <f t="shared" si="3770"/>
        <v>0.58333000000000013</v>
      </c>
      <c r="BM666" s="408"/>
      <c r="BN666" s="48">
        <f t="shared" si="3778"/>
        <v>6</v>
      </c>
      <c r="BO666" s="48">
        <f t="shared" si="3779"/>
        <v>6</v>
      </c>
      <c r="BP666" s="48">
        <f t="shared" si="3780"/>
        <v>6</v>
      </c>
      <c r="BQ666" s="48">
        <f t="shared" si="3781"/>
        <v>3.75</v>
      </c>
      <c r="BR666" s="48">
        <f t="shared" si="3782"/>
        <v>3.75</v>
      </c>
      <c r="BS666" s="48">
        <f t="shared" si="3783"/>
        <v>3.75</v>
      </c>
      <c r="BT666" s="48">
        <f t="shared" si="3784"/>
        <v>3.75</v>
      </c>
      <c r="BU666" s="48">
        <f t="shared" si="3785"/>
        <v>3.75</v>
      </c>
      <c r="BV666" s="48">
        <f t="shared" si="3786"/>
        <v>3.75</v>
      </c>
      <c r="BW666" s="48">
        <f t="shared" si="3787"/>
        <v>3.75</v>
      </c>
      <c r="BX666" s="48">
        <f t="shared" si="3788"/>
        <v>3.75</v>
      </c>
      <c r="BY666" s="48">
        <f t="shared" si="3789"/>
        <v>3.75</v>
      </c>
      <c r="BZ666" s="48">
        <f t="shared" si="3790"/>
        <v>3.75</v>
      </c>
      <c r="CA666" s="48">
        <f t="shared" si="3791"/>
        <v>3.75</v>
      </c>
      <c r="CB666" s="48">
        <f>SUM(AX666:AZ666)</f>
        <v>3.75</v>
      </c>
      <c r="CC666" s="48">
        <f t="shared" si="3792"/>
        <v>1.7499933333333333</v>
      </c>
      <c r="CD666" s="48">
        <f t="shared" si="3793"/>
        <v>1.7499933333333333</v>
      </c>
      <c r="CE666" s="48">
        <f t="shared" si="3794"/>
        <v>1.7499933333333333</v>
      </c>
      <c r="CF666" s="48">
        <f t="shared" si="3795"/>
        <v>1.7499900000000004</v>
      </c>
      <c r="CG666" s="48">
        <f t="shared" si="3796"/>
        <v>1.7499900000000004</v>
      </c>
      <c r="CH666" s="48">
        <f t="shared" si="3797"/>
        <v>1.7499900000000004</v>
      </c>
      <c r="CI666" s="48">
        <f t="shared" si="3798"/>
        <v>1.7499900000000004</v>
      </c>
      <c r="CJ666" s="48">
        <f t="shared" si="3799"/>
        <v>1.7499900000000004</v>
      </c>
      <c r="CK666" s="48">
        <f t="shared" si="3800"/>
        <v>1.7499900000000004</v>
      </c>
      <c r="CL666" s="48">
        <f t="shared" si="3801"/>
        <v>1.7499900000000004</v>
      </c>
      <c r="CM666" s="48">
        <f t="shared" si="3802"/>
        <v>1.7499900000000004</v>
      </c>
      <c r="CN666" s="48">
        <f t="shared" si="3771"/>
        <v>1.7499900000000004</v>
      </c>
      <c r="CO666" s="406"/>
      <c r="CP666" s="48">
        <f t="shared" si="3772"/>
        <v>20</v>
      </c>
      <c r="CQ666" s="48">
        <f t="shared" si="3772"/>
        <v>22</v>
      </c>
      <c r="CR666" s="48">
        <f t="shared" si="3772"/>
        <v>24</v>
      </c>
      <c r="CS666" s="276">
        <f>AO666</f>
        <v>1.25</v>
      </c>
      <c r="CT666" s="276">
        <f t="shared" si="3773"/>
        <v>2.5</v>
      </c>
      <c r="CU666" s="276">
        <f t="shared" si="3773"/>
        <v>3.75</v>
      </c>
      <c r="CV666" s="276">
        <f t="shared" si="3773"/>
        <v>5</v>
      </c>
      <c r="CW666" s="276">
        <f t="shared" si="3773"/>
        <v>6.25</v>
      </c>
      <c r="CX666" s="276">
        <f t="shared" si="3773"/>
        <v>7.5</v>
      </c>
      <c r="CY666" s="276">
        <f t="shared" si="3773"/>
        <v>8.75</v>
      </c>
      <c r="CZ666" s="276">
        <f t="shared" si="3773"/>
        <v>10</v>
      </c>
      <c r="DA666" s="276">
        <f t="shared" si="3773"/>
        <v>11.25</v>
      </c>
      <c r="DB666" s="276">
        <f t="shared" si="3773"/>
        <v>12.5</v>
      </c>
      <c r="DC666" s="276">
        <f t="shared" si="3773"/>
        <v>13.75</v>
      </c>
      <c r="DD666" s="276">
        <f t="shared" si="3773"/>
        <v>15</v>
      </c>
      <c r="DE666" s="48">
        <f>+BA666</f>
        <v>0.58333333333333337</v>
      </c>
      <c r="DF666" s="48">
        <f t="shared" si="3774"/>
        <v>1.1666633333333334</v>
      </c>
      <c r="DG666" s="48">
        <f t="shared" si="3774"/>
        <v>1.7499933333333333</v>
      </c>
      <c r="DH666" s="48">
        <f t="shared" si="3774"/>
        <v>2.3333233333333334</v>
      </c>
      <c r="DI666" s="48">
        <f t="shared" si="3774"/>
        <v>2.9166533333333335</v>
      </c>
      <c r="DJ666" s="48">
        <f t="shared" si="3774"/>
        <v>3.4999833333333337</v>
      </c>
      <c r="DK666" s="48">
        <f t="shared" si="3774"/>
        <v>4.0833133333333338</v>
      </c>
      <c r="DL666" s="48">
        <f t="shared" si="3774"/>
        <v>4.6666433333333339</v>
      </c>
      <c r="DM666" s="48">
        <f t="shared" si="3774"/>
        <v>5.249973333333334</v>
      </c>
      <c r="DN666" s="48">
        <f t="shared" si="3774"/>
        <v>5.8333033333333342</v>
      </c>
      <c r="DO666" s="48">
        <f t="shared" si="3774"/>
        <v>6.4166333333333343</v>
      </c>
      <c r="DP666" s="48">
        <f t="shared" si="3774"/>
        <v>6.9999633333333344</v>
      </c>
      <c r="DQ666" s="48"/>
      <c r="DR666" s="48"/>
      <c r="DS666" s="48"/>
      <c r="DT666" s="48"/>
      <c r="DU666" s="48"/>
      <c r="DV666" s="48"/>
      <c r="DW666" s="48"/>
      <c r="DX666" s="48"/>
      <c r="DY666" s="48"/>
      <c r="DZ666" s="1">
        <f>'Input &amp; Calc'!L666</f>
        <v>24</v>
      </c>
      <c r="EA666" s="49">
        <f>DD666</f>
        <v>15</v>
      </c>
      <c r="EB666" s="50">
        <f>DP666</f>
        <v>6.9999633333333344</v>
      </c>
      <c r="EC666" s="50"/>
      <c r="ED666" s="408"/>
      <c r="EE666" s="51">
        <f t="shared" si="3775"/>
        <v>0.58333000000000013</v>
      </c>
      <c r="EF666" s="51">
        <f t="shared" si="3776"/>
        <v>1.7499900000000004</v>
      </c>
      <c r="EG666" s="51">
        <f>HLOOKUP($EJ$3,Budget,ROW()-1)</f>
        <v>6.9999633333333344</v>
      </c>
      <c r="EH666" s="40"/>
      <c r="EI666" s="112" t="s">
        <v>156</v>
      </c>
      <c r="EJ666" s="113">
        <f>HLOOKUP($I$1,YTD,48)</f>
        <v>0</v>
      </c>
      <c r="EK666" s="675"/>
      <c r="EL666" s="37"/>
      <c r="EM666" s="37"/>
      <c r="EN666" s="37"/>
      <c r="EO666" s="49"/>
      <c r="EP666" s="49"/>
      <c r="EQ666" s="49"/>
      <c r="ER666" s="1"/>
      <c r="ES666" s="1"/>
      <c r="ET666" s="1"/>
    </row>
    <row r="667" spans="1:150">
      <c r="A667" s="134" t="s">
        <v>22</v>
      </c>
      <c r="B667" s="2" t="s">
        <v>3</v>
      </c>
      <c r="C667" s="3" t="s">
        <v>38</v>
      </c>
      <c r="E667" s="3" t="s">
        <v>16</v>
      </c>
      <c r="F667" s="1"/>
      <c r="G667" s="1" t="s">
        <v>91</v>
      </c>
      <c r="H667" s="1"/>
      <c r="I667" s="212">
        <v>9</v>
      </c>
      <c r="J667" s="215">
        <v>10</v>
      </c>
      <c r="K667" s="215">
        <v>11</v>
      </c>
      <c r="L667" s="215">
        <v>12</v>
      </c>
      <c r="M667" s="214">
        <v>0.83333333333333337</v>
      </c>
      <c r="N667" s="213">
        <v>1.6666666633333334</v>
      </c>
      <c r="O667" s="213">
        <v>2.4999999933333332</v>
      </c>
      <c r="P667" s="213">
        <v>3.3333333233333331</v>
      </c>
      <c r="Q667" s="213">
        <v>4.1666666533333334</v>
      </c>
      <c r="R667" s="213">
        <v>4.9999999833333337</v>
      </c>
      <c r="S667" s="213">
        <v>5.833333313333334</v>
      </c>
      <c r="T667" s="213">
        <v>6.6666666433333344</v>
      </c>
      <c r="U667" s="213">
        <v>7.4999999733333347</v>
      </c>
      <c r="V667" s="213">
        <v>8.333333303333335</v>
      </c>
      <c r="W667" s="213">
        <v>9.1666666333333353</v>
      </c>
      <c r="X667" s="213">
        <v>9.9999999633333356</v>
      </c>
      <c r="Y667" s="219">
        <f t="shared" ref="Y667:AH667" si="3804">Z667-(AA667-Z667)</f>
        <v>1</v>
      </c>
      <c r="Z667" s="246">
        <f t="shared" si="3804"/>
        <v>2</v>
      </c>
      <c r="AA667" s="246">
        <f t="shared" si="3804"/>
        <v>3</v>
      </c>
      <c r="AB667" s="246">
        <f t="shared" si="3804"/>
        <v>4</v>
      </c>
      <c r="AC667" s="246">
        <f t="shared" si="3804"/>
        <v>5</v>
      </c>
      <c r="AD667" s="246">
        <f t="shared" si="3804"/>
        <v>6</v>
      </c>
      <c r="AE667" s="246">
        <f t="shared" si="3804"/>
        <v>7</v>
      </c>
      <c r="AF667" s="246">
        <f t="shared" si="3804"/>
        <v>8</v>
      </c>
      <c r="AG667" s="246">
        <f t="shared" si="3804"/>
        <v>9</v>
      </c>
      <c r="AH667" s="246">
        <f t="shared" si="3804"/>
        <v>10</v>
      </c>
      <c r="AI667" s="246">
        <f>-ROUND(AJ667/12,1)+AJ667</f>
        <v>11</v>
      </c>
      <c r="AJ667" s="246">
        <v>12</v>
      </c>
      <c r="AK667" s="408"/>
      <c r="AL667" s="48">
        <f>J667-I667</f>
        <v>1</v>
      </c>
      <c r="AM667" s="48">
        <f t="shared" si="3750"/>
        <v>1</v>
      </c>
      <c r="AN667" s="48">
        <f t="shared" si="3751"/>
        <v>1</v>
      </c>
      <c r="AO667" s="48">
        <f>M667</f>
        <v>0.83333333333333337</v>
      </c>
      <c r="AP667" s="48">
        <f t="shared" si="3752"/>
        <v>0.83333332999999998</v>
      </c>
      <c r="AQ667" s="48">
        <f t="shared" si="3753"/>
        <v>0.83333332999999987</v>
      </c>
      <c r="AR667" s="48">
        <f t="shared" si="3754"/>
        <v>0.83333332999999987</v>
      </c>
      <c r="AS667" s="48">
        <f t="shared" si="3755"/>
        <v>0.83333333000000032</v>
      </c>
      <c r="AT667" s="48">
        <f t="shared" si="3756"/>
        <v>0.83333333000000032</v>
      </c>
      <c r="AU667" s="48">
        <f t="shared" si="3757"/>
        <v>0.83333333000000032</v>
      </c>
      <c r="AV667" s="48">
        <f t="shared" si="3758"/>
        <v>0.83333333000000032</v>
      </c>
      <c r="AW667" s="48">
        <f t="shared" si="3759"/>
        <v>0.83333333000000032</v>
      </c>
      <c r="AX667" s="48">
        <f>V667-U667</f>
        <v>0.83333333000000032</v>
      </c>
      <c r="AY667" s="48">
        <f t="shared" si="3760"/>
        <v>0.83333333000000032</v>
      </c>
      <c r="AZ667" s="48">
        <f t="shared" si="3761"/>
        <v>0.83333333000000032</v>
      </c>
      <c r="BA667" s="48">
        <f>Y667</f>
        <v>1</v>
      </c>
      <c r="BB667" s="48">
        <f t="shared" si="3762"/>
        <v>1</v>
      </c>
      <c r="BC667" s="48">
        <f t="shared" si="3763"/>
        <v>1</v>
      </c>
      <c r="BD667" s="48">
        <f t="shared" si="3764"/>
        <v>1</v>
      </c>
      <c r="BE667" s="48">
        <f t="shared" si="3765"/>
        <v>1</v>
      </c>
      <c r="BF667" s="48">
        <f t="shared" si="3766"/>
        <v>1</v>
      </c>
      <c r="BG667" s="48">
        <f t="shared" si="3767"/>
        <v>1</v>
      </c>
      <c r="BH667" s="48">
        <f t="shared" si="3768"/>
        <v>1</v>
      </c>
      <c r="BI667" s="48">
        <f t="shared" si="3769"/>
        <v>1</v>
      </c>
      <c r="BJ667" s="48">
        <f t="shared" si="3770"/>
        <v>1</v>
      </c>
      <c r="BK667" s="48">
        <f t="shared" si="3770"/>
        <v>1</v>
      </c>
      <c r="BL667" s="48">
        <f t="shared" si="3770"/>
        <v>1</v>
      </c>
      <c r="BM667" s="408"/>
      <c r="BN667" s="48">
        <f t="shared" si="3778"/>
        <v>3</v>
      </c>
      <c r="BO667" s="48">
        <f t="shared" si="3779"/>
        <v>3</v>
      </c>
      <c r="BP667" s="48">
        <f t="shared" si="3780"/>
        <v>3</v>
      </c>
      <c r="BQ667" s="48">
        <f t="shared" si="3781"/>
        <v>2.4999999933333332</v>
      </c>
      <c r="BR667" s="48">
        <f t="shared" si="3782"/>
        <v>2.4999999933333332</v>
      </c>
      <c r="BS667" s="48">
        <f t="shared" si="3783"/>
        <v>2.4999999933333332</v>
      </c>
      <c r="BT667" s="48">
        <f t="shared" si="3784"/>
        <v>2.4999999900000005</v>
      </c>
      <c r="BU667" s="48">
        <f t="shared" si="3785"/>
        <v>2.4999999900000005</v>
      </c>
      <c r="BV667" s="48">
        <f t="shared" si="3786"/>
        <v>2.4999999900000005</v>
      </c>
      <c r="BW667" s="48">
        <f t="shared" si="3787"/>
        <v>2.4999999900000009</v>
      </c>
      <c r="BX667" s="48">
        <f t="shared" si="3788"/>
        <v>2.4999999900000009</v>
      </c>
      <c r="BY667" s="48">
        <f t="shared" si="3789"/>
        <v>2.4999999900000009</v>
      </c>
      <c r="BZ667" s="48">
        <f t="shared" si="3790"/>
        <v>2.4999999900000009</v>
      </c>
      <c r="CA667" s="48">
        <f t="shared" si="3791"/>
        <v>2.4999999900000009</v>
      </c>
      <c r="CB667" s="48">
        <f>SUM(AX667:AZ667)</f>
        <v>2.4999999900000009</v>
      </c>
      <c r="CC667" s="48">
        <f t="shared" si="3792"/>
        <v>3</v>
      </c>
      <c r="CD667" s="48">
        <f t="shared" si="3793"/>
        <v>3</v>
      </c>
      <c r="CE667" s="48">
        <f t="shared" si="3794"/>
        <v>3</v>
      </c>
      <c r="CF667" s="48">
        <f t="shared" si="3795"/>
        <v>3</v>
      </c>
      <c r="CG667" s="48">
        <f t="shared" si="3796"/>
        <v>3</v>
      </c>
      <c r="CH667" s="48">
        <f t="shared" si="3797"/>
        <v>3</v>
      </c>
      <c r="CI667" s="48">
        <f t="shared" si="3798"/>
        <v>3</v>
      </c>
      <c r="CJ667" s="48">
        <f t="shared" si="3799"/>
        <v>3</v>
      </c>
      <c r="CK667" s="48">
        <f t="shared" si="3800"/>
        <v>3</v>
      </c>
      <c r="CL667" s="48">
        <f t="shared" si="3801"/>
        <v>3</v>
      </c>
      <c r="CM667" s="48">
        <f t="shared" si="3802"/>
        <v>3</v>
      </c>
      <c r="CN667" s="48">
        <f t="shared" si="3771"/>
        <v>3</v>
      </c>
      <c r="CO667" s="406"/>
      <c r="CP667" s="48">
        <f t="shared" si="3772"/>
        <v>10</v>
      </c>
      <c r="CQ667" s="48">
        <f t="shared" si="3772"/>
        <v>11</v>
      </c>
      <c r="CR667" s="48">
        <f t="shared" si="3772"/>
        <v>12</v>
      </c>
      <c r="CS667" s="48">
        <f>AO667</f>
        <v>0.83333333333333337</v>
      </c>
      <c r="CT667" s="48">
        <f t="shared" si="3773"/>
        <v>1.6666666633333334</v>
      </c>
      <c r="CU667" s="48">
        <f t="shared" si="3773"/>
        <v>2.4999999933333332</v>
      </c>
      <c r="CV667" s="48">
        <f t="shared" si="3773"/>
        <v>3.3333333233333331</v>
      </c>
      <c r="CW667" s="48">
        <f t="shared" si="3773"/>
        <v>4.1666666533333334</v>
      </c>
      <c r="CX667" s="48">
        <f t="shared" si="3773"/>
        <v>4.9999999833333337</v>
      </c>
      <c r="CY667" s="48">
        <f t="shared" si="3773"/>
        <v>5.833333313333334</v>
      </c>
      <c r="CZ667" s="48">
        <f t="shared" si="3773"/>
        <v>6.6666666433333344</v>
      </c>
      <c r="DA667" s="48">
        <f t="shared" si="3773"/>
        <v>7.4999999733333347</v>
      </c>
      <c r="DB667" s="48">
        <f t="shared" si="3773"/>
        <v>8.333333303333335</v>
      </c>
      <c r="DC667" s="48">
        <f t="shared" si="3773"/>
        <v>9.1666666333333353</v>
      </c>
      <c r="DD667" s="48">
        <f t="shared" si="3773"/>
        <v>9.9999999633333356</v>
      </c>
      <c r="DE667" s="48">
        <f>+BA667</f>
        <v>1</v>
      </c>
      <c r="DF667" s="48">
        <f t="shared" si="3774"/>
        <v>2</v>
      </c>
      <c r="DG667" s="48">
        <f t="shared" si="3774"/>
        <v>3</v>
      </c>
      <c r="DH667" s="48">
        <f t="shared" si="3774"/>
        <v>4</v>
      </c>
      <c r="DI667" s="48">
        <f t="shared" si="3774"/>
        <v>5</v>
      </c>
      <c r="DJ667" s="48">
        <f t="shared" si="3774"/>
        <v>6</v>
      </c>
      <c r="DK667" s="48">
        <f t="shared" si="3774"/>
        <v>7</v>
      </c>
      <c r="DL667" s="48">
        <f t="shared" si="3774"/>
        <v>8</v>
      </c>
      <c r="DM667" s="48">
        <f t="shared" si="3774"/>
        <v>9</v>
      </c>
      <c r="DN667" s="48">
        <f t="shared" si="3774"/>
        <v>10</v>
      </c>
      <c r="DO667" s="48">
        <f t="shared" si="3774"/>
        <v>11</v>
      </c>
      <c r="DP667" s="48">
        <f t="shared" si="3774"/>
        <v>12</v>
      </c>
      <c r="DQ667" s="48"/>
      <c r="DR667" s="48"/>
      <c r="DS667" s="48"/>
      <c r="DT667" s="48"/>
      <c r="DU667" s="48"/>
      <c r="DV667" s="48"/>
      <c r="DW667" s="48"/>
      <c r="DX667" s="48"/>
      <c r="DY667" s="48"/>
      <c r="DZ667" s="1">
        <f>'Input &amp; Calc'!L667</f>
        <v>12</v>
      </c>
      <c r="EA667" s="49">
        <f>DD667</f>
        <v>9.9999999633333356</v>
      </c>
      <c r="EB667" s="50">
        <f>DP667</f>
        <v>12</v>
      </c>
      <c r="EC667" s="50"/>
      <c r="ED667" s="408"/>
      <c r="EE667" s="51">
        <f t="shared" si="3775"/>
        <v>1</v>
      </c>
      <c r="EF667" s="51">
        <f t="shared" si="3776"/>
        <v>3</v>
      </c>
      <c r="EG667" s="51">
        <f>HLOOKUP($EJ$3,Budget,ROW()-1)</f>
        <v>12</v>
      </c>
      <c r="EH667" s="40"/>
      <c r="EI667" s="114" t="s">
        <v>158</v>
      </c>
      <c r="EJ667" s="133">
        <f>I661</f>
        <v>40391</v>
      </c>
      <c r="EK667" s="675"/>
      <c r="EL667" s="37"/>
      <c r="EM667" s="37"/>
      <c r="EN667" s="37"/>
      <c r="EO667" s="49"/>
      <c r="EP667" s="49"/>
      <c r="EQ667" s="49"/>
      <c r="ER667" s="1"/>
      <c r="ES667" s="1"/>
      <c r="ET667" s="1"/>
    </row>
    <row r="668" spans="1:150" ht="13.5" thickBot="1">
      <c r="A668" s="134" t="s">
        <v>22</v>
      </c>
      <c r="B668" s="2" t="s">
        <v>94</v>
      </c>
      <c r="C668" s="3" t="s">
        <v>39</v>
      </c>
      <c r="E668" s="3" t="s">
        <v>16</v>
      </c>
      <c r="F668" s="1"/>
      <c r="G668" s="1" t="s">
        <v>91</v>
      </c>
      <c r="H668" s="1"/>
      <c r="I668" s="222">
        <v>0.47999997</v>
      </c>
      <c r="J668" s="222">
        <v>0.53333330000000001</v>
      </c>
      <c r="K668" s="222">
        <v>0.58666662999999997</v>
      </c>
      <c r="L668" s="222">
        <v>0.63999995999999992</v>
      </c>
      <c r="M668" s="224">
        <v>2.0833333333333332E-2</v>
      </c>
      <c r="N668" s="222">
        <v>4.1666663333333333E-2</v>
      </c>
      <c r="O668" s="222">
        <v>6.2499993333333337E-2</v>
      </c>
      <c r="P668" s="222">
        <v>8.3333323333333334E-2</v>
      </c>
      <c r="Q668" s="222">
        <v>0.10416665333333333</v>
      </c>
      <c r="R668" s="222">
        <v>0.12499998333333333</v>
      </c>
      <c r="S668" s="222">
        <v>0.14583331333333333</v>
      </c>
      <c r="T668" s="222">
        <v>0.16666664333333334</v>
      </c>
      <c r="U668" s="222">
        <v>0.18749997333333335</v>
      </c>
      <c r="V668" s="222">
        <v>0.20833330333333336</v>
      </c>
      <c r="W668" s="222">
        <v>0.22916663333333337</v>
      </c>
      <c r="X668" s="222">
        <v>0.24999996333333338</v>
      </c>
      <c r="Y668" s="221">
        <f>0.375/12</f>
        <v>3.125E-2</v>
      </c>
      <c r="Z668" s="246">
        <f>Y668+0.03125</f>
        <v>6.25E-2</v>
      </c>
      <c r="AA668" s="376">
        <f t="shared" ref="AA668:AJ668" si="3805">Z668+0.03125</f>
        <v>9.375E-2</v>
      </c>
      <c r="AB668" s="376">
        <f t="shared" si="3805"/>
        <v>0.125</v>
      </c>
      <c r="AC668" s="376">
        <f t="shared" si="3805"/>
        <v>0.15625</v>
      </c>
      <c r="AD668" s="376">
        <f t="shared" si="3805"/>
        <v>0.1875</v>
      </c>
      <c r="AE668" s="376">
        <f t="shared" si="3805"/>
        <v>0.21875</v>
      </c>
      <c r="AF668" s="376">
        <f t="shared" si="3805"/>
        <v>0.25</v>
      </c>
      <c r="AG668" s="376">
        <f t="shared" si="3805"/>
        <v>0.28125</v>
      </c>
      <c r="AH668" s="376">
        <f t="shared" si="3805"/>
        <v>0.3125</v>
      </c>
      <c r="AI668" s="376">
        <f t="shared" si="3805"/>
        <v>0.34375</v>
      </c>
      <c r="AJ668" s="376">
        <f t="shared" si="3805"/>
        <v>0.375</v>
      </c>
      <c r="AK668" s="416"/>
      <c r="AL668" s="118">
        <f>J668-I668</f>
        <v>5.3333330000000012E-2</v>
      </c>
      <c r="AM668" s="118">
        <f t="shared" si="3750"/>
        <v>5.3333329999999957E-2</v>
      </c>
      <c r="AN668" s="118">
        <f t="shared" si="3751"/>
        <v>5.3333329999999957E-2</v>
      </c>
      <c r="AO668" s="119">
        <f>M668</f>
        <v>2.0833333333333332E-2</v>
      </c>
      <c r="AP668" s="118">
        <f t="shared" si="3752"/>
        <v>2.0833330000000001E-2</v>
      </c>
      <c r="AQ668" s="118">
        <f t="shared" si="3753"/>
        <v>2.0833330000000004E-2</v>
      </c>
      <c r="AR668" s="118">
        <f t="shared" si="3754"/>
        <v>2.0833329999999997E-2</v>
      </c>
      <c r="AS668" s="118">
        <f t="shared" si="3755"/>
        <v>2.0833329999999997E-2</v>
      </c>
      <c r="AT668" s="118">
        <f t="shared" si="3756"/>
        <v>2.0833329999999997E-2</v>
      </c>
      <c r="AU668" s="118">
        <f t="shared" si="3757"/>
        <v>2.0833329999999997E-2</v>
      </c>
      <c r="AV668" s="118">
        <f t="shared" si="3758"/>
        <v>2.0833330000000011E-2</v>
      </c>
      <c r="AW668" s="118">
        <f t="shared" si="3759"/>
        <v>2.0833330000000011E-2</v>
      </c>
      <c r="AX668" s="118">
        <f>V668-U668</f>
        <v>2.0833330000000011E-2</v>
      </c>
      <c r="AY668" s="118">
        <f t="shared" si="3760"/>
        <v>2.0833330000000011E-2</v>
      </c>
      <c r="AZ668" s="118">
        <f t="shared" si="3761"/>
        <v>2.0833330000000011E-2</v>
      </c>
      <c r="BA668" s="118">
        <f>Y668</f>
        <v>3.125E-2</v>
      </c>
      <c r="BB668" s="118">
        <f t="shared" si="3762"/>
        <v>3.125E-2</v>
      </c>
      <c r="BC668" s="118">
        <f t="shared" si="3763"/>
        <v>3.125E-2</v>
      </c>
      <c r="BD668" s="118">
        <f t="shared" si="3764"/>
        <v>3.125E-2</v>
      </c>
      <c r="BE668" s="118">
        <f t="shared" si="3765"/>
        <v>3.125E-2</v>
      </c>
      <c r="BF668" s="118">
        <f t="shared" si="3766"/>
        <v>3.125E-2</v>
      </c>
      <c r="BG668" s="118">
        <f t="shared" si="3767"/>
        <v>3.125E-2</v>
      </c>
      <c r="BH668" s="118">
        <f t="shared" si="3768"/>
        <v>3.125E-2</v>
      </c>
      <c r="BI668" s="118">
        <f t="shared" si="3769"/>
        <v>3.125E-2</v>
      </c>
      <c r="BJ668" s="118">
        <f t="shared" si="3770"/>
        <v>3.125E-2</v>
      </c>
      <c r="BK668" s="118">
        <f t="shared" si="3770"/>
        <v>3.125E-2</v>
      </c>
      <c r="BL668" s="118">
        <f t="shared" si="3770"/>
        <v>3.125E-2</v>
      </c>
      <c r="BM668" s="409"/>
      <c r="BN668" s="119">
        <f t="shared" si="3778"/>
        <v>0.15999998999999993</v>
      </c>
      <c r="BO668" s="119">
        <f t="shared" si="3779"/>
        <v>0.15999998999999993</v>
      </c>
      <c r="BP668" s="119">
        <f t="shared" si="3780"/>
        <v>0.15999998999999993</v>
      </c>
      <c r="BQ668" s="119">
        <f t="shared" si="3781"/>
        <v>6.2499993333333337E-2</v>
      </c>
      <c r="BR668" s="119">
        <f t="shared" si="3782"/>
        <v>6.2499993333333337E-2</v>
      </c>
      <c r="BS668" s="119">
        <f t="shared" si="3783"/>
        <v>6.2499993333333337E-2</v>
      </c>
      <c r="BT668" s="119">
        <f t="shared" si="3784"/>
        <v>6.2499989999999991E-2</v>
      </c>
      <c r="BU668" s="119">
        <f t="shared" si="3785"/>
        <v>6.2499989999999991E-2</v>
      </c>
      <c r="BV668" s="119">
        <f t="shared" si="3786"/>
        <v>6.2499989999999991E-2</v>
      </c>
      <c r="BW668" s="119">
        <f t="shared" si="3787"/>
        <v>6.2499990000000019E-2</v>
      </c>
      <c r="BX668" s="119">
        <f t="shared" si="3788"/>
        <v>6.2499990000000019E-2</v>
      </c>
      <c r="BY668" s="119">
        <f t="shared" si="3789"/>
        <v>6.2499990000000019E-2</v>
      </c>
      <c r="BZ668" s="119">
        <f t="shared" si="3790"/>
        <v>6.2499990000000033E-2</v>
      </c>
      <c r="CA668" s="119">
        <f t="shared" si="3791"/>
        <v>6.2499990000000033E-2</v>
      </c>
      <c r="CB668" s="119">
        <f>SUM(AX668:AZ668)</f>
        <v>6.2499990000000033E-2</v>
      </c>
      <c r="CC668" s="119">
        <f t="shared" si="3792"/>
        <v>9.375E-2</v>
      </c>
      <c r="CD668" s="119">
        <f t="shared" si="3793"/>
        <v>9.375E-2</v>
      </c>
      <c r="CE668" s="119">
        <f t="shared" si="3794"/>
        <v>9.375E-2</v>
      </c>
      <c r="CF668" s="119">
        <f t="shared" si="3795"/>
        <v>9.375E-2</v>
      </c>
      <c r="CG668" s="119">
        <f t="shared" si="3796"/>
        <v>9.375E-2</v>
      </c>
      <c r="CH668" s="119">
        <f t="shared" si="3797"/>
        <v>9.375E-2</v>
      </c>
      <c r="CI668" s="119">
        <f t="shared" si="3798"/>
        <v>9.375E-2</v>
      </c>
      <c r="CJ668" s="119">
        <f t="shared" si="3799"/>
        <v>9.375E-2</v>
      </c>
      <c r="CK668" s="119">
        <f t="shared" si="3800"/>
        <v>9.375E-2</v>
      </c>
      <c r="CL668" s="119">
        <f t="shared" si="3801"/>
        <v>9.375E-2</v>
      </c>
      <c r="CM668" s="119">
        <f t="shared" si="3802"/>
        <v>9.375E-2</v>
      </c>
      <c r="CN668" s="48">
        <f t="shared" si="3771"/>
        <v>9.375E-2</v>
      </c>
      <c r="CO668" s="421"/>
      <c r="CP668" s="118">
        <f t="shared" si="3772"/>
        <v>0.53333330000000001</v>
      </c>
      <c r="CQ668" s="118">
        <f t="shared" si="3772"/>
        <v>0.58666662999999997</v>
      </c>
      <c r="CR668" s="118">
        <f t="shared" si="3772"/>
        <v>0.63999995999999992</v>
      </c>
      <c r="CS668" s="118">
        <f>AO668</f>
        <v>2.0833333333333332E-2</v>
      </c>
      <c r="CT668" s="118">
        <f t="shared" si="3773"/>
        <v>4.1666663333333333E-2</v>
      </c>
      <c r="CU668" s="118">
        <f t="shared" si="3773"/>
        <v>6.2499993333333337E-2</v>
      </c>
      <c r="CV668" s="118">
        <f t="shared" si="3773"/>
        <v>8.3333323333333334E-2</v>
      </c>
      <c r="CW668" s="118">
        <f t="shared" si="3773"/>
        <v>0.10416665333333333</v>
      </c>
      <c r="CX668" s="118">
        <f t="shared" si="3773"/>
        <v>0.12499998333333333</v>
      </c>
      <c r="CY668" s="118">
        <f t="shared" si="3773"/>
        <v>0.14583331333333333</v>
      </c>
      <c r="CZ668" s="118">
        <f t="shared" si="3773"/>
        <v>0.16666664333333334</v>
      </c>
      <c r="DA668" s="118">
        <f t="shared" si="3773"/>
        <v>0.18749997333333335</v>
      </c>
      <c r="DB668" s="118">
        <f t="shared" si="3773"/>
        <v>0.20833330333333336</v>
      </c>
      <c r="DC668" s="118">
        <f t="shared" si="3773"/>
        <v>0.22916663333333337</v>
      </c>
      <c r="DD668" s="118">
        <f t="shared" si="3773"/>
        <v>0.24999996333333338</v>
      </c>
      <c r="DE668" s="118">
        <f>+BA668</f>
        <v>3.125E-2</v>
      </c>
      <c r="DF668" s="118">
        <f t="shared" si="3774"/>
        <v>6.25E-2</v>
      </c>
      <c r="DG668" s="118">
        <f t="shared" si="3774"/>
        <v>9.375E-2</v>
      </c>
      <c r="DH668" s="118">
        <f t="shared" si="3774"/>
        <v>0.125</v>
      </c>
      <c r="DI668" s="118">
        <f t="shared" si="3774"/>
        <v>0.15625</v>
      </c>
      <c r="DJ668" s="118">
        <f t="shared" si="3774"/>
        <v>0.1875</v>
      </c>
      <c r="DK668" s="118">
        <f t="shared" si="3774"/>
        <v>0.21875</v>
      </c>
      <c r="DL668" s="118">
        <f t="shared" si="3774"/>
        <v>0.25</v>
      </c>
      <c r="DM668" s="118">
        <f t="shared" si="3774"/>
        <v>0.28125</v>
      </c>
      <c r="DN668" s="118">
        <f t="shared" si="3774"/>
        <v>0.3125</v>
      </c>
      <c r="DO668" s="118">
        <f t="shared" si="3774"/>
        <v>0.34375</v>
      </c>
      <c r="DP668" s="118">
        <f t="shared" si="3774"/>
        <v>0.375</v>
      </c>
      <c r="DQ668" s="118"/>
      <c r="DR668" s="118"/>
      <c r="DS668" s="118"/>
      <c r="DT668" s="118"/>
      <c r="DU668" s="118"/>
      <c r="DV668" s="118"/>
      <c r="DW668" s="118"/>
      <c r="DX668" s="118"/>
      <c r="DY668" s="118"/>
      <c r="DZ668" s="121">
        <f>'Input &amp; Calc'!L668</f>
        <v>0.63999995999999992</v>
      </c>
      <c r="EA668" s="122">
        <f>DD668</f>
        <v>0.24999996333333338</v>
      </c>
      <c r="EB668" s="120">
        <f>DP668</f>
        <v>0.375</v>
      </c>
      <c r="EC668" s="120"/>
      <c r="ED668" s="409"/>
      <c r="EE668" s="118">
        <f t="shared" si="3775"/>
        <v>3.125E-2</v>
      </c>
      <c r="EF668" s="118">
        <f t="shared" si="3776"/>
        <v>9.375E-2</v>
      </c>
      <c r="EG668" s="118">
        <f>HLOOKUP($EJ$3,Budget,ROW()-1)</f>
        <v>0.375</v>
      </c>
      <c r="EH668" s="40"/>
      <c r="EI668" s="1"/>
      <c r="EJ668" s="1"/>
      <c r="EK668" s="675"/>
      <c r="EL668" s="37"/>
      <c r="EM668" s="37"/>
      <c r="EN668" s="37"/>
      <c r="EO668" s="49"/>
      <c r="EP668" s="49"/>
      <c r="EQ668" s="49"/>
      <c r="ER668" s="1"/>
      <c r="ES668" s="1"/>
      <c r="ET668" s="1"/>
    </row>
    <row r="669" spans="1:150">
      <c r="A669" s="6" t="s">
        <v>23</v>
      </c>
      <c r="B669" s="2" t="s">
        <v>5</v>
      </c>
      <c r="C669" s="3" t="s">
        <v>42</v>
      </c>
      <c r="E669" s="3" t="s">
        <v>16</v>
      </c>
      <c r="G669" s="3" t="s">
        <v>91</v>
      </c>
      <c r="I669" s="216"/>
      <c r="J669" s="213">
        <v>6.333333333333333</v>
      </c>
      <c r="K669" s="213">
        <v>12.666666663333334</v>
      </c>
      <c r="L669" s="213">
        <v>18.999999993333333</v>
      </c>
      <c r="M669" s="213">
        <v>25.333333323333335</v>
      </c>
      <c r="N669" s="213">
        <v>31.666666653333337</v>
      </c>
      <c r="O669" s="213">
        <v>37.999999983333339</v>
      </c>
      <c r="P669" s="213">
        <v>44.333333313333341</v>
      </c>
      <c r="Q669" s="213">
        <v>50.666666643333343</v>
      </c>
      <c r="R669" s="213">
        <v>56.999999973333345</v>
      </c>
      <c r="S669" s="213">
        <v>63.333333303333347</v>
      </c>
      <c r="T669" s="213">
        <v>69.66666663333335</v>
      </c>
      <c r="U669" s="213">
        <v>75.999999963333352</v>
      </c>
      <c r="V669" s="219">
        <f>76/12</f>
        <v>6.333333333333333</v>
      </c>
      <c r="W669" s="246">
        <f>V669+6.33333</f>
        <v>12.666663333333332</v>
      </c>
      <c r="X669" s="376">
        <f t="shared" ref="X669:AG669" si="3806">W669+6.33333</f>
        <v>18.999993333333332</v>
      </c>
      <c r="Y669" s="376">
        <f t="shared" si="3806"/>
        <v>25.333323333333333</v>
      </c>
      <c r="Z669" s="376">
        <f t="shared" si="3806"/>
        <v>31.666653333333333</v>
      </c>
      <c r="AA669" s="376">
        <f t="shared" si="3806"/>
        <v>37.999983333333333</v>
      </c>
      <c r="AB669" s="376">
        <f t="shared" si="3806"/>
        <v>44.333313333333336</v>
      </c>
      <c r="AC669" s="376">
        <f t="shared" si="3806"/>
        <v>50.66664333333334</v>
      </c>
      <c r="AD669" s="376">
        <f t="shared" si="3806"/>
        <v>56.999973333333344</v>
      </c>
      <c r="AE669" s="376">
        <f t="shared" si="3806"/>
        <v>63.333303333333347</v>
      </c>
      <c r="AF669" s="376">
        <f t="shared" si="3806"/>
        <v>69.666633333333351</v>
      </c>
      <c r="AG669" s="263">
        <f t="shared" si="3806"/>
        <v>75.999963333333355</v>
      </c>
      <c r="AH669" s="31">
        <f>75/12</f>
        <v>6.25</v>
      </c>
      <c r="AI669" s="19">
        <f>AH669+AH669</f>
        <v>12.5</v>
      </c>
      <c r="AJ669" s="19"/>
      <c r="AK669" s="408"/>
      <c r="AL669" s="40">
        <f>J669</f>
        <v>6.333333333333333</v>
      </c>
      <c r="AM669" s="40">
        <f t="shared" si="3750"/>
        <v>6.3333333300000012</v>
      </c>
      <c r="AN669" s="40">
        <f t="shared" si="3751"/>
        <v>6.3333333299999985</v>
      </c>
      <c r="AO669" s="40">
        <f>M669-L669</f>
        <v>6.3333333300000021</v>
      </c>
      <c r="AP669" s="40">
        <f t="shared" si="3752"/>
        <v>6.3333333300000021</v>
      </c>
      <c r="AQ669" s="40">
        <f t="shared" si="3753"/>
        <v>6.3333333300000021</v>
      </c>
      <c r="AR669" s="40">
        <f t="shared" si="3754"/>
        <v>6.3333333300000021</v>
      </c>
      <c r="AS669" s="40">
        <f t="shared" si="3755"/>
        <v>6.3333333300000021</v>
      </c>
      <c r="AT669" s="40">
        <f t="shared" si="3756"/>
        <v>6.3333333300000021</v>
      </c>
      <c r="AU669" s="40">
        <f t="shared" si="3757"/>
        <v>6.3333333300000021</v>
      </c>
      <c r="AV669" s="40">
        <f t="shared" si="3758"/>
        <v>6.3333333300000021</v>
      </c>
      <c r="AW669" s="40">
        <f t="shared" si="3759"/>
        <v>6.3333333300000021</v>
      </c>
      <c r="AX669" s="40">
        <f>V669</f>
        <v>6.333333333333333</v>
      </c>
      <c r="AY669" s="40">
        <f t="shared" si="3760"/>
        <v>6.3333299999999992</v>
      </c>
      <c r="AZ669" s="40">
        <f t="shared" si="3761"/>
        <v>6.3333300000000001</v>
      </c>
      <c r="BA669" s="40">
        <f>Y669-X669</f>
        <v>6.3333300000000001</v>
      </c>
      <c r="BB669" s="40">
        <f t="shared" si="3762"/>
        <v>6.3333300000000001</v>
      </c>
      <c r="BC669" s="40">
        <f t="shared" si="3763"/>
        <v>6.3333300000000001</v>
      </c>
      <c r="BD669" s="40">
        <f t="shared" si="3764"/>
        <v>6.3333300000000037</v>
      </c>
      <c r="BE669" s="40">
        <f t="shared" si="3765"/>
        <v>6.3333300000000037</v>
      </c>
      <c r="BF669" s="40">
        <f t="shared" si="3766"/>
        <v>6.3333300000000037</v>
      </c>
      <c r="BG669" s="40">
        <f t="shared" si="3767"/>
        <v>6.3333300000000037</v>
      </c>
      <c r="BH669" s="40">
        <f t="shared" si="3768"/>
        <v>6.3333300000000037</v>
      </c>
      <c r="BI669" s="40">
        <f t="shared" si="3769"/>
        <v>6.3333300000000037</v>
      </c>
      <c r="BJ669" s="40">
        <f>AH669</f>
        <v>6.25</v>
      </c>
      <c r="BK669" s="40">
        <f>AI669-AH669</f>
        <v>6.25</v>
      </c>
      <c r="BL669" s="40">
        <f>AJ669-AI669</f>
        <v>-12.5</v>
      </c>
      <c r="BM669" s="408"/>
      <c r="BN669" s="48">
        <f t="shared" si="3778"/>
        <v>18.999999993333333</v>
      </c>
      <c r="BO669" s="48">
        <f t="shared" si="3779"/>
        <v>18.999999993333333</v>
      </c>
      <c r="BP669" s="48">
        <f t="shared" si="3780"/>
        <v>18.999999993333333</v>
      </c>
      <c r="BQ669" s="48">
        <f t="shared" si="3781"/>
        <v>18.999999990000006</v>
      </c>
      <c r="BR669" s="48">
        <f t="shared" si="3782"/>
        <v>18.999999990000006</v>
      </c>
      <c r="BS669" s="48">
        <f t="shared" si="3783"/>
        <v>18.999999990000006</v>
      </c>
      <c r="BT669" s="48">
        <f t="shared" si="3784"/>
        <v>18.999999990000006</v>
      </c>
      <c r="BU669" s="48">
        <f t="shared" si="3785"/>
        <v>18.999999990000006</v>
      </c>
      <c r="BV669" s="48">
        <f t="shared" si="3786"/>
        <v>18.999999990000006</v>
      </c>
      <c r="BW669" s="48">
        <f t="shared" si="3787"/>
        <v>18.999999990000006</v>
      </c>
      <c r="BX669" s="48">
        <f t="shared" si="3788"/>
        <v>18.999999990000006</v>
      </c>
      <c r="BY669" s="48">
        <f t="shared" si="3789"/>
        <v>18.999999990000006</v>
      </c>
      <c r="BZ669" s="48">
        <f t="shared" si="3790"/>
        <v>18.999993333333332</v>
      </c>
      <c r="CA669" s="48">
        <f t="shared" si="3791"/>
        <v>18.999993333333332</v>
      </c>
      <c r="CB669" s="48">
        <f>X669</f>
        <v>18.999993333333332</v>
      </c>
      <c r="CC669" s="48">
        <f t="shared" si="3792"/>
        <v>18.99999</v>
      </c>
      <c r="CD669" s="48">
        <f t="shared" si="3793"/>
        <v>18.99999</v>
      </c>
      <c r="CE669" s="48">
        <f t="shared" si="3794"/>
        <v>18.99999</v>
      </c>
      <c r="CF669" s="48">
        <f t="shared" si="3795"/>
        <v>18.999990000000011</v>
      </c>
      <c r="CG669" s="48">
        <f t="shared" si="3796"/>
        <v>18.999990000000011</v>
      </c>
      <c r="CH669" s="48">
        <f t="shared" si="3797"/>
        <v>18.999990000000011</v>
      </c>
      <c r="CI669" s="48">
        <f t="shared" si="3798"/>
        <v>18.999990000000011</v>
      </c>
      <c r="CJ669" s="48">
        <f t="shared" si="3799"/>
        <v>18.999990000000011</v>
      </c>
      <c r="CK669" s="48">
        <f t="shared" si="3800"/>
        <v>18.999990000000011</v>
      </c>
      <c r="CL669" s="48">
        <f t="shared" si="3801"/>
        <v>18.75</v>
      </c>
      <c r="CM669" s="48">
        <f t="shared" si="3802"/>
        <v>18.75</v>
      </c>
      <c r="CN669" s="48">
        <f>75/4</f>
        <v>18.75</v>
      </c>
      <c r="CO669" s="406"/>
      <c r="CP669" s="48">
        <f>+AL669</f>
        <v>6.333333333333333</v>
      </c>
      <c r="CQ669" s="48">
        <f t="shared" ref="CQ669:DA669" si="3807">+CP669+AM669</f>
        <v>12.666666663333334</v>
      </c>
      <c r="CR669" s="48">
        <f t="shared" si="3807"/>
        <v>18.999999993333333</v>
      </c>
      <c r="CS669" s="48">
        <f t="shared" si="3807"/>
        <v>25.333333323333335</v>
      </c>
      <c r="CT669" s="48">
        <f t="shared" si="3807"/>
        <v>31.666666653333337</v>
      </c>
      <c r="CU669" s="48">
        <f t="shared" si="3807"/>
        <v>37.999999983333339</v>
      </c>
      <c r="CV669" s="48">
        <f t="shared" si="3807"/>
        <v>44.333333313333341</v>
      </c>
      <c r="CW669" s="48">
        <f t="shared" si="3807"/>
        <v>50.666666643333343</v>
      </c>
      <c r="CX669" s="48">
        <f t="shared" si="3807"/>
        <v>56.999999973333345</v>
      </c>
      <c r="CY669" s="48">
        <f t="shared" si="3807"/>
        <v>63.333333303333347</v>
      </c>
      <c r="CZ669" s="48">
        <f t="shared" si="3807"/>
        <v>69.66666663333335</v>
      </c>
      <c r="DA669" s="48">
        <f t="shared" si="3807"/>
        <v>75.999999963333352</v>
      </c>
      <c r="DB669" s="48">
        <f>AX669</f>
        <v>6.333333333333333</v>
      </c>
      <c r="DC669" s="48">
        <f t="shared" ref="DC669:DM669" si="3808">+DB669+AY669</f>
        <v>12.666663333333332</v>
      </c>
      <c r="DD669" s="48">
        <f t="shared" si="3808"/>
        <v>18.999993333333332</v>
      </c>
      <c r="DE669" s="48">
        <f t="shared" si="3808"/>
        <v>25.333323333333333</v>
      </c>
      <c r="DF669" s="48">
        <f t="shared" si="3808"/>
        <v>31.666653333333333</v>
      </c>
      <c r="DG669" s="48">
        <f t="shared" si="3808"/>
        <v>37.999983333333333</v>
      </c>
      <c r="DH669" s="48">
        <f t="shared" si="3808"/>
        <v>44.333313333333336</v>
      </c>
      <c r="DI669" s="48">
        <f t="shared" si="3808"/>
        <v>50.66664333333334</v>
      </c>
      <c r="DJ669" s="48">
        <f t="shared" si="3808"/>
        <v>56.999973333333344</v>
      </c>
      <c r="DK669" s="48">
        <f t="shared" si="3808"/>
        <v>63.333303333333347</v>
      </c>
      <c r="DL669" s="48">
        <f t="shared" si="3808"/>
        <v>69.666633333333351</v>
      </c>
      <c r="DM669" s="48">
        <f t="shared" si="3808"/>
        <v>75.999963333333355</v>
      </c>
      <c r="DN669" s="48">
        <f>+BJ669</f>
        <v>6.25</v>
      </c>
      <c r="DO669" s="48">
        <f>+DN669+BK669</f>
        <v>12.5</v>
      </c>
      <c r="DP669" s="48">
        <f>+DO669+BL669</f>
        <v>0</v>
      </c>
      <c r="DQ669" s="48"/>
      <c r="DR669" s="48"/>
      <c r="DS669" s="48"/>
      <c r="DT669" s="48"/>
      <c r="DU669" s="48"/>
      <c r="DV669" s="48"/>
      <c r="DW669" s="48"/>
      <c r="DX669" s="48"/>
      <c r="DY669" s="48"/>
      <c r="EA669" s="52">
        <f t="shared" ref="EA669:EA683" si="3809">DA669</f>
        <v>75.999999963333352</v>
      </c>
      <c r="EB669" s="52">
        <f t="shared" ref="EB669:EB682" si="3810">DM669</f>
        <v>75.999963333333355</v>
      </c>
      <c r="EC669" s="52"/>
      <c r="ED669" s="429"/>
      <c r="EE669" s="51">
        <f t="shared" si="3775"/>
        <v>6.25</v>
      </c>
      <c r="EF669" s="51">
        <f t="shared" si="3776"/>
        <v>18.75</v>
      </c>
      <c r="EG669" s="51">
        <v>75</v>
      </c>
      <c r="EH669" s="54"/>
      <c r="EI669" s="54"/>
      <c r="EJ669" s="54"/>
      <c r="EK669" s="675"/>
      <c r="EL669" s="53"/>
      <c r="EM669" s="53"/>
      <c r="EN669" s="53"/>
      <c r="EO669" s="49"/>
      <c r="EP669" s="49"/>
      <c r="EQ669" s="49"/>
    </row>
    <row r="670" spans="1:150">
      <c r="A670" s="6" t="s">
        <v>23</v>
      </c>
      <c r="B670" s="2" t="s">
        <v>4</v>
      </c>
      <c r="C670" s="3" t="s">
        <v>43</v>
      </c>
      <c r="E670" s="3" t="s">
        <v>16</v>
      </c>
      <c r="F670" s="44"/>
      <c r="G670" s="3" t="s">
        <v>91</v>
      </c>
      <c r="I670" s="216"/>
      <c r="J670" s="213">
        <v>2.1533333333333333</v>
      </c>
      <c r="K670" s="213">
        <v>4.306666663333333</v>
      </c>
      <c r="L670" s="213">
        <v>6.4599999933333336</v>
      </c>
      <c r="M670" s="213">
        <v>8.6133333233333342</v>
      </c>
      <c r="N670" s="213">
        <v>10.766666653333335</v>
      </c>
      <c r="O670" s="213">
        <v>12.919999983333335</v>
      </c>
      <c r="P670" s="213">
        <v>15.073333313333336</v>
      </c>
      <c r="Q670" s="213">
        <v>17.226666643333335</v>
      </c>
      <c r="R670" s="213">
        <v>19.379999973333334</v>
      </c>
      <c r="S670" s="213">
        <v>21.533333303333333</v>
      </c>
      <c r="T670" s="213">
        <v>23.686666633333331</v>
      </c>
      <c r="U670" s="213">
        <v>25.83999996333333</v>
      </c>
      <c r="V670" s="219">
        <f>27/12</f>
        <v>2.25</v>
      </c>
      <c r="W670" s="246">
        <f>V670+2.25</f>
        <v>4.5</v>
      </c>
      <c r="X670" s="376">
        <f t="shared" ref="X670:AG670" si="3811">W670+2.25</f>
        <v>6.75</v>
      </c>
      <c r="Y670" s="376">
        <f t="shared" si="3811"/>
        <v>9</v>
      </c>
      <c r="Z670" s="376">
        <f t="shared" si="3811"/>
        <v>11.25</v>
      </c>
      <c r="AA670" s="376">
        <f t="shared" si="3811"/>
        <v>13.5</v>
      </c>
      <c r="AB670" s="376">
        <f t="shared" si="3811"/>
        <v>15.75</v>
      </c>
      <c r="AC670" s="376">
        <f t="shared" si="3811"/>
        <v>18</v>
      </c>
      <c r="AD670" s="376">
        <f t="shared" si="3811"/>
        <v>20.25</v>
      </c>
      <c r="AE670" s="376">
        <f t="shared" si="3811"/>
        <v>22.5</v>
      </c>
      <c r="AF670" s="376">
        <f t="shared" si="3811"/>
        <v>24.75</v>
      </c>
      <c r="AG670" s="376">
        <f t="shared" si="3811"/>
        <v>27</v>
      </c>
      <c r="AH670" s="31">
        <f>19/12</f>
        <v>1.5833333333333333</v>
      </c>
      <c r="AI670" s="376">
        <f>AH670+AH670</f>
        <v>3.1666666666666665</v>
      </c>
      <c r="AJ670" s="19"/>
      <c r="AK670" s="408"/>
      <c r="AL670" s="40">
        <f>J670</f>
        <v>2.1533333333333333</v>
      </c>
      <c r="AM670" s="40">
        <f t="shared" si="3750"/>
        <v>2.1533333299999997</v>
      </c>
      <c r="AN670" s="40">
        <f t="shared" si="3751"/>
        <v>2.1533333300000006</v>
      </c>
      <c r="AO670" s="40">
        <f>M670-L670</f>
        <v>2.1533333300000006</v>
      </c>
      <c r="AP670" s="40">
        <f t="shared" si="3752"/>
        <v>2.1533333300000006</v>
      </c>
      <c r="AQ670" s="40">
        <f t="shared" si="3753"/>
        <v>2.1533333300000006</v>
      </c>
      <c r="AR670" s="40">
        <f t="shared" si="3754"/>
        <v>2.1533333300000006</v>
      </c>
      <c r="AS670" s="40">
        <f t="shared" si="3755"/>
        <v>2.1533333299999988</v>
      </c>
      <c r="AT670" s="40">
        <f t="shared" si="3756"/>
        <v>2.1533333299999988</v>
      </c>
      <c r="AU670" s="40">
        <f t="shared" si="3757"/>
        <v>2.1533333299999988</v>
      </c>
      <c r="AV670" s="40">
        <f t="shared" si="3758"/>
        <v>2.1533333299999988</v>
      </c>
      <c r="AW670" s="40">
        <f t="shared" si="3759"/>
        <v>2.1533333299999988</v>
      </c>
      <c r="AX670" s="40">
        <f>V670</f>
        <v>2.25</v>
      </c>
      <c r="AY670" s="40">
        <f t="shared" si="3760"/>
        <v>2.25</v>
      </c>
      <c r="AZ670" s="40">
        <f t="shared" si="3761"/>
        <v>2.25</v>
      </c>
      <c r="BA670" s="40">
        <f>Y670-X670</f>
        <v>2.25</v>
      </c>
      <c r="BB670" s="40">
        <f t="shared" si="3762"/>
        <v>2.25</v>
      </c>
      <c r="BC670" s="40">
        <f t="shared" si="3763"/>
        <v>2.25</v>
      </c>
      <c r="BD670" s="40">
        <f t="shared" si="3764"/>
        <v>2.25</v>
      </c>
      <c r="BE670" s="40">
        <f t="shared" si="3765"/>
        <v>2.25</v>
      </c>
      <c r="BF670" s="40">
        <f t="shared" si="3766"/>
        <v>2.25</v>
      </c>
      <c r="BG670" s="40">
        <f t="shared" si="3767"/>
        <v>2.25</v>
      </c>
      <c r="BH670" s="40">
        <f t="shared" si="3768"/>
        <v>2.25</v>
      </c>
      <c r="BI670" s="40">
        <f t="shared" si="3769"/>
        <v>2.25</v>
      </c>
      <c r="BJ670" s="40">
        <f>AH670</f>
        <v>1.5833333333333333</v>
      </c>
      <c r="BK670" s="40">
        <f>AI670-AH670</f>
        <v>1.5833333333333333</v>
      </c>
      <c r="BL670" s="40">
        <f>AJ670-AI670</f>
        <v>-3.1666666666666665</v>
      </c>
      <c r="BM670" s="408"/>
      <c r="BN670" s="48">
        <f t="shared" si="3778"/>
        <v>6.4599999933333336</v>
      </c>
      <c r="BO670" s="48">
        <f t="shared" si="3779"/>
        <v>6.4599999933333336</v>
      </c>
      <c r="BP670" s="48">
        <f t="shared" si="3780"/>
        <v>6.4599999933333336</v>
      </c>
      <c r="BQ670" s="48">
        <f t="shared" si="3781"/>
        <v>6.4599999900000018</v>
      </c>
      <c r="BR670" s="48">
        <f t="shared" si="3782"/>
        <v>6.4599999900000018</v>
      </c>
      <c r="BS670" s="48">
        <f t="shared" si="3783"/>
        <v>6.4599999900000018</v>
      </c>
      <c r="BT670" s="48">
        <f t="shared" si="3784"/>
        <v>6.4599999899999982</v>
      </c>
      <c r="BU670" s="48">
        <f t="shared" si="3785"/>
        <v>6.4599999899999982</v>
      </c>
      <c r="BV670" s="48">
        <f t="shared" si="3786"/>
        <v>6.4599999899999982</v>
      </c>
      <c r="BW670" s="48">
        <f t="shared" si="3787"/>
        <v>6.4599999899999965</v>
      </c>
      <c r="BX670" s="48">
        <f t="shared" si="3788"/>
        <v>6.4599999899999965</v>
      </c>
      <c r="BY670" s="48">
        <f t="shared" si="3789"/>
        <v>6.4599999899999965</v>
      </c>
      <c r="BZ670" s="48">
        <f t="shared" si="3790"/>
        <v>6.75</v>
      </c>
      <c r="CA670" s="48">
        <f t="shared" si="3791"/>
        <v>6.75</v>
      </c>
      <c r="CB670" s="48">
        <f t="shared" ref="CB670:CB677" si="3812">X670</f>
        <v>6.75</v>
      </c>
      <c r="CC670" s="48">
        <f t="shared" si="3792"/>
        <v>6.75</v>
      </c>
      <c r="CD670" s="48">
        <f t="shared" si="3793"/>
        <v>6.75</v>
      </c>
      <c r="CE670" s="48">
        <f t="shared" si="3794"/>
        <v>6.75</v>
      </c>
      <c r="CF670" s="48">
        <f t="shared" si="3795"/>
        <v>6.75</v>
      </c>
      <c r="CG670" s="48">
        <f t="shared" si="3796"/>
        <v>6.75</v>
      </c>
      <c r="CH670" s="48">
        <f t="shared" si="3797"/>
        <v>6.75</v>
      </c>
      <c r="CI670" s="48">
        <f t="shared" si="3798"/>
        <v>6.75</v>
      </c>
      <c r="CJ670" s="48">
        <f t="shared" si="3799"/>
        <v>6.75</v>
      </c>
      <c r="CK670" s="48">
        <f t="shared" si="3800"/>
        <v>6.75</v>
      </c>
      <c r="CL670" s="48">
        <f t="shared" si="3801"/>
        <v>4.75</v>
      </c>
      <c r="CM670" s="48">
        <f t="shared" si="3802"/>
        <v>4.75</v>
      </c>
      <c r="CN670" s="48">
        <f>19/4</f>
        <v>4.75</v>
      </c>
      <c r="CO670" s="406"/>
      <c r="CP670" s="48">
        <f t="shared" ref="CP670:DA670" si="3813">I670+AL670</f>
        <v>2.1533333333333333</v>
      </c>
      <c r="CQ670" s="48">
        <f t="shared" si="3813"/>
        <v>4.306666663333333</v>
      </c>
      <c r="CR670" s="48">
        <f t="shared" si="3813"/>
        <v>6.4599999933333336</v>
      </c>
      <c r="CS670" s="48">
        <f t="shared" si="3813"/>
        <v>8.6133333233333342</v>
      </c>
      <c r="CT670" s="48">
        <f t="shared" si="3813"/>
        <v>10.766666653333335</v>
      </c>
      <c r="CU670" s="48">
        <f t="shared" si="3813"/>
        <v>12.919999983333335</v>
      </c>
      <c r="CV670" s="48">
        <f t="shared" si="3813"/>
        <v>15.073333313333336</v>
      </c>
      <c r="CW670" s="48">
        <f t="shared" si="3813"/>
        <v>17.226666643333335</v>
      </c>
      <c r="CX670" s="48">
        <f t="shared" si="3813"/>
        <v>19.379999973333334</v>
      </c>
      <c r="CY670" s="48">
        <f t="shared" si="3813"/>
        <v>21.533333303333333</v>
      </c>
      <c r="CZ670" s="48">
        <f t="shared" si="3813"/>
        <v>23.686666633333331</v>
      </c>
      <c r="DA670" s="48">
        <f t="shared" si="3813"/>
        <v>25.83999996333333</v>
      </c>
      <c r="DB670" s="48">
        <f>AX670</f>
        <v>2.25</v>
      </c>
      <c r="DC670" s="48">
        <f t="shared" ref="DC670:DM670" si="3814">V670+AY670</f>
        <v>4.5</v>
      </c>
      <c r="DD670" s="48">
        <f t="shared" si="3814"/>
        <v>6.75</v>
      </c>
      <c r="DE670" s="48">
        <f t="shared" si="3814"/>
        <v>9</v>
      </c>
      <c r="DF670" s="48">
        <f t="shared" si="3814"/>
        <v>11.25</v>
      </c>
      <c r="DG670" s="48">
        <f t="shared" si="3814"/>
        <v>13.5</v>
      </c>
      <c r="DH670" s="48">
        <f t="shared" si="3814"/>
        <v>15.75</v>
      </c>
      <c r="DI670" s="48">
        <f t="shared" si="3814"/>
        <v>18</v>
      </c>
      <c r="DJ670" s="48">
        <f t="shared" si="3814"/>
        <v>20.25</v>
      </c>
      <c r="DK670" s="48">
        <f t="shared" si="3814"/>
        <v>22.5</v>
      </c>
      <c r="DL670" s="48">
        <f t="shared" si="3814"/>
        <v>24.75</v>
      </c>
      <c r="DM670" s="48">
        <f t="shared" si="3814"/>
        <v>27</v>
      </c>
      <c r="DN670" s="48">
        <f>BJ670</f>
        <v>1.5833333333333333</v>
      </c>
      <c r="DO670" s="48">
        <f>AH670+BK670</f>
        <v>3.1666666666666665</v>
      </c>
      <c r="DP670" s="48">
        <f>AI670+BL670</f>
        <v>0</v>
      </c>
      <c r="DQ670" s="48"/>
      <c r="DR670" s="48"/>
      <c r="DS670" s="48"/>
      <c r="DT670" s="48"/>
      <c r="DU670" s="48"/>
      <c r="DV670" s="48"/>
      <c r="DW670" s="48"/>
      <c r="DX670" s="48"/>
      <c r="DY670" s="48"/>
      <c r="EA670" s="52">
        <f t="shared" si="3809"/>
        <v>25.83999996333333</v>
      </c>
      <c r="EB670" s="52">
        <f t="shared" si="3810"/>
        <v>27</v>
      </c>
      <c r="EC670" s="52"/>
      <c r="ED670" s="429"/>
      <c r="EE670" s="51">
        <f t="shared" si="3775"/>
        <v>1.5833333333333333</v>
      </c>
      <c r="EF670" s="51">
        <f t="shared" si="3776"/>
        <v>4.75</v>
      </c>
      <c r="EG670" s="51">
        <v>19</v>
      </c>
      <c r="EH670" s="54"/>
      <c r="EI670" s="54"/>
      <c r="EJ670" s="126"/>
      <c r="EK670" s="675"/>
      <c r="EL670" s="53"/>
      <c r="EM670" s="53"/>
      <c r="EN670" s="53"/>
      <c r="EO670" s="49"/>
      <c r="EP670" s="49"/>
      <c r="EQ670" s="49"/>
    </row>
    <row r="671" spans="1:150">
      <c r="A671" s="6" t="s">
        <v>23</v>
      </c>
      <c r="B671" s="2" t="s">
        <v>6</v>
      </c>
      <c r="C671" s="3" t="s">
        <v>44</v>
      </c>
      <c r="E671" s="3" t="s">
        <v>16</v>
      </c>
      <c r="G671" s="3" t="s">
        <v>89</v>
      </c>
      <c r="I671" s="216"/>
      <c r="J671" s="213">
        <v>1.5833333333333333</v>
      </c>
      <c r="K671" s="213">
        <f>+J671</f>
        <v>1.5833333333333333</v>
      </c>
      <c r="L671" s="246">
        <f t="shared" ref="L671:U671" si="3815">+K671</f>
        <v>1.5833333333333333</v>
      </c>
      <c r="M671" s="246">
        <f t="shared" si="3815"/>
        <v>1.5833333333333333</v>
      </c>
      <c r="N671" s="246">
        <f t="shared" si="3815"/>
        <v>1.5833333333333333</v>
      </c>
      <c r="O671" s="246">
        <f t="shared" si="3815"/>
        <v>1.5833333333333333</v>
      </c>
      <c r="P671" s="246">
        <f t="shared" si="3815"/>
        <v>1.5833333333333333</v>
      </c>
      <c r="Q671" s="246">
        <f t="shared" si="3815"/>
        <v>1.5833333333333333</v>
      </c>
      <c r="R671" s="246">
        <f t="shared" si="3815"/>
        <v>1.5833333333333333</v>
      </c>
      <c r="S671" s="246">
        <f t="shared" si="3815"/>
        <v>1.5833333333333333</v>
      </c>
      <c r="T671" s="246">
        <f t="shared" si="3815"/>
        <v>1.5833333333333333</v>
      </c>
      <c r="U671" s="246">
        <f t="shared" si="3815"/>
        <v>1.5833333333333333</v>
      </c>
      <c r="V671" s="246">
        <f>16.7/12</f>
        <v>1.3916666666666666</v>
      </c>
      <c r="W671" s="246">
        <f>V671+1.39167</f>
        <v>2.7833366666666666</v>
      </c>
      <c r="X671" s="376">
        <f t="shared" ref="X671:AG671" si="3816">W671+1.39167</f>
        <v>4.1750066666666665</v>
      </c>
      <c r="Y671" s="376">
        <f t="shared" si="3816"/>
        <v>5.5666766666666661</v>
      </c>
      <c r="Z671" s="376">
        <f t="shared" si="3816"/>
        <v>6.9583466666666656</v>
      </c>
      <c r="AA671" s="376">
        <f t="shared" si="3816"/>
        <v>8.3500166666666651</v>
      </c>
      <c r="AB671" s="376">
        <f t="shared" si="3816"/>
        <v>9.7416866666666646</v>
      </c>
      <c r="AC671" s="376">
        <f t="shared" si="3816"/>
        <v>11.133356666666664</v>
      </c>
      <c r="AD671" s="376">
        <f t="shared" si="3816"/>
        <v>12.525026666666664</v>
      </c>
      <c r="AE671" s="376">
        <f t="shared" si="3816"/>
        <v>13.916696666666663</v>
      </c>
      <c r="AF671" s="376">
        <f t="shared" si="3816"/>
        <v>15.308366666666663</v>
      </c>
      <c r="AG671" s="263">
        <f t="shared" si="3816"/>
        <v>16.700036666666662</v>
      </c>
      <c r="AH671" s="31"/>
      <c r="AI671" s="19"/>
      <c r="AJ671" s="19"/>
      <c r="AK671" s="408"/>
      <c r="AL671" s="40">
        <f>J671</f>
        <v>1.5833333333333333</v>
      </c>
      <c r="AM671" s="40">
        <f t="shared" ref="AM671:AW671" si="3817">K671</f>
        <v>1.5833333333333333</v>
      </c>
      <c r="AN671" s="40">
        <f t="shared" si="3817"/>
        <v>1.5833333333333333</v>
      </c>
      <c r="AO671" s="40">
        <f t="shared" si="3817"/>
        <v>1.5833333333333333</v>
      </c>
      <c r="AP671" s="40">
        <f t="shared" si="3817"/>
        <v>1.5833333333333333</v>
      </c>
      <c r="AQ671" s="40">
        <f t="shared" si="3817"/>
        <v>1.5833333333333333</v>
      </c>
      <c r="AR671" s="40">
        <f t="shared" si="3817"/>
        <v>1.5833333333333333</v>
      </c>
      <c r="AS671" s="40">
        <f t="shared" si="3817"/>
        <v>1.5833333333333333</v>
      </c>
      <c r="AT671" s="40">
        <f t="shared" si="3817"/>
        <v>1.5833333333333333</v>
      </c>
      <c r="AU671" s="40">
        <f t="shared" si="3817"/>
        <v>1.5833333333333333</v>
      </c>
      <c r="AV671" s="40">
        <f t="shared" si="3817"/>
        <v>1.5833333333333333</v>
      </c>
      <c r="AW671" s="40">
        <f t="shared" si="3817"/>
        <v>1.5833333333333333</v>
      </c>
      <c r="AX671" s="40">
        <f>V671</f>
        <v>1.3916666666666666</v>
      </c>
      <c r="AY671" s="40">
        <f>W671-SUM($AX671:AX671)</f>
        <v>1.39167</v>
      </c>
      <c r="AZ671" s="40">
        <f>X671-SUM($AX671:AY671)</f>
        <v>1.39167</v>
      </c>
      <c r="BA671" s="40">
        <f>Y671-SUM($AX671:AZ671)</f>
        <v>1.3916699999999995</v>
      </c>
      <c r="BB671" s="40">
        <f>Z671-SUM($AX671:BA671)</f>
        <v>1.3916699999999995</v>
      </c>
      <c r="BC671" s="40">
        <f>AA671-SUM($AX671:BB671)</f>
        <v>1.3916699999999995</v>
      </c>
      <c r="BD671" s="40">
        <f>AB671-SUM($AX671:BC671)</f>
        <v>1.3916699999999995</v>
      </c>
      <c r="BE671" s="40">
        <f>AC671-SUM($AX671:BD671)</f>
        <v>1.3916699999999995</v>
      </c>
      <c r="BF671" s="40">
        <f>AD671-SUM($AX671:BE671)</f>
        <v>1.3916699999999995</v>
      </c>
      <c r="BG671" s="40">
        <f>AE671-SUM($AX671:BF671)</f>
        <v>1.3916699999999995</v>
      </c>
      <c r="BH671" s="40">
        <f>AF671-SUM($AX671:BG671)</f>
        <v>1.3916699999999995</v>
      </c>
      <c r="BI671" s="40">
        <f>AG671-SUM($AX671:BH671)</f>
        <v>1.3916699999999995</v>
      </c>
      <c r="BJ671" s="40">
        <v>0</v>
      </c>
      <c r="BK671" s="40">
        <v>0</v>
      </c>
      <c r="BL671" s="40">
        <v>0</v>
      </c>
      <c r="BM671" s="408"/>
      <c r="BN671" s="48">
        <f t="shared" si="3778"/>
        <v>4.75</v>
      </c>
      <c r="BO671" s="48">
        <f t="shared" si="3779"/>
        <v>4.75</v>
      </c>
      <c r="BP671" s="48">
        <f t="shared" si="3780"/>
        <v>4.75</v>
      </c>
      <c r="BQ671" s="48">
        <f t="shared" si="3781"/>
        <v>4.75</v>
      </c>
      <c r="BR671" s="48">
        <f t="shared" si="3782"/>
        <v>4.75</v>
      </c>
      <c r="BS671" s="48">
        <f t="shared" si="3783"/>
        <v>4.75</v>
      </c>
      <c r="BT671" s="48">
        <f t="shared" si="3784"/>
        <v>4.75</v>
      </c>
      <c r="BU671" s="48">
        <f t="shared" si="3785"/>
        <v>4.75</v>
      </c>
      <c r="BV671" s="48">
        <f t="shared" si="3786"/>
        <v>4.75</v>
      </c>
      <c r="BW671" s="48">
        <f t="shared" si="3787"/>
        <v>4.75</v>
      </c>
      <c r="BX671" s="48">
        <f t="shared" si="3788"/>
        <v>4.75</v>
      </c>
      <c r="BY671" s="48">
        <f t="shared" si="3789"/>
        <v>4.75</v>
      </c>
      <c r="BZ671" s="48">
        <f t="shared" si="3790"/>
        <v>4.1750066666666665</v>
      </c>
      <c r="CA671" s="48">
        <f t="shared" si="3791"/>
        <v>4.1750066666666665</v>
      </c>
      <c r="CB671" s="48">
        <f t="shared" si="3812"/>
        <v>4.1750066666666665</v>
      </c>
      <c r="CC671" s="48">
        <f t="shared" si="3792"/>
        <v>4.1750099999999986</v>
      </c>
      <c r="CD671" s="48">
        <f t="shared" si="3793"/>
        <v>4.1750099999999986</v>
      </c>
      <c r="CE671" s="48">
        <f>SUM(BA671:BC671)</f>
        <v>4.1750099999999986</v>
      </c>
      <c r="CF671" s="48">
        <f t="shared" si="3795"/>
        <v>4.1750099999999986</v>
      </c>
      <c r="CG671" s="48">
        <f t="shared" si="3796"/>
        <v>4.1750099999999986</v>
      </c>
      <c r="CH671" s="48">
        <f>SUM(BD671:BF671)</f>
        <v>4.1750099999999986</v>
      </c>
      <c r="CI671" s="48">
        <f t="shared" si="3798"/>
        <v>4.1750099999999986</v>
      </c>
      <c r="CJ671" s="48">
        <f t="shared" si="3799"/>
        <v>4.1750099999999986</v>
      </c>
      <c r="CK671" s="48">
        <f>SUM(BG671:BI671)</f>
        <v>4.1750099999999986</v>
      </c>
      <c r="CL671" s="48">
        <f t="shared" si="3801"/>
        <v>0</v>
      </c>
      <c r="CM671" s="48">
        <f t="shared" si="3802"/>
        <v>0</v>
      </c>
      <c r="CN671" s="48">
        <f t="shared" si="3771"/>
        <v>0</v>
      </c>
      <c r="CO671" s="406"/>
      <c r="CP671" s="48">
        <f>AL671</f>
        <v>1.5833333333333333</v>
      </c>
      <c r="CQ671" s="48">
        <f t="shared" ref="CQ671:DA671" si="3818">CP671+AM671</f>
        <v>3.1666666666666665</v>
      </c>
      <c r="CR671" s="48">
        <f t="shared" si="3818"/>
        <v>4.75</v>
      </c>
      <c r="CS671" s="48">
        <f t="shared" si="3818"/>
        <v>6.333333333333333</v>
      </c>
      <c r="CT671" s="48">
        <f t="shared" si="3818"/>
        <v>7.9166666666666661</v>
      </c>
      <c r="CU671" s="48">
        <f t="shared" si="3818"/>
        <v>9.5</v>
      </c>
      <c r="CV671" s="48">
        <f t="shared" si="3818"/>
        <v>11.083333333333334</v>
      </c>
      <c r="CW671" s="48">
        <f t="shared" si="3818"/>
        <v>12.666666666666668</v>
      </c>
      <c r="CX671" s="48">
        <f t="shared" si="3818"/>
        <v>14.250000000000002</v>
      </c>
      <c r="CY671" s="48">
        <f t="shared" si="3818"/>
        <v>15.833333333333336</v>
      </c>
      <c r="CZ671" s="48">
        <f t="shared" si="3818"/>
        <v>17.416666666666668</v>
      </c>
      <c r="DA671" s="48">
        <f t="shared" si="3818"/>
        <v>19</v>
      </c>
      <c r="DB671" s="48">
        <f>AX671</f>
        <v>1.3916666666666666</v>
      </c>
      <c r="DC671" s="48">
        <f t="shared" ref="DC671:DM671" si="3819">DB671+AY671</f>
        <v>2.7833366666666666</v>
      </c>
      <c r="DD671" s="48">
        <f t="shared" si="3819"/>
        <v>4.1750066666666665</v>
      </c>
      <c r="DE671" s="48">
        <f t="shared" si="3819"/>
        <v>5.5666766666666661</v>
      </c>
      <c r="DF671" s="48">
        <f t="shared" si="3819"/>
        <v>6.9583466666666656</v>
      </c>
      <c r="DG671" s="48">
        <f t="shared" si="3819"/>
        <v>8.3500166666666651</v>
      </c>
      <c r="DH671" s="48">
        <f t="shared" si="3819"/>
        <v>9.7416866666666646</v>
      </c>
      <c r="DI671" s="48">
        <f t="shared" si="3819"/>
        <v>11.133356666666664</v>
      </c>
      <c r="DJ671" s="48">
        <f t="shared" si="3819"/>
        <v>12.525026666666664</v>
      </c>
      <c r="DK671" s="48">
        <f t="shared" si="3819"/>
        <v>13.916696666666663</v>
      </c>
      <c r="DL671" s="48">
        <f t="shared" si="3819"/>
        <v>15.308366666666663</v>
      </c>
      <c r="DM671" s="48">
        <f t="shared" si="3819"/>
        <v>16.700036666666662</v>
      </c>
      <c r="DN671" s="48">
        <f>BJ671</f>
        <v>0</v>
      </c>
      <c r="DO671" s="48">
        <f>DN671+BK671</f>
        <v>0</v>
      </c>
      <c r="DP671" s="48">
        <f>DO671+BL671</f>
        <v>0</v>
      </c>
      <c r="DQ671" s="48"/>
      <c r="DR671" s="48"/>
      <c r="DS671" s="48"/>
      <c r="DT671" s="48"/>
      <c r="DU671" s="48"/>
      <c r="DV671" s="48"/>
      <c r="DW671" s="48"/>
      <c r="DX671" s="48"/>
      <c r="DY671" s="48"/>
      <c r="EA671" s="52">
        <f t="shared" si="3809"/>
        <v>19</v>
      </c>
      <c r="EB671" s="52">
        <f t="shared" si="3810"/>
        <v>16.700036666666662</v>
      </c>
      <c r="EC671" s="52"/>
      <c r="ED671" s="429"/>
      <c r="EE671" s="51">
        <f t="shared" si="3775"/>
        <v>0</v>
      </c>
      <c r="EF671" s="51">
        <f t="shared" si="3776"/>
        <v>0</v>
      </c>
      <c r="EG671" s="51">
        <f t="shared" ref="EG671:EG679" si="3820">HLOOKUP($EJ$4,Budget,ROW()-1)</f>
        <v>16.700036666666662</v>
      </c>
      <c r="EH671" s="54"/>
      <c r="EI671" s="54"/>
      <c r="EJ671" s="54"/>
      <c r="EK671" s="675"/>
      <c r="EL671" s="53"/>
      <c r="EM671" s="53"/>
      <c r="EN671" s="53"/>
      <c r="EO671" s="49"/>
      <c r="EP671" s="49"/>
      <c r="EQ671" s="49"/>
    </row>
    <row r="672" spans="1:150">
      <c r="A672" s="15" t="s">
        <v>23</v>
      </c>
      <c r="B672" s="14" t="s">
        <v>7</v>
      </c>
      <c r="C672" s="16" t="s">
        <v>45</v>
      </c>
      <c r="D672" s="16"/>
      <c r="E672" s="16" t="s">
        <v>16</v>
      </c>
      <c r="F672" s="16"/>
      <c r="G672" s="16" t="s">
        <v>89</v>
      </c>
      <c r="H672" s="16"/>
      <c r="I672" s="217"/>
      <c r="J672" s="218">
        <v>0.95</v>
      </c>
      <c r="K672" s="218">
        <v>0.95</v>
      </c>
      <c r="L672" s="218">
        <v>0.95</v>
      </c>
      <c r="M672" s="218">
        <v>0.95</v>
      </c>
      <c r="N672" s="218">
        <v>0.95</v>
      </c>
      <c r="O672" s="218">
        <v>0.95</v>
      </c>
      <c r="P672" s="218">
        <v>0.95</v>
      </c>
      <c r="Q672" s="218">
        <v>0.95</v>
      </c>
      <c r="R672" s="218">
        <v>0.95</v>
      </c>
      <c r="S672" s="218">
        <v>0.95</v>
      </c>
      <c r="T672" s="218">
        <v>0.95</v>
      </c>
      <c r="U672" s="218">
        <v>0.95</v>
      </c>
      <c r="V672" s="220">
        <f>$AG672</f>
        <v>0.95</v>
      </c>
      <c r="W672" s="250">
        <f t="shared" ref="W672:AF672" si="3821">$AG672</f>
        <v>0.95</v>
      </c>
      <c r="X672" s="250">
        <f t="shared" si="3821"/>
        <v>0.95</v>
      </c>
      <c r="Y672" s="250">
        <f t="shared" si="3821"/>
        <v>0.95</v>
      </c>
      <c r="Z672" s="250">
        <f t="shared" si="3821"/>
        <v>0.95</v>
      </c>
      <c r="AA672" s="250">
        <f t="shared" si="3821"/>
        <v>0.95</v>
      </c>
      <c r="AB672" s="250">
        <f t="shared" si="3821"/>
        <v>0.95</v>
      </c>
      <c r="AC672" s="250">
        <f t="shared" si="3821"/>
        <v>0.95</v>
      </c>
      <c r="AD672" s="250">
        <f t="shared" si="3821"/>
        <v>0.95</v>
      </c>
      <c r="AE672" s="250">
        <f t="shared" si="3821"/>
        <v>0.95</v>
      </c>
      <c r="AF672" s="250">
        <f t="shared" si="3821"/>
        <v>0.95</v>
      </c>
      <c r="AG672" s="250">
        <v>0.95</v>
      </c>
      <c r="AH672" s="33">
        <v>0.95</v>
      </c>
      <c r="AI672" s="220">
        <v>0.95</v>
      </c>
      <c r="AJ672" s="220">
        <v>0.95</v>
      </c>
      <c r="AK672" s="412"/>
      <c r="AL672" s="55">
        <f>J672</f>
        <v>0.95</v>
      </c>
      <c r="AM672" s="55">
        <f t="shared" ref="AM672:AW672" si="3822">K672</f>
        <v>0.95</v>
      </c>
      <c r="AN672" s="55">
        <f t="shared" si="3822"/>
        <v>0.95</v>
      </c>
      <c r="AO672" s="55">
        <f t="shared" si="3822"/>
        <v>0.95</v>
      </c>
      <c r="AP672" s="55">
        <f t="shared" si="3822"/>
        <v>0.95</v>
      </c>
      <c r="AQ672" s="55">
        <f t="shared" si="3822"/>
        <v>0.95</v>
      </c>
      <c r="AR672" s="55">
        <f t="shared" si="3822"/>
        <v>0.95</v>
      </c>
      <c r="AS672" s="55">
        <f t="shared" si="3822"/>
        <v>0.95</v>
      </c>
      <c r="AT672" s="55">
        <f t="shared" si="3822"/>
        <v>0.95</v>
      </c>
      <c r="AU672" s="55">
        <f t="shared" si="3822"/>
        <v>0.95</v>
      </c>
      <c r="AV672" s="55">
        <f t="shared" si="3822"/>
        <v>0.95</v>
      </c>
      <c r="AW672" s="55">
        <f t="shared" si="3822"/>
        <v>0.95</v>
      </c>
      <c r="AX672" s="55">
        <f>V672</f>
        <v>0.95</v>
      </c>
      <c r="AY672" s="55">
        <f t="shared" ref="AY672:BI672" si="3823">W672</f>
        <v>0.95</v>
      </c>
      <c r="AZ672" s="55">
        <f t="shared" si="3823"/>
        <v>0.95</v>
      </c>
      <c r="BA672" s="55">
        <f t="shared" si="3823"/>
        <v>0.95</v>
      </c>
      <c r="BB672" s="55">
        <f t="shared" si="3823"/>
        <v>0.95</v>
      </c>
      <c r="BC672" s="55">
        <f t="shared" si="3823"/>
        <v>0.95</v>
      </c>
      <c r="BD672" s="55">
        <f t="shared" si="3823"/>
        <v>0.95</v>
      </c>
      <c r="BE672" s="55">
        <f t="shared" si="3823"/>
        <v>0.95</v>
      </c>
      <c r="BF672" s="55">
        <f t="shared" si="3823"/>
        <v>0.95</v>
      </c>
      <c r="BG672" s="55">
        <f t="shared" si="3823"/>
        <v>0.95</v>
      </c>
      <c r="BH672" s="55">
        <f t="shared" si="3823"/>
        <v>0.95</v>
      </c>
      <c r="BI672" s="55">
        <f t="shared" si="3823"/>
        <v>0.95</v>
      </c>
      <c r="BJ672" s="55">
        <f>AH672</f>
        <v>0.95</v>
      </c>
      <c r="BK672" s="55">
        <f>AI672</f>
        <v>0.95</v>
      </c>
      <c r="BL672" s="55">
        <f>AJ672</f>
        <v>0.95</v>
      </c>
      <c r="BM672" s="410"/>
      <c r="BN672" s="56">
        <f t="shared" si="3778"/>
        <v>0.94999999999999984</v>
      </c>
      <c r="BO672" s="56">
        <f t="shared" si="3779"/>
        <v>0.94999999999999984</v>
      </c>
      <c r="BP672" s="56">
        <f>(AL672*AL671+AM672*AM671+AN672*AN671)/BP671</f>
        <v>0.94999999999999984</v>
      </c>
      <c r="BQ672" s="56">
        <f t="shared" si="3781"/>
        <v>0.94999999999999984</v>
      </c>
      <c r="BR672" s="56">
        <f t="shared" si="3782"/>
        <v>0.94999999999999984</v>
      </c>
      <c r="BS672" s="56">
        <f>(AO672*AO671+AP672*AP671+AQ672*AQ671)/BS671</f>
        <v>0.94999999999999984</v>
      </c>
      <c r="BT672" s="56">
        <f t="shared" si="3784"/>
        <v>0.94999999999999984</v>
      </c>
      <c r="BU672" s="56">
        <f t="shared" si="3785"/>
        <v>0.94999999999999984</v>
      </c>
      <c r="BV672" s="56">
        <f>(AR672*AR671+AS672*AS671+AT672*AT671)/BV671</f>
        <v>0.94999999999999984</v>
      </c>
      <c r="BW672" s="56">
        <f t="shared" si="3787"/>
        <v>0.94999999999999984</v>
      </c>
      <c r="BX672" s="56">
        <f t="shared" si="3788"/>
        <v>0.94999999999999984</v>
      </c>
      <c r="BY672" s="56">
        <f>(AU672*AU671+AV672*AV671+AW672*AW671)/BY671</f>
        <v>0.94999999999999984</v>
      </c>
      <c r="BZ672" s="56">
        <f t="shared" si="3790"/>
        <v>0.95</v>
      </c>
      <c r="CA672" s="56">
        <f t="shared" si="3791"/>
        <v>0.95</v>
      </c>
      <c r="CB672" s="99">
        <f t="shared" si="3812"/>
        <v>0.95</v>
      </c>
      <c r="CC672" s="56">
        <f t="shared" si="3792"/>
        <v>2.8499999999999996</v>
      </c>
      <c r="CD672" s="56">
        <f t="shared" si="3793"/>
        <v>2.8499999999999996</v>
      </c>
      <c r="CE672" s="48">
        <f>SUM(BA672:BC672)</f>
        <v>2.8499999999999996</v>
      </c>
      <c r="CF672" s="56">
        <f t="shared" si="3795"/>
        <v>2.8499999999999996</v>
      </c>
      <c r="CG672" s="56">
        <f t="shared" si="3796"/>
        <v>2.8499999999999996</v>
      </c>
      <c r="CH672" s="48">
        <f>SUM(BD672:BF672)</f>
        <v>2.8499999999999996</v>
      </c>
      <c r="CI672" s="56">
        <f t="shared" si="3798"/>
        <v>2.8499999999999996</v>
      </c>
      <c r="CJ672" s="56">
        <f t="shared" si="3799"/>
        <v>2.8499999999999996</v>
      </c>
      <c r="CK672" s="48">
        <f>SUM(BG672:BI672)</f>
        <v>2.8499999999999996</v>
      </c>
      <c r="CL672" s="56">
        <v>0.95</v>
      </c>
      <c r="CM672" s="56">
        <v>0.95</v>
      </c>
      <c r="CN672" s="56">
        <v>0.95</v>
      </c>
      <c r="CO672" s="422"/>
      <c r="CP672" s="56">
        <f t="shared" ref="CP672:DA672" si="3824">CP685/CP671</f>
        <v>0.94999999999999984</v>
      </c>
      <c r="CQ672" s="56">
        <f t="shared" si="3824"/>
        <v>0.94999999999999984</v>
      </c>
      <c r="CR672" s="56">
        <f t="shared" si="3824"/>
        <v>0.94999999999999984</v>
      </c>
      <c r="CS672" s="56">
        <f t="shared" si="3824"/>
        <v>0.94999999999999984</v>
      </c>
      <c r="CT672" s="56">
        <f t="shared" si="3824"/>
        <v>0.95</v>
      </c>
      <c r="CU672" s="56">
        <f t="shared" si="3824"/>
        <v>0.94999999999999984</v>
      </c>
      <c r="CV672" s="56">
        <f t="shared" si="3824"/>
        <v>0.94999999999999984</v>
      </c>
      <c r="CW672" s="56">
        <f t="shared" si="3824"/>
        <v>0.94999999999999973</v>
      </c>
      <c r="CX672" s="56">
        <f t="shared" si="3824"/>
        <v>0.94999999999999973</v>
      </c>
      <c r="CY672" s="56">
        <f t="shared" si="3824"/>
        <v>0.94999999999999973</v>
      </c>
      <c r="CZ672" s="56">
        <f t="shared" si="3824"/>
        <v>0.94999999999999973</v>
      </c>
      <c r="DA672" s="56">
        <f t="shared" si="3824"/>
        <v>0.94999999999999984</v>
      </c>
      <c r="DB672" s="56">
        <f t="shared" ref="DB672:DP672" si="3825">DA672</f>
        <v>0.94999999999999984</v>
      </c>
      <c r="DC672" s="56">
        <f t="shared" si="3825"/>
        <v>0.94999999999999984</v>
      </c>
      <c r="DD672" s="56">
        <f t="shared" si="3825"/>
        <v>0.94999999999999984</v>
      </c>
      <c r="DE672" s="56">
        <f t="shared" si="3825"/>
        <v>0.94999999999999984</v>
      </c>
      <c r="DF672" s="56">
        <f t="shared" si="3825"/>
        <v>0.94999999999999984</v>
      </c>
      <c r="DG672" s="56">
        <f t="shared" si="3825"/>
        <v>0.94999999999999984</v>
      </c>
      <c r="DH672" s="56">
        <f t="shared" si="3825"/>
        <v>0.94999999999999984</v>
      </c>
      <c r="DI672" s="56">
        <f t="shared" si="3825"/>
        <v>0.94999999999999984</v>
      </c>
      <c r="DJ672" s="56">
        <f t="shared" si="3825"/>
        <v>0.94999999999999984</v>
      </c>
      <c r="DK672" s="56">
        <f t="shared" si="3825"/>
        <v>0.94999999999999984</v>
      </c>
      <c r="DL672" s="56">
        <f t="shared" si="3825"/>
        <v>0.94999999999999984</v>
      </c>
      <c r="DM672" s="56">
        <f t="shared" si="3825"/>
        <v>0.94999999999999984</v>
      </c>
      <c r="DN672" s="56">
        <f t="shared" si="3825"/>
        <v>0.94999999999999984</v>
      </c>
      <c r="DO672" s="56">
        <f t="shared" si="3825"/>
        <v>0.94999999999999984</v>
      </c>
      <c r="DP672" s="56">
        <f t="shared" si="3825"/>
        <v>0.94999999999999984</v>
      </c>
      <c r="DQ672" s="56"/>
      <c r="DR672" s="56"/>
      <c r="DS672" s="56"/>
      <c r="DT672" s="56"/>
      <c r="DU672" s="56"/>
      <c r="DV672" s="56"/>
      <c r="DW672" s="56"/>
      <c r="DX672" s="56"/>
      <c r="DY672" s="56"/>
      <c r="DZ672" s="14"/>
      <c r="EA672" s="55">
        <f t="shared" si="3809"/>
        <v>0.94999999999999984</v>
      </c>
      <c r="EB672" s="55">
        <f t="shared" si="3810"/>
        <v>0.94999999999999984</v>
      </c>
      <c r="EC672" s="55"/>
      <c r="ED672" s="430"/>
      <c r="EE672" s="56">
        <f t="shared" si="3775"/>
        <v>0.95</v>
      </c>
      <c r="EF672" s="56">
        <f t="shared" si="3776"/>
        <v>0.95</v>
      </c>
      <c r="EG672" s="56">
        <f t="shared" si="3820"/>
        <v>0.94999999999999984</v>
      </c>
      <c r="EH672" s="57"/>
      <c r="EI672" s="57"/>
      <c r="EJ672" s="57"/>
      <c r="EK672" s="675"/>
      <c r="EL672" s="55"/>
      <c r="EM672" s="55"/>
      <c r="EN672" s="55"/>
      <c r="EO672" s="49"/>
      <c r="EP672" s="49"/>
      <c r="EQ672" s="49"/>
      <c r="ER672" s="14"/>
      <c r="ES672" s="14"/>
      <c r="ET672" s="14"/>
    </row>
    <row r="673" spans="1:149">
      <c r="A673" s="6" t="s">
        <v>23</v>
      </c>
      <c r="B673" s="2" t="s">
        <v>8</v>
      </c>
      <c r="C673" s="3" t="s">
        <v>86</v>
      </c>
      <c r="E673" s="3" t="s">
        <v>16</v>
      </c>
      <c r="G673" s="3" t="s">
        <v>91</v>
      </c>
      <c r="I673" s="216"/>
      <c r="J673" s="213">
        <v>0.75</v>
      </c>
      <c r="K673" s="213">
        <v>1.5</v>
      </c>
      <c r="L673" s="213">
        <v>2.25</v>
      </c>
      <c r="M673" s="213">
        <v>3</v>
      </c>
      <c r="N673" s="213">
        <v>3.75</v>
      </c>
      <c r="O673" s="213">
        <v>4.5</v>
      </c>
      <c r="P673" s="213">
        <v>5.25</v>
      </c>
      <c r="Q673" s="213">
        <v>6</v>
      </c>
      <c r="R673" s="213">
        <v>6.75</v>
      </c>
      <c r="S673" s="213">
        <v>7.5</v>
      </c>
      <c r="T673" s="213">
        <v>8.25</v>
      </c>
      <c r="U673" s="213">
        <v>9</v>
      </c>
      <c r="V673" s="219">
        <f>10/12</f>
        <v>0.83333333333333337</v>
      </c>
      <c r="W673" s="246">
        <f>V673+0.83333</f>
        <v>1.6666633333333334</v>
      </c>
      <c r="X673" s="376">
        <f t="shared" ref="X673:AG673" si="3826">W673+0.83333</f>
        <v>2.4999933333333333</v>
      </c>
      <c r="Y673" s="376">
        <f t="shared" si="3826"/>
        <v>3.3333233333333334</v>
      </c>
      <c r="Z673" s="376">
        <f t="shared" si="3826"/>
        <v>4.1666533333333335</v>
      </c>
      <c r="AA673" s="376">
        <f t="shared" si="3826"/>
        <v>4.9999833333333337</v>
      </c>
      <c r="AB673" s="376">
        <f t="shared" si="3826"/>
        <v>5.8333133333333338</v>
      </c>
      <c r="AC673" s="376">
        <f t="shared" si="3826"/>
        <v>6.6666433333333339</v>
      </c>
      <c r="AD673" s="376">
        <f t="shared" si="3826"/>
        <v>7.499973333333334</v>
      </c>
      <c r="AE673" s="376">
        <f t="shared" si="3826"/>
        <v>8.3333033333333333</v>
      </c>
      <c r="AF673" s="376">
        <f t="shared" si="3826"/>
        <v>9.1666333333333334</v>
      </c>
      <c r="AG673" s="263">
        <f t="shared" si="3826"/>
        <v>9.9999633333333335</v>
      </c>
      <c r="AH673" s="31"/>
      <c r="AI673" s="19"/>
      <c r="AJ673" s="19"/>
      <c r="AK673" s="408"/>
      <c r="AL673" s="40">
        <f>J673</f>
        <v>0.75</v>
      </c>
      <c r="AM673" s="40">
        <f>K673-J673</f>
        <v>0.75</v>
      </c>
      <c r="AN673" s="40">
        <f t="shared" ref="AN673:AN679" si="3827">L673-K673</f>
        <v>0.75</v>
      </c>
      <c r="AO673" s="40">
        <f t="shared" ref="AO673:AO679" si="3828">M673-L673</f>
        <v>0.75</v>
      </c>
      <c r="AP673" s="40">
        <f t="shared" ref="AP673:AP679" si="3829">N673-M673</f>
        <v>0.75</v>
      </c>
      <c r="AQ673" s="40">
        <f t="shared" ref="AQ673:AQ679" si="3830">O673-N673</f>
        <v>0.75</v>
      </c>
      <c r="AR673" s="40">
        <f t="shared" ref="AR673:AR679" si="3831">P673-O673</f>
        <v>0.75</v>
      </c>
      <c r="AS673" s="40">
        <f t="shared" ref="AS673:AS679" si="3832">Q673-P673</f>
        <v>0.75</v>
      </c>
      <c r="AT673" s="40">
        <f t="shared" ref="AT673:AT679" si="3833">R673-Q673</f>
        <v>0.75</v>
      </c>
      <c r="AU673" s="40">
        <f t="shared" ref="AU673:AU679" si="3834">S673-R673</f>
        <v>0.75</v>
      </c>
      <c r="AV673" s="40">
        <f t="shared" ref="AV673:AV679" si="3835">T673-S673</f>
        <v>0.75</v>
      </c>
      <c r="AW673" s="40">
        <f t="shared" ref="AW673:AW679" si="3836">U673-T673</f>
        <v>0.75</v>
      </c>
      <c r="AX673" s="40">
        <f>V673</f>
        <v>0.83333333333333337</v>
      </c>
      <c r="AY673" s="40">
        <f t="shared" ref="AY673:AY679" si="3837">W673-V673</f>
        <v>0.83333000000000002</v>
      </c>
      <c r="AZ673" s="40">
        <f t="shared" ref="AZ673:AZ679" si="3838">X673-W673</f>
        <v>0.8333299999999999</v>
      </c>
      <c r="BA673" s="40">
        <f t="shared" ref="BA673:BA679" si="3839">Y673-X673</f>
        <v>0.83333000000000013</v>
      </c>
      <c r="BB673" s="40">
        <f t="shared" ref="BB673:BB679" si="3840">Z673-Y673</f>
        <v>0.83333000000000013</v>
      </c>
      <c r="BC673" s="40">
        <f t="shared" ref="BC673:BC679" si="3841">AA673-Z673</f>
        <v>0.83333000000000013</v>
      </c>
      <c r="BD673" s="40">
        <f t="shared" ref="BD673:BD679" si="3842">AB673-AA673</f>
        <v>0.83333000000000013</v>
      </c>
      <c r="BE673" s="40">
        <f t="shared" ref="BE673:BE679" si="3843">AC673-AB673</f>
        <v>0.83333000000000013</v>
      </c>
      <c r="BF673" s="40">
        <f t="shared" ref="BF673:BF679" si="3844">AD673-AC673</f>
        <v>0.83333000000000013</v>
      </c>
      <c r="BG673" s="40">
        <f t="shared" ref="BG673:BG679" si="3845">AE673-AD673</f>
        <v>0.83332999999999924</v>
      </c>
      <c r="BH673" s="40">
        <f t="shared" ref="BH673:BH679" si="3846">AF673-AE673</f>
        <v>0.83333000000000013</v>
      </c>
      <c r="BI673" s="40">
        <f t="shared" ref="BI673:BI679" si="3847">AG673-AF673</f>
        <v>0.83333000000000013</v>
      </c>
      <c r="BJ673" s="40">
        <f t="shared" ref="BJ673:BJ678" si="3848">AH673</f>
        <v>0</v>
      </c>
      <c r="BK673" s="40">
        <f t="shared" ref="BK673:BK679" si="3849">AI673-AH673</f>
        <v>0</v>
      </c>
      <c r="BL673" s="40">
        <f t="shared" ref="BL673:BL679" si="3850">AJ673-AI673</f>
        <v>0</v>
      </c>
      <c r="BM673" s="408"/>
      <c r="BN673" s="48">
        <f t="shared" si="3778"/>
        <v>2.25</v>
      </c>
      <c r="BO673" s="48">
        <f t="shared" si="3779"/>
        <v>2.25</v>
      </c>
      <c r="BP673" s="48">
        <f t="shared" ref="BP673:BP678" si="3851">SUM(AL673:AN673)</f>
        <v>2.25</v>
      </c>
      <c r="BQ673" s="48">
        <f t="shared" si="3781"/>
        <v>2.25</v>
      </c>
      <c r="BR673" s="48">
        <f t="shared" si="3782"/>
        <v>2.25</v>
      </c>
      <c r="BS673" s="48">
        <f t="shared" ref="BS673:BS679" si="3852">SUM(AO673:AQ673)</f>
        <v>2.25</v>
      </c>
      <c r="BT673" s="48">
        <f t="shared" si="3784"/>
        <v>2.25</v>
      </c>
      <c r="BU673" s="48">
        <f t="shared" si="3785"/>
        <v>2.25</v>
      </c>
      <c r="BV673" s="48">
        <f t="shared" ref="BV673:BV679" si="3853">SUM(AR673:AT673)</f>
        <v>2.25</v>
      </c>
      <c r="BW673" s="48">
        <f t="shared" si="3787"/>
        <v>2.25</v>
      </c>
      <c r="BX673" s="48">
        <f t="shared" si="3788"/>
        <v>2.25</v>
      </c>
      <c r="BY673" s="48">
        <f t="shared" ref="BY673:BY679" si="3854">SUM(AU673:AW673)</f>
        <v>2.25</v>
      </c>
      <c r="BZ673" s="48">
        <f t="shared" si="3790"/>
        <v>2.4999933333333333</v>
      </c>
      <c r="CA673" s="48">
        <f t="shared" si="3791"/>
        <v>2.4999933333333333</v>
      </c>
      <c r="CB673" s="48">
        <f t="shared" si="3812"/>
        <v>2.4999933333333333</v>
      </c>
      <c r="CC673" s="48">
        <f t="shared" si="3792"/>
        <v>2.4999900000000004</v>
      </c>
      <c r="CD673" s="48">
        <f t="shared" si="3793"/>
        <v>2.4999900000000004</v>
      </c>
      <c r="CE673" s="48">
        <f>SUM(BA673:BC673)</f>
        <v>2.4999900000000004</v>
      </c>
      <c r="CF673" s="48">
        <f t="shared" si="3795"/>
        <v>2.4999900000000004</v>
      </c>
      <c r="CG673" s="48">
        <f t="shared" si="3796"/>
        <v>2.4999900000000004</v>
      </c>
      <c r="CH673" s="48">
        <f>SUM(BD673:BF673)</f>
        <v>2.4999900000000004</v>
      </c>
      <c r="CI673" s="48">
        <f t="shared" si="3798"/>
        <v>2.4999899999999995</v>
      </c>
      <c r="CJ673" s="48">
        <f t="shared" si="3799"/>
        <v>2.4999899999999995</v>
      </c>
      <c r="CK673" s="48">
        <f>SUM(BG673:BI673)</f>
        <v>2.4999899999999995</v>
      </c>
      <c r="CL673" s="48">
        <f t="shared" si="3801"/>
        <v>0</v>
      </c>
      <c r="CM673" s="48">
        <f t="shared" si="3802"/>
        <v>0</v>
      </c>
      <c r="CN673" s="48">
        <f>SUM(BJ673:BL673)</f>
        <v>0</v>
      </c>
      <c r="CO673" s="406"/>
      <c r="CP673" s="48">
        <f>AL673</f>
        <v>0.75</v>
      </c>
      <c r="CQ673" s="48">
        <f t="shared" ref="CQ673:CQ679" si="3855">CP673+AM673</f>
        <v>1.5</v>
      </c>
      <c r="CR673" s="48">
        <f t="shared" ref="CR673:CR679" si="3856">CQ673+AN673</f>
        <v>2.25</v>
      </c>
      <c r="CS673" s="48">
        <f t="shared" ref="CS673:CS679" si="3857">CR673+AO673</f>
        <v>3</v>
      </c>
      <c r="CT673" s="48">
        <f t="shared" ref="CT673:CT679" si="3858">CS673+AP673</f>
        <v>3.75</v>
      </c>
      <c r="CU673" s="48">
        <f t="shared" ref="CU673:CU679" si="3859">CT673+AQ673</f>
        <v>4.5</v>
      </c>
      <c r="CV673" s="48">
        <f t="shared" ref="CV673:CV679" si="3860">CU673+AR673</f>
        <v>5.25</v>
      </c>
      <c r="CW673" s="48">
        <f t="shared" ref="CW673:CW679" si="3861">CV673+AS673</f>
        <v>6</v>
      </c>
      <c r="CX673" s="48">
        <f t="shared" ref="CX673:CX679" si="3862">CW673+AT673</f>
        <v>6.75</v>
      </c>
      <c r="CY673" s="48">
        <f t="shared" ref="CY673:CY679" si="3863">CX673+AU673</f>
        <v>7.5</v>
      </c>
      <c r="CZ673" s="48">
        <f t="shared" ref="CZ673:CZ679" si="3864">CY673+AV673</f>
        <v>8.25</v>
      </c>
      <c r="DA673" s="48">
        <f t="shared" ref="DA673:DA679" si="3865">CZ673+AW673</f>
        <v>9</v>
      </c>
      <c r="DB673" s="48">
        <f>AX673</f>
        <v>0.83333333333333337</v>
      </c>
      <c r="DC673" s="48">
        <f t="shared" ref="DC673:DC679" si="3866">DB673+AY673</f>
        <v>1.6666633333333334</v>
      </c>
      <c r="DD673" s="48">
        <f t="shared" ref="DD673:DD679" si="3867">DC673+AZ673</f>
        <v>2.4999933333333333</v>
      </c>
      <c r="DE673" s="48">
        <f t="shared" ref="DE673:DE679" si="3868">DD673+BA673</f>
        <v>3.3333233333333334</v>
      </c>
      <c r="DF673" s="48">
        <f t="shared" ref="DF673:DF679" si="3869">DE673+BB673</f>
        <v>4.1666533333333335</v>
      </c>
      <c r="DG673" s="48">
        <f t="shared" ref="DG673:DG679" si="3870">DF673+BC673</f>
        <v>4.9999833333333337</v>
      </c>
      <c r="DH673" s="48">
        <f t="shared" ref="DH673:DH679" si="3871">DG673+BD673</f>
        <v>5.8333133333333338</v>
      </c>
      <c r="DI673" s="48">
        <f t="shared" ref="DI673:DI679" si="3872">DH673+BE673</f>
        <v>6.6666433333333339</v>
      </c>
      <c r="DJ673" s="48">
        <f t="shared" ref="DJ673:DJ679" si="3873">DI673+BF673</f>
        <v>7.499973333333334</v>
      </c>
      <c r="DK673" s="48">
        <f t="shared" ref="DK673:DK679" si="3874">DJ673+BG673</f>
        <v>8.3333033333333333</v>
      </c>
      <c r="DL673" s="48">
        <f t="shared" ref="DL673:DL679" si="3875">DK673+BH673</f>
        <v>9.1666333333333334</v>
      </c>
      <c r="DM673" s="48">
        <f t="shared" ref="DM673:DM679" si="3876">DL673+BI673</f>
        <v>9.9999633333333335</v>
      </c>
      <c r="DN673" s="48">
        <f t="shared" ref="DN673:DN678" si="3877">BJ673</f>
        <v>0</v>
      </c>
      <c r="DO673" s="48">
        <f>DN673+BK673</f>
        <v>0</v>
      </c>
      <c r="DP673" s="48">
        <f>DO673+BL673</f>
        <v>0</v>
      </c>
      <c r="DQ673" s="48"/>
      <c r="DR673" s="48"/>
      <c r="DS673" s="48"/>
      <c r="DT673" s="48"/>
      <c r="DU673" s="48"/>
      <c r="DV673" s="48"/>
      <c r="DW673" s="48"/>
      <c r="DX673" s="48"/>
      <c r="DY673" s="48"/>
      <c r="EA673" s="52">
        <f t="shared" si="3809"/>
        <v>9</v>
      </c>
      <c r="EB673" s="52">
        <f t="shared" si="3810"/>
        <v>9.9999633333333335</v>
      </c>
      <c r="EC673" s="52"/>
      <c r="ED673" s="429"/>
      <c r="EE673" s="40">
        <f t="shared" si="3775"/>
        <v>0</v>
      </c>
      <c r="EF673" s="40">
        <f t="shared" si="3776"/>
        <v>0</v>
      </c>
      <c r="EG673" s="51">
        <f t="shared" si="3820"/>
        <v>9.9999633333333335</v>
      </c>
      <c r="EH673" s="54"/>
      <c r="EI673" s="54"/>
      <c r="EJ673" s="54"/>
      <c r="EK673" s="675"/>
      <c r="EL673" s="53"/>
      <c r="EM673" s="53"/>
      <c r="EN673" s="53"/>
      <c r="EO673" s="49"/>
      <c r="EP673" s="49"/>
      <c r="EQ673" s="49"/>
    </row>
    <row r="674" spans="1:149">
      <c r="A674" s="6" t="s">
        <v>23</v>
      </c>
      <c r="B674" s="2" t="s">
        <v>9</v>
      </c>
      <c r="C674" s="3" t="s">
        <v>46</v>
      </c>
      <c r="E674" s="3" t="s">
        <v>16</v>
      </c>
      <c r="G674" s="3" t="s">
        <v>91</v>
      </c>
      <c r="I674" s="216"/>
      <c r="J674" s="213">
        <v>34.166666666666664</v>
      </c>
      <c r="K674" s="213">
        <v>68.333333366666665</v>
      </c>
      <c r="L674" s="213">
        <v>102.50000006666667</v>
      </c>
      <c r="M674" s="213">
        <v>136.66666676666668</v>
      </c>
      <c r="N674" s="213">
        <v>170.83333346666669</v>
      </c>
      <c r="O674" s="213">
        <v>205.00000016666669</v>
      </c>
      <c r="P674" s="213">
        <v>239.1666668666667</v>
      </c>
      <c r="Q674" s="213">
        <v>273.33333356666668</v>
      </c>
      <c r="R674" s="213">
        <v>307.50000026666669</v>
      </c>
      <c r="S674" s="213">
        <v>341.6666669666667</v>
      </c>
      <c r="T674" s="213">
        <v>375.8333336666667</v>
      </c>
      <c r="U674" s="213">
        <v>410.00000036666671</v>
      </c>
      <c r="V674" s="219">
        <f>450/12</f>
        <v>37.5</v>
      </c>
      <c r="W674" s="246">
        <f>V674+37.5</f>
        <v>75</v>
      </c>
      <c r="X674" s="376">
        <f t="shared" ref="X674:AG674" si="3878">W674+37.5</f>
        <v>112.5</v>
      </c>
      <c r="Y674" s="376">
        <f t="shared" si="3878"/>
        <v>150</v>
      </c>
      <c r="Z674" s="376">
        <f t="shared" si="3878"/>
        <v>187.5</v>
      </c>
      <c r="AA674" s="376">
        <f t="shared" si="3878"/>
        <v>225</v>
      </c>
      <c r="AB674" s="376">
        <f t="shared" si="3878"/>
        <v>262.5</v>
      </c>
      <c r="AC674" s="376">
        <f t="shared" si="3878"/>
        <v>300</v>
      </c>
      <c r="AD674" s="376">
        <f t="shared" si="3878"/>
        <v>337.5</v>
      </c>
      <c r="AE674" s="376">
        <f t="shared" si="3878"/>
        <v>375</v>
      </c>
      <c r="AF674" s="376">
        <f t="shared" si="3878"/>
        <v>412.5</v>
      </c>
      <c r="AG674" s="376">
        <f t="shared" si="3878"/>
        <v>450</v>
      </c>
      <c r="AH674" s="31">
        <f>400/12</f>
        <v>33.333333333333336</v>
      </c>
      <c r="AI674" s="19">
        <f>AH674+AH674</f>
        <v>66.666666666666671</v>
      </c>
      <c r="AJ674" s="19">
        <f>+AI674+AH674</f>
        <v>100</v>
      </c>
      <c r="AK674" s="408"/>
      <c r="AL674" s="40">
        <f t="shared" ref="AL674:AL679" si="3879">J674</f>
        <v>34.166666666666664</v>
      </c>
      <c r="AM674" s="40">
        <f t="shared" ref="AM674:AM679" si="3880">K674-J674</f>
        <v>34.1666667</v>
      </c>
      <c r="AN674" s="40">
        <f t="shared" si="3827"/>
        <v>34.166666700000007</v>
      </c>
      <c r="AO674" s="40">
        <f t="shared" si="3828"/>
        <v>34.166666700000007</v>
      </c>
      <c r="AP674" s="40">
        <f t="shared" si="3829"/>
        <v>34.166666700000007</v>
      </c>
      <c r="AQ674" s="40">
        <f t="shared" si="3830"/>
        <v>34.166666700000007</v>
      </c>
      <c r="AR674" s="40">
        <f t="shared" si="3831"/>
        <v>34.166666700000007</v>
      </c>
      <c r="AS674" s="40">
        <f t="shared" si="3832"/>
        <v>34.166666699999979</v>
      </c>
      <c r="AT674" s="40">
        <f t="shared" si="3833"/>
        <v>34.166666700000007</v>
      </c>
      <c r="AU674" s="40">
        <f t="shared" si="3834"/>
        <v>34.166666700000007</v>
      </c>
      <c r="AV674" s="40">
        <f t="shared" si="3835"/>
        <v>34.166666700000007</v>
      </c>
      <c r="AW674" s="40">
        <f t="shared" si="3836"/>
        <v>34.166666700000007</v>
      </c>
      <c r="AX674" s="40">
        <f t="shared" ref="AX674:AX679" si="3881">V674</f>
        <v>37.5</v>
      </c>
      <c r="AY674" s="40">
        <f t="shared" si="3837"/>
        <v>37.5</v>
      </c>
      <c r="AZ674" s="40">
        <f t="shared" si="3838"/>
        <v>37.5</v>
      </c>
      <c r="BA674" s="40">
        <f t="shared" si="3839"/>
        <v>37.5</v>
      </c>
      <c r="BB674" s="40">
        <f t="shared" si="3840"/>
        <v>37.5</v>
      </c>
      <c r="BC674" s="40">
        <f t="shared" si="3841"/>
        <v>37.5</v>
      </c>
      <c r="BD674" s="40">
        <f t="shared" si="3842"/>
        <v>37.5</v>
      </c>
      <c r="BE674" s="40">
        <f t="shared" si="3843"/>
        <v>37.5</v>
      </c>
      <c r="BF674" s="40">
        <f t="shared" si="3844"/>
        <v>37.5</v>
      </c>
      <c r="BG674" s="40">
        <f t="shared" si="3845"/>
        <v>37.5</v>
      </c>
      <c r="BH674" s="40">
        <f t="shared" si="3846"/>
        <v>37.5</v>
      </c>
      <c r="BI674" s="40">
        <f t="shared" si="3847"/>
        <v>37.5</v>
      </c>
      <c r="BJ674" s="40">
        <f t="shared" si="3848"/>
        <v>33.333333333333336</v>
      </c>
      <c r="BK674" s="40">
        <f t="shared" si="3849"/>
        <v>33.333333333333336</v>
      </c>
      <c r="BL674" s="40">
        <f t="shared" si="3850"/>
        <v>33.333333333333329</v>
      </c>
      <c r="BM674" s="408"/>
      <c r="BN674" s="48">
        <f t="shared" si="3778"/>
        <v>102.50000006666667</v>
      </c>
      <c r="BO674" s="48">
        <f t="shared" si="3779"/>
        <v>102.50000006666667</v>
      </c>
      <c r="BP674" s="48">
        <f t="shared" si="3851"/>
        <v>102.50000006666667</v>
      </c>
      <c r="BQ674" s="48">
        <f t="shared" si="3781"/>
        <v>102.50000010000002</v>
      </c>
      <c r="BR674" s="48">
        <f t="shared" si="3782"/>
        <v>102.50000010000002</v>
      </c>
      <c r="BS674" s="48">
        <f t="shared" si="3852"/>
        <v>102.50000010000002</v>
      </c>
      <c r="BT674" s="48">
        <f t="shared" si="3784"/>
        <v>102.50000009999999</v>
      </c>
      <c r="BU674" s="48">
        <f t="shared" si="3785"/>
        <v>102.50000009999999</v>
      </c>
      <c r="BV674" s="48">
        <f t="shared" si="3853"/>
        <v>102.50000009999999</v>
      </c>
      <c r="BW674" s="48">
        <f t="shared" si="3787"/>
        <v>102.50000010000002</v>
      </c>
      <c r="BX674" s="48">
        <f t="shared" si="3788"/>
        <v>102.50000010000002</v>
      </c>
      <c r="BY674" s="48">
        <f t="shared" si="3854"/>
        <v>102.50000010000002</v>
      </c>
      <c r="BZ674" s="48">
        <f t="shared" si="3790"/>
        <v>112.5</v>
      </c>
      <c r="CA674" s="48">
        <f t="shared" si="3791"/>
        <v>112.5</v>
      </c>
      <c r="CB674" s="48">
        <f t="shared" si="3812"/>
        <v>112.5</v>
      </c>
      <c r="CC674" s="48">
        <f t="shared" si="3792"/>
        <v>37.5</v>
      </c>
      <c r="CD674" s="48">
        <f t="shared" si="3793"/>
        <v>37.5</v>
      </c>
      <c r="CE674" s="56">
        <f>IF(CE673=0,0,(BA674*BA673+BB674*BB673+BC674*BC673)/CE673)</f>
        <v>37.5</v>
      </c>
      <c r="CF674" s="48">
        <f t="shared" si="3795"/>
        <v>37.5</v>
      </c>
      <c r="CG674" s="48">
        <f t="shared" si="3796"/>
        <v>37.5</v>
      </c>
      <c r="CH674" s="56">
        <f>IF(CH673=0,0,(BD674*BD673+BE674*BE673+BF674*BF673)/CH673)</f>
        <v>37.5</v>
      </c>
      <c r="CI674" s="48">
        <f t="shared" si="3798"/>
        <v>37.5</v>
      </c>
      <c r="CJ674" s="48">
        <f t="shared" si="3799"/>
        <v>37.5</v>
      </c>
      <c r="CK674" s="56">
        <f>IF(CK673=0,0,(BG674*BG673+BH674*BH673+BI674*BI673)/CK673)</f>
        <v>37.5</v>
      </c>
      <c r="CL674" s="48">
        <f t="shared" si="3801"/>
        <v>100</v>
      </c>
      <c r="CM674" s="48">
        <f t="shared" si="3802"/>
        <v>100</v>
      </c>
      <c r="CN674" s="48">
        <v>100</v>
      </c>
      <c r="CO674" s="406"/>
      <c r="CP674" s="48">
        <f t="shared" ref="CP674:CP679" si="3882">AL674</f>
        <v>34.166666666666664</v>
      </c>
      <c r="CQ674" s="48">
        <f t="shared" si="3855"/>
        <v>68.333333366666665</v>
      </c>
      <c r="CR674" s="48">
        <f t="shared" si="3856"/>
        <v>102.50000006666667</v>
      </c>
      <c r="CS674" s="48">
        <f t="shared" si="3857"/>
        <v>136.66666676666668</v>
      </c>
      <c r="CT674" s="48">
        <f t="shared" si="3858"/>
        <v>170.83333346666669</v>
      </c>
      <c r="CU674" s="48">
        <f t="shared" si="3859"/>
        <v>205.00000016666669</v>
      </c>
      <c r="CV674" s="48">
        <f t="shared" si="3860"/>
        <v>239.1666668666667</v>
      </c>
      <c r="CW674" s="48">
        <f t="shared" si="3861"/>
        <v>273.33333356666668</v>
      </c>
      <c r="CX674" s="48">
        <f t="shared" si="3862"/>
        <v>307.50000026666669</v>
      </c>
      <c r="CY674" s="48">
        <f t="shared" si="3863"/>
        <v>341.6666669666667</v>
      </c>
      <c r="CZ674" s="48">
        <f t="shared" si="3864"/>
        <v>375.8333336666667</v>
      </c>
      <c r="DA674" s="48">
        <f t="shared" si="3865"/>
        <v>410.00000036666671</v>
      </c>
      <c r="DB674" s="48">
        <f t="shared" ref="DB674:DB679" si="3883">AX674</f>
        <v>37.5</v>
      </c>
      <c r="DC674" s="48">
        <f t="shared" si="3866"/>
        <v>75</v>
      </c>
      <c r="DD674" s="48">
        <f t="shared" si="3867"/>
        <v>112.5</v>
      </c>
      <c r="DE674" s="48">
        <f t="shared" si="3868"/>
        <v>150</v>
      </c>
      <c r="DF674" s="48">
        <f t="shared" si="3869"/>
        <v>187.5</v>
      </c>
      <c r="DG674" s="48">
        <f t="shared" si="3870"/>
        <v>225</v>
      </c>
      <c r="DH674" s="48">
        <f t="shared" si="3871"/>
        <v>262.5</v>
      </c>
      <c r="DI674" s="48">
        <f t="shared" si="3872"/>
        <v>300</v>
      </c>
      <c r="DJ674" s="48">
        <f t="shared" si="3873"/>
        <v>337.5</v>
      </c>
      <c r="DK674" s="48">
        <f t="shared" si="3874"/>
        <v>375</v>
      </c>
      <c r="DL674" s="48">
        <f t="shared" si="3875"/>
        <v>412.5</v>
      </c>
      <c r="DM674" s="48">
        <f t="shared" si="3876"/>
        <v>450</v>
      </c>
      <c r="DN674" s="48">
        <f t="shared" si="3877"/>
        <v>33.333333333333336</v>
      </c>
      <c r="DO674" s="48">
        <f t="shared" ref="DO674:DO679" si="3884">DN674+BK674</f>
        <v>66.666666666666671</v>
      </c>
      <c r="DP674" s="48">
        <f t="shared" ref="DP674:DP679" si="3885">DO674+BL674</f>
        <v>100</v>
      </c>
      <c r="DQ674" s="48"/>
      <c r="DR674" s="48"/>
      <c r="DS674" s="48"/>
      <c r="DT674" s="48"/>
      <c r="DU674" s="48"/>
      <c r="DV674" s="48"/>
      <c r="DW674" s="48"/>
      <c r="DX674" s="48"/>
      <c r="DY674" s="48"/>
      <c r="EA674" s="52">
        <f t="shared" si="3809"/>
        <v>410.00000036666671</v>
      </c>
      <c r="EB674" s="52">
        <f t="shared" si="3810"/>
        <v>450</v>
      </c>
      <c r="EC674" s="52"/>
      <c r="ED674" s="429"/>
      <c r="EE674" s="40">
        <f t="shared" si="3775"/>
        <v>33.333333333333336</v>
      </c>
      <c r="EF674" s="40">
        <f t="shared" si="3776"/>
        <v>100</v>
      </c>
      <c r="EG674" s="51">
        <v>400</v>
      </c>
      <c r="EH674" s="54"/>
      <c r="EI674" s="54"/>
      <c r="EJ674" s="54"/>
      <c r="EK674" s="675"/>
      <c r="EL674" s="53"/>
      <c r="EM674" s="53"/>
      <c r="EN674" s="53"/>
      <c r="EO674" s="49"/>
      <c r="EP674" s="49"/>
      <c r="EQ674" s="49"/>
    </row>
    <row r="675" spans="1:149">
      <c r="A675" s="6" t="s">
        <v>23</v>
      </c>
      <c r="B675" s="2" t="s">
        <v>10</v>
      </c>
      <c r="C675" s="3" t="s">
        <v>47</v>
      </c>
      <c r="E675" s="3" t="s">
        <v>16</v>
      </c>
      <c r="G675" s="3" t="s">
        <v>91</v>
      </c>
      <c r="I675" s="216"/>
      <c r="J675" s="213">
        <f>J674*0.1</f>
        <v>3.4166666666666665</v>
      </c>
      <c r="K675" s="213">
        <f t="shared" ref="K675:U675" si="3886">K674*0.1</f>
        <v>6.8333333366666666</v>
      </c>
      <c r="L675" s="213">
        <f t="shared" si="3886"/>
        <v>10.250000006666667</v>
      </c>
      <c r="M675" s="213">
        <f t="shared" si="3886"/>
        <v>13.666666676666669</v>
      </c>
      <c r="N675" s="213">
        <f t="shared" si="3886"/>
        <v>17.08333334666667</v>
      </c>
      <c r="O675" s="213">
        <f t="shared" si="3886"/>
        <v>20.500000016666672</v>
      </c>
      <c r="P675" s="213">
        <f t="shared" si="3886"/>
        <v>23.916666686666673</v>
      </c>
      <c r="Q675" s="213">
        <f t="shared" si="3886"/>
        <v>27.333333356666671</v>
      </c>
      <c r="R675" s="213">
        <f t="shared" si="3886"/>
        <v>30.750000026666669</v>
      </c>
      <c r="S675" s="213">
        <f t="shared" si="3886"/>
        <v>34.166666696666674</v>
      </c>
      <c r="T675" s="213">
        <f t="shared" si="3886"/>
        <v>37.583333366666672</v>
      </c>
      <c r="U675" s="213">
        <f t="shared" si="3886"/>
        <v>41.000000036666677</v>
      </c>
      <c r="V675" s="219">
        <f>225/12</f>
        <v>18.75</v>
      </c>
      <c r="W675" s="246">
        <f>V675+18.75</f>
        <v>37.5</v>
      </c>
      <c r="X675" s="376">
        <f t="shared" ref="X675:AG675" si="3887">W675+18.75</f>
        <v>56.25</v>
      </c>
      <c r="Y675" s="376">
        <f t="shared" si="3887"/>
        <v>75</v>
      </c>
      <c r="Z675" s="376">
        <f t="shared" si="3887"/>
        <v>93.75</v>
      </c>
      <c r="AA675" s="376">
        <f t="shared" si="3887"/>
        <v>112.5</v>
      </c>
      <c r="AB675" s="376">
        <f t="shared" si="3887"/>
        <v>131.25</v>
      </c>
      <c r="AC675" s="376">
        <f t="shared" si="3887"/>
        <v>150</v>
      </c>
      <c r="AD675" s="376">
        <f t="shared" si="3887"/>
        <v>168.75</v>
      </c>
      <c r="AE675" s="376">
        <f t="shared" si="3887"/>
        <v>187.5</v>
      </c>
      <c r="AF675" s="376">
        <f t="shared" si="3887"/>
        <v>206.25</v>
      </c>
      <c r="AG675" s="376">
        <f t="shared" si="3887"/>
        <v>225</v>
      </c>
      <c r="AH675" s="31"/>
      <c r="AI675" s="19"/>
      <c r="AJ675" s="19"/>
      <c r="AK675" s="408"/>
      <c r="AL675" s="40">
        <f t="shared" si="3879"/>
        <v>3.4166666666666665</v>
      </c>
      <c r="AM675" s="40">
        <f t="shared" si="3880"/>
        <v>3.4166666700000001</v>
      </c>
      <c r="AN675" s="40">
        <f t="shared" si="3827"/>
        <v>3.4166666700000006</v>
      </c>
      <c r="AO675" s="40">
        <f t="shared" si="3828"/>
        <v>3.4166666700000015</v>
      </c>
      <c r="AP675" s="40">
        <f t="shared" si="3829"/>
        <v>3.4166666700000015</v>
      </c>
      <c r="AQ675" s="40">
        <f t="shared" si="3830"/>
        <v>3.4166666700000015</v>
      </c>
      <c r="AR675" s="40">
        <f t="shared" si="3831"/>
        <v>3.4166666700000015</v>
      </c>
      <c r="AS675" s="40">
        <f t="shared" si="3832"/>
        <v>3.4166666699999979</v>
      </c>
      <c r="AT675" s="40">
        <f t="shared" si="3833"/>
        <v>3.4166666699999979</v>
      </c>
      <c r="AU675" s="40">
        <f t="shared" si="3834"/>
        <v>3.416666670000005</v>
      </c>
      <c r="AV675" s="40">
        <f t="shared" si="3835"/>
        <v>3.4166666699999979</v>
      </c>
      <c r="AW675" s="40">
        <f t="shared" si="3836"/>
        <v>3.416666670000005</v>
      </c>
      <c r="AX675" s="40">
        <f t="shared" si="3881"/>
        <v>18.75</v>
      </c>
      <c r="AY675" s="40">
        <f t="shared" si="3837"/>
        <v>18.75</v>
      </c>
      <c r="AZ675" s="40">
        <f t="shared" si="3838"/>
        <v>18.75</v>
      </c>
      <c r="BA675" s="40">
        <f t="shared" si="3839"/>
        <v>18.75</v>
      </c>
      <c r="BB675" s="40">
        <f t="shared" si="3840"/>
        <v>18.75</v>
      </c>
      <c r="BC675" s="40">
        <f t="shared" si="3841"/>
        <v>18.75</v>
      </c>
      <c r="BD675" s="40">
        <f t="shared" si="3842"/>
        <v>18.75</v>
      </c>
      <c r="BE675" s="40">
        <f t="shared" si="3843"/>
        <v>18.75</v>
      </c>
      <c r="BF675" s="40">
        <f t="shared" si="3844"/>
        <v>18.75</v>
      </c>
      <c r="BG675" s="40">
        <f t="shared" si="3845"/>
        <v>18.75</v>
      </c>
      <c r="BH675" s="40">
        <f t="shared" si="3846"/>
        <v>18.75</v>
      </c>
      <c r="BI675" s="40">
        <f t="shared" si="3847"/>
        <v>18.75</v>
      </c>
      <c r="BJ675" s="40">
        <f t="shared" si="3848"/>
        <v>0</v>
      </c>
      <c r="BK675" s="40">
        <f t="shared" si="3849"/>
        <v>0</v>
      </c>
      <c r="BL675" s="40">
        <f t="shared" si="3850"/>
        <v>0</v>
      </c>
      <c r="BM675" s="408"/>
      <c r="BN675" s="48">
        <f t="shared" si="3778"/>
        <v>10.250000006666667</v>
      </c>
      <c r="BO675" s="48">
        <f t="shared" si="3779"/>
        <v>10.250000006666667</v>
      </c>
      <c r="BP675" s="48">
        <f t="shared" si="3851"/>
        <v>10.250000006666667</v>
      </c>
      <c r="BQ675" s="48">
        <f t="shared" si="3781"/>
        <v>10.250000010000004</v>
      </c>
      <c r="BR675" s="48">
        <f t="shared" si="3782"/>
        <v>10.250000010000004</v>
      </c>
      <c r="BS675" s="48">
        <f t="shared" si="3852"/>
        <v>10.250000010000004</v>
      </c>
      <c r="BT675" s="48">
        <f t="shared" si="3784"/>
        <v>10.250000009999997</v>
      </c>
      <c r="BU675" s="48">
        <f t="shared" si="3785"/>
        <v>10.250000009999997</v>
      </c>
      <c r="BV675" s="48">
        <f t="shared" si="3853"/>
        <v>10.250000009999997</v>
      </c>
      <c r="BW675" s="48">
        <f t="shared" si="3787"/>
        <v>10.250000010000008</v>
      </c>
      <c r="BX675" s="48">
        <f t="shared" si="3788"/>
        <v>10.250000010000008</v>
      </c>
      <c r="BY675" s="48">
        <f t="shared" si="3854"/>
        <v>10.250000010000008</v>
      </c>
      <c r="BZ675" s="48">
        <f t="shared" si="3790"/>
        <v>56.25</v>
      </c>
      <c r="CA675" s="48">
        <f t="shared" si="3791"/>
        <v>56.25</v>
      </c>
      <c r="CB675" s="48">
        <f t="shared" si="3812"/>
        <v>56.25</v>
      </c>
      <c r="CC675" s="48">
        <f t="shared" si="3792"/>
        <v>56.25</v>
      </c>
      <c r="CD675" s="48">
        <f t="shared" si="3793"/>
        <v>56.25</v>
      </c>
      <c r="CE675" s="48">
        <f>SUM(BA675:BC675)</f>
        <v>56.25</v>
      </c>
      <c r="CF675" s="48">
        <f t="shared" si="3795"/>
        <v>56.25</v>
      </c>
      <c r="CG675" s="48">
        <f t="shared" si="3796"/>
        <v>56.25</v>
      </c>
      <c r="CH675" s="48">
        <f>SUM(BD675:BF675)</f>
        <v>56.25</v>
      </c>
      <c r="CI675" s="48">
        <f t="shared" si="3798"/>
        <v>56.25</v>
      </c>
      <c r="CJ675" s="48">
        <f t="shared" si="3799"/>
        <v>56.25</v>
      </c>
      <c r="CK675" s="48">
        <f>SUM(BG675:BI675)</f>
        <v>56.25</v>
      </c>
      <c r="CL675" s="48">
        <f t="shared" si="3801"/>
        <v>0</v>
      </c>
      <c r="CM675" s="48">
        <f t="shared" si="3802"/>
        <v>0</v>
      </c>
      <c r="CN675" s="48">
        <f>SUM(BJ675:BL675)</f>
        <v>0</v>
      </c>
      <c r="CO675" s="406"/>
      <c r="CP675" s="48">
        <f t="shared" si="3882"/>
        <v>3.4166666666666665</v>
      </c>
      <c r="CQ675" s="48">
        <f t="shared" si="3855"/>
        <v>6.8333333366666666</v>
      </c>
      <c r="CR675" s="48">
        <f t="shared" si="3856"/>
        <v>10.250000006666667</v>
      </c>
      <c r="CS675" s="48">
        <f t="shared" si="3857"/>
        <v>13.666666676666669</v>
      </c>
      <c r="CT675" s="48">
        <f t="shared" si="3858"/>
        <v>17.08333334666667</v>
      </c>
      <c r="CU675" s="48">
        <f t="shared" si="3859"/>
        <v>20.500000016666672</v>
      </c>
      <c r="CV675" s="48">
        <f t="shared" si="3860"/>
        <v>23.916666686666673</v>
      </c>
      <c r="CW675" s="48">
        <f t="shared" si="3861"/>
        <v>27.333333356666671</v>
      </c>
      <c r="CX675" s="48">
        <f t="shared" si="3862"/>
        <v>30.750000026666669</v>
      </c>
      <c r="CY675" s="48">
        <f t="shared" si="3863"/>
        <v>34.166666696666674</v>
      </c>
      <c r="CZ675" s="48">
        <f t="shared" si="3864"/>
        <v>37.583333366666672</v>
      </c>
      <c r="DA675" s="48">
        <f t="shared" si="3865"/>
        <v>41.000000036666677</v>
      </c>
      <c r="DB675" s="48">
        <f t="shared" si="3883"/>
        <v>18.75</v>
      </c>
      <c r="DC675" s="48">
        <f t="shared" si="3866"/>
        <v>37.5</v>
      </c>
      <c r="DD675" s="48">
        <f t="shared" si="3867"/>
        <v>56.25</v>
      </c>
      <c r="DE675" s="48">
        <f t="shared" si="3868"/>
        <v>75</v>
      </c>
      <c r="DF675" s="48">
        <f t="shared" si="3869"/>
        <v>93.75</v>
      </c>
      <c r="DG675" s="48">
        <f t="shared" si="3870"/>
        <v>112.5</v>
      </c>
      <c r="DH675" s="48">
        <f t="shared" si="3871"/>
        <v>131.25</v>
      </c>
      <c r="DI675" s="48">
        <f t="shared" si="3872"/>
        <v>150</v>
      </c>
      <c r="DJ675" s="48">
        <f t="shared" si="3873"/>
        <v>168.75</v>
      </c>
      <c r="DK675" s="48">
        <f t="shared" si="3874"/>
        <v>187.5</v>
      </c>
      <c r="DL675" s="48">
        <f t="shared" si="3875"/>
        <v>206.25</v>
      </c>
      <c r="DM675" s="48">
        <f t="shared" si="3876"/>
        <v>225</v>
      </c>
      <c r="DN675" s="48">
        <f t="shared" si="3877"/>
        <v>0</v>
      </c>
      <c r="DO675" s="48">
        <f t="shared" si="3884"/>
        <v>0</v>
      </c>
      <c r="DP675" s="48">
        <f t="shared" si="3885"/>
        <v>0</v>
      </c>
      <c r="DQ675" s="48"/>
      <c r="DR675" s="48"/>
      <c r="DS675" s="48"/>
      <c r="DT675" s="48"/>
      <c r="DU675" s="48"/>
      <c r="DV675" s="48"/>
      <c r="DW675" s="48"/>
      <c r="DX675" s="48"/>
      <c r="DY675" s="48"/>
      <c r="EA675" s="52">
        <f t="shared" si="3809"/>
        <v>41.000000036666677</v>
      </c>
      <c r="EB675" s="52">
        <f t="shared" si="3810"/>
        <v>225</v>
      </c>
      <c r="EC675" s="52"/>
      <c r="ED675" s="429"/>
      <c r="EE675" s="40">
        <f t="shared" si="3775"/>
        <v>0</v>
      </c>
      <c r="EF675" s="40">
        <f t="shared" si="3776"/>
        <v>0</v>
      </c>
      <c r="EG675" s="51">
        <f t="shared" si="3820"/>
        <v>225</v>
      </c>
      <c r="EH675" s="54"/>
      <c r="EI675" s="54"/>
      <c r="EJ675" s="54"/>
      <c r="EK675" s="675"/>
      <c r="EL675" s="53"/>
      <c r="EM675" s="53"/>
      <c r="EN675" s="53"/>
      <c r="EO675" s="49"/>
      <c r="EP675" s="49"/>
      <c r="EQ675" s="49"/>
    </row>
    <row r="676" spans="1:149">
      <c r="A676" s="6" t="s">
        <v>23</v>
      </c>
      <c r="B676" s="2" t="s">
        <v>11</v>
      </c>
      <c r="C676" s="3" t="s">
        <v>48</v>
      </c>
      <c r="E676" s="3" t="s">
        <v>16</v>
      </c>
      <c r="G676" s="3" t="s">
        <v>91</v>
      </c>
      <c r="I676" s="216"/>
      <c r="J676" s="213">
        <v>5.833333333333333</v>
      </c>
      <c r="K676" s="213">
        <v>11.666666663333334</v>
      </c>
      <c r="L676" s="213">
        <v>17.499999993333333</v>
      </c>
      <c r="M676" s="213">
        <v>23.333333323333335</v>
      </c>
      <c r="N676" s="213">
        <v>29.166666653333337</v>
      </c>
      <c r="O676" s="213">
        <v>34.999999983333339</v>
      </c>
      <c r="P676" s="213">
        <v>40.833333313333341</v>
      </c>
      <c r="Q676" s="213">
        <v>46.666666643333343</v>
      </c>
      <c r="R676" s="213">
        <v>52.499999973333345</v>
      </c>
      <c r="S676" s="213">
        <v>58.333333303333347</v>
      </c>
      <c r="T676" s="213">
        <v>64.16666663333335</v>
      </c>
      <c r="U676" s="213">
        <v>69.999999963333352</v>
      </c>
      <c r="V676" s="219">
        <f>68/12</f>
        <v>5.666666666666667</v>
      </c>
      <c r="W676" s="246">
        <f>V676+5.66667</f>
        <v>11.333336666666668</v>
      </c>
      <c r="X676" s="376">
        <f t="shared" ref="X676:AG676" si="3888">W676+5.66667</f>
        <v>17.000006666666668</v>
      </c>
      <c r="Y676" s="376">
        <f t="shared" si="3888"/>
        <v>22.666676666666667</v>
      </c>
      <c r="Z676" s="376">
        <f t="shared" si="3888"/>
        <v>28.333346666666667</v>
      </c>
      <c r="AA676" s="376">
        <f t="shared" si="3888"/>
        <v>34.000016666666667</v>
      </c>
      <c r="AB676" s="376">
        <f t="shared" si="3888"/>
        <v>39.666686666666664</v>
      </c>
      <c r="AC676" s="376">
        <f t="shared" si="3888"/>
        <v>45.33335666666666</v>
      </c>
      <c r="AD676" s="376">
        <f t="shared" si="3888"/>
        <v>51.000026666666656</v>
      </c>
      <c r="AE676" s="376">
        <f t="shared" si="3888"/>
        <v>56.666696666666653</v>
      </c>
      <c r="AF676" s="376">
        <f t="shared" si="3888"/>
        <v>62.333366666666649</v>
      </c>
      <c r="AG676" s="263">
        <f t="shared" si="3888"/>
        <v>68.000036666666645</v>
      </c>
      <c r="AH676" s="31"/>
      <c r="AI676" s="19"/>
      <c r="AJ676" s="19"/>
      <c r="AK676" s="408"/>
      <c r="AL676" s="40">
        <f t="shared" si="3879"/>
        <v>5.833333333333333</v>
      </c>
      <c r="AM676" s="40">
        <f t="shared" si="3880"/>
        <v>5.8333333300000012</v>
      </c>
      <c r="AN676" s="40">
        <f t="shared" si="3827"/>
        <v>5.8333333299999985</v>
      </c>
      <c r="AO676" s="40">
        <f t="shared" si="3828"/>
        <v>5.8333333300000021</v>
      </c>
      <c r="AP676" s="40">
        <f t="shared" si="3829"/>
        <v>5.8333333300000021</v>
      </c>
      <c r="AQ676" s="40">
        <f t="shared" si="3830"/>
        <v>5.8333333300000021</v>
      </c>
      <c r="AR676" s="40">
        <f t="shared" si="3831"/>
        <v>5.8333333300000021</v>
      </c>
      <c r="AS676" s="40">
        <f t="shared" si="3832"/>
        <v>5.8333333300000021</v>
      </c>
      <c r="AT676" s="40">
        <f t="shared" si="3833"/>
        <v>5.8333333300000021</v>
      </c>
      <c r="AU676" s="40">
        <f t="shared" si="3834"/>
        <v>5.8333333300000021</v>
      </c>
      <c r="AV676" s="40">
        <f t="shared" si="3835"/>
        <v>5.8333333300000021</v>
      </c>
      <c r="AW676" s="40">
        <f t="shared" si="3836"/>
        <v>5.8333333300000021</v>
      </c>
      <c r="AX676" s="40">
        <f t="shared" si="3881"/>
        <v>5.666666666666667</v>
      </c>
      <c r="AY676" s="40">
        <f t="shared" si="3837"/>
        <v>5.6666700000000008</v>
      </c>
      <c r="AZ676" s="40">
        <f t="shared" si="3838"/>
        <v>5.6666699999999999</v>
      </c>
      <c r="BA676" s="40">
        <f t="shared" si="3839"/>
        <v>5.6666699999999999</v>
      </c>
      <c r="BB676" s="40">
        <f t="shared" si="3840"/>
        <v>5.6666699999999999</v>
      </c>
      <c r="BC676" s="40">
        <f t="shared" si="3841"/>
        <v>5.6666699999999999</v>
      </c>
      <c r="BD676" s="40">
        <f t="shared" si="3842"/>
        <v>5.6666699999999963</v>
      </c>
      <c r="BE676" s="40">
        <f t="shared" si="3843"/>
        <v>5.6666699999999963</v>
      </c>
      <c r="BF676" s="40">
        <f t="shared" si="3844"/>
        <v>5.6666699999999963</v>
      </c>
      <c r="BG676" s="40">
        <f t="shared" si="3845"/>
        <v>5.6666699999999963</v>
      </c>
      <c r="BH676" s="40">
        <f t="shared" si="3846"/>
        <v>5.6666699999999963</v>
      </c>
      <c r="BI676" s="40">
        <f t="shared" si="3847"/>
        <v>5.6666699999999963</v>
      </c>
      <c r="BJ676" s="40">
        <f t="shared" si="3848"/>
        <v>0</v>
      </c>
      <c r="BK676" s="40">
        <f t="shared" si="3849"/>
        <v>0</v>
      </c>
      <c r="BL676" s="40">
        <f t="shared" si="3850"/>
        <v>0</v>
      </c>
      <c r="BM676" s="408"/>
      <c r="BN676" s="48">
        <f t="shared" si="3778"/>
        <v>17.499999993333333</v>
      </c>
      <c r="BO676" s="48">
        <f t="shared" si="3779"/>
        <v>17.499999993333333</v>
      </c>
      <c r="BP676" s="48">
        <f t="shared" si="3851"/>
        <v>17.499999993333333</v>
      </c>
      <c r="BQ676" s="48">
        <f t="shared" si="3781"/>
        <v>17.499999990000006</v>
      </c>
      <c r="BR676" s="48">
        <f t="shared" si="3782"/>
        <v>17.499999990000006</v>
      </c>
      <c r="BS676" s="48">
        <f t="shared" si="3852"/>
        <v>17.499999990000006</v>
      </c>
      <c r="BT676" s="48">
        <f t="shared" si="3784"/>
        <v>17.499999990000006</v>
      </c>
      <c r="BU676" s="48">
        <f t="shared" si="3785"/>
        <v>17.499999990000006</v>
      </c>
      <c r="BV676" s="48">
        <f t="shared" si="3853"/>
        <v>17.499999990000006</v>
      </c>
      <c r="BW676" s="48">
        <f t="shared" si="3787"/>
        <v>17.499999990000006</v>
      </c>
      <c r="BX676" s="48">
        <f t="shared" si="3788"/>
        <v>17.499999990000006</v>
      </c>
      <c r="BY676" s="48">
        <f t="shared" si="3854"/>
        <v>17.499999990000006</v>
      </c>
      <c r="BZ676" s="48">
        <f t="shared" si="3790"/>
        <v>17.000006666666668</v>
      </c>
      <c r="CA676" s="48">
        <f t="shared" si="3791"/>
        <v>17.000006666666668</v>
      </c>
      <c r="CB676" s="48">
        <f t="shared" si="3812"/>
        <v>17.000006666666668</v>
      </c>
      <c r="CC676" s="48">
        <f t="shared" si="3792"/>
        <v>34.000016666666667</v>
      </c>
      <c r="CD676" s="48">
        <f t="shared" si="3793"/>
        <v>34.000016666666667</v>
      </c>
      <c r="CE676" s="48">
        <f>AA676</f>
        <v>34.000016666666667</v>
      </c>
      <c r="CF676" s="48">
        <f>CH676</f>
        <v>51.000026666666656</v>
      </c>
      <c r="CG676" s="48">
        <f>CH676</f>
        <v>51.000026666666656</v>
      </c>
      <c r="CH676" s="48">
        <f>AD676</f>
        <v>51.000026666666656</v>
      </c>
      <c r="CI676" s="48">
        <f>CK676</f>
        <v>68.000036666666645</v>
      </c>
      <c r="CJ676" s="48">
        <f>CK676</f>
        <v>68.000036666666645</v>
      </c>
      <c r="CK676" s="48">
        <f>AG676</f>
        <v>68.000036666666645</v>
      </c>
      <c r="CL676" s="48">
        <f>CN676</f>
        <v>0</v>
      </c>
      <c r="CM676" s="48">
        <f>CN676</f>
        <v>0</v>
      </c>
      <c r="CN676" s="48">
        <f>AJ676</f>
        <v>0</v>
      </c>
      <c r="CO676" s="406"/>
      <c r="CP676" s="48">
        <f t="shared" si="3882"/>
        <v>5.833333333333333</v>
      </c>
      <c r="CQ676" s="48">
        <f t="shared" si="3855"/>
        <v>11.666666663333334</v>
      </c>
      <c r="CR676" s="48">
        <f t="shared" si="3856"/>
        <v>17.499999993333333</v>
      </c>
      <c r="CS676" s="48">
        <f t="shared" si="3857"/>
        <v>23.333333323333335</v>
      </c>
      <c r="CT676" s="48">
        <f t="shared" si="3858"/>
        <v>29.166666653333337</v>
      </c>
      <c r="CU676" s="48">
        <f t="shared" si="3859"/>
        <v>34.999999983333339</v>
      </c>
      <c r="CV676" s="48">
        <f t="shared" si="3860"/>
        <v>40.833333313333341</v>
      </c>
      <c r="CW676" s="48">
        <f t="shared" si="3861"/>
        <v>46.666666643333343</v>
      </c>
      <c r="CX676" s="48">
        <f t="shared" si="3862"/>
        <v>52.499999973333345</v>
      </c>
      <c r="CY676" s="48">
        <f t="shared" si="3863"/>
        <v>58.333333303333347</v>
      </c>
      <c r="CZ676" s="48">
        <f t="shared" si="3864"/>
        <v>64.16666663333335</v>
      </c>
      <c r="DA676" s="48">
        <f t="shared" si="3865"/>
        <v>69.999999963333352</v>
      </c>
      <c r="DB676" s="48">
        <f t="shared" si="3883"/>
        <v>5.666666666666667</v>
      </c>
      <c r="DC676" s="48">
        <f t="shared" si="3866"/>
        <v>11.333336666666668</v>
      </c>
      <c r="DD676" s="48">
        <f t="shared" si="3867"/>
        <v>17.000006666666668</v>
      </c>
      <c r="DE676" s="48">
        <f t="shared" si="3868"/>
        <v>22.666676666666667</v>
      </c>
      <c r="DF676" s="48">
        <f t="shared" si="3869"/>
        <v>28.333346666666667</v>
      </c>
      <c r="DG676" s="48">
        <f t="shared" si="3870"/>
        <v>34.000016666666667</v>
      </c>
      <c r="DH676" s="48">
        <f t="shared" si="3871"/>
        <v>39.666686666666664</v>
      </c>
      <c r="DI676" s="48">
        <f t="shared" si="3872"/>
        <v>45.33335666666666</v>
      </c>
      <c r="DJ676" s="48">
        <f t="shared" si="3873"/>
        <v>51.000026666666656</v>
      </c>
      <c r="DK676" s="48">
        <f t="shared" si="3874"/>
        <v>56.666696666666653</v>
      </c>
      <c r="DL676" s="48">
        <f t="shared" si="3875"/>
        <v>62.333366666666649</v>
      </c>
      <c r="DM676" s="48">
        <f t="shared" si="3876"/>
        <v>68.000036666666645</v>
      </c>
      <c r="DN676" s="48">
        <f t="shared" si="3877"/>
        <v>0</v>
      </c>
      <c r="DO676" s="48">
        <f t="shared" si="3884"/>
        <v>0</v>
      </c>
      <c r="DP676" s="48">
        <f t="shared" si="3885"/>
        <v>0</v>
      </c>
      <c r="DQ676" s="48"/>
      <c r="DR676" s="48"/>
      <c r="DS676" s="48"/>
      <c r="DT676" s="48"/>
      <c r="DU676" s="48"/>
      <c r="DV676" s="48"/>
      <c r="DW676" s="48"/>
      <c r="DX676" s="48"/>
      <c r="DY676" s="48"/>
      <c r="EA676" s="52">
        <f t="shared" si="3809"/>
        <v>69.999999963333352</v>
      </c>
      <c r="EB676" s="52">
        <f t="shared" si="3810"/>
        <v>68.000036666666645</v>
      </c>
      <c r="EC676" s="52"/>
      <c r="ED676" s="429"/>
      <c r="EE676" s="399">
        <f t="shared" si="3775"/>
        <v>0</v>
      </c>
      <c r="EF676" s="40">
        <f t="shared" si="3776"/>
        <v>0</v>
      </c>
      <c r="EG676" s="51">
        <f t="shared" si="3820"/>
        <v>68.000036666666645</v>
      </c>
      <c r="EH676" s="54"/>
      <c r="EI676" s="54"/>
      <c r="EJ676" s="54"/>
      <c r="EK676" s="675"/>
      <c r="EL676" s="53"/>
      <c r="EM676" s="53"/>
      <c r="EN676" s="53"/>
      <c r="EO676" s="49"/>
      <c r="EP676" s="49"/>
      <c r="EQ676" s="49"/>
    </row>
    <row r="677" spans="1:149">
      <c r="A677" s="6" t="s">
        <v>23</v>
      </c>
      <c r="B677" s="2" t="s">
        <v>12</v>
      </c>
      <c r="C677" s="3" t="s">
        <v>49</v>
      </c>
      <c r="E677" s="3" t="s">
        <v>16</v>
      </c>
      <c r="G677" s="3" t="s">
        <v>91</v>
      </c>
      <c r="I677" s="216"/>
      <c r="J677" s="213">
        <v>5.833333333333333</v>
      </c>
      <c r="K677" s="213">
        <v>11.666666663333334</v>
      </c>
      <c r="L677" s="213">
        <v>17.499999993333333</v>
      </c>
      <c r="M677" s="213">
        <v>23.333333323333335</v>
      </c>
      <c r="N677" s="213">
        <v>29.166666653333337</v>
      </c>
      <c r="O677" s="213">
        <v>34.999999983333339</v>
      </c>
      <c r="P677" s="213">
        <v>40.833333313333341</v>
      </c>
      <c r="Q677" s="213">
        <v>46.666666643333343</v>
      </c>
      <c r="R677" s="213">
        <v>52.499999973333345</v>
      </c>
      <c r="S677" s="213">
        <v>58.333333303333347</v>
      </c>
      <c r="T677" s="213">
        <v>64.16666663333335</v>
      </c>
      <c r="U677" s="213">
        <v>69.999999963333352</v>
      </c>
      <c r="V677" s="219">
        <f>77/12</f>
        <v>6.416666666666667</v>
      </c>
      <c r="W677" s="246">
        <f>V677+6.41667</f>
        <v>12.833336666666668</v>
      </c>
      <c r="X677" s="376">
        <f t="shared" ref="X677:AG677" si="3889">W677+6.41667</f>
        <v>19.250006666666668</v>
      </c>
      <c r="Y677" s="376">
        <f t="shared" si="3889"/>
        <v>25.666676666666667</v>
      </c>
      <c r="Z677" s="376">
        <f t="shared" si="3889"/>
        <v>32.083346666666671</v>
      </c>
      <c r="AA677" s="376">
        <f t="shared" si="3889"/>
        <v>38.500016666666667</v>
      </c>
      <c r="AB677" s="376">
        <f t="shared" si="3889"/>
        <v>44.916686666666664</v>
      </c>
      <c r="AC677" s="376">
        <f t="shared" si="3889"/>
        <v>51.33335666666666</v>
      </c>
      <c r="AD677" s="376">
        <f t="shared" si="3889"/>
        <v>57.750026666666656</v>
      </c>
      <c r="AE677" s="376">
        <f t="shared" si="3889"/>
        <v>64.166696666666653</v>
      </c>
      <c r="AF677" s="376">
        <f t="shared" si="3889"/>
        <v>70.583366666666649</v>
      </c>
      <c r="AG677" s="263">
        <f t="shared" si="3889"/>
        <v>77.000036666666645</v>
      </c>
      <c r="AH677" s="31"/>
      <c r="AI677" s="19"/>
      <c r="AJ677" s="19"/>
      <c r="AK677" s="408"/>
      <c r="AL677" s="40">
        <f t="shared" si="3879"/>
        <v>5.833333333333333</v>
      </c>
      <c r="AM677" s="40">
        <f t="shared" si="3880"/>
        <v>5.8333333300000012</v>
      </c>
      <c r="AN677" s="40">
        <f t="shared" si="3827"/>
        <v>5.8333333299999985</v>
      </c>
      <c r="AO677" s="40">
        <f t="shared" si="3828"/>
        <v>5.8333333300000021</v>
      </c>
      <c r="AP677" s="40">
        <f t="shared" si="3829"/>
        <v>5.8333333300000021</v>
      </c>
      <c r="AQ677" s="40">
        <f t="shared" si="3830"/>
        <v>5.8333333300000021</v>
      </c>
      <c r="AR677" s="40">
        <f t="shared" si="3831"/>
        <v>5.8333333300000021</v>
      </c>
      <c r="AS677" s="40">
        <f t="shared" si="3832"/>
        <v>5.8333333300000021</v>
      </c>
      <c r="AT677" s="40">
        <f t="shared" si="3833"/>
        <v>5.8333333300000021</v>
      </c>
      <c r="AU677" s="40">
        <f t="shared" si="3834"/>
        <v>5.8333333300000021</v>
      </c>
      <c r="AV677" s="40">
        <f t="shared" si="3835"/>
        <v>5.8333333300000021</v>
      </c>
      <c r="AW677" s="40">
        <f t="shared" si="3836"/>
        <v>5.8333333300000021</v>
      </c>
      <c r="AX677" s="40">
        <f t="shared" si="3881"/>
        <v>6.416666666666667</v>
      </c>
      <c r="AY677" s="40">
        <f t="shared" si="3837"/>
        <v>6.4166700000000008</v>
      </c>
      <c r="AZ677" s="40">
        <f t="shared" si="3838"/>
        <v>6.4166699999999999</v>
      </c>
      <c r="BA677" s="40">
        <f t="shared" si="3839"/>
        <v>6.4166699999999999</v>
      </c>
      <c r="BB677" s="40">
        <f t="shared" si="3840"/>
        <v>6.4166700000000034</v>
      </c>
      <c r="BC677" s="40">
        <f t="shared" si="3841"/>
        <v>6.4166699999999963</v>
      </c>
      <c r="BD677" s="40">
        <f t="shared" si="3842"/>
        <v>6.4166699999999963</v>
      </c>
      <c r="BE677" s="40">
        <f t="shared" si="3843"/>
        <v>6.4166699999999963</v>
      </c>
      <c r="BF677" s="40">
        <f t="shared" si="3844"/>
        <v>6.4166699999999963</v>
      </c>
      <c r="BG677" s="40">
        <f t="shared" si="3845"/>
        <v>6.4166699999999963</v>
      </c>
      <c r="BH677" s="40">
        <f t="shared" si="3846"/>
        <v>6.4166699999999963</v>
      </c>
      <c r="BI677" s="40">
        <f t="shared" si="3847"/>
        <v>6.4166699999999963</v>
      </c>
      <c r="BJ677" s="40">
        <f t="shared" si="3848"/>
        <v>0</v>
      </c>
      <c r="BK677" s="40">
        <f t="shared" si="3849"/>
        <v>0</v>
      </c>
      <c r="BL677" s="40">
        <f t="shared" si="3850"/>
        <v>0</v>
      </c>
      <c r="BM677" s="408"/>
      <c r="BN677" s="48">
        <f t="shared" si="3778"/>
        <v>17.499999993333333</v>
      </c>
      <c r="BO677" s="48">
        <f t="shared" si="3779"/>
        <v>17.499999993333333</v>
      </c>
      <c r="BP677" s="48">
        <f t="shared" si="3851"/>
        <v>17.499999993333333</v>
      </c>
      <c r="BQ677" s="48">
        <f t="shared" si="3781"/>
        <v>17.499999990000006</v>
      </c>
      <c r="BR677" s="48">
        <f t="shared" si="3782"/>
        <v>17.499999990000006</v>
      </c>
      <c r="BS677" s="48">
        <f t="shared" si="3852"/>
        <v>17.499999990000006</v>
      </c>
      <c r="BT677" s="48">
        <f t="shared" si="3784"/>
        <v>17.499999990000006</v>
      </c>
      <c r="BU677" s="48">
        <f t="shared" si="3785"/>
        <v>17.499999990000006</v>
      </c>
      <c r="BV677" s="48">
        <f t="shared" si="3853"/>
        <v>17.499999990000006</v>
      </c>
      <c r="BW677" s="48">
        <f t="shared" si="3787"/>
        <v>17.499999990000006</v>
      </c>
      <c r="BX677" s="48">
        <f t="shared" si="3788"/>
        <v>17.499999990000006</v>
      </c>
      <c r="BY677" s="48">
        <f t="shared" si="3854"/>
        <v>17.499999990000006</v>
      </c>
      <c r="BZ677" s="48">
        <f t="shared" si="3790"/>
        <v>19.250006666666668</v>
      </c>
      <c r="CA677" s="48">
        <f t="shared" si="3791"/>
        <v>19.250006666666668</v>
      </c>
      <c r="CB677" s="48">
        <f t="shared" si="3812"/>
        <v>19.250006666666668</v>
      </c>
      <c r="CC677" s="48">
        <f t="shared" si="3792"/>
        <v>38.500016666666667</v>
      </c>
      <c r="CD677" s="48">
        <f t="shared" si="3793"/>
        <v>38.500016666666667</v>
      </c>
      <c r="CE677" s="48">
        <f>AA677</f>
        <v>38.500016666666667</v>
      </c>
      <c r="CF677" s="48">
        <f>CH677</f>
        <v>57.750026666666656</v>
      </c>
      <c r="CG677" s="48">
        <f>CH677</f>
        <v>57.750026666666656</v>
      </c>
      <c r="CH677" s="48">
        <f>AD677</f>
        <v>57.750026666666656</v>
      </c>
      <c r="CI677" s="48">
        <f>CK677</f>
        <v>77.000036666666645</v>
      </c>
      <c r="CJ677" s="48">
        <f>CK677</f>
        <v>77.000036666666645</v>
      </c>
      <c r="CK677" s="48">
        <f>AG677</f>
        <v>77.000036666666645</v>
      </c>
      <c r="CL677" s="48">
        <f>CN677</f>
        <v>0</v>
      </c>
      <c r="CM677" s="48">
        <f>CN677</f>
        <v>0</v>
      </c>
      <c r="CN677" s="48">
        <f>AJ677</f>
        <v>0</v>
      </c>
      <c r="CO677" s="406"/>
      <c r="CP677" s="48">
        <f t="shared" si="3882"/>
        <v>5.833333333333333</v>
      </c>
      <c r="CQ677" s="48">
        <f t="shared" si="3855"/>
        <v>11.666666663333334</v>
      </c>
      <c r="CR677" s="48">
        <f t="shared" si="3856"/>
        <v>17.499999993333333</v>
      </c>
      <c r="CS677" s="48">
        <f t="shared" si="3857"/>
        <v>23.333333323333335</v>
      </c>
      <c r="CT677" s="48">
        <f t="shared" si="3858"/>
        <v>29.166666653333337</v>
      </c>
      <c r="CU677" s="48">
        <f t="shared" si="3859"/>
        <v>34.999999983333339</v>
      </c>
      <c r="CV677" s="48">
        <f t="shared" si="3860"/>
        <v>40.833333313333341</v>
      </c>
      <c r="CW677" s="48">
        <f t="shared" si="3861"/>
        <v>46.666666643333343</v>
      </c>
      <c r="CX677" s="48">
        <f t="shared" si="3862"/>
        <v>52.499999973333345</v>
      </c>
      <c r="CY677" s="48">
        <f t="shared" si="3863"/>
        <v>58.333333303333347</v>
      </c>
      <c r="CZ677" s="48">
        <f t="shared" si="3864"/>
        <v>64.16666663333335</v>
      </c>
      <c r="DA677" s="48">
        <f t="shared" si="3865"/>
        <v>69.999999963333352</v>
      </c>
      <c r="DB677" s="48">
        <f t="shared" si="3883"/>
        <v>6.416666666666667</v>
      </c>
      <c r="DC677" s="48">
        <f t="shared" si="3866"/>
        <v>12.833336666666668</v>
      </c>
      <c r="DD677" s="48">
        <f t="shared" si="3867"/>
        <v>19.250006666666668</v>
      </c>
      <c r="DE677" s="48">
        <f t="shared" si="3868"/>
        <v>25.666676666666667</v>
      </c>
      <c r="DF677" s="48">
        <f t="shared" si="3869"/>
        <v>32.083346666666671</v>
      </c>
      <c r="DG677" s="48">
        <f t="shared" si="3870"/>
        <v>38.500016666666667</v>
      </c>
      <c r="DH677" s="48">
        <f t="shared" si="3871"/>
        <v>44.916686666666664</v>
      </c>
      <c r="DI677" s="48">
        <f t="shared" si="3872"/>
        <v>51.33335666666666</v>
      </c>
      <c r="DJ677" s="48">
        <f t="shared" si="3873"/>
        <v>57.750026666666656</v>
      </c>
      <c r="DK677" s="48">
        <f t="shared" si="3874"/>
        <v>64.166696666666653</v>
      </c>
      <c r="DL677" s="48">
        <f t="shared" si="3875"/>
        <v>70.583366666666649</v>
      </c>
      <c r="DM677" s="48">
        <f t="shared" si="3876"/>
        <v>77.000036666666645</v>
      </c>
      <c r="DN677" s="48">
        <f t="shared" si="3877"/>
        <v>0</v>
      </c>
      <c r="DO677" s="48">
        <f t="shared" si="3884"/>
        <v>0</v>
      </c>
      <c r="DP677" s="48">
        <f t="shared" si="3885"/>
        <v>0</v>
      </c>
      <c r="DQ677" s="48"/>
      <c r="DR677" s="48"/>
      <c r="DS677" s="48"/>
      <c r="DT677" s="48"/>
      <c r="DU677" s="48"/>
      <c r="DV677" s="48"/>
      <c r="DW677" s="48"/>
      <c r="DX677" s="48"/>
      <c r="DY677" s="48"/>
      <c r="EA677" s="52">
        <f t="shared" si="3809"/>
        <v>69.999999963333352</v>
      </c>
      <c r="EB677" s="52">
        <f t="shared" si="3810"/>
        <v>77.000036666666645</v>
      </c>
      <c r="EC677" s="52"/>
      <c r="ED677" s="429"/>
      <c r="EE677" s="40">
        <f t="shared" si="3775"/>
        <v>0</v>
      </c>
      <c r="EF677" s="40">
        <f t="shared" si="3776"/>
        <v>0</v>
      </c>
      <c r="EG677" s="51">
        <f t="shared" si="3820"/>
        <v>77.000036666666645</v>
      </c>
      <c r="EH677" s="54"/>
      <c r="EI677" s="54"/>
      <c r="EJ677" s="54"/>
      <c r="EK677" s="675"/>
      <c r="EL677" s="53"/>
      <c r="EM677" s="53"/>
      <c r="EN677" s="53"/>
      <c r="EO677" s="49"/>
      <c r="EP677" s="49"/>
      <c r="EQ677" s="49"/>
    </row>
    <row r="678" spans="1:149">
      <c r="A678" s="6" t="s">
        <v>23</v>
      </c>
      <c r="B678" s="2" t="s">
        <v>143</v>
      </c>
      <c r="C678" s="3" t="s">
        <v>50</v>
      </c>
      <c r="E678" s="3" t="s">
        <v>16</v>
      </c>
      <c r="G678" s="3" t="s">
        <v>91</v>
      </c>
      <c r="I678" s="216"/>
      <c r="J678" s="213">
        <v>0</v>
      </c>
      <c r="K678" s="213">
        <v>0</v>
      </c>
      <c r="L678" s="213">
        <v>2</v>
      </c>
      <c r="M678" s="213">
        <v>2</v>
      </c>
      <c r="N678" s="213">
        <v>2</v>
      </c>
      <c r="O678" s="213">
        <v>2</v>
      </c>
      <c r="P678" s="213">
        <v>4</v>
      </c>
      <c r="Q678" s="213">
        <v>4</v>
      </c>
      <c r="R678" s="213">
        <v>4</v>
      </c>
      <c r="S678" s="213">
        <v>4</v>
      </c>
      <c r="T678" s="213">
        <v>6</v>
      </c>
      <c r="U678" s="213">
        <v>6</v>
      </c>
      <c r="V678" s="219">
        <v>0</v>
      </c>
      <c r="W678" s="246">
        <v>2</v>
      </c>
      <c r="X678" s="246">
        <v>2</v>
      </c>
      <c r="Y678" s="246">
        <v>2</v>
      </c>
      <c r="Z678" s="246">
        <v>2</v>
      </c>
      <c r="AA678" s="246">
        <v>2</v>
      </c>
      <c r="AB678" s="246">
        <v>4</v>
      </c>
      <c r="AC678" s="246">
        <v>4</v>
      </c>
      <c r="AD678" s="246">
        <v>4</v>
      </c>
      <c r="AE678" s="246">
        <v>4</v>
      </c>
      <c r="AF678" s="246">
        <v>6</v>
      </c>
      <c r="AG678" s="246">
        <v>6</v>
      </c>
      <c r="AH678" s="31"/>
      <c r="AI678" s="19"/>
      <c r="AJ678" s="19"/>
      <c r="AK678" s="408"/>
      <c r="AL678" s="40">
        <f t="shared" si="3879"/>
        <v>0</v>
      </c>
      <c r="AM678" s="40">
        <f t="shared" si="3880"/>
        <v>0</v>
      </c>
      <c r="AN678" s="40">
        <f t="shared" si="3827"/>
        <v>2</v>
      </c>
      <c r="AO678" s="40">
        <f t="shared" si="3828"/>
        <v>0</v>
      </c>
      <c r="AP678" s="40">
        <f t="shared" si="3829"/>
        <v>0</v>
      </c>
      <c r="AQ678" s="40">
        <f t="shared" si="3830"/>
        <v>0</v>
      </c>
      <c r="AR678" s="40">
        <f t="shared" si="3831"/>
        <v>2</v>
      </c>
      <c r="AS678" s="40">
        <f t="shared" si="3832"/>
        <v>0</v>
      </c>
      <c r="AT678" s="40">
        <f t="shared" si="3833"/>
        <v>0</v>
      </c>
      <c r="AU678" s="40">
        <f t="shared" si="3834"/>
        <v>0</v>
      </c>
      <c r="AV678" s="40">
        <f t="shared" si="3835"/>
        <v>2</v>
      </c>
      <c r="AW678" s="40">
        <f t="shared" si="3836"/>
        <v>0</v>
      </c>
      <c r="AX678" s="40">
        <f t="shared" si="3881"/>
        <v>0</v>
      </c>
      <c r="AY678" s="40">
        <f t="shared" si="3837"/>
        <v>2</v>
      </c>
      <c r="AZ678" s="40">
        <f t="shared" si="3838"/>
        <v>0</v>
      </c>
      <c r="BA678" s="40">
        <f t="shared" si="3839"/>
        <v>0</v>
      </c>
      <c r="BB678" s="40">
        <f t="shared" si="3840"/>
        <v>0</v>
      </c>
      <c r="BC678" s="40">
        <f t="shared" si="3841"/>
        <v>0</v>
      </c>
      <c r="BD678" s="40">
        <f t="shared" si="3842"/>
        <v>2</v>
      </c>
      <c r="BE678" s="40">
        <f t="shared" si="3843"/>
        <v>0</v>
      </c>
      <c r="BF678" s="40">
        <f t="shared" si="3844"/>
        <v>0</v>
      </c>
      <c r="BG678" s="40">
        <f t="shared" si="3845"/>
        <v>0</v>
      </c>
      <c r="BH678" s="40">
        <f t="shared" si="3846"/>
        <v>2</v>
      </c>
      <c r="BI678" s="40">
        <f t="shared" si="3847"/>
        <v>0</v>
      </c>
      <c r="BJ678" s="40">
        <f t="shared" si="3848"/>
        <v>0</v>
      </c>
      <c r="BK678" s="40">
        <f t="shared" si="3849"/>
        <v>0</v>
      </c>
      <c r="BL678" s="40">
        <f t="shared" si="3850"/>
        <v>0</v>
      </c>
      <c r="BM678" s="408"/>
      <c r="BN678" s="48">
        <f t="shared" si="3778"/>
        <v>2</v>
      </c>
      <c r="BO678" s="48">
        <f t="shared" si="3779"/>
        <v>2</v>
      </c>
      <c r="BP678" s="48">
        <f t="shared" si="3851"/>
        <v>2</v>
      </c>
      <c r="BQ678" s="48">
        <f t="shared" si="3781"/>
        <v>0</v>
      </c>
      <c r="BR678" s="48">
        <f t="shared" si="3782"/>
        <v>0</v>
      </c>
      <c r="BS678" s="48">
        <f t="shared" si="3852"/>
        <v>0</v>
      </c>
      <c r="BT678" s="48">
        <f t="shared" si="3784"/>
        <v>2</v>
      </c>
      <c r="BU678" s="48">
        <f t="shared" si="3785"/>
        <v>2</v>
      </c>
      <c r="BV678" s="48">
        <f t="shared" si="3853"/>
        <v>2</v>
      </c>
      <c r="BW678" s="48">
        <f t="shared" si="3787"/>
        <v>2</v>
      </c>
      <c r="BX678" s="48">
        <f t="shared" si="3788"/>
        <v>2</v>
      </c>
      <c r="BY678" s="48">
        <f t="shared" si="3854"/>
        <v>2</v>
      </c>
      <c r="BZ678" s="48">
        <f t="shared" si="3790"/>
        <v>2</v>
      </c>
      <c r="CA678" s="48">
        <f t="shared" si="3791"/>
        <v>2</v>
      </c>
      <c r="CB678" s="48">
        <f>SUM(AX678:AZ678)</f>
        <v>2</v>
      </c>
      <c r="CC678" s="48">
        <f t="shared" si="3792"/>
        <v>0</v>
      </c>
      <c r="CD678" s="48">
        <f t="shared" si="3793"/>
        <v>0</v>
      </c>
      <c r="CE678" s="48">
        <f>SUM(BA678:BC678)</f>
        <v>0</v>
      </c>
      <c r="CF678" s="48">
        <f>CH678</f>
        <v>2</v>
      </c>
      <c r="CG678" s="48">
        <f>CH678</f>
        <v>2</v>
      </c>
      <c r="CH678" s="48">
        <f>SUM(BD678:BF678)</f>
        <v>2</v>
      </c>
      <c r="CI678" s="48">
        <f>CK678</f>
        <v>2</v>
      </c>
      <c r="CJ678" s="48">
        <f>CK678</f>
        <v>2</v>
      </c>
      <c r="CK678" s="48">
        <f>SUM(BG678:BI678)</f>
        <v>2</v>
      </c>
      <c r="CL678" s="48">
        <f>CN678</f>
        <v>0</v>
      </c>
      <c r="CM678" s="48">
        <f>CN678</f>
        <v>0</v>
      </c>
      <c r="CN678" s="48">
        <f>SUM(BJ678:BL678)</f>
        <v>0</v>
      </c>
      <c r="CO678" s="406"/>
      <c r="CP678" s="48">
        <f t="shared" si="3882"/>
        <v>0</v>
      </c>
      <c r="CQ678" s="48">
        <f t="shared" si="3855"/>
        <v>0</v>
      </c>
      <c r="CR678" s="48">
        <f t="shared" si="3856"/>
        <v>2</v>
      </c>
      <c r="CS678" s="48">
        <f t="shared" si="3857"/>
        <v>2</v>
      </c>
      <c r="CT678" s="48">
        <f t="shared" si="3858"/>
        <v>2</v>
      </c>
      <c r="CU678" s="48">
        <f t="shared" si="3859"/>
        <v>2</v>
      </c>
      <c r="CV678" s="48">
        <f t="shared" si="3860"/>
        <v>4</v>
      </c>
      <c r="CW678" s="48">
        <f t="shared" si="3861"/>
        <v>4</v>
      </c>
      <c r="CX678" s="48">
        <f t="shared" si="3862"/>
        <v>4</v>
      </c>
      <c r="CY678" s="48">
        <f t="shared" si="3863"/>
        <v>4</v>
      </c>
      <c r="CZ678" s="48">
        <f t="shared" si="3864"/>
        <v>6</v>
      </c>
      <c r="DA678" s="48">
        <f t="shared" si="3865"/>
        <v>6</v>
      </c>
      <c r="DB678" s="48">
        <f t="shared" si="3883"/>
        <v>0</v>
      </c>
      <c r="DC678" s="48">
        <f t="shared" si="3866"/>
        <v>2</v>
      </c>
      <c r="DD678" s="48">
        <f t="shared" si="3867"/>
        <v>2</v>
      </c>
      <c r="DE678" s="48">
        <f t="shared" si="3868"/>
        <v>2</v>
      </c>
      <c r="DF678" s="48">
        <f t="shared" si="3869"/>
        <v>2</v>
      </c>
      <c r="DG678" s="48">
        <f t="shared" si="3870"/>
        <v>2</v>
      </c>
      <c r="DH678" s="48">
        <f t="shared" si="3871"/>
        <v>4</v>
      </c>
      <c r="DI678" s="48">
        <f t="shared" si="3872"/>
        <v>4</v>
      </c>
      <c r="DJ678" s="48">
        <f t="shared" si="3873"/>
        <v>4</v>
      </c>
      <c r="DK678" s="48">
        <f t="shared" si="3874"/>
        <v>4</v>
      </c>
      <c r="DL678" s="48">
        <f t="shared" si="3875"/>
        <v>6</v>
      </c>
      <c r="DM678" s="48">
        <f t="shared" si="3876"/>
        <v>6</v>
      </c>
      <c r="DN678" s="48">
        <f t="shared" si="3877"/>
        <v>0</v>
      </c>
      <c r="DO678" s="48">
        <f t="shared" si="3884"/>
        <v>0</v>
      </c>
      <c r="DP678" s="48">
        <f t="shared" si="3885"/>
        <v>0</v>
      </c>
      <c r="DQ678" s="48"/>
      <c r="DR678" s="48"/>
      <c r="DS678" s="48"/>
      <c r="DT678" s="48"/>
      <c r="DU678" s="48"/>
      <c r="DV678" s="48"/>
      <c r="DW678" s="48"/>
      <c r="DX678" s="48"/>
      <c r="DY678" s="48"/>
      <c r="EA678" s="52">
        <f t="shared" si="3809"/>
        <v>6</v>
      </c>
      <c r="EB678" s="52">
        <f t="shared" si="3810"/>
        <v>6</v>
      </c>
      <c r="EC678" s="52"/>
      <c r="ED678" s="429"/>
      <c r="EE678" s="40">
        <f t="shared" si="3775"/>
        <v>0</v>
      </c>
      <c r="EF678" s="40">
        <f t="shared" si="3776"/>
        <v>0</v>
      </c>
      <c r="EG678" s="51">
        <f t="shared" si="3820"/>
        <v>6</v>
      </c>
      <c r="EH678" s="54"/>
      <c r="EI678" s="54"/>
      <c r="EJ678" s="54"/>
      <c r="EK678" s="675"/>
      <c r="EL678" s="53"/>
      <c r="EM678" s="53"/>
      <c r="EN678" s="53"/>
      <c r="EO678" s="49"/>
      <c r="EP678" s="49"/>
      <c r="EQ678" s="49"/>
    </row>
    <row r="679" spans="1:149">
      <c r="A679" s="6" t="s">
        <v>23</v>
      </c>
      <c r="B679" s="324" t="s">
        <v>202</v>
      </c>
      <c r="C679" s="3" t="s">
        <v>51</v>
      </c>
      <c r="E679" s="3" t="s">
        <v>15</v>
      </c>
      <c r="G679" s="3" t="s">
        <v>91</v>
      </c>
      <c r="I679" s="216"/>
      <c r="J679" s="213">
        <v>0</v>
      </c>
      <c r="K679" s="213">
        <v>0</v>
      </c>
      <c r="L679" s="213">
        <v>0</v>
      </c>
      <c r="M679" s="213">
        <v>0</v>
      </c>
      <c r="N679" s="213">
        <v>0</v>
      </c>
      <c r="O679" s="213">
        <v>2</v>
      </c>
      <c r="P679" s="213">
        <v>2</v>
      </c>
      <c r="Q679" s="213">
        <v>2</v>
      </c>
      <c r="R679" s="213">
        <v>2</v>
      </c>
      <c r="S679" s="213">
        <v>2</v>
      </c>
      <c r="T679" s="213">
        <v>2</v>
      </c>
      <c r="U679" s="213">
        <v>4</v>
      </c>
      <c r="V679" s="219">
        <v>0</v>
      </c>
      <c r="W679" s="246">
        <v>0</v>
      </c>
      <c r="X679" s="246">
        <v>0</v>
      </c>
      <c r="Y679" s="246">
        <f>X679</f>
        <v>0</v>
      </c>
      <c r="Z679" s="246">
        <v>0</v>
      </c>
      <c r="AA679" s="246">
        <v>0</v>
      </c>
      <c r="AB679" s="246">
        <v>2</v>
      </c>
      <c r="AC679" s="246">
        <f>AB679</f>
        <v>2</v>
      </c>
      <c r="AD679" s="246">
        <f>AC679</f>
        <v>2</v>
      </c>
      <c r="AE679" s="246">
        <f>AD679</f>
        <v>2</v>
      </c>
      <c r="AF679" s="246">
        <f>AE679</f>
        <v>2</v>
      </c>
      <c r="AG679" s="246">
        <v>4</v>
      </c>
      <c r="AH679" s="31"/>
      <c r="AI679" s="19"/>
      <c r="AJ679" s="19"/>
      <c r="AK679" s="408"/>
      <c r="AL679" s="40">
        <f t="shared" si="3879"/>
        <v>0</v>
      </c>
      <c r="AM679" s="40">
        <f t="shared" si="3880"/>
        <v>0</v>
      </c>
      <c r="AN679" s="40">
        <f t="shared" si="3827"/>
        <v>0</v>
      </c>
      <c r="AO679" s="40">
        <f t="shared" si="3828"/>
        <v>0</v>
      </c>
      <c r="AP679" s="40">
        <f t="shared" si="3829"/>
        <v>0</v>
      </c>
      <c r="AQ679" s="40">
        <f t="shared" si="3830"/>
        <v>2</v>
      </c>
      <c r="AR679" s="40">
        <f t="shared" si="3831"/>
        <v>0</v>
      </c>
      <c r="AS679" s="40">
        <f t="shared" si="3832"/>
        <v>0</v>
      </c>
      <c r="AT679" s="40">
        <f t="shared" si="3833"/>
        <v>0</v>
      </c>
      <c r="AU679" s="40">
        <f t="shared" si="3834"/>
        <v>0</v>
      </c>
      <c r="AV679" s="40">
        <f t="shared" si="3835"/>
        <v>0</v>
      </c>
      <c r="AW679" s="40">
        <f t="shared" si="3836"/>
        <v>2</v>
      </c>
      <c r="AX679" s="40">
        <f t="shared" si="3881"/>
        <v>0</v>
      </c>
      <c r="AY679" s="40">
        <f t="shared" si="3837"/>
        <v>0</v>
      </c>
      <c r="AZ679" s="40">
        <f t="shared" si="3838"/>
        <v>0</v>
      </c>
      <c r="BA679" s="40">
        <f t="shared" si="3839"/>
        <v>0</v>
      </c>
      <c r="BB679" s="40">
        <f t="shared" si="3840"/>
        <v>0</v>
      </c>
      <c r="BC679" s="40">
        <f t="shared" si="3841"/>
        <v>0</v>
      </c>
      <c r="BD679" s="40">
        <f t="shared" si="3842"/>
        <v>2</v>
      </c>
      <c r="BE679" s="40">
        <f t="shared" si="3843"/>
        <v>0</v>
      </c>
      <c r="BF679" s="40">
        <f t="shared" si="3844"/>
        <v>0</v>
      </c>
      <c r="BG679" s="40">
        <f t="shared" si="3845"/>
        <v>0</v>
      </c>
      <c r="BH679" s="40">
        <f t="shared" si="3846"/>
        <v>0</v>
      </c>
      <c r="BI679" s="40">
        <f t="shared" si="3847"/>
        <v>2</v>
      </c>
      <c r="BJ679" s="40">
        <f>AH679-AG679</f>
        <v>-4</v>
      </c>
      <c r="BK679" s="40">
        <f t="shared" si="3849"/>
        <v>0</v>
      </c>
      <c r="BL679" s="40">
        <f t="shared" si="3850"/>
        <v>0</v>
      </c>
      <c r="BM679" s="408"/>
      <c r="BN679" s="48">
        <f t="shared" si="3778"/>
        <v>0</v>
      </c>
      <c r="BO679" s="48">
        <f t="shared" si="3779"/>
        <v>0</v>
      </c>
      <c r="BP679" s="48">
        <f>SUM(AL679:AN679)</f>
        <v>0</v>
      </c>
      <c r="BQ679" s="48">
        <f t="shared" si="3781"/>
        <v>2</v>
      </c>
      <c r="BR679" s="48">
        <f t="shared" si="3782"/>
        <v>2</v>
      </c>
      <c r="BS679" s="48">
        <f t="shared" si="3852"/>
        <v>2</v>
      </c>
      <c r="BT679" s="48">
        <f t="shared" si="3784"/>
        <v>0</v>
      </c>
      <c r="BU679" s="48">
        <f t="shared" si="3785"/>
        <v>0</v>
      </c>
      <c r="BV679" s="48">
        <f t="shared" si="3853"/>
        <v>0</v>
      </c>
      <c r="BW679" s="48">
        <f t="shared" si="3787"/>
        <v>2</v>
      </c>
      <c r="BX679" s="48">
        <f t="shared" si="3788"/>
        <v>2</v>
      </c>
      <c r="BY679" s="48">
        <f t="shared" si="3854"/>
        <v>2</v>
      </c>
      <c r="BZ679" s="48">
        <f t="shared" si="3790"/>
        <v>0</v>
      </c>
      <c r="CA679" s="48">
        <f t="shared" si="3791"/>
        <v>0</v>
      </c>
      <c r="CB679" s="48">
        <f>SUM(AX679:AZ679)</f>
        <v>0</v>
      </c>
      <c r="CC679" s="48">
        <f t="shared" si="3792"/>
        <v>0</v>
      </c>
      <c r="CD679" s="48">
        <f t="shared" si="3793"/>
        <v>0</v>
      </c>
      <c r="CE679" s="48">
        <f>SUM(BA679:BC679)</f>
        <v>0</v>
      </c>
      <c r="CF679" s="48">
        <f>CH679</f>
        <v>2</v>
      </c>
      <c r="CG679" s="48">
        <f>CH679</f>
        <v>2</v>
      </c>
      <c r="CH679" s="48">
        <f>SUM(BD679:BF679)</f>
        <v>2</v>
      </c>
      <c r="CI679" s="48">
        <f>CK679</f>
        <v>2</v>
      </c>
      <c r="CJ679" s="48">
        <f>CK679</f>
        <v>2</v>
      </c>
      <c r="CK679" s="48">
        <f>SUM(BG679:BI679)</f>
        <v>2</v>
      </c>
      <c r="CL679" s="48">
        <f>CN679</f>
        <v>-4</v>
      </c>
      <c r="CM679" s="48">
        <f>CN679</f>
        <v>-4</v>
      </c>
      <c r="CN679" s="48">
        <f>SUM(BJ679:BL679)</f>
        <v>-4</v>
      </c>
      <c r="CO679" s="406"/>
      <c r="CP679" s="48">
        <f t="shared" si="3882"/>
        <v>0</v>
      </c>
      <c r="CQ679" s="48">
        <f t="shared" si="3855"/>
        <v>0</v>
      </c>
      <c r="CR679" s="48">
        <f t="shared" si="3856"/>
        <v>0</v>
      </c>
      <c r="CS679" s="48">
        <f t="shared" si="3857"/>
        <v>0</v>
      </c>
      <c r="CT679" s="48">
        <f t="shared" si="3858"/>
        <v>0</v>
      </c>
      <c r="CU679" s="48">
        <f t="shared" si="3859"/>
        <v>2</v>
      </c>
      <c r="CV679" s="48">
        <f t="shared" si="3860"/>
        <v>2</v>
      </c>
      <c r="CW679" s="48">
        <f t="shared" si="3861"/>
        <v>2</v>
      </c>
      <c r="CX679" s="48">
        <f t="shared" si="3862"/>
        <v>2</v>
      </c>
      <c r="CY679" s="48">
        <f t="shared" si="3863"/>
        <v>2</v>
      </c>
      <c r="CZ679" s="48">
        <f t="shared" si="3864"/>
        <v>2</v>
      </c>
      <c r="DA679" s="48">
        <f t="shared" si="3865"/>
        <v>4</v>
      </c>
      <c r="DB679" s="48">
        <f t="shared" si="3883"/>
        <v>0</v>
      </c>
      <c r="DC679" s="48">
        <f t="shared" si="3866"/>
        <v>0</v>
      </c>
      <c r="DD679" s="48">
        <f t="shared" si="3867"/>
        <v>0</v>
      </c>
      <c r="DE679" s="48">
        <f t="shared" si="3868"/>
        <v>0</v>
      </c>
      <c r="DF679" s="48">
        <f t="shared" si="3869"/>
        <v>0</v>
      </c>
      <c r="DG679" s="48">
        <f t="shared" si="3870"/>
        <v>0</v>
      </c>
      <c r="DH679" s="48">
        <f t="shared" si="3871"/>
        <v>2</v>
      </c>
      <c r="DI679" s="48">
        <f t="shared" si="3872"/>
        <v>2</v>
      </c>
      <c r="DJ679" s="48">
        <f t="shared" si="3873"/>
        <v>2</v>
      </c>
      <c r="DK679" s="48">
        <f t="shared" si="3874"/>
        <v>2</v>
      </c>
      <c r="DL679" s="48">
        <f t="shared" si="3875"/>
        <v>2</v>
      </c>
      <c r="DM679" s="48">
        <f t="shared" si="3876"/>
        <v>4</v>
      </c>
      <c r="DN679" s="48">
        <f>DM679+BJ679</f>
        <v>0</v>
      </c>
      <c r="DO679" s="48">
        <f t="shared" si="3884"/>
        <v>0</v>
      </c>
      <c r="DP679" s="48">
        <f t="shared" si="3885"/>
        <v>0</v>
      </c>
      <c r="DQ679" s="48"/>
      <c r="DR679" s="48"/>
      <c r="DS679" s="48"/>
      <c r="DT679" s="48"/>
      <c r="DU679" s="48"/>
      <c r="DV679" s="48"/>
      <c r="DW679" s="48"/>
      <c r="DX679" s="48"/>
      <c r="DY679" s="48"/>
      <c r="EA679" s="52">
        <f t="shared" si="3809"/>
        <v>4</v>
      </c>
      <c r="EB679" s="52">
        <f t="shared" si="3810"/>
        <v>4</v>
      </c>
      <c r="EC679" s="52"/>
      <c r="ED679" s="429"/>
      <c r="EE679" s="40">
        <f t="shared" si="3775"/>
        <v>0</v>
      </c>
      <c r="EF679" s="40">
        <f t="shared" si="3776"/>
        <v>-4</v>
      </c>
      <c r="EG679" s="51">
        <f t="shared" si="3820"/>
        <v>4</v>
      </c>
      <c r="EH679" s="54"/>
      <c r="EI679" s="54"/>
      <c r="EJ679" s="54"/>
      <c r="EK679" s="675"/>
      <c r="EL679" s="53"/>
      <c r="EM679" s="53"/>
      <c r="EN679" s="53"/>
      <c r="EO679" s="49"/>
      <c r="EP679" s="49"/>
      <c r="EQ679" s="49"/>
    </row>
    <row r="680" spans="1:149">
      <c r="A680" s="6" t="s">
        <v>23</v>
      </c>
      <c r="B680" s="2" t="s">
        <v>13</v>
      </c>
      <c r="C680" s="3" t="s">
        <v>52</v>
      </c>
      <c r="E680" s="3" t="s">
        <v>15</v>
      </c>
      <c r="G680" s="3" t="s">
        <v>91</v>
      </c>
      <c r="I680" s="216"/>
      <c r="J680" s="213"/>
      <c r="K680" s="213"/>
      <c r="L680" s="213">
        <v>6750</v>
      </c>
      <c r="M680" s="213">
        <v>6750</v>
      </c>
      <c r="N680" s="213">
        <v>6750</v>
      </c>
      <c r="O680" s="213">
        <v>13500</v>
      </c>
      <c r="P680" s="213">
        <v>13500</v>
      </c>
      <c r="Q680" s="213">
        <v>13500</v>
      </c>
      <c r="R680" s="213">
        <v>20250</v>
      </c>
      <c r="S680" s="213">
        <v>20250</v>
      </c>
      <c r="T680" s="213">
        <v>20250</v>
      </c>
      <c r="U680" s="213">
        <v>27000</v>
      </c>
      <c r="V680" s="219">
        <v>0</v>
      </c>
      <c r="W680" s="246">
        <v>0</v>
      </c>
      <c r="X680" s="246">
        <v>0</v>
      </c>
      <c r="Y680" s="246">
        <f>X680</f>
        <v>0</v>
      </c>
      <c r="Z680" s="246">
        <v>0</v>
      </c>
      <c r="AA680" s="246">
        <f>ROUND(AG680/2,)</f>
        <v>13500</v>
      </c>
      <c r="AB680" s="246">
        <f t="shared" ref="AB680:AF681" si="3890">+AA680</f>
        <v>13500</v>
      </c>
      <c r="AC680" s="246">
        <f t="shared" si="3890"/>
        <v>13500</v>
      </c>
      <c r="AD680" s="246">
        <f t="shared" si="3890"/>
        <v>13500</v>
      </c>
      <c r="AE680" s="246">
        <f t="shared" si="3890"/>
        <v>13500</v>
      </c>
      <c r="AF680" s="246">
        <f t="shared" si="3890"/>
        <v>13500</v>
      </c>
      <c r="AG680" s="246">
        <v>27000</v>
      </c>
      <c r="AH680" s="31"/>
      <c r="AI680" s="19"/>
      <c r="AJ680" s="19"/>
      <c r="AK680" s="408"/>
      <c r="AL680" s="40" t="s">
        <v>97</v>
      </c>
      <c r="AM680" s="40" t="s">
        <v>97</v>
      </c>
      <c r="AN680" s="40" t="s">
        <v>97</v>
      </c>
      <c r="AO680" s="40" t="s">
        <v>97</v>
      </c>
      <c r="AP680" s="40" t="s">
        <v>97</v>
      </c>
      <c r="AQ680" s="40" t="s">
        <v>97</v>
      </c>
      <c r="AR680" s="40" t="s">
        <v>97</v>
      </c>
      <c r="AS680" s="40" t="s">
        <v>97</v>
      </c>
      <c r="AT680" s="40" t="s">
        <v>97</v>
      </c>
      <c r="AU680" s="40" t="s">
        <v>97</v>
      </c>
      <c r="AV680" s="40" t="s">
        <v>97</v>
      </c>
      <c r="AW680" s="40" t="s">
        <v>97</v>
      </c>
      <c r="AX680" s="40" t="s">
        <v>97</v>
      </c>
      <c r="AY680" s="40" t="s">
        <v>97</v>
      </c>
      <c r="AZ680" s="40" t="s">
        <v>97</v>
      </c>
      <c r="BA680" s="40" t="s">
        <v>97</v>
      </c>
      <c r="BB680" s="40" t="s">
        <v>97</v>
      </c>
      <c r="BC680" s="40" t="s">
        <v>97</v>
      </c>
      <c r="BD680" s="40" t="s">
        <v>97</v>
      </c>
      <c r="BE680" s="40" t="s">
        <v>97</v>
      </c>
      <c r="BF680" s="40" t="s">
        <v>97</v>
      </c>
      <c r="BG680" s="40" t="s">
        <v>97</v>
      </c>
      <c r="BH680" s="40" t="s">
        <v>97</v>
      </c>
      <c r="BI680" s="40" t="s">
        <v>97</v>
      </c>
      <c r="BJ680" s="40" t="s">
        <v>97</v>
      </c>
      <c r="BK680" s="40" t="s">
        <v>97</v>
      </c>
      <c r="BL680" s="40" t="s">
        <v>97</v>
      </c>
      <c r="BM680" s="408"/>
      <c r="BN680" s="40" t="s">
        <v>97</v>
      </c>
      <c r="BO680" s="40" t="s">
        <v>97</v>
      </c>
      <c r="BP680" s="40" t="s">
        <v>97</v>
      </c>
      <c r="BQ680" s="40" t="s">
        <v>97</v>
      </c>
      <c r="BR680" s="40" t="s">
        <v>97</v>
      </c>
      <c r="BS680" s="40" t="s">
        <v>97</v>
      </c>
      <c r="BT680" s="40" t="s">
        <v>97</v>
      </c>
      <c r="BU680" s="40" t="s">
        <v>97</v>
      </c>
      <c r="BV680" s="40" t="s">
        <v>97</v>
      </c>
      <c r="BW680" s="40" t="s">
        <v>97</v>
      </c>
      <c r="BX680" s="40" t="s">
        <v>97</v>
      </c>
      <c r="BY680" s="40" t="s">
        <v>97</v>
      </c>
      <c r="BZ680" s="40" t="s">
        <v>97</v>
      </c>
      <c r="CA680" s="40" t="s">
        <v>97</v>
      </c>
      <c r="CB680" s="40" t="s">
        <v>97</v>
      </c>
      <c r="CC680" s="40" t="s">
        <v>97</v>
      </c>
      <c r="CD680" s="40" t="s">
        <v>97</v>
      </c>
      <c r="CE680" s="40" t="s">
        <v>97</v>
      </c>
      <c r="CF680" s="40" t="s">
        <v>97</v>
      </c>
      <c r="CG680" s="40" t="s">
        <v>97</v>
      </c>
      <c r="CH680" s="40" t="s">
        <v>97</v>
      </c>
      <c r="CI680" s="40" t="s">
        <v>97</v>
      </c>
      <c r="CJ680" s="40" t="s">
        <v>97</v>
      </c>
      <c r="CK680" s="40" t="s">
        <v>97</v>
      </c>
      <c r="CL680" s="40" t="s">
        <v>97</v>
      </c>
      <c r="CM680" s="40" t="s">
        <v>97</v>
      </c>
      <c r="CN680" s="40" t="s">
        <v>97</v>
      </c>
      <c r="CO680" s="406"/>
      <c r="CP680" s="48">
        <f t="shared" ref="CP680:CY681" si="3891">J680</f>
        <v>0</v>
      </c>
      <c r="CQ680" s="48">
        <f t="shared" si="3891"/>
        <v>0</v>
      </c>
      <c r="CR680" s="48">
        <f t="shared" si="3891"/>
        <v>6750</v>
      </c>
      <c r="CS680" s="48">
        <f t="shared" si="3891"/>
        <v>6750</v>
      </c>
      <c r="CT680" s="48">
        <f t="shared" si="3891"/>
        <v>6750</v>
      </c>
      <c r="CU680" s="48">
        <f t="shared" si="3891"/>
        <v>13500</v>
      </c>
      <c r="CV680" s="48">
        <f t="shared" si="3891"/>
        <v>13500</v>
      </c>
      <c r="CW680" s="48">
        <f t="shared" si="3891"/>
        <v>13500</v>
      </c>
      <c r="CX680" s="48">
        <f t="shared" si="3891"/>
        <v>20250</v>
      </c>
      <c r="CY680" s="48">
        <f t="shared" si="3891"/>
        <v>20250</v>
      </c>
      <c r="CZ680" s="48">
        <f t="shared" ref="CZ680:DI681" si="3892">T680</f>
        <v>20250</v>
      </c>
      <c r="DA680" s="48">
        <f t="shared" si="3892"/>
        <v>27000</v>
      </c>
      <c r="DB680" s="48">
        <f t="shared" si="3892"/>
        <v>0</v>
      </c>
      <c r="DC680" s="48">
        <f t="shared" si="3892"/>
        <v>0</v>
      </c>
      <c r="DD680" s="48">
        <f t="shared" si="3892"/>
        <v>0</v>
      </c>
      <c r="DE680" s="48">
        <f t="shared" si="3892"/>
        <v>0</v>
      </c>
      <c r="DF680" s="48">
        <f t="shared" si="3892"/>
        <v>0</v>
      </c>
      <c r="DG680" s="48">
        <f t="shared" si="3892"/>
        <v>13500</v>
      </c>
      <c r="DH680" s="48">
        <f t="shared" si="3892"/>
        <v>13500</v>
      </c>
      <c r="DI680" s="48">
        <f t="shared" si="3892"/>
        <v>13500</v>
      </c>
      <c r="DJ680" s="48">
        <f t="shared" ref="DJ680:DP681" si="3893">AD680</f>
        <v>13500</v>
      </c>
      <c r="DK680" s="48">
        <f t="shared" si="3893"/>
        <v>13500</v>
      </c>
      <c r="DL680" s="48">
        <f t="shared" si="3893"/>
        <v>13500</v>
      </c>
      <c r="DM680" s="48">
        <f t="shared" si="3893"/>
        <v>27000</v>
      </c>
      <c r="DN680" s="48">
        <f t="shared" si="3893"/>
        <v>0</v>
      </c>
      <c r="DO680" s="48">
        <f t="shared" si="3893"/>
        <v>0</v>
      </c>
      <c r="DP680" s="48">
        <f t="shared" si="3893"/>
        <v>0</v>
      </c>
      <c r="DQ680" s="48"/>
      <c r="DR680" s="48"/>
      <c r="DS680" s="48"/>
      <c r="DT680" s="48"/>
      <c r="DU680" s="48"/>
      <c r="DV680" s="48"/>
      <c r="DW680" s="48"/>
      <c r="DX680" s="48"/>
      <c r="DY680" s="48"/>
      <c r="EA680" s="52">
        <f t="shared" si="3809"/>
        <v>27000</v>
      </c>
      <c r="EB680" s="52">
        <f t="shared" si="3810"/>
        <v>27000</v>
      </c>
      <c r="EC680" s="52"/>
      <c r="ED680" s="429"/>
      <c r="EE680" s="40" t="str">
        <f>HLOOKUP($I$1,Month,19)</f>
        <v>N/A</v>
      </c>
      <c r="EF680" s="40" t="str">
        <f>HLOOKUP($I$1,Qtr,19)</f>
        <v>N/A</v>
      </c>
      <c r="EG680" s="51">
        <f>HLOOKUP($EJ$4,Budget,19)</f>
        <v>41153</v>
      </c>
      <c r="EH680" s="54"/>
      <c r="EI680" s="54"/>
      <c r="EJ680" s="54"/>
      <c r="EK680" s="675"/>
      <c r="EL680" s="53"/>
      <c r="EM680" s="53"/>
      <c r="EN680" s="53"/>
      <c r="EO680" s="49"/>
      <c r="EP680" s="49"/>
      <c r="EQ680" s="49"/>
    </row>
    <row r="681" spans="1:149" ht="13.5" thickBot="1">
      <c r="A681" s="6" t="s">
        <v>23</v>
      </c>
      <c r="B681" s="2" t="s">
        <v>14</v>
      </c>
      <c r="C681" s="3" t="s">
        <v>53</v>
      </c>
      <c r="E681" s="3" t="s">
        <v>15</v>
      </c>
      <c r="G681" s="3" t="s">
        <v>91</v>
      </c>
      <c r="I681" s="216"/>
      <c r="J681" s="213"/>
      <c r="K681" s="213"/>
      <c r="L681" s="213">
        <v>13500</v>
      </c>
      <c r="M681" s="213">
        <v>13500</v>
      </c>
      <c r="N681" s="213">
        <v>13500</v>
      </c>
      <c r="O681" s="213">
        <v>27000</v>
      </c>
      <c r="P681" s="213">
        <v>27000</v>
      </c>
      <c r="Q681" s="213">
        <v>27000</v>
      </c>
      <c r="R681" s="213">
        <v>40500</v>
      </c>
      <c r="S681" s="213">
        <v>40500</v>
      </c>
      <c r="T681" s="213">
        <v>40500</v>
      </c>
      <c r="U681" s="213">
        <v>54000</v>
      </c>
      <c r="V681" s="221">
        <v>0</v>
      </c>
      <c r="W681" s="246">
        <v>0</v>
      </c>
      <c r="X681" s="246">
        <v>0</v>
      </c>
      <c r="Y681" s="246">
        <f>X681</f>
        <v>0</v>
      </c>
      <c r="Z681" s="246">
        <v>0</v>
      </c>
      <c r="AA681" s="246">
        <f>ROUND(AG681/2,0)</f>
        <v>27000</v>
      </c>
      <c r="AB681" s="246">
        <f t="shared" si="3890"/>
        <v>27000</v>
      </c>
      <c r="AC681" s="246">
        <f t="shared" si="3890"/>
        <v>27000</v>
      </c>
      <c r="AD681" s="246">
        <f t="shared" si="3890"/>
        <v>27000</v>
      </c>
      <c r="AE681" s="246">
        <f t="shared" si="3890"/>
        <v>27000</v>
      </c>
      <c r="AF681" s="246">
        <f t="shared" si="3890"/>
        <v>27000</v>
      </c>
      <c r="AG681" s="246">
        <v>54000</v>
      </c>
      <c r="AH681" s="34"/>
      <c r="AI681" s="19"/>
      <c r="AJ681" s="19"/>
      <c r="AK681" s="408"/>
      <c r="AL681" s="40" t="s">
        <v>97</v>
      </c>
      <c r="AM681" s="40" t="s">
        <v>97</v>
      </c>
      <c r="AN681" s="40" t="s">
        <v>97</v>
      </c>
      <c r="AO681" s="40" t="s">
        <v>97</v>
      </c>
      <c r="AP681" s="40" t="s">
        <v>97</v>
      </c>
      <c r="AQ681" s="40" t="s">
        <v>97</v>
      </c>
      <c r="AR681" s="40" t="s">
        <v>97</v>
      </c>
      <c r="AS681" s="40" t="s">
        <v>97</v>
      </c>
      <c r="AT681" s="40" t="s">
        <v>97</v>
      </c>
      <c r="AU681" s="40" t="s">
        <v>97</v>
      </c>
      <c r="AV681" s="40" t="s">
        <v>97</v>
      </c>
      <c r="AW681" s="40" t="s">
        <v>97</v>
      </c>
      <c r="AX681" s="40" t="s">
        <v>97</v>
      </c>
      <c r="AY681" s="40" t="s">
        <v>97</v>
      </c>
      <c r="AZ681" s="40" t="s">
        <v>97</v>
      </c>
      <c r="BA681" s="40" t="s">
        <v>97</v>
      </c>
      <c r="BB681" s="40" t="s">
        <v>97</v>
      </c>
      <c r="BC681" s="40" t="s">
        <v>97</v>
      </c>
      <c r="BD681" s="40" t="s">
        <v>97</v>
      </c>
      <c r="BE681" s="40" t="s">
        <v>97</v>
      </c>
      <c r="BF681" s="40" t="s">
        <v>97</v>
      </c>
      <c r="BG681" s="40" t="s">
        <v>97</v>
      </c>
      <c r="BH681" s="40" t="s">
        <v>97</v>
      </c>
      <c r="BI681" s="40" t="s">
        <v>97</v>
      </c>
      <c r="BJ681" s="40" t="s">
        <v>97</v>
      </c>
      <c r="BK681" s="40" t="s">
        <v>97</v>
      </c>
      <c r="BL681" s="40" t="s">
        <v>97</v>
      </c>
      <c r="BM681" s="408"/>
      <c r="BN681" s="40" t="s">
        <v>97</v>
      </c>
      <c r="BO681" s="40" t="s">
        <v>97</v>
      </c>
      <c r="BP681" s="40" t="s">
        <v>97</v>
      </c>
      <c r="BQ681" s="40" t="s">
        <v>97</v>
      </c>
      <c r="BR681" s="40" t="s">
        <v>97</v>
      </c>
      <c r="BS681" s="40" t="s">
        <v>97</v>
      </c>
      <c r="BT681" s="40" t="s">
        <v>97</v>
      </c>
      <c r="BU681" s="40" t="s">
        <v>97</v>
      </c>
      <c r="BV681" s="40" t="s">
        <v>97</v>
      </c>
      <c r="BW681" s="40" t="s">
        <v>97</v>
      </c>
      <c r="BX681" s="40" t="s">
        <v>97</v>
      </c>
      <c r="BY681" s="40" t="s">
        <v>97</v>
      </c>
      <c r="BZ681" s="40" t="s">
        <v>97</v>
      </c>
      <c r="CA681" s="40" t="s">
        <v>97</v>
      </c>
      <c r="CB681" s="40" t="s">
        <v>97</v>
      </c>
      <c r="CC681" s="40" t="s">
        <v>97</v>
      </c>
      <c r="CD681" s="40" t="s">
        <v>97</v>
      </c>
      <c r="CE681" s="40" t="s">
        <v>97</v>
      </c>
      <c r="CF681" s="40" t="s">
        <v>97</v>
      </c>
      <c r="CG681" s="40" t="s">
        <v>97</v>
      </c>
      <c r="CH681" s="40" t="s">
        <v>97</v>
      </c>
      <c r="CI681" s="40" t="s">
        <v>97</v>
      </c>
      <c r="CJ681" s="40" t="s">
        <v>97</v>
      </c>
      <c r="CK681" s="40" t="s">
        <v>97</v>
      </c>
      <c r="CL681" s="40" t="s">
        <v>97</v>
      </c>
      <c r="CM681" s="40" t="s">
        <v>97</v>
      </c>
      <c r="CN681" s="40" t="s">
        <v>97</v>
      </c>
      <c r="CO681" s="406"/>
      <c r="CP681" s="48">
        <f t="shared" si="3891"/>
        <v>0</v>
      </c>
      <c r="CQ681" s="48">
        <f t="shared" si="3891"/>
        <v>0</v>
      </c>
      <c r="CR681" s="48">
        <f t="shared" si="3891"/>
        <v>13500</v>
      </c>
      <c r="CS681" s="48">
        <f t="shared" si="3891"/>
        <v>13500</v>
      </c>
      <c r="CT681" s="48">
        <f t="shared" si="3891"/>
        <v>13500</v>
      </c>
      <c r="CU681" s="48">
        <f t="shared" si="3891"/>
        <v>27000</v>
      </c>
      <c r="CV681" s="48">
        <f t="shared" si="3891"/>
        <v>27000</v>
      </c>
      <c r="CW681" s="48">
        <f t="shared" si="3891"/>
        <v>27000</v>
      </c>
      <c r="CX681" s="48">
        <f t="shared" si="3891"/>
        <v>40500</v>
      </c>
      <c r="CY681" s="48">
        <f t="shared" si="3891"/>
        <v>40500</v>
      </c>
      <c r="CZ681" s="48">
        <f t="shared" si="3892"/>
        <v>40500</v>
      </c>
      <c r="DA681" s="48">
        <f t="shared" si="3892"/>
        <v>54000</v>
      </c>
      <c r="DB681" s="48">
        <f t="shared" si="3892"/>
        <v>0</v>
      </c>
      <c r="DC681" s="48">
        <f t="shared" si="3892"/>
        <v>0</v>
      </c>
      <c r="DD681" s="48">
        <f t="shared" si="3892"/>
        <v>0</v>
      </c>
      <c r="DE681" s="48">
        <f t="shared" si="3892"/>
        <v>0</v>
      </c>
      <c r="DF681" s="48">
        <f t="shared" si="3892"/>
        <v>0</v>
      </c>
      <c r="DG681" s="48">
        <f t="shared" si="3892"/>
        <v>27000</v>
      </c>
      <c r="DH681" s="48">
        <f t="shared" si="3892"/>
        <v>27000</v>
      </c>
      <c r="DI681" s="48">
        <f t="shared" si="3892"/>
        <v>27000</v>
      </c>
      <c r="DJ681" s="48">
        <f t="shared" si="3893"/>
        <v>27000</v>
      </c>
      <c r="DK681" s="48">
        <f t="shared" si="3893"/>
        <v>27000</v>
      </c>
      <c r="DL681" s="48">
        <f t="shared" si="3893"/>
        <v>27000</v>
      </c>
      <c r="DM681" s="48">
        <f t="shared" si="3893"/>
        <v>54000</v>
      </c>
      <c r="DN681" s="48">
        <f t="shared" si="3893"/>
        <v>0</v>
      </c>
      <c r="DO681" s="48">
        <f t="shared" si="3893"/>
        <v>0</v>
      </c>
      <c r="DP681" s="48">
        <f t="shared" si="3893"/>
        <v>0</v>
      </c>
      <c r="DQ681" s="48"/>
      <c r="DR681" s="48"/>
      <c r="DS681" s="48"/>
      <c r="DT681" s="48"/>
      <c r="DU681" s="48"/>
      <c r="DV681" s="48"/>
      <c r="DW681" s="48"/>
      <c r="DX681" s="48"/>
      <c r="DY681" s="48"/>
      <c r="EA681" s="52">
        <f t="shared" si="3809"/>
        <v>54000</v>
      </c>
      <c r="EB681" s="52">
        <f t="shared" si="3810"/>
        <v>54000</v>
      </c>
      <c r="EC681" s="52"/>
      <c r="ED681" s="429"/>
      <c r="EE681" s="40" t="str">
        <f>HLOOKUP($I$1,Month,20)</f>
        <v>N/A</v>
      </c>
      <c r="EF681" s="40" t="str">
        <f>HLOOKUP($I$1,Qtr,20)</f>
        <v>N/A</v>
      </c>
      <c r="EG681" s="51">
        <f>HLOOKUP($EJ$4,Budget,20)</f>
        <v>81520</v>
      </c>
      <c r="EH681" s="54"/>
      <c r="EI681" s="54"/>
      <c r="EJ681" s="54"/>
      <c r="EK681" s="675"/>
      <c r="EL681" s="53"/>
      <c r="EM681" s="53"/>
      <c r="EN681" s="53"/>
      <c r="EO681" s="49"/>
      <c r="EP681" s="49"/>
      <c r="EQ681" s="49"/>
    </row>
    <row r="682" spans="1:149">
      <c r="A682" s="6" t="s">
        <v>23</v>
      </c>
      <c r="B682" s="2" t="s">
        <v>0</v>
      </c>
      <c r="C682" s="3" t="s">
        <v>40</v>
      </c>
      <c r="G682" s="43" t="s">
        <v>113</v>
      </c>
      <c r="H682" s="28"/>
      <c r="I682" s="29"/>
      <c r="J682" s="30">
        <f t="shared" ref="J682:L683" si="3894">+J664-I664</f>
        <v>9.3299999999999983</v>
      </c>
      <c r="K682" s="30">
        <f t="shared" si="3894"/>
        <v>9.3299999999999983</v>
      </c>
      <c r="L682" s="30">
        <f t="shared" si="3894"/>
        <v>9.3299999999999983</v>
      </c>
      <c r="M682" s="30">
        <f>+M664</f>
        <v>7.583333333333333</v>
      </c>
      <c r="N682" s="30">
        <f t="shared" ref="N682:U682" si="3895">+N664-M664</f>
        <v>7.5833333300000012</v>
      </c>
      <c r="O682" s="30">
        <f t="shared" si="3895"/>
        <v>7.5833333299999985</v>
      </c>
      <c r="P682" s="30">
        <f t="shared" si="3895"/>
        <v>7.5833333300000021</v>
      </c>
      <c r="Q682" s="30">
        <f t="shared" si="3895"/>
        <v>7.5833333300000021</v>
      </c>
      <c r="R682" s="30">
        <f t="shared" si="3895"/>
        <v>7.5833333300000021</v>
      </c>
      <c r="S682" s="30">
        <f t="shared" si="3895"/>
        <v>7.5833333300000021</v>
      </c>
      <c r="T682" s="30">
        <f t="shared" si="3895"/>
        <v>7.5833333300000021</v>
      </c>
      <c r="U682" s="30">
        <f t="shared" si="3895"/>
        <v>7.5833333300000021</v>
      </c>
      <c r="V682" s="394">
        <f>129/12</f>
        <v>10.75</v>
      </c>
      <c r="W682" s="30">
        <f>V682+10.75</f>
        <v>21.5</v>
      </c>
      <c r="X682" s="226">
        <f t="shared" ref="X682:AG682" si="3896">W682+10.75</f>
        <v>32.25</v>
      </c>
      <c r="Y682" s="226">
        <f t="shared" si="3896"/>
        <v>43</v>
      </c>
      <c r="Z682" s="226">
        <f t="shared" si="3896"/>
        <v>53.75</v>
      </c>
      <c r="AA682" s="226">
        <f t="shared" si="3896"/>
        <v>64.5</v>
      </c>
      <c r="AB682" s="226">
        <f t="shared" si="3896"/>
        <v>75.25</v>
      </c>
      <c r="AC682" s="226">
        <f t="shared" si="3896"/>
        <v>86</v>
      </c>
      <c r="AD682" s="226">
        <f t="shared" si="3896"/>
        <v>96.75</v>
      </c>
      <c r="AE682" s="226">
        <f t="shared" si="3896"/>
        <v>107.5</v>
      </c>
      <c r="AF682" s="226">
        <f t="shared" si="3896"/>
        <v>118.25</v>
      </c>
      <c r="AG682" s="226">
        <f t="shared" si="3896"/>
        <v>129</v>
      </c>
      <c r="AH682" s="30">
        <f>120/12</f>
        <v>10</v>
      </c>
      <c r="AI682" s="226">
        <f>AH682+AH682</f>
        <v>20</v>
      </c>
      <c r="AJ682" s="226"/>
      <c r="AK682" s="408"/>
      <c r="AL682" s="48">
        <f t="shared" ref="AL682:AU684" si="3897">J682</f>
        <v>9.3299999999999983</v>
      </c>
      <c r="AM682" s="48">
        <f t="shared" si="3897"/>
        <v>9.3299999999999983</v>
      </c>
      <c r="AN682" s="48">
        <f t="shared" si="3897"/>
        <v>9.3299999999999983</v>
      </c>
      <c r="AO682" s="48">
        <f t="shared" si="3897"/>
        <v>7.583333333333333</v>
      </c>
      <c r="AP682" s="48">
        <f t="shared" si="3897"/>
        <v>7.5833333300000012</v>
      </c>
      <c r="AQ682" s="48">
        <f t="shared" si="3897"/>
        <v>7.5833333299999985</v>
      </c>
      <c r="AR682" s="48">
        <f t="shared" si="3897"/>
        <v>7.5833333300000021</v>
      </c>
      <c r="AS682" s="48">
        <f t="shared" si="3897"/>
        <v>7.5833333300000021</v>
      </c>
      <c r="AT682" s="48">
        <f t="shared" si="3897"/>
        <v>7.5833333300000021</v>
      </c>
      <c r="AU682" s="48">
        <f t="shared" si="3897"/>
        <v>7.5833333300000021</v>
      </c>
      <c r="AV682" s="48">
        <f t="shared" ref="AV682:BE684" si="3898">T682</f>
        <v>7.5833333300000021</v>
      </c>
      <c r="AW682" s="48">
        <f t="shared" si="3898"/>
        <v>7.5833333300000021</v>
      </c>
      <c r="AX682" s="276">
        <f>129/12</f>
        <v>10.75</v>
      </c>
      <c r="AY682" s="276">
        <f t="shared" ref="AY682:BI682" si="3899">129/12</f>
        <v>10.75</v>
      </c>
      <c r="AZ682" s="276">
        <f t="shared" si="3899"/>
        <v>10.75</v>
      </c>
      <c r="BA682" s="276">
        <f t="shared" si="3899"/>
        <v>10.75</v>
      </c>
      <c r="BB682" s="276">
        <f t="shared" si="3899"/>
        <v>10.75</v>
      </c>
      <c r="BC682" s="276">
        <f t="shared" si="3899"/>
        <v>10.75</v>
      </c>
      <c r="BD682" s="276">
        <f t="shared" si="3899"/>
        <v>10.75</v>
      </c>
      <c r="BE682" s="276">
        <f t="shared" si="3899"/>
        <v>10.75</v>
      </c>
      <c r="BF682" s="276">
        <f t="shared" si="3899"/>
        <v>10.75</v>
      </c>
      <c r="BG682" s="276">
        <f t="shared" si="3899"/>
        <v>10.75</v>
      </c>
      <c r="BH682" s="276">
        <f t="shared" si="3899"/>
        <v>10.75</v>
      </c>
      <c r="BI682" s="276">
        <f t="shared" si="3899"/>
        <v>10.75</v>
      </c>
      <c r="BJ682" s="48">
        <f t="shared" ref="BF682:BL684" si="3900">AH682</f>
        <v>10</v>
      </c>
      <c r="BK682" s="48">
        <f t="shared" si="3900"/>
        <v>20</v>
      </c>
      <c r="BL682" s="48">
        <f t="shared" si="3900"/>
        <v>0</v>
      </c>
      <c r="BM682" s="408"/>
      <c r="BN682" s="48">
        <f>+AL682</f>
        <v>9.3299999999999983</v>
      </c>
      <c r="BO682" s="48">
        <f>+BN682+AM682</f>
        <v>18.659999999999997</v>
      </c>
      <c r="BP682" s="48">
        <f>+BO682+AN682</f>
        <v>27.989999999999995</v>
      </c>
      <c r="BQ682" s="48">
        <f>AO682</f>
        <v>7.583333333333333</v>
      </c>
      <c r="BR682" s="48">
        <f>+BQ682+AP682</f>
        <v>15.166666663333334</v>
      </c>
      <c r="BS682" s="48">
        <f>+BR682+AQ682</f>
        <v>22.749999993333333</v>
      </c>
      <c r="BT682" s="48">
        <f>AR682</f>
        <v>7.5833333300000021</v>
      </c>
      <c r="BU682" s="48">
        <f>+BT682+AS682</f>
        <v>15.166666660000004</v>
      </c>
      <c r="BV682" s="48">
        <f>+BU682+AT682</f>
        <v>22.749999990000006</v>
      </c>
      <c r="BW682" s="48">
        <f>AU682</f>
        <v>7.5833333300000021</v>
      </c>
      <c r="BX682" s="48">
        <f>+BW682+AV682</f>
        <v>15.166666660000004</v>
      </c>
      <c r="BY682" s="48">
        <f>+BX682+AW682</f>
        <v>22.749999990000006</v>
      </c>
      <c r="BZ682" s="48">
        <v>32.25</v>
      </c>
      <c r="CA682" s="48">
        <v>32.25</v>
      </c>
      <c r="CB682" s="48">
        <v>32.25</v>
      </c>
      <c r="CC682" s="48">
        <v>64.5</v>
      </c>
      <c r="CD682" s="48">
        <v>64.5</v>
      </c>
      <c r="CE682" s="48">
        <v>64.5</v>
      </c>
      <c r="CF682" s="48">
        <v>96.75</v>
      </c>
      <c r="CG682" s="48">
        <v>96.75</v>
      </c>
      <c r="CH682" s="48">
        <v>96.75</v>
      </c>
      <c r="CI682" s="48">
        <v>129</v>
      </c>
      <c r="CJ682" s="48">
        <v>129</v>
      </c>
      <c r="CK682" s="48">
        <v>129</v>
      </c>
      <c r="CL682" s="48">
        <f>CN682</f>
        <v>30</v>
      </c>
      <c r="CM682" s="48">
        <f>CN682</f>
        <v>30</v>
      </c>
      <c r="CN682" s="48">
        <f>120/4</f>
        <v>30</v>
      </c>
      <c r="CO682" s="406"/>
      <c r="CP682" s="40">
        <f>AL682</f>
        <v>9.3299999999999983</v>
      </c>
      <c r="CQ682" s="40">
        <f t="shared" ref="CQ682:DA683" si="3901">CP682+AM682</f>
        <v>18.659999999999997</v>
      </c>
      <c r="CR682" s="40">
        <f t="shared" si="3901"/>
        <v>27.989999999999995</v>
      </c>
      <c r="CS682" s="40">
        <f t="shared" si="3901"/>
        <v>35.573333333333331</v>
      </c>
      <c r="CT682" s="40">
        <f t="shared" si="3901"/>
        <v>43.156666663333333</v>
      </c>
      <c r="CU682" s="40">
        <f t="shared" si="3901"/>
        <v>50.739999993333328</v>
      </c>
      <c r="CV682" s="40">
        <f t="shared" si="3901"/>
        <v>58.32333332333333</v>
      </c>
      <c r="CW682" s="40">
        <f t="shared" si="3901"/>
        <v>65.906666653333332</v>
      </c>
      <c r="CX682" s="40">
        <f t="shared" si="3901"/>
        <v>73.489999983333334</v>
      </c>
      <c r="CY682" s="40">
        <f t="shared" si="3901"/>
        <v>81.073333313333336</v>
      </c>
      <c r="CZ682" s="40">
        <f t="shared" si="3901"/>
        <v>88.656666643333338</v>
      </c>
      <c r="DA682" s="40">
        <f t="shared" si="3901"/>
        <v>96.23999997333334</v>
      </c>
      <c r="DB682" s="40">
        <f>AX682</f>
        <v>10.75</v>
      </c>
      <c r="DC682" s="40">
        <f>DB682+10.75</f>
        <v>21.5</v>
      </c>
      <c r="DD682" s="40">
        <f t="shared" ref="DD682:DM682" si="3902">DC682+10.75</f>
        <v>32.25</v>
      </c>
      <c r="DE682" s="40">
        <f t="shared" si="3902"/>
        <v>43</v>
      </c>
      <c r="DF682" s="40">
        <f t="shared" si="3902"/>
        <v>53.75</v>
      </c>
      <c r="DG682" s="40">
        <f t="shared" si="3902"/>
        <v>64.5</v>
      </c>
      <c r="DH682" s="40">
        <f t="shared" si="3902"/>
        <v>75.25</v>
      </c>
      <c r="DI682" s="40">
        <f t="shared" si="3902"/>
        <v>86</v>
      </c>
      <c r="DJ682" s="40">
        <f t="shared" si="3902"/>
        <v>96.75</v>
      </c>
      <c r="DK682" s="40">
        <f t="shared" si="3902"/>
        <v>107.5</v>
      </c>
      <c r="DL682" s="40">
        <f t="shared" si="3902"/>
        <v>118.25</v>
      </c>
      <c r="DM682" s="40">
        <f t="shared" si="3902"/>
        <v>129</v>
      </c>
      <c r="DN682" s="40">
        <f>BJ682</f>
        <v>10</v>
      </c>
      <c r="DO682" s="40">
        <f>DN682+BK682</f>
        <v>30</v>
      </c>
      <c r="DP682" s="40">
        <f>DO682+BL682</f>
        <v>30</v>
      </c>
      <c r="DQ682" s="40"/>
      <c r="DR682" s="40"/>
      <c r="DS682" s="40"/>
      <c r="DT682" s="40"/>
      <c r="DU682" s="40"/>
      <c r="DV682" s="40"/>
      <c r="DW682" s="40"/>
      <c r="DX682" s="40"/>
      <c r="DY682" s="40"/>
      <c r="EA682" s="58">
        <f t="shared" si="3809"/>
        <v>96.23999997333334</v>
      </c>
      <c r="EB682" s="58">
        <f t="shared" si="3810"/>
        <v>129</v>
      </c>
      <c r="EC682" s="58"/>
      <c r="ED682" s="429"/>
      <c r="EE682" s="40">
        <f>HLOOKUP($I$1,Month,ROW()-1)</f>
        <v>20</v>
      </c>
      <c r="EF682" s="40">
        <f>HLOOKUP($I$1,Qtr,ROW()-1)</f>
        <v>30</v>
      </c>
      <c r="EG682" s="40">
        <v>120</v>
      </c>
      <c r="EH682" s="54"/>
      <c r="EI682" s="54"/>
      <c r="EJ682" s="54"/>
      <c r="EK682" s="675"/>
      <c r="EL682" s="53"/>
      <c r="EM682" s="53"/>
      <c r="EN682" s="53"/>
      <c r="EO682" s="49"/>
      <c r="EP682" s="49"/>
      <c r="EQ682" s="49"/>
    </row>
    <row r="683" spans="1:149">
      <c r="A683" s="6" t="s">
        <v>23</v>
      </c>
      <c r="B683" s="2" t="s">
        <v>1</v>
      </c>
      <c r="C683" s="3" t="s">
        <v>41</v>
      </c>
      <c r="G683" s="43" t="s">
        <v>113</v>
      </c>
      <c r="H683" s="28"/>
      <c r="I683" s="29"/>
      <c r="J683" s="30">
        <f t="shared" si="3894"/>
        <v>0.82999999999999918</v>
      </c>
      <c r="K683" s="30">
        <f t="shared" si="3894"/>
        <v>0.83000000000000007</v>
      </c>
      <c r="L683" s="30">
        <f t="shared" si="3894"/>
        <v>0.83000000000000007</v>
      </c>
      <c r="M683" s="30">
        <f>+M665</f>
        <v>1.6666666666666667</v>
      </c>
      <c r="N683" s="30">
        <f t="shared" ref="N683:X683" si="3903">+N665-M665</f>
        <v>1.6666666699999999</v>
      </c>
      <c r="O683" s="30">
        <f t="shared" si="3903"/>
        <v>1.6666666699999997</v>
      </c>
      <c r="P683" s="30">
        <f t="shared" si="3903"/>
        <v>1.6666666699999997</v>
      </c>
      <c r="Q683" s="30">
        <f t="shared" si="3903"/>
        <v>1.6666666700000006</v>
      </c>
      <c r="R683" s="30">
        <f t="shared" si="3903"/>
        <v>1.6666666699999997</v>
      </c>
      <c r="S683" s="30">
        <f t="shared" si="3903"/>
        <v>1.6666666699999997</v>
      </c>
      <c r="T683" s="30">
        <f t="shared" si="3903"/>
        <v>1.6666666699999997</v>
      </c>
      <c r="U683" s="30">
        <f t="shared" si="3903"/>
        <v>1.6666666699999997</v>
      </c>
      <c r="V683" s="30">
        <f t="shared" si="3903"/>
        <v>1.6666666700000015</v>
      </c>
      <c r="W683" s="30">
        <f t="shared" si="3903"/>
        <v>1.6666666700000015</v>
      </c>
      <c r="X683" s="30">
        <f t="shared" si="3903"/>
        <v>1.6666666700000015</v>
      </c>
      <c r="Y683" s="30">
        <f>+Y665</f>
        <v>1</v>
      </c>
      <c r="Z683" s="30">
        <f t="shared" ref="Z683:AJ683" si="3904">+Z665-Y665</f>
        <v>1</v>
      </c>
      <c r="AA683" s="30">
        <f t="shared" si="3904"/>
        <v>1</v>
      </c>
      <c r="AB683" s="30">
        <f t="shared" si="3904"/>
        <v>1</v>
      </c>
      <c r="AC683" s="30">
        <f t="shared" si="3904"/>
        <v>1</v>
      </c>
      <c r="AD683" s="30">
        <f t="shared" si="3904"/>
        <v>1</v>
      </c>
      <c r="AE683" s="30">
        <f t="shared" si="3904"/>
        <v>1</v>
      </c>
      <c r="AF683" s="30">
        <f t="shared" si="3904"/>
        <v>1</v>
      </c>
      <c r="AG683" s="30">
        <f t="shared" si="3904"/>
        <v>1</v>
      </c>
      <c r="AH683" s="30">
        <f t="shared" si="3904"/>
        <v>1</v>
      </c>
      <c r="AI683" s="30">
        <f t="shared" si="3904"/>
        <v>1</v>
      </c>
      <c r="AJ683" s="30">
        <f t="shared" si="3904"/>
        <v>1</v>
      </c>
      <c r="AK683" s="408"/>
      <c r="AL683" s="48">
        <f t="shared" si="3897"/>
        <v>0.82999999999999918</v>
      </c>
      <c r="AM683" s="48">
        <f t="shared" si="3897"/>
        <v>0.83000000000000007</v>
      </c>
      <c r="AN683" s="48">
        <f t="shared" si="3897"/>
        <v>0.83000000000000007</v>
      </c>
      <c r="AO683" s="48">
        <f t="shared" si="3897"/>
        <v>1.6666666666666667</v>
      </c>
      <c r="AP683" s="48">
        <f t="shared" si="3897"/>
        <v>1.6666666699999999</v>
      </c>
      <c r="AQ683" s="48">
        <f t="shared" si="3897"/>
        <v>1.6666666699999997</v>
      </c>
      <c r="AR683" s="48">
        <f t="shared" si="3897"/>
        <v>1.6666666699999997</v>
      </c>
      <c r="AS683" s="48">
        <f t="shared" si="3897"/>
        <v>1.6666666700000006</v>
      </c>
      <c r="AT683" s="48">
        <f t="shared" si="3897"/>
        <v>1.6666666699999997</v>
      </c>
      <c r="AU683" s="48">
        <f t="shared" si="3897"/>
        <v>1.6666666699999997</v>
      </c>
      <c r="AV683" s="48">
        <f t="shared" si="3898"/>
        <v>1.6666666699999997</v>
      </c>
      <c r="AW683" s="48">
        <f t="shared" si="3898"/>
        <v>1.6666666699999997</v>
      </c>
      <c r="AX683" s="48">
        <f t="shared" si="3898"/>
        <v>1.6666666700000015</v>
      </c>
      <c r="AY683" s="48">
        <f t="shared" si="3898"/>
        <v>1.6666666700000015</v>
      </c>
      <c r="AZ683" s="48">
        <f t="shared" si="3898"/>
        <v>1.6666666700000015</v>
      </c>
      <c r="BA683" s="48">
        <f t="shared" si="3898"/>
        <v>1</v>
      </c>
      <c r="BB683" s="48">
        <f t="shared" si="3898"/>
        <v>1</v>
      </c>
      <c r="BC683" s="48">
        <f t="shared" si="3898"/>
        <v>1</v>
      </c>
      <c r="BD683" s="48">
        <f t="shared" si="3898"/>
        <v>1</v>
      </c>
      <c r="BE683" s="48">
        <f t="shared" si="3898"/>
        <v>1</v>
      </c>
      <c r="BF683" s="48">
        <f t="shared" si="3900"/>
        <v>1</v>
      </c>
      <c r="BG683" s="48">
        <f t="shared" si="3900"/>
        <v>1</v>
      </c>
      <c r="BH683" s="48">
        <f t="shared" si="3900"/>
        <v>1</v>
      </c>
      <c r="BI683" s="48">
        <f t="shared" si="3900"/>
        <v>1</v>
      </c>
      <c r="BJ683" s="48">
        <f t="shared" si="3900"/>
        <v>1</v>
      </c>
      <c r="BK683" s="48">
        <f t="shared" si="3900"/>
        <v>1</v>
      </c>
      <c r="BL683" s="48">
        <f t="shared" si="3900"/>
        <v>1</v>
      </c>
      <c r="BM683" s="408"/>
      <c r="BN683" s="48">
        <f>+AL683</f>
        <v>0.82999999999999918</v>
      </c>
      <c r="BO683" s="48">
        <f>+BN683+AM683</f>
        <v>1.6599999999999993</v>
      </c>
      <c r="BP683" s="48">
        <f>+BO683+AN683</f>
        <v>2.4899999999999993</v>
      </c>
      <c r="BQ683" s="48">
        <f>AO683</f>
        <v>1.6666666666666667</v>
      </c>
      <c r="BR683" s="48">
        <f>+BQ683+AP683</f>
        <v>3.3333333366666666</v>
      </c>
      <c r="BS683" s="48">
        <f>+BR683+AQ683</f>
        <v>5.0000000066666663</v>
      </c>
      <c r="BT683" s="48">
        <f>AR683</f>
        <v>1.6666666699999997</v>
      </c>
      <c r="BU683" s="48">
        <f>+BT683+AS683</f>
        <v>3.3333333400000003</v>
      </c>
      <c r="BV683" s="48">
        <f>+BU683+AT683</f>
        <v>5.0000000099999999</v>
      </c>
      <c r="BW683" s="48">
        <f>AU683</f>
        <v>1.6666666699999997</v>
      </c>
      <c r="BX683" s="48">
        <f>+BW683+AV683</f>
        <v>3.3333333399999994</v>
      </c>
      <c r="BY683" s="48">
        <f>+BX683+AW683</f>
        <v>5.0000000099999991</v>
      </c>
      <c r="BZ683" s="48">
        <f>AX683</f>
        <v>1.6666666700000015</v>
      </c>
      <c r="CA683" s="48">
        <f>+BZ683+AY683</f>
        <v>3.3333333400000029</v>
      </c>
      <c r="CB683" s="48">
        <f>+CA683+AZ683</f>
        <v>5.0000000100000044</v>
      </c>
      <c r="CC683" s="48">
        <f>BA683</f>
        <v>1</v>
      </c>
      <c r="CD683" s="48">
        <f>+CC683+BB683</f>
        <v>2</v>
      </c>
      <c r="CE683" s="48">
        <f>+CD683+BC683</f>
        <v>3</v>
      </c>
      <c r="CF683" s="48">
        <f>BD683</f>
        <v>1</v>
      </c>
      <c r="CG683" s="48">
        <f>+CF683+BE683</f>
        <v>2</v>
      </c>
      <c r="CH683" s="48">
        <f>+CG683+BF683</f>
        <v>3</v>
      </c>
      <c r="CI683" s="48">
        <f>BG683</f>
        <v>1</v>
      </c>
      <c r="CJ683" s="48">
        <f>+CI683+BH683</f>
        <v>2</v>
      </c>
      <c r="CK683" s="48">
        <f>+CJ683+BI683</f>
        <v>3</v>
      </c>
      <c r="CL683" s="48">
        <f>BJ683</f>
        <v>1</v>
      </c>
      <c r="CM683" s="48">
        <f>+CL683+BK683</f>
        <v>2</v>
      </c>
      <c r="CN683" s="48">
        <f>+CM683+BL683</f>
        <v>3</v>
      </c>
      <c r="CO683" s="406"/>
      <c r="CP683" s="40">
        <f>AL683</f>
        <v>0.82999999999999918</v>
      </c>
      <c r="CQ683" s="40">
        <f t="shared" si="3901"/>
        <v>1.6599999999999993</v>
      </c>
      <c r="CR683" s="40">
        <f t="shared" si="3901"/>
        <v>2.4899999999999993</v>
      </c>
      <c r="CS683" s="40">
        <f t="shared" si="3901"/>
        <v>4.1566666666666663</v>
      </c>
      <c r="CT683" s="40">
        <f t="shared" si="3901"/>
        <v>5.823333336666666</v>
      </c>
      <c r="CU683" s="40">
        <f t="shared" si="3901"/>
        <v>7.4900000066666657</v>
      </c>
      <c r="CV683" s="40">
        <f t="shared" si="3901"/>
        <v>9.1566666766666653</v>
      </c>
      <c r="CW683" s="40">
        <f t="shared" si="3901"/>
        <v>10.823333346666665</v>
      </c>
      <c r="CX683" s="40">
        <f t="shared" si="3901"/>
        <v>12.490000016666665</v>
      </c>
      <c r="CY683" s="40">
        <f t="shared" si="3901"/>
        <v>14.156666686666664</v>
      </c>
      <c r="CZ683" s="40">
        <f t="shared" si="3901"/>
        <v>15.823333356666664</v>
      </c>
      <c r="DA683" s="40">
        <f t="shared" si="3901"/>
        <v>17.490000026666664</v>
      </c>
      <c r="DB683" s="40">
        <f>AX683</f>
        <v>1.6666666700000015</v>
      </c>
      <c r="DC683" s="40">
        <f t="shared" ref="DC683:DM683" si="3905">DB683+AY683</f>
        <v>3.3333333400000029</v>
      </c>
      <c r="DD683" s="40">
        <f t="shared" si="3905"/>
        <v>5.0000000100000044</v>
      </c>
      <c r="DE683" s="40">
        <f t="shared" si="3905"/>
        <v>6.0000000100000044</v>
      </c>
      <c r="DF683" s="40">
        <f t="shared" si="3905"/>
        <v>7.0000000100000044</v>
      </c>
      <c r="DG683" s="40">
        <f t="shared" si="3905"/>
        <v>8.0000000100000044</v>
      </c>
      <c r="DH683" s="40">
        <f t="shared" si="3905"/>
        <v>9.0000000100000044</v>
      </c>
      <c r="DI683" s="40">
        <f t="shared" si="3905"/>
        <v>10.000000010000004</v>
      </c>
      <c r="DJ683" s="40">
        <f t="shared" si="3905"/>
        <v>11.000000010000004</v>
      </c>
      <c r="DK683" s="40">
        <f t="shared" si="3905"/>
        <v>12.000000010000004</v>
      </c>
      <c r="DL683" s="40">
        <f t="shared" si="3905"/>
        <v>13.000000010000004</v>
      </c>
      <c r="DM683" s="40">
        <f t="shared" si="3905"/>
        <v>14.000000010000004</v>
      </c>
      <c r="DN683" s="40">
        <f>BJ683</f>
        <v>1</v>
      </c>
      <c r="DO683" s="40">
        <f>DN683+BK683</f>
        <v>2</v>
      </c>
      <c r="DP683" s="40">
        <f>DO683+BL683</f>
        <v>3</v>
      </c>
      <c r="DQ683" s="40"/>
      <c r="DR683" s="40"/>
      <c r="DS683" s="40"/>
      <c r="DT683" s="40"/>
      <c r="DU683" s="40"/>
      <c r="DV683" s="40"/>
      <c r="DW683" s="40"/>
      <c r="DX683" s="40"/>
      <c r="DY683" s="40"/>
      <c r="EA683" s="59">
        <f t="shared" si="3809"/>
        <v>17.490000026666664</v>
      </c>
      <c r="EB683" s="59">
        <f>IF(I661&gt;6/30/10,DM683,"")</f>
        <v>14.000000010000004</v>
      </c>
      <c r="EC683" s="59"/>
      <c r="ED683" s="429"/>
      <c r="EE683" s="40">
        <f>HLOOKUP($I$1,Month,ROW()-1)</f>
        <v>1</v>
      </c>
      <c r="EF683" s="40">
        <f>HLOOKUP($I$1,Qtr,ROW()-1)</f>
        <v>2</v>
      </c>
      <c r="EG683" s="40">
        <f>HLOOKUP($EJ$4,Budget,ROW()-1)</f>
        <v>14.000000010000004</v>
      </c>
      <c r="EH683" s="54"/>
      <c r="EI683" s="54"/>
      <c r="EJ683" s="54"/>
      <c r="EK683" s="675"/>
      <c r="EL683" s="53"/>
      <c r="EM683" s="53"/>
      <c r="EN683" s="53"/>
      <c r="EO683" s="49"/>
      <c r="EP683" s="49"/>
      <c r="EQ683" s="49"/>
    </row>
    <row r="684" spans="1:149">
      <c r="A684" s="6" t="s">
        <v>23</v>
      </c>
      <c r="B684" s="101" t="s">
        <v>144</v>
      </c>
      <c r="G684" s="43"/>
      <c r="H684" s="28"/>
      <c r="I684" s="29"/>
      <c r="J684" s="102">
        <f>J678/$DA$18</f>
        <v>0</v>
      </c>
      <c r="K684" s="102">
        <f t="shared" ref="K684:U684" si="3906">K678/$DA$18</f>
        <v>0</v>
      </c>
      <c r="L684" s="102">
        <f t="shared" si="3906"/>
        <v>0.16666666666666666</v>
      </c>
      <c r="M684" s="102">
        <f t="shared" si="3906"/>
        <v>0.16666666666666666</v>
      </c>
      <c r="N684" s="102">
        <f t="shared" si="3906"/>
        <v>0.16666666666666666</v>
      </c>
      <c r="O684" s="102">
        <f t="shared" si="3906"/>
        <v>0.16666666666666666</v>
      </c>
      <c r="P684" s="102">
        <f t="shared" si="3906"/>
        <v>0.33333333333333331</v>
      </c>
      <c r="Q684" s="102">
        <f t="shared" si="3906"/>
        <v>0.33333333333333331</v>
      </c>
      <c r="R684" s="102">
        <f t="shared" si="3906"/>
        <v>0.33333333333333331</v>
      </c>
      <c r="S684" s="102">
        <f t="shared" si="3906"/>
        <v>0.33333333333333331</v>
      </c>
      <c r="T684" s="102">
        <f t="shared" si="3906"/>
        <v>0.5</v>
      </c>
      <c r="U684" s="102">
        <f t="shared" si="3906"/>
        <v>0.5</v>
      </c>
      <c r="V684" s="102">
        <f>V678/$DK$18</f>
        <v>0</v>
      </c>
      <c r="W684" s="102">
        <f>W678/$DK$18</f>
        <v>0.25</v>
      </c>
      <c r="X684" s="102">
        <f>X678/$AG$18</f>
        <v>0.16666666666666666</v>
      </c>
      <c r="Y684" s="102">
        <f t="shared" ref="Y684:AH684" si="3907">Y678/$AG$18</f>
        <v>0.16666666666666666</v>
      </c>
      <c r="Z684" s="102">
        <f t="shared" si="3907"/>
        <v>0.16666666666666666</v>
      </c>
      <c r="AA684" s="102">
        <f t="shared" si="3907"/>
        <v>0.16666666666666666</v>
      </c>
      <c r="AB684" s="102">
        <f t="shared" si="3907"/>
        <v>0.33333333333333331</v>
      </c>
      <c r="AC684" s="102">
        <f t="shared" si="3907"/>
        <v>0.33333333333333331</v>
      </c>
      <c r="AD684" s="102">
        <f t="shared" si="3907"/>
        <v>0.33333333333333331</v>
      </c>
      <c r="AE684" s="102">
        <f t="shared" si="3907"/>
        <v>0.33333333333333331</v>
      </c>
      <c r="AF684" s="102">
        <f t="shared" si="3907"/>
        <v>0.5</v>
      </c>
      <c r="AG684" s="102">
        <f t="shared" si="3907"/>
        <v>0.5</v>
      </c>
      <c r="AH684" s="102">
        <f t="shared" si="3907"/>
        <v>0</v>
      </c>
      <c r="AI684" s="102">
        <f>AI678/$DK$18</f>
        <v>0</v>
      </c>
      <c r="AJ684" s="102">
        <f>AJ678/$DK$18</f>
        <v>0</v>
      </c>
      <c r="AK684" s="411"/>
      <c r="AL684" s="99">
        <f t="shared" si="3897"/>
        <v>0</v>
      </c>
      <c r="AM684" s="99">
        <f t="shared" si="3897"/>
        <v>0</v>
      </c>
      <c r="AN684" s="99">
        <f t="shared" si="3897"/>
        <v>0.16666666666666666</v>
      </c>
      <c r="AO684" s="99">
        <f t="shared" si="3897"/>
        <v>0.16666666666666666</v>
      </c>
      <c r="AP684" s="99">
        <f t="shared" si="3897"/>
        <v>0.16666666666666666</v>
      </c>
      <c r="AQ684" s="99">
        <f t="shared" si="3897"/>
        <v>0.16666666666666666</v>
      </c>
      <c r="AR684" s="99">
        <f t="shared" si="3897"/>
        <v>0.33333333333333331</v>
      </c>
      <c r="AS684" s="99">
        <f t="shared" si="3897"/>
        <v>0.33333333333333331</v>
      </c>
      <c r="AT684" s="99">
        <f t="shared" si="3897"/>
        <v>0.33333333333333331</v>
      </c>
      <c r="AU684" s="99">
        <f t="shared" si="3897"/>
        <v>0.33333333333333331</v>
      </c>
      <c r="AV684" s="99">
        <f t="shared" si="3898"/>
        <v>0.5</v>
      </c>
      <c r="AW684" s="99">
        <f t="shared" si="3898"/>
        <v>0.5</v>
      </c>
      <c r="AX684" s="99">
        <f t="shared" si="3898"/>
        <v>0</v>
      </c>
      <c r="AY684" s="99">
        <f t="shared" si="3898"/>
        <v>0.25</v>
      </c>
      <c r="AZ684" s="99">
        <f t="shared" si="3898"/>
        <v>0.16666666666666666</v>
      </c>
      <c r="BA684" s="99">
        <f t="shared" si="3898"/>
        <v>0.16666666666666666</v>
      </c>
      <c r="BB684" s="99">
        <f t="shared" si="3898"/>
        <v>0.16666666666666666</v>
      </c>
      <c r="BC684" s="99">
        <f t="shared" si="3898"/>
        <v>0.16666666666666666</v>
      </c>
      <c r="BD684" s="99">
        <f t="shared" si="3898"/>
        <v>0.33333333333333331</v>
      </c>
      <c r="BE684" s="99">
        <f t="shared" si="3898"/>
        <v>0.33333333333333331</v>
      </c>
      <c r="BF684" s="99">
        <f t="shared" si="3900"/>
        <v>0.33333333333333331</v>
      </c>
      <c r="BG684" s="99">
        <f t="shared" si="3900"/>
        <v>0.33333333333333331</v>
      </c>
      <c r="BH684" s="99">
        <f t="shared" si="3900"/>
        <v>0.5</v>
      </c>
      <c r="BI684" s="99">
        <f t="shared" si="3900"/>
        <v>0.5</v>
      </c>
      <c r="BJ684" s="99">
        <f t="shared" si="3900"/>
        <v>0</v>
      </c>
      <c r="BK684" s="99">
        <f t="shared" si="3900"/>
        <v>0</v>
      </c>
      <c r="BL684" s="99">
        <f t="shared" si="3900"/>
        <v>0</v>
      </c>
      <c r="BM684" s="411"/>
      <c r="BN684" s="99">
        <f>AL684</f>
        <v>0</v>
      </c>
      <c r="BO684" s="99">
        <f>AM684</f>
        <v>0</v>
      </c>
      <c r="BP684" s="99">
        <f>AN684</f>
        <v>0.16666666666666666</v>
      </c>
      <c r="BQ684" s="99">
        <f>AO684</f>
        <v>0.16666666666666666</v>
      </c>
      <c r="BR684" s="99">
        <f>AP684</f>
        <v>0.16666666666666666</v>
      </c>
      <c r="BS684" s="99">
        <f>AQ684</f>
        <v>0.16666666666666666</v>
      </c>
      <c r="BT684" s="99">
        <f>AR684</f>
        <v>0.33333333333333331</v>
      </c>
      <c r="BU684" s="99">
        <f>AS684</f>
        <v>0.33333333333333331</v>
      </c>
      <c r="BV684" s="99">
        <f>AT684</f>
        <v>0.33333333333333331</v>
      </c>
      <c r="BW684" s="99">
        <f>AU684</f>
        <v>0.33333333333333331</v>
      </c>
      <c r="BX684" s="99">
        <f>AV684</f>
        <v>0.5</v>
      </c>
      <c r="BY684" s="99">
        <f>AW684</f>
        <v>0.5</v>
      </c>
      <c r="BZ684" s="99">
        <f>AX684</f>
        <v>0</v>
      </c>
      <c r="CA684" s="99">
        <f>AY684</f>
        <v>0.25</v>
      </c>
      <c r="CB684" s="99">
        <f>AZ684</f>
        <v>0.16666666666666666</v>
      </c>
      <c r="CC684" s="99">
        <f>BA684</f>
        <v>0.16666666666666666</v>
      </c>
      <c r="CD684" s="99">
        <f>BB684</f>
        <v>0.16666666666666666</v>
      </c>
      <c r="CE684" s="99">
        <f>BC684</f>
        <v>0.16666666666666666</v>
      </c>
      <c r="CF684" s="99">
        <f>BD684</f>
        <v>0.33333333333333331</v>
      </c>
      <c r="CG684" s="99">
        <f>BE684</f>
        <v>0.33333333333333331</v>
      </c>
      <c r="CH684" s="99">
        <f>BF684</f>
        <v>0.33333333333333331</v>
      </c>
      <c r="CI684" s="99">
        <f>BG684</f>
        <v>0.33333333333333331</v>
      </c>
      <c r="CJ684" s="99">
        <f>BH684</f>
        <v>0.5</v>
      </c>
      <c r="CK684" s="99">
        <f>BI684</f>
        <v>0.5</v>
      </c>
      <c r="CL684" s="99">
        <f>BJ684</f>
        <v>0</v>
      </c>
      <c r="CM684" s="99">
        <f>BK684</f>
        <v>0</v>
      </c>
      <c r="CN684" s="99">
        <f>BL684</f>
        <v>0</v>
      </c>
      <c r="CO684" s="423"/>
      <c r="CP684" s="99">
        <f t="shared" ref="CP684:DP684" si="3908">BN684</f>
        <v>0</v>
      </c>
      <c r="CQ684" s="99">
        <f t="shared" si="3908"/>
        <v>0</v>
      </c>
      <c r="CR684" s="99">
        <f t="shared" si="3908"/>
        <v>0.16666666666666666</v>
      </c>
      <c r="CS684" s="99">
        <f t="shared" si="3908"/>
        <v>0.16666666666666666</v>
      </c>
      <c r="CT684" s="99">
        <f t="shared" si="3908"/>
        <v>0.16666666666666666</v>
      </c>
      <c r="CU684" s="99">
        <f t="shared" si="3908"/>
        <v>0.16666666666666666</v>
      </c>
      <c r="CV684" s="99">
        <f t="shared" si="3908"/>
        <v>0.33333333333333331</v>
      </c>
      <c r="CW684" s="99">
        <f t="shared" si="3908"/>
        <v>0.33333333333333331</v>
      </c>
      <c r="CX684" s="99">
        <f t="shared" si="3908"/>
        <v>0.33333333333333331</v>
      </c>
      <c r="CY684" s="99">
        <f t="shared" si="3908"/>
        <v>0.33333333333333331</v>
      </c>
      <c r="CZ684" s="99">
        <f t="shared" si="3908"/>
        <v>0.5</v>
      </c>
      <c r="DA684" s="99">
        <f t="shared" si="3908"/>
        <v>0.5</v>
      </c>
      <c r="DB684" s="99">
        <f t="shared" si="3908"/>
        <v>0</v>
      </c>
      <c r="DC684" s="99">
        <f t="shared" si="3908"/>
        <v>0.25</v>
      </c>
      <c r="DD684" s="99">
        <f t="shared" si="3908"/>
        <v>0.16666666666666666</v>
      </c>
      <c r="DE684" s="99">
        <f t="shared" si="3908"/>
        <v>0.16666666666666666</v>
      </c>
      <c r="DF684" s="99">
        <f t="shared" si="3908"/>
        <v>0.16666666666666666</v>
      </c>
      <c r="DG684" s="99">
        <f t="shared" si="3908"/>
        <v>0.16666666666666666</v>
      </c>
      <c r="DH684" s="99">
        <f t="shared" si="3908"/>
        <v>0.33333333333333331</v>
      </c>
      <c r="DI684" s="99">
        <f t="shared" si="3908"/>
        <v>0.33333333333333331</v>
      </c>
      <c r="DJ684" s="99">
        <f t="shared" si="3908"/>
        <v>0.33333333333333331</v>
      </c>
      <c r="DK684" s="99">
        <f t="shared" si="3908"/>
        <v>0.33333333333333331</v>
      </c>
      <c r="DL684" s="99">
        <f t="shared" si="3908"/>
        <v>0.5</v>
      </c>
      <c r="DM684" s="99">
        <f t="shared" si="3908"/>
        <v>0.5</v>
      </c>
      <c r="DN684" s="99">
        <f t="shared" si="3908"/>
        <v>0</v>
      </c>
      <c r="DO684" s="99">
        <f t="shared" si="3908"/>
        <v>0</v>
      </c>
      <c r="DP684" s="99">
        <f t="shared" si="3908"/>
        <v>0</v>
      </c>
      <c r="DQ684" s="99"/>
      <c r="DR684" s="99"/>
      <c r="DS684" s="99"/>
      <c r="DT684" s="99"/>
      <c r="DU684" s="99"/>
      <c r="DV684" s="99"/>
      <c r="DW684" s="99"/>
      <c r="DX684" s="99"/>
      <c r="DY684" s="99"/>
      <c r="EA684" s="40" t="str">
        <f>HLOOKUP($I$1,Month,19)</f>
        <v>N/A</v>
      </c>
      <c r="EB684" s="40" t="str">
        <f>HLOOKUP($I$1,Qtr,19)</f>
        <v>N/A</v>
      </c>
      <c r="EC684" s="40"/>
      <c r="ED684" s="429"/>
      <c r="EE684" s="99">
        <f>HLOOKUP($I$1,Month,ROW()-1)</f>
        <v>0</v>
      </c>
      <c r="EF684" s="99">
        <f>HLOOKUP($I$1,Qtr,ROW()-1)</f>
        <v>0</v>
      </c>
      <c r="EG684" s="127">
        <v>1</v>
      </c>
      <c r="EH684" s="54"/>
      <c r="EI684" s="54"/>
      <c r="EJ684" s="54"/>
      <c r="EK684" s="675"/>
      <c r="EL684" s="136"/>
      <c r="EM684" s="136"/>
      <c r="EN684" s="136"/>
      <c r="EO684" s="49"/>
      <c r="EP684" s="49"/>
      <c r="EQ684" s="49"/>
    </row>
    <row r="685" spans="1:149">
      <c r="A685" s="6" t="s">
        <v>23</v>
      </c>
      <c r="B685" s="2" t="s">
        <v>98</v>
      </c>
      <c r="G685" s="41" t="s">
        <v>92</v>
      </c>
      <c r="H685" s="28"/>
      <c r="I685" s="29"/>
      <c r="J685" s="32">
        <f>J671*J672</f>
        <v>1.5041666666666664</v>
      </c>
      <c r="K685" s="32">
        <f t="shared" ref="K685:AJ685" si="3909">K671*K672</f>
        <v>1.5041666666666664</v>
      </c>
      <c r="L685" s="32">
        <f t="shared" si="3909"/>
        <v>1.5041666666666664</v>
      </c>
      <c r="M685" s="32">
        <f t="shared" si="3909"/>
        <v>1.5041666666666664</v>
      </c>
      <c r="N685" s="32">
        <f t="shared" si="3909"/>
        <v>1.5041666666666664</v>
      </c>
      <c r="O685" s="32">
        <f t="shared" si="3909"/>
        <v>1.5041666666666664</v>
      </c>
      <c r="P685" s="32">
        <f t="shared" si="3909"/>
        <v>1.5041666666666664</v>
      </c>
      <c r="Q685" s="32">
        <f t="shared" si="3909"/>
        <v>1.5041666666666664</v>
      </c>
      <c r="R685" s="32">
        <f t="shared" si="3909"/>
        <v>1.5041666666666664</v>
      </c>
      <c r="S685" s="32">
        <f t="shared" si="3909"/>
        <v>1.5041666666666664</v>
      </c>
      <c r="T685" s="32">
        <f t="shared" si="3909"/>
        <v>1.5041666666666664</v>
      </c>
      <c r="U685" s="32">
        <f t="shared" si="3909"/>
        <v>1.5041666666666664</v>
      </c>
      <c r="V685" s="32">
        <f t="shared" si="3909"/>
        <v>1.3220833333333333</v>
      </c>
      <c r="W685" s="32">
        <f t="shared" si="3909"/>
        <v>2.6441698333333332</v>
      </c>
      <c r="X685" s="32">
        <f t="shared" si="3909"/>
        <v>3.9662563333333329</v>
      </c>
      <c r="Y685" s="32">
        <f t="shared" si="3909"/>
        <v>5.2883428333333322</v>
      </c>
      <c r="Z685" s="32">
        <f t="shared" si="3909"/>
        <v>6.6104293333333324</v>
      </c>
      <c r="AA685" s="32">
        <f t="shared" si="3909"/>
        <v>7.9325158333333317</v>
      </c>
      <c r="AB685" s="32">
        <f t="shared" si="3909"/>
        <v>9.2546023333333309</v>
      </c>
      <c r="AC685" s="32">
        <f t="shared" si="3909"/>
        <v>10.57668883333333</v>
      </c>
      <c r="AD685" s="32">
        <f t="shared" si="3909"/>
        <v>11.898775333333329</v>
      </c>
      <c r="AE685" s="32">
        <f t="shared" si="3909"/>
        <v>13.220861833333329</v>
      </c>
      <c r="AF685" s="32">
        <f t="shared" si="3909"/>
        <v>14.542948333333328</v>
      </c>
      <c r="AG685" s="32">
        <f t="shared" si="3909"/>
        <v>15.865034833333329</v>
      </c>
      <c r="AH685" s="32">
        <f t="shared" si="3909"/>
        <v>0</v>
      </c>
      <c r="AI685" s="32">
        <f t="shared" si="3909"/>
        <v>0</v>
      </c>
      <c r="AJ685" s="32">
        <f t="shared" si="3909"/>
        <v>0</v>
      </c>
      <c r="AK685" s="408"/>
      <c r="AL685" s="56">
        <f>AL671*AL672</f>
        <v>1.5041666666666664</v>
      </c>
      <c r="AM685" s="56">
        <f>AM671*AM672</f>
        <v>1.5041666666666664</v>
      </c>
      <c r="AN685" s="56">
        <f>AN671*AN672</f>
        <v>1.5041666666666664</v>
      </c>
      <c r="AO685" s="56">
        <f>AO671*AO672</f>
        <v>1.5041666666666664</v>
      </c>
      <c r="AP685" s="56">
        <f t="shared" ref="AP685:BL685" si="3910">AP671*AP672</f>
        <v>1.5041666666666664</v>
      </c>
      <c r="AQ685" s="56">
        <f t="shared" si="3910"/>
        <v>1.5041666666666664</v>
      </c>
      <c r="AR685" s="56">
        <f t="shared" si="3910"/>
        <v>1.5041666666666664</v>
      </c>
      <c r="AS685" s="56">
        <f t="shared" si="3910"/>
        <v>1.5041666666666664</v>
      </c>
      <c r="AT685" s="56">
        <f t="shared" si="3910"/>
        <v>1.5041666666666664</v>
      </c>
      <c r="AU685" s="56">
        <f t="shared" si="3910"/>
        <v>1.5041666666666664</v>
      </c>
      <c r="AV685" s="56">
        <f t="shared" si="3910"/>
        <v>1.5041666666666664</v>
      </c>
      <c r="AW685" s="56">
        <f t="shared" si="3910"/>
        <v>1.5041666666666664</v>
      </c>
      <c r="AX685" s="56">
        <f t="shared" si="3910"/>
        <v>1.3220833333333333</v>
      </c>
      <c r="AY685" s="56">
        <f t="shared" si="3910"/>
        <v>1.3220864999999999</v>
      </c>
      <c r="AZ685" s="56">
        <f t="shared" si="3910"/>
        <v>1.3220864999999999</v>
      </c>
      <c r="BA685" s="56">
        <f t="shared" si="3910"/>
        <v>1.3220864999999995</v>
      </c>
      <c r="BB685" s="56">
        <f t="shared" si="3910"/>
        <v>1.3220864999999995</v>
      </c>
      <c r="BC685" s="56">
        <f t="shared" si="3910"/>
        <v>1.3220864999999995</v>
      </c>
      <c r="BD685" s="56">
        <f t="shared" si="3910"/>
        <v>1.3220864999999995</v>
      </c>
      <c r="BE685" s="56">
        <f t="shared" si="3910"/>
        <v>1.3220864999999995</v>
      </c>
      <c r="BF685" s="56">
        <f t="shared" si="3910"/>
        <v>1.3220864999999995</v>
      </c>
      <c r="BG685" s="56">
        <f t="shared" si="3910"/>
        <v>1.3220864999999995</v>
      </c>
      <c r="BH685" s="56">
        <f t="shared" si="3910"/>
        <v>1.3220864999999995</v>
      </c>
      <c r="BI685" s="56">
        <f t="shared" si="3910"/>
        <v>1.3220864999999995</v>
      </c>
      <c r="BJ685" s="56">
        <f t="shared" si="3910"/>
        <v>0</v>
      </c>
      <c r="BK685" s="56">
        <f t="shared" si="3910"/>
        <v>0</v>
      </c>
      <c r="BL685" s="56">
        <f t="shared" si="3910"/>
        <v>0</v>
      </c>
      <c r="BM685" s="408"/>
      <c r="BN685" s="56">
        <f>+AL685</f>
        <v>1.5041666666666664</v>
      </c>
      <c r="BO685" s="56">
        <f>+BN685+AM685</f>
        <v>3.0083333333333329</v>
      </c>
      <c r="BP685" s="56">
        <f>+BO685+AN685</f>
        <v>4.5124999999999993</v>
      </c>
      <c r="BQ685" s="56">
        <f>M685</f>
        <v>1.5041666666666664</v>
      </c>
      <c r="BR685" s="56">
        <f>+BQ685+AP685</f>
        <v>3.0083333333333329</v>
      </c>
      <c r="BS685" s="56">
        <f>+BR685+AQ685</f>
        <v>4.5124999999999993</v>
      </c>
      <c r="BT685" s="56">
        <f>P685</f>
        <v>1.5041666666666664</v>
      </c>
      <c r="BU685" s="56">
        <f>+BT685+AS685</f>
        <v>3.0083333333333329</v>
      </c>
      <c r="BV685" s="56">
        <f>+BU685+AT685</f>
        <v>4.5124999999999993</v>
      </c>
      <c r="BW685" s="56">
        <f>S685</f>
        <v>1.5041666666666664</v>
      </c>
      <c r="BX685" s="56">
        <f>+BW685+AV685</f>
        <v>3.0083333333333329</v>
      </c>
      <c r="BY685" s="56">
        <f>+BX685+AW685</f>
        <v>4.5124999999999993</v>
      </c>
      <c r="BZ685" s="56">
        <f>V685</f>
        <v>1.3220833333333333</v>
      </c>
      <c r="CA685" s="56">
        <f>+BZ685+AY685</f>
        <v>2.6441698333333332</v>
      </c>
      <c r="CB685" s="56">
        <f>+CA685+AZ685</f>
        <v>3.9662563333333329</v>
      </c>
      <c r="CC685" s="56">
        <f>Y685</f>
        <v>5.2883428333333322</v>
      </c>
      <c r="CD685" s="56">
        <f>+CC685+BB685</f>
        <v>6.6104293333333315</v>
      </c>
      <c r="CE685" s="56">
        <f>+CD685+BC685</f>
        <v>7.9325158333333308</v>
      </c>
      <c r="CF685" s="56">
        <f>AB685</f>
        <v>9.2546023333333309</v>
      </c>
      <c r="CG685" s="56">
        <f>+CF685+BE685</f>
        <v>10.57668883333333</v>
      </c>
      <c r="CH685" s="56">
        <f>+CG685+BF685</f>
        <v>11.898775333333329</v>
      </c>
      <c r="CI685" s="56">
        <f>AE685</f>
        <v>13.220861833333329</v>
      </c>
      <c r="CJ685" s="56">
        <f>+CI685+BH685</f>
        <v>14.542948333333328</v>
      </c>
      <c r="CK685" s="56">
        <f>+CJ685+BI685</f>
        <v>15.865034833333327</v>
      </c>
      <c r="CL685" s="56">
        <f>AH685</f>
        <v>0</v>
      </c>
      <c r="CM685" s="56">
        <f>+CL685+BK685</f>
        <v>0</v>
      </c>
      <c r="CN685" s="56">
        <f>+CM685+BL685</f>
        <v>0</v>
      </c>
      <c r="CO685" s="406"/>
      <c r="CP685" s="60">
        <f>J685</f>
        <v>1.5041666666666664</v>
      </c>
      <c r="CQ685" s="60">
        <f t="shared" ref="CQ685:DA685" si="3911">CP685+K685</f>
        <v>3.0083333333333329</v>
      </c>
      <c r="CR685" s="60">
        <f t="shared" si="3911"/>
        <v>4.5124999999999993</v>
      </c>
      <c r="CS685" s="60">
        <f t="shared" si="3911"/>
        <v>6.0166666666666657</v>
      </c>
      <c r="CT685" s="60">
        <f t="shared" si="3911"/>
        <v>7.5208333333333321</v>
      </c>
      <c r="CU685" s="60">
        <f t="shared" si="3911"/>
        <v>9.0249999999999986</v>
      </c>
      <c r="CV685" s="60">
        <f t="shared" si="3911"/>
        <v>10.529166666666665</v>
      </c>
      <c r="CW685" s="60">
        <f t="shared" si="3911"/>
        <v>12.033333333333331</v>
      </c>
      <c r="CX685" s="60">
        <f t="shared" si="3911"/>
        <v>13.537499999999998</v>
      </c>
      <c r="CY685" s="60">
        <f t="shared" si="3911"/>
        <v>15.041666666666664</v>
      </c>
      <c r="CZ685" s="60">
        <f t="shared" si="3911"/>
        <v>16.545833333333331</v>
      </c>
      <c r="DA685" s="60">
        <f t="shared" si="3911"/>
        <v>18.049999999999997</v>
      </c>
      <c r="DB685" s="60">
        <f>V685</f>
        <v>1.3220833333333333</v>
      </c>
      <c r="DC685" s="60">
        <f t="shared" ref="DC685:DM685" si="3912">DB685+W685</f>
        <v>3.9662531666666663</v>
      </c>
      <c r="DD685" s="60">
        <f t="shared" si="3912"/>
        <v>7.9325094999999992</v>
      </c>
      <c r="DE685" s="60">
        <f t="shared" si="3912"/>
        <v>13.220852333333331</v>
      </c>
      <c r="DF685" s="60">
        <f t="shared" si="3912"/>
        <v>19.831281666666662</v>
      </c>
      <c r="DG685" s="60">
        <f t="shared" si="3912"/>
        <v>27.763797499999995</v>
      </c>
      <c r="DH685" s="60">
        <f t="shared" si="3912"/>
        <v>37.018399833333326</v>
      </c>
      <c r="DI685" s="60">
        <f t="shared" si="3912"/>
        <v>47.595088666666655</v>
      </c>
      <c r="DJ685" s="60">
        <f t="shared" si="3912"/>
        <v>59.493863999999988</v>
      </c>
      <c r="DK685" s="60">
        <f t="shared" si="3912"/>
        <v>72.714725833333318</v>
      </c>
      <c r="DL685" s="60">
        <f t="shared" si="3912"/>
        <v>87.257674166666646</v>
      </c>
      <c r="DM685" s="60">
        <f t="shared" si="3912"/>
        <v>103.12270899999997</v>
      </c>
      <c r="DN685" s="60">
        <f>AH685</f>
        <v>0</v>
      </c>
      <c r="DO685" s="60">
        <f>DN685+AI685</f>
        <v>0</v>
      </c>
      <c r="DP685" s="60">
        <f>DO685+AJ685</f>
        <v>0</v>
      </c>
      <c r="DQ685" s="60"/>
      <c r="DR685" s="60"/>
      <c r="DS685" s="60"/>
      <c r="DT685" s="60"/>
      <c r="DU685" s="60"/>
      <c r="DV685" s="60"/>
      <c r="DW685" s="60"/>
      <c r="DX685" s="60"/>
      <c r="DY685" s="60"/>
      <c r="EA685" s="98">
        <v>0.95</v>
      </c>
      <c r="EB685" s="98">
        <v>0.95</v>
      </c>
      <c r="EC685" s="98"/>
      <c r="ED685" s="429"/>
      <c r="EE685" s="61">
        <f>HLOOKUP($I$1,Month,ROW()-1)</f>
        <v>0</v>
      </c>
      <c r="EF685" s="61">
        <f>HLOOKUP($I$1,Qtr,ROW()-1)</f>
        <v>0</v>
      </c>
      <c r="EG685" s="99">
        <f>HLOOKUP($EJ$4,Budget,ROW()-1)</f>
        <v>0.95</v>
      </c>
      <c r="EH685" s="54"/>
      <c r="EK685" s="675"/>
      <c r="EL685" s="136"/>
      <c r="EM685" s="136"/>
      <c r="EN685" s="136"/>
      <c r="EO685" s="49"/>
      <c r="EP685" s="49"/>
      <c r="EQ685" s="49"/>
    </row>
    <row r="686" spans="1:149">
      <c r="A686" s="6" t="s">
        <v>21</v>
      </c>
      <c r="I686" s="1"/>
      <c r="J686" s="1"/>
      <c r="K686" s="42" t="s">
        <v>114</v>
      </c>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406"/>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406"/>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406"/>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245"/>
      <c r="DR686" s="245"/>
      <c r="DS686" s="245"/>
      <c r="DT686" s="245"/>
      <c r="DU686" s="245"/>
      <c r="DV686" s="245"/>
      <c r="DW686" s="245"/>
      <c r="DX686" s="245"/>
      <c r="DY686" s="245"/>
      <c r="ED686" s="429"/>
      <c r="EE686" s="23"/>
      <c r="EF686" s="242"/>
      <c r="EG686" s="242"/>
      <c r="EH686" s="23"/>
      <c r="EK686" s="23"/>
    </row>
    <row r="687" spans="1:149" ht="17.25" customHeight="1">
      <c r="A687" s="6" t="s">
        <v>22</v>
      </c>
      <c r="B687" s="2" t="s">
        <v>0</v>
      </c>
      <c r="C687" s="3" t="s">
        <v>54</v>
      </c>
      <c r="E687" s="3" t="s">
        <v>16</v>
      </c>
      <c r="G687" s="1" t="s">
        <v>91</v>
      </c>
      <c r="I687" s="18">
        <v>43</v>
      </c>
      <c r="J687" s="21">
        <v>48</v>
      </c>
      <c r="K687" s="19">
        <v>51</v>
      </c>
      <c r="L687" s="19">
        <v>61</v>
      </c>
      <c r="M687" s="20">
        <v>4</v>
      </c>
      <c r="N687" s="19">
        <v>9</v>
      </c>
      <c r="O687" s="19">
        <v>16</v>
      </c>
      <c r="P687" s="19">
        <v>20</v>
      </c>
      <c r="Q687" s="19">
        <v>38</v>
      </c>
      <c r="R687" s="19">
        <v>46</v>
      </c>
      <c r="S687" s="19">
        <v>62</v>
      </c>
      <c r="T687" s="19">
        <v>67</v>
      </c>
      <c r="U687" s="19">
        <v>82</v>
      </c>
      <c r="V687" s="26">
        <v>95</v>
      </c>
      <c r="W687" s="19">
        <v>106</v>
      </c>
      <c r="X687" s="19">
        <v>121</v>
      </c>
      <c r="Y687" s="378">
        <v>16</v>
      </c>
      <c r="Z687" s="19">
        <v>28</v>
      </c>
      <c r="AA687" s="19">
        <v>41</v>
      </c>
      <c r="AB687" s="19">
        <v>48</v>
      </c>
      <c r="AC687" s="19">
        <v>64</v>
      </c>
      <c r="AD687" s="19">
        <v>75</v>
      </c>
      <c r="AE687" s="19">
        <v>82</v>
      </c>
      <c r="AF687" s="19">
        <v>91</v>
      </c>
      <c r="AG687" s="19">
        <v>97</v>
      </c>
      <c r="AH687" s="19">
        <v>105</v>
      </c>
      <c r="AI687" s="19">
        <v>116</v>
      </c>
      <c r="AJ687" s="19"/>
      <c r="AK687" s="408"/>
      <c r="AL687" s="21">
        <f t="shared" ref="AL687:AM691" si="3913">J687-I687</f>
        <v>5</v>
      </c>
      <c r="AM687" s="21">
        <f t="shared" si="3913"/>
        <v>3</v>
      </c>
      <c r="AN687" s="21">
        <f t="shared" ref="AN687:AN695" si="3914">L687-K687</f>
        <v>10</v>
      </c>
      <c r="AO687" s="21">
        <f>M687</f>
        <v>4</v>
      </c>
      <c r="AP687" s="129">
        <f t="shared" ref="AP687:AP695" si="3915">IF(N687&lt;&gt;"",N687-M687,0)</f>
        <v>5</v>
      </c>
      <c r="AQ687" s="131">
        <f t="shared" ref="AQ687:AQ695" si="3916">IF(O687&lt;&gt;"",O687-N687,0)</f>
        <v>7</v>
      </c>
      <c r="AR687" s="131">
        <f t="shared" ref="AR687:AR706" si="3917">IF(P687&lt;&gt;"",P687-O687,0)</f>
        <v>4</v>
      </c>
      <c r="AS687" s="131">
        <f t="shared" ref="AS687:AS706" si="3918">IF(Q687&lt;&gt;"",Q687-P687,0)</f>
        <v>18</v>
      </c>
      <c r="AT687" s="131">
        <f t="shared" ref="AT687:AT703" si="3919">IF(R687&lt;&gt;"",R687-Q687,0)</f>
        <v>8</v>
      </c>
      <c r="AU687" s="131">
        <f t="shared" ref="AU687:AU703" si="3920">IF(S687&lt;&gt;"",S687-R687,0)</f>
        <v>16</v>
      </c>
      <c r="AV687" s="131">
        <f t="shared" ref="AV687:AV706" si="3921">IF(T687&lt;&gt;"",T687-S687,0)</f>
        <v>5</v>
      </c>
      <c r="AW687" s="131">
        <f t="shared" ref="AW687:AW706" si="3922">IF(U687&lt;&gt;"",U687-T687,0)</f>
        <v>15</v>
      </c>
      <c r="AX687" s="131">
        <f>IF(V687&lt;&gt;"",V687-U687,0)</f>
        <v>13</v>
      </c>
      <c r="AY687" s="131">
        <f t="shared" ref="AY687:AY706" si="3923">IF(W687&lt;&gt;"",W687-V687,0)</f>
        <v>11</v>
      </c>
      <c r="AZ687" s="131">
        <f t="shared" ref="AZ687:AZ706" si="3924">IF(X687&lt;&gt;"",X687-W687,0)</f>
        <v>15</v>
      </c>
      <c r="BA687" s="21">
        <f>Y687</f>
        <v>16</v>
      </c>
      <c r="BB687" s="131">
        <f t="shared" ref="BB687:BB703" si="3925">IF(Z687&lt;&gt;"",Z687-Y687,0)</f>
        <v>12</v>
      </c>
      <c r="BC687" s="131">
        <f t="shared" ref="BC687:BC703" si="3926">IF(AA687&lt;&gt;"",AA687-Z687,0)</f>
        <v>13</v>
      </c>
      <c r="BD687" s="131">
        <f t="shared" ref="BD687:BD703" si="3927">IF(AB687&lt;&gt;"",AB687-AA687,0)</f>
        <v>7</v>
      </c>
      <c r="BE687" s="131">
        <f t="shared" ref="BE687:BE703" si="3928">IF(AC687&lt;&gt;"",AC687-AB687,0)</f>
        <v>16</v>
      </c>
      <c r="BF687" s="131">
        <f t="shared" ref="BF687:BF703" si="3929">IF(AD687&lt;&gt;"",AD687-AC687,0)</f>
        <v>11</v>
      </c>
      <c r="BG687" s="131">
        <f t="shared" ref="BG687:BG703" si="3930">IF(AE687&lt;&gt;"",AE687-AD687,0)</f>
        <v>7</v>
      </c>
      <c r="BH687" s="131">
        <f t="shared" ref="BH687:BH703" si="3931">IF(AF687&lt;&gt;"",AF687-AE687,0)</f>
        <v>9</v>
      </c>
      <c r="BI687" s="131">
        <f t="shared" ref="BI687:BI703" si="3932">IF(AG687&lt;&gt;"",AG687-AF687,0)</f>
        <v>6</v>
      </c>
      <c r="BJ687" s="131">
        <f>IF(AH687&lt;&gt;"",AH687-AG687,0)</f>
        <v>8</v>
      </c>
      <c r="BK687" s="131">
        <f t="shared" ref="BK687:BK703" si="3933">IF(AI687&lt;&gt;"",AI687-AH687,0)</f>
        <v>11</v>
      </c>
      <c r="BL687" s="131">
        <f t="shared" ref="BL687:BL703" si="3934">IF(AJ687&lt;&gt;"",AJ687-AI687,0)</f>
        <v>0</v>
      </c>
      <c r="BM687" s="408"/>
      <c r="BN687" s="48">
        <f>BP687</f>
        <v>18</v>
      </c>
      <c r="BO687" s="48">
        <f>BP687</f>
        <v>18</v>
      </c>
      <c r="BP687" s="48">
        <f>SUM(AL687:AN687)</f>
        <v>18</v>
      </c>
      <c r="BQ687" s="48">
        <f>BS687</f>
        <v>16</v>
      </c>
      <c r="BR687" s="48">
        <f>BS687</f>
        <v>16</v>
      </c>
      <c r="BS687" s="48">
        <f>SUM(AO687:AQ687)</f>
        <v>16</v>
      </c>
      <c r="BT687" s="48">
        <f>BV687</f>
        <v>30</v>
      </c>
      <c r="BU687" s="48">
        <f>BV687</f>
        <v>30</v>
      </c>
      <c r="BV687" s="48">
        <f>SUM(AR687:AT687)</f>
        <v>30</v>
      </c>
      <c r="BW687" s="48">
        <f>BY687</f>
        <v>36</v>
      </c>
      <c r="BX687" s="48">
        <f>BY687</f>
        <v>36</v>
      </c>
      <c r="BY687" s="48">
        <f>SUM(AU687:AW687)</f>
        <v>36</v>
      </c>
      <c r="BZ687" s="48">
        <f>CB687</f>
        <v>39</v>
      </c>
      <c r="CA687" s="48">
        <f>CB687</f>
        <v>39</v>
      </c>
      <c r="CB687" s="48">
        <f>SUM(AX687:AZ687)</f>
        <v>39</v>
      </c>
      <c r="CC687" s="48">
        <f>CE687</f>
        <v>41</v>
      </c>
      <c r="CD687" s="48">
        <f>CE687</f>
        <v>41</v>
      </c>
      <c r="CE687" s="48">
        <f>SUM(BA687:BC687)</f>
        <v>41</v>
      </c>
      <c r="CF687" s="48">
        <f>CH687</f>
        <v>34</v>
      </c>
      <c r="CG687" s="48">
        <f>CH687</f>
        <v>34</v>
      </c>
      <c r="CH687" s="48">
        <f>SUM(BD687:BF687)</f>
        <v>34</v>
      </c>
      <c r="CI687" s="48">
        <f>CK687</f>
        <v>22</v>
      </c>
      <c r="CJ687" s="48">
        <f>CK687</f>
        <v>22</v>
      </c>
      <c r="CK687" s="48">
        <f>SUM(BG687:BI687)</f>
        <v>22</v>
      </c>
      <c r="CL687" s="48">
        <f>CN687</f>
        <v>19</v>
      </c>
      <c r="CM687" s="48">
        <f>CN687</f>
        <v>19</v>
      </c>
      <c r="CN687" s="48">
        <f>SUM(BJ687:BL687)</f>
        <v>19</v>
      </c>
      <c r="CO687" s="406"/>
      <c r="CP687" s="21">
        <f t="shared" ref="CP687:CR691" si="3935">I687+AL687</f>
        <v>48</v>
      </c>
      <c r="CQ687" s="21">
        <f t="shared" si="3935"/>
        <v>51</v>
      </c>
      <c r="CR687" s="21">
        <f t="shared" si="3935"/>
        <v>61</v>
      </c>
      <c r="CS687" s="21">
        <f>AO687</f>
        <v>4</v>
      </c>
      <c r="CT687" s="21">
        <f t="shared" ref="CT687:DD691" si="3936">M687+AP687</f>
        <v>9</v>
      </c>
      <c r="CU687" s="21">
        <f t="shared" si="3936"/>
        <v>16</v>
      </c>
      <c r="CV687" s="21">
        <f t="shared" si="3936"/>
        <v>20</v>
      </c>
      <c r="CW687" s="21">
        <f t="shared" si="3936"/>
        <v>38</v>
      </c>
      <c r="CX687" s="21">
        <f t="shared" si="3936"/>
        <v>46</v>
      </c>
      <c r="CY687" s="21">
        <f t="shared" si="3936"/>
        <v>62</v>
      </c>
      <c r="CZ687" s="21">
        <f t="shared" si="3936"/>
        <v>67</v>
      </c>
      <c r="DA687" s="21">
        <f t="shared" si="3936"/>
        <v>82</v>
      </c>
      <c r="DB687" s="21">
        <f t="shared" si="3936"/>
        <v>95</v>
      </c>
      <c r="DC687" s="21">
        <f t="shared" si="3936"/>
        <v>106</v>
      </c>
      <c r="DD687" s="21">
        <f t="shared" si="3936"/>
        <v>121</v>
      </c>
      <c r="DE687" s="21">
        <f>+BA687</f>
        <v>16</v>
      </c>
      <c r="DF687" s="21">
        <f t="shared" ref="DF687:DP691" si="3937">Y687+BB687</f>
        <v>28</v>
      </c>
      <c r="DG687" s="21">
        <f t="shared" si="3937"/>
        <v>41</v>
      </c>
      <c r="DH687" s="21">
        <f t="shared" si="3937"/>
        <v>48</v>
      </c>
      <c r="DI687" s="21">
        <f t="shared" si="3937"/>
        <v>64</v>
      </c>
      <c r="DJ687" s="21">
        <f t="shared" si="3937"/>
        <v>75</v>
      </c>
      <c r="DK687" s="21">
        <f t="shared" si="3937"/>
        <v>82</v>
      </c>
      <c r="DL687" s="21">
        <f t="shared" si="3937"/>
        <v>91</v>
      </c>
      <c r="DM687" s="21">
        <f t="shared" si="3937"/>
        <v>97</v>
      </c>
      <c r="DN687" s="21">
        <f t="shared" si="3937"/>
        <v>105</v>
      </c>
      <c r="DO687" s="21">
        <f t="shared" si="3937"/>
        <v>116</v>
      </c>
      <c r="DP687" s="21">
        <f t="shared" si="3937"/>
        <v>116</v>
      </c>
      <c r="DQ687" s="248"/>
      <c r="DR687" s="248"/>
      <c r="DS687" s="248"/>
      <c r="DT687" s="248"/>
      <c r="DU687" s="248"/>
      <c r="DV687" s="248"/>
      <c r="DW687" s="248"/>
      <c r="DX687" s="248"/>
      <c r="DY687" s="248"/>
      <c r="ED687" s="429"/>
      <c r="EE687" s="23"/>
      <c r="EF687" s="23"/>
      <c r="EG687" s="23"/>
      <c r="EH687" s="18">
        <f t="shared" ref="EH687:EH704" si="3938">HLOOKUP($I$1,Month,ROW()-1)</f>
        <v>11</v>
      </c>
      <c r="EI687" s="18">
        <f t="shared" ref="EI687:EI704" si="3939">HLOOKUP($I$1,Qtr,ROW()-1)</f>
        <v>19</v>
      </c>
      <c r="EJ687" s="18">
        <f t="shared" ref="EJ687:EJ709" si="3940">HLOOKUP($I$1,YTD,ROW()-1)</f>
        <v>116</v>
      </c>
      <c r="EK687" s="24">
        <f>$EK$1/12</f>
        <v>0.91666666666666663</v>
      </c>
      <c r="EL687" s="14">
        <f t="shared" ref="EL687:EM693" si="3941">EH687/EE664</f>
        <v>1.0232558139534884</v>
      </c>
      <c r="EM687" s="14">
        <f t="shared" si="3941"/>
        <v>0.58914728682170547</v>
      </c>
      <c r="EN687" s="14">
        <f>EJ687/EG664</f>
        <v>0.89922480620155043</v>
      </c>
      <c r="EO687" s="46" t="str">
        <f t="shared" ref="EO687:EP693" si="3942">IF(EH687&lt;0,,IF(EH687&lt;EE664,"È",IF(EH687=EE664,"Æ","Ç")))</f>
        <v>Ç</v>
      </c>
      <c r="EP687" s="46" t="str">
        <f t="shared" si="3942"/>
        <v>È</v>
      </c>
      <c r="EQ687" s="2">
        <f t="shared" ref="EQ687:EQ702" si="3943">IF(EL687&gt;=0.9,1,IF(EL687&lt;0.75,3,2))</f>
        <v>1</v>
      </c>
      <c r="ER687" s="2">
        <f t="shared" ref="ER687:ER702" si="3944">IF(EM687&gt;=0.9,1,IF(EM687&lt;0.75,3,2))</f>
        <v>3</v>
      </c>
      <c r="ES687" s="2">
        <f t="shared" ref="ES687:ES702" si="3945">IF(EN687&gt;=0.9,1,IF(EN687&lt;0.75,3,2))</f>
        <v>2</v>
      </c>
    </row>
    <row r="688" spans="1:149" ht="12.75" customHeight="1">
      <c r="A688" s="6" t="s">
        <v>22</v>
      </c>
      <c r="B688" s="2" t="s">
        <v>1</v>
      </c>
      <c r="C688" s="3" t="s">
        <v>55</v>
      </c>
      <c r="E688" s="3" t="s">
        <v>16</v>
      </c>
      <c r="G688" s="1" t="s">
        <v>91</v>
      </c>
      <c r="I688" s="18">
        <v>7</v>
      </c>
      <c r="J688" s="19">
        <v>7</v>
      </c>
      <c r="K688" s="19">
        <v>8</v>
      </c>
      <c r="L688" s="19">
        <v>9</v>
      </c>
      <c r="M688" s="20">
        <v>0</v>
      </c>
      <c r="N688" s="19">
        <v>1</v>
      </c>
      <c r="O688" s="19">
        <v>3</v>
      </c>
      <c r="P688" s="19">
        <v>3</v>
      </c>
      <c r="Q688" s="19">
        <v>4</v>
      </c>
      <c r="R688" s="19">
        <v>5</v>
      </c>
      <c r="S688" s="19">
        <v>8</v>
      </c>
      <c r="T688" s="19">
        <v>9</v>
      </c>
      <c r="U688" s="19">
        <v>9</v>
      </c>
      <c r="V688" s="26">
        <v>9</v>
      </c>
      <c r="W688" s="19">
        <v>9</v>
      </c>
      <c r="X688" s="19">
        <v>11</v>
      </c>
      <c r="Y688" s="378">
        <v>1</v>
      </c>
      <c r="Z688" s="19">
        <v>2</v>
      </c>
      <c r="AA688" s="19">
        <v>5</v>
      </c>
      <c r="AB688" s="19">
        <v>5</v>
      </c>
      <c r="AC688" s="19">
        <v>6</v>
      </c>
      <c r="AD688" s="19">
        <v>9</v>
      </c>
      <c r="AE688" s="19">
        <v>11</v>
      </c>
      <c r="AF688" s="19">
        <v>11</v>
      </c>
      <c r="AG688" s="19">
        <v>12</v>
      </c>
      <c r="AH688" s="19">
        <v>12</v>
      </c>
      <c r="AI688" s="19">
        <v>13</v>
      </c>
      <c r="AJ688" s="19"/>
      <c r="AK688" s="408"/>
      <c r="AL688" s="21">
        <f t="shared" si="3913"/>
        <v>0</v>
      </c>
      <c r="AM688" s="21">
        <f t="shared" si="3913"/>
        <v>1</v>
      </c>
      <c r="AN688" s="21">
        <f t="shared" si="3914"/>
        <v>1</v>
      </c>
      <c r="AO688" s="21">
        <f>M688</f>
        <v>0</v>
      </c>
      <c r="AP688" s="129">
        <f t="shared" si="3915"/>
        <v>1</v>
      </c>
      <c r="AQ688" s="129">
        <f t="shared" si="3916"/>
        <v>2</v>
      </c>
      <c r="AR688" s="129">
        <f t="shared" si="3917"/>
        <v>0</v>
      </c>
      <c r="AS688" s="129">
        <f t="shared" si="3918"/>
        <v>1</v>
      </c>
      <c r="AT688" s="129">
        <f t="shared" si="3919"/>
        <v>1</v>
      </c>
      <c r="AU688" s="129">
        <f t="shared" si="3920"/>
        <v>3</v>
      </c>
      <c r="AV688" s="129">
        <f t="shared" si="3921"/>
        <v>1</v>
      </c>
      <c r="AW688" s="129">
        <f t="shared" si="3922"/>
        <v>0</v>
      </c>
      <c r="AX688" s="129">
        <f>IF(V688&lt;&gt;"",V688-U688,0)</f>
        <v>0</v>
      </c>
      <c r="AY688" s="129">
        <f t="shared" si="3923"/>
        <v>0</v>
      </c>
      <c r="AZ688" s="129">
        <f t="shared" si="3924"/>
        <v>2</v>
      </c>
      <c r="BA688" s="21">
        <f>Y688</f>
        <v>1</v>
      </c>
      <c r="BB688" s="129">
        <f t="shared" si="3925"/>
        <v>1</v>
      </c>
      <c r="BC688" s="129">
        <f t="shared" si="3926"/>
        <v>3</v>
      </c>
      <c r="BD688" s="129">
        <f t="shared" si="3927"/>
        <v>0</v>
      </c>
      <c r="BE688" s="129">
        <f t="shared" si="3928"/>
        <v>1</v>
      </c>
      <c r="BF688" s="129">
        <f t="shared" si="3929"/>
        <v>3</v>
      </c>
      <c r="BG688" s="129">
        <f t="shared" si="3930"/>
        <v>2</v>
      </c>
      <c r="BH688" s="129">
        <f t="shared" si="3931"/>
        <v>0</v>
      </c>
      <c r="BI688" s="129">
        <f t="shared" si="3932"/>
        <v>1</v>
      </c>
      <c r="BJ688" s="129">
        <f>IF(AH688&lt;&gt;"",AH688-AG688,0)</f>
        <v>0</v>
      </c>
      <c r="BK688" s="129">
        <f t="shared" si="3933"/>
        <v>1</v>
      </c>
      <c r="BL688" s="129">
        <f t="shared" si="3934"/>
        <v>0</v>
      </c>
      <c r="BM688" s="408"/>
      <c r="BN688" s="48">
        <f t="shared" ref="BN688:BN704" si="3946">BP688</f>
        <v>2</v>
      </c>
      <c r="BO688" s="48">
        <f t="shared" ref="BO688:BO704" si="3947">BP688</f>
        <v>2</v>
      </c>
      <c r="BP688" s="48">
        <f t="shared" ref="BP688:BP693" si="3948">SUM(AL688:AN688)</f>
        <v>2</v>
      </c>
      <c r="BQ688" s="48">
        <f t="shared" ref="BQ688:BQ704" si="3949">BS688</f>
        <v>3</v>
      </c>
      <c r="BR688" s="48">
        <f t="shared" ref="BR688:BR704" si="3950">BS688</f>
        <v>3</v>
      </c>
      <c r="BS688" s="48">
        <f t="shared" ref="BS688:BS693" si="3951">SUM(AO688:AQ688)</f>
        <v>3</v>
      </c>
      <c r="BT688" s="48">
        <f t="shared" ref="BT688:BT704" si="3952">BV688</f>
        <v>2</v>
      </c>
      <c r="BU688" s="48">
        <f t="shared" ref="BU688:BU704" si="3953">BV688</f>
        <v>2</v>
      </c>
      <c r="BV688" s="48">
        <f t="shared" ref="BV688:BV693" si="3954">SUM(AR688:AT688)</f>
        <v>2</v>
      </c>
      <c r="BW688" s="48">
        <f t="shared" ref="BW688:BW704" si="3955">BY688</f>
        <v>4</v>
      </c>
      <c r="BX688" s="48">
        <f t="shared" ref="BX688:BX704" si="3956">BY688</f>
        <v>4</v>
      </c>
      <c r="BY688" s="48">
        <f t="shared" ref="BY688:BY693" si="3957">SUM(AU688:AW688)</f>
        <v>4</v>
      </c>
      <c r="BZ688" s="48">
        <f t="shared" ref="BZ688:BZ704" si="3958">CB688</f>
        <v>2</v>
      </c>
      <c r="CA688" s="48">
        <f t="shared" ref="CA688:CA704" si="3959">CB688</f>
        <v>2</v>
      </c>
      <c r="CB688" s="48">
        <f t="shared" ref="CB688:CB693" si="3960">SUM(AX688:AZ688)</f>
        <v>2</v>
      </c>
      <c r="CC688" s="48">
        <f t="shared" ref="CC688:CC704" si="3961">CE688</f>
        <v>5</v>
      </c>
      <c r="CD688" s="48">
        <f t="shared" ref="CD688:CD704" si="3962">CE688</f>
        <v>5</v>
      </c>
      <c r="CE688" s="48">
        <f t="shared" ref="CE688:CE693" si="3963">SUM(BA688:BC688)</f>
        <v>5</v>
      </c>
      <c r="CF688" s="48">
        <f t="shared" ref="CF688:CF704" si="3964">CH688</f>
        <v>4</v>
      </c>
      <c r="CG688" s="48">
        <f t="shared" ref="CG688:CG704" si="3965">CH688</f>
        <v>4</v>
      </c>
      <c r="CH688" s="48">
        <f t="shared" ref="CH688:CH693" si="3966">SUM(BD688:BF688)</f>
        <v>4</v>
      </c>
      <c r="CI688" s="48">
        <f t="shared" ref="CI688:CI704" si="3967">CK688</f>
        <v>3</v>
      </c>
      <c r="CJ688" s="48">
        <f t="shared" ref="CJ688:CJ704" si="3968">CK688</f>
        <v>3</v>
      </c>
      <c r="CK688" s="48">
        <f t="shared" ref="CK688:CK693" si="3969">SUM(BG688:BI688)</f>
        <v>3</v>
      </c>
      <c r="CL688" s="48">
        <f t="shared" ref="CL688:CL704" si="3970">CN688</f>
        <v>1</v>
      </c>
      <c r="CM688" s="48">
        <f t="shared" ref="CM688:CM704" si="3971">CN688</f>
        <v>1</v>
      </c>
      <c r="CN688" s="48">
        <f t="shared" ref="CN688:CN693" si="3972">SUM(BJ688:BL688)</f>
        <v>1</v>
      </c>
      <c r="CO688" s="406"/>
      <c r="CP688" s="21">
        <f t="shared" si="3935"/>
        <v>7</v>
      </c>
      <c r="CQ688" s="21">
        <f t="shared" si="3935"/>
        <v>8</v>
      </c>
      <c r="CR688" s="21">
        <f t="shared" si="3935"/>
        <v>9</v>
      </c>
      <c r="CS688" s="21">
        <f>AO688</f>
        <v>0</v>
      </c>
      <c r="CT688" s="21">
        <f t="shared" si="3936"/>
        <v>1</v>
      </c>
      <c r="CU688" s="21">
        <f t="shared" si="3936"/>
        <v>3</v>
      </c>
      <c r="CV688" s="21">
        <f t="shared" si="3936"/>
        <v>3</v>
      </c>
      <c r="CW688" s="21">
        <f t="shared" si="3936"/>
        <v>4</v>
      </c>
      <c r="CX688" s="21">
        <f t="shared" si="3936"/>
        <v>5</v>
      </c>
      <c r="CY688" s="21">
        <f t="shared" si="3936"/>
        <v>8</v>
      </c>
      <c r="CZ688" s="21">
        <f t="shared" si="3936"/>
        <v>9</v>
      </c>
      <c r="DA688" s="21">
        <f t="shared" si="3936"/>
        <v>9</v>
      </c>
      <c r="DB688" s="21">
        <f t="shared" si="3936"/>
        <v>9</v>
      </c>
      <c r="DC688" s="21">
        <f t="shared" si="3936"/>
        <v>9</v>
      </c>
      <c r="DD688" s="21">
        <f t="shared" si="3936"/>
        <v>11</v>
      </c>
      <c r="DE688" s="21">
        <f>+BA688</f>
        <v>1</v>
      </c>
      <c r="DF688" s="21">
        <f t="shared" si="3937"/>
        <v>2</v>
      </c>
      <c r="DG688" s="21">
        <f t="shared" si="3937"/>
        <v>5</v>
      </c>
      <c r="DH688" s="21">
        <f t="shared" si="3937"/>
        <v>5</v>
      </c>
      <c r="DI688" s="21">
        <f t="shared" si="3937"/>
        <v>6</v>
      </c>
      <c r="DJ688" s="21">
        <f t="shared" si="3937"/>
        <v>9</v>
      </c>
      <c r="DK688" s="21">
        <f t="shared" si="3937"/>
        <v>11</v>
      </c>
      <c r="DL688" s="21">
        <f t="shared" si="3937"/>
        <v>11</v>
      </c>
      <c r="DM688" s="21">
        <f t="shared" si="3937"/>
        <v>12</v>
      </c>
      <c r="DN688" s="21">
        <f t="shared" si="3937"/>
        <v>12</v>
      </c>
      <c r="DO688" s="21">
        <f t="shared" si="3937"/>
        <v>13</v>
      </c>
      <c r="DP688" s="21">
        <f t="shared" si="3937"/>
        <v>13</v>
      </c>
      <c r="DQ688" s="248"/>
      <c r="DR688" s="248"/>
      <c r="DS688" s="248"/>
      <c r="DT688" s="248"/>
      <c r="DU688" s="248"/>
      <c r="DV688" s="248"/>
      <c r="DW688" s="248"/>
      <c r="DX688" s="248"/>
      <c r="DY688" s="248"/>
      <c r="ED688" s="429"/>
      <c r="EE688" s="23"/>
      <c r="EF688" s="23"/>
      <c r="EG688" s="23"/>
      <c r="EH688" s="18">
        <f t="shared" si="3938"/>
        <v>1</v>
      </c>
      <c r="EI688" s="18">
        <f t="shared" si="3939"/>
        <v>1</v>
      </c>
      <c r="EJ688" s="18">
        <f t="shared" si="3940"/>
        <v>13</v>
      </c>
      <c r="EK688" s="24">
        <f>$EK$1/12</f>
        <v>0.91666666666666663</v>
      </c>
      <c r="EL688" s="14">
        <f t="shared" si="3941"/>
        <v>1</v>
      </c>
      <c r="EM688" s="14">
        <f t="shared" si="3941"/>
        <v>0.33333333333333331</v>
      </c>
      <c r="EN688" s="14">
        <f>EJ688/EG665</f>
        <v>1.0833333333333333</v>
      </c>
      <c r="EO688" s="46" t="str">
        <f>IF(EH688&lt;0,,IF(EH688&lt;EE665,"È",IF(EH688&gt;EE665,"Æ","Ç")))</f>
        <v>Ç</v>
      </c>
      <c r="EP688" s="46" t="str">
        <f>IF(EI688&lt;0,,IF(EI688&lt;EF665,"È",IF(EI688&gt;EF665,"Æ","Ç")))</f>
        <v>È</v>
      </c>
      <c r="EQ688" s="2">
        <f t="shared" si="3943"/>
        <v>1</v>
      </c>
      <c r="ER688" s="2">
        <f t="shared" si="3944"/>
        <v>3</v>
      </c>
      <c r="ES688" s="2">
        <f t="shared" si="3945"/>
        <v>1</v>
      </c>
    </row>
    <row r="689" spans="1:150" ht="12.75" customHeight="1">
      <c r="A689" s="6" t="s">
        <v>22</v>
      </c>
      <c r="B689" s="2" t="s">
        <v>2</v>
      </c>
      <c r="C689" s="3" t="s">
        <v>56</v>
      </c>
      <c r="E689" s="3" t="s">
        <v>16</v>
      </c>
      <c r="G689" s="1" t="s">
        <v>91</v>
      </c>
      <c r="I689" s="18">
        <v>8</v>
      </c>
      <c r="J689" s="19">
        <v>8</v>
      </c>
      <c r="K689" s="19">
        <v>10</v>
      </c>
      <c r="L689" s="19">
        <v>11</v>
      </c>
      <c r="M689" s="20">
        <v>0</v>
      </c>
      <c r="N689" s="19">
        <v>0</v>
      </c>
      <c r="O689" s="19">
        <v>1</v>
      </c>
      <c r="P689" s="19">
        <v>2</v>
      </c>
      <c r="Q689" s="19">
        <v>3</v>
      </c>
      <c r="R689" s="19">
        <v>3</v>
      </c>
      <c r="S689" s="19">
        <v>4</v>
      </c>
      <c r="T689" s="19">
        <v>7</v>
      </c>
      <c r="U689" s="19">
        <v>7</v>
      </c>
      <c r="V689" s="26">
        <v>7</v>
      </c>
      <c r="W689" s="19">
        <v>7</v>
      </c>
      <c r="X689" s="19">
        <v>7</v>
      </c>
      <c r="Y689" s="378">
        <v>0</v>
      </c>
      <c r="Z689" s="19">
        <v>0</v>
      </c>
      <c r="AA689" s="19">
        <v>1</v>
      </c>
      <c r="AB689" s="19">
        <v>1</v>
      </c>
      <c r="AC689" s="19">
        <v>1</v>
      </c>
      <c r="AD689" s="19">
        <v>2</v>
      </c>
      <c r="AE689" s="19">
        <v>5</v>
      </c>
      <c r="AF689" s="19">
        <v>6</v>
      </c>
      <c r="AG689" s="19">
        <v>9</v>
      </c>
      <c r="AH689" s="19">
        <v>9</v>
      </c>
      <c r="AI689" s="19">
        <v>10</v>
      </c>
      <c r="AJ689" s="19"/>
      <c r="AK689" s="408"/>
      <c r="AL689" s="21">
        <f t="shared" si="3913"/>
        <v>0</v>
      </c>
      <c r="AM689" s="21">
        <f t="shared" si="3913"/>
        <v>2</v>
      </c>
      <c r="AN689" s="21">
        <f t="shared" si="3914"/>
        <v>1</v>
      </c>
      <c r="AO689" s="21">
        <f>M689</f>
        <v>0</v>
      </c>
      <c r="AP689" s="129">
        <f t="shared" si="3915"/>
        <v>0</v>
      </c>
      <c r="AQ689" s="129">
        <f t="shared" si="3916"/>
        <v>1</v>
      </c>
      <c r="AR689" s="129">
        <f t="shared" si="3917"/>
        <v>1</v>
      </c>
      <c r="AS689" s="129">
        <f t="shared" si="3918"/>
        <v>1</v>
      </c>
      <c r="AT689" s="129">
        <f t="shared" si="3919"/>
        <v>0</v>
      </c>
      <c r="AU689" s="129">
        <f t="shared" si="3920"/>
        <v>1</v>
      </c>
      <c r="AV689" s="129">
        <f t="shared" si="3921"/>
        <v>3</v>
      </c>
      <c r="AW689" s="129">
        <f t="shared" si="3922"/>
        <v>0</v>
      </c>
      <c r="AX689" s="129">
        <f>IF(V689&lt;&gt;"",V689-U689,0)</f>
        <v>0</v>
      </c>
      <c r="AY689" s="129">
        <f t="shared" si="3923"/>
        <v>0</v>
      </c>
      <c r="AZ689" s="129">
        <f t="shared" si="3924"/>
        <v>0</v>
      </c>
      <c r="BA689" s="21">
        <f>Y689</f>
        <v>0</v>
      </c>
      <c r="BB689" s="129">
        <f t="shared" si="3925"/>
        <v>0</v>
      </c>
      <c r="BC689" s="129">
        <f t="shared" si="3926"/>
        <v>1</v>
      </c>
      <c r="BD689" s="129">
        <f t="shared" si="3927"/>
        <v>0</v>
      </c>
      <c r="BE689" s="129">
        <f t="shared" si="3928"/>
        <v>0</v>
      </c>
      <c r="BF689" s="129">
        <f t="shared" si="3929"/>
        <v>1</v>
      </c>
      <c r="BG689" s="129">
        <f t="shared" si="3930"/>
        <v>3</v>
      </c>
      <c r="BH689" s="129">
        <f t="shared" si="3931"/>
        <v>1</v>
      </c>
      <c r="BI689" s="129">
        <f t="shared" si="3932"/>
        <v>3</v>
      </c>
      <c r="BJ689" s="129">
        <f>IF(AH689&lt;&gt;"",AH689-AG689,0)</f>
        <v>0</v>
      </c>
      <c r="BK689" s="129">
        <f t="shared" si="3933"/>
        <v>1</v>
      </c>
      <c r="BL689" s="129">
        <f t="shared" si="3934"/>
        <v>0</v>
      </c>
      <c r="BM689" s="408"/>
      <c r="BN689" s="48">
        <f t="shared" si="3946"/>
        <v>3</v>
      </c>
      <c r="BO689" s="48">
        <f t="shared" si="3947"/>
        <v>3</v>
      </c>
      <c r="BP689" s="48">
        <f t="shared" si="3948"/>
        <v>3</v>
      </c>
      <c r="BQ689" s="48">
        <f t="shared" si="3949"/>
        <v>1</v>
      </c>
      <c r="BR689" s="48">
        <f t="shared" si="3950"/>
        <v>1</v>
      </c>
      <c r="BS689" s="48">
        <f t="shared" si="3951"/>
        <v>1</v>
      </c>
      <c r="BT689" s="48">
        <f t="shared" si="3952"/>
        <v>2</v>
      </c>
      <c r="BU689" s="48">
        <f t="shared" si="3953"/>
        <v>2</v>
      </c>
      <c r="BV689" s="48">
        <f t="shared" si="3954"/>
        <v>2</v>
      </c>
      <c r="BW689" s="48">
        <f t="shared" si="3955"/>
        <v>4</v>
      </c>
      <c r="BX689" s="48">
        <f t="shared" si="3956"/>
        <v>4</v>
      </c>
      <c r="BY689" s="48">
        <f t="shared" si="3957"/>
        <v>4</v>
      </c>
      <c r="BZ689" s="48">
        <f t="shared" si="3958"/>
        <v>0</v>
      </c>
      <c r="CA689" s="48">
        <f t="shared" si="3959"/>
        <v>0</v>
      </c>
      <c r="CB689" s="48">
        <f t="shared" si="3960"/>
        <v>0</v>
      </c>
      <c r="CC689" s="48">
        <f t="shared" si="3961"/>
        <v>1</v>
      </c>
      <c r="CD689" s="48">
        <f t="shared" si="3962"/>
        <v>1</v>
      </c>
      <c r="CE689" s="48">
        <f t="shared" si="3963"/>
        <v>1</v>
      </c>
      <c r="CF689" s="48">
        <f t="shared" si="3964"/>
        <v>1</v>
      </c>
      <c r="CG689" s="48">
        <f t="shared" si="3965"/>
        <v>1</v>
      </c>
      <c r="CH689" s="48">
        <f t="shared" si="3966"/>
        <v>1</v>
      </c>
      <c r="CI689" s="48">
        <f t="shared" si="3967"/>
        <v>7</v>
      </c>
      <c r="CJ689" s="48">
        <f t="shared" si="3968"/>
        <v>7</v>
      </c>
      <c r="CK689" s="48">
        <f t="shared" si="3969"/>
        <v>7</v>
      </c>
      <c r="CL689" s="48">
        <f t="shared" si="3970"/>
        <v>1</v>
      </c>
      <c r="CM689" s="48">
        <f t="shared" si="3971"/>
        <v>1</v>
      </c>
      <c r="CN689" s="48">
        <f t="shared" si="3972"/>
        <v>1</v>
      </c>
      <c r="CO689" s="406"/>
      <c r="CP689" s="21">
        <f t="shared" si="3935"/>
        <v>8</v>
      </c>
      <c r="CQ689" s="21">
        <f t="shared" si="3935"/>
        <v>10</v>
      </c>
      <c r="CR689" s="21">
        <f t="shared" si="3935"/>
        <v>11</v>
      </c>
      <c r="CS689" s="21">
        <f>AO689</f>
        <v>0</v>
      </c>
      <c r="CT689" s="21">
        <f t="shared" si="3936"/>
        <v>0</v>
      </c>
      <c r="CU689" s="21">
        <f t="shared" si="3936"/>
        <v>1</v>
      </c>
      <c r="CV689" s="21">
        <f t="shared" si="3936"/>
        <v>2</v>
      </c>
      <c r="CW689" s="21">
        <f t="shared" si="3936"/>
        <v>3</v>
      </c>
      <c r="CX689" s="21">
        <f t="shared" si="3936"/>
        <v>3</v>
      </c>
      <c r="CY689" s="21">
        <f t="shared" si="3936"/>
        <v>4</v>
      </c>
      <c r="CZ689" s="21">
        <f t="shared" si="3936"/>
        <v>7</v>
      </c>
      <c r="DA689" s="21">
        <f t="shared" si="3936"/>
        <v>7</v>
      </c>
      <c r="DB689" s="21">
        <f t="shared" si="3936"/>
        <v>7</v>
      </c>
      <c r="DC689" s="21">
        <f t="shared" si="3936"/>
        <v>7</v>
      </c>
      <c r="DD689" s="21">
        <f t="shared" si="3936"/>
        <v>7</v>
      </c>
      <c r="DE689" s="21">
        <f>+BA689</f>
        <v>0</v>
      </c>
      <c r="DF689" s="21">
        <f t="shared" si="3937"/>
        <v>0</v>
      </c>
      <c r="DG689" s="21">
        <f t="shared" si="3937"/>
        <v>1</v>
      </c>
      <c r="DH689" s="21">
        <f t="shared" si="3937"/>
        <v>1</v>
      </c>
      <c r="DI689" s="21">
        <f t="shared" si="3937"/>
        <v>1</v>
      </c>
      <c r="DJ689" s="21">
        <f t="shared" si="3937"/>
        <v>2</v>
      </c>
      <c r="DK689" s="21">
        <f t="shared" si="3937"/>
        <v>5</v>
      </c>
      <c r="DL689" s="21">
        <f t="shared" si="3937"/>
        <v>6</v>
      </c>
      <c r="DM689" s="21">
        <f t="shared" si="3937"/>
        <v>9</v>
      </c>
      <c r="DN689" s="21">
        <f t="shared" si="3937"/>
        <v>9</v>
      </c>
      <c r="DO689" s="21">
        <f t="shared" si="3937"/>
        <v>10</v>
      </c>
      <c r="DP689" s="21">
        <f t="shared" si="3937"/>
        <v>10</v>
      </c>
      <c r="DQ689" s="248"/>
      <c r="DR689" s="248"/>
      <c r="DS689" s="248"/>
      <c r="DT689" s="248"/>
      <c r="DU689" s="248"/>
      <c r="DV689" s="248"/>
      <c r="DW689" s="248"/>
      <c r="DX689" s="248"/>
      <c r="DY689" s="248"/>
      <c r="ED689" s="429"/>
      <c r="EE689" s="23"/>
      <c r="EF689" s="23"/>
      <c r="EG689" s="23"/>
      <c r="EH689" s="18">
        <f t="shared" si="3938"/>
        <v>1</v>
      </c>
      <c r="EI689" s="18">
        <f t="shared" si="3939"/>
        <v>1</v>
      </c>
      <c r="EJ689" s="18">
        <f t="shared" si="3940"/>
        <v>10</v>
      </c>
      <c r="EK689" s="24">
        <f>$EK$1/12</f>
        <v>0.91666666666666663</v>
      </c>
      <c r="EL689" s="14">
        <f t="shared" si="3941"/>
        <v>1.7142955102600583</v>
      </c>
      <c r="EM689" s="14">
        <f t="shared" si="3941"/>
        <v>0.57143183675335274</v>
      </c>
      <c r="EN689" s="14">
        <f>EJ689/EG666</f>
        <v>1.4285789116038226</v>
      </c>
      <c r="EO689" s="46" t="str">
        <f t="shared" si="3942"/>
        <v>Ç</v>
      </c>
      <c r="EP689" s="46" t="str">
        <f t="shared" si="3942"/>
        <v>È</v>
      </c>
      <c r="EQ689" s="2">
        <f t="shared" si="3943"/>
        <v>1</v>
      </c>
      <c r="ER689" s="2">
        <f t="shared" si="3944"/>
        <v>3</v>
      </c>
      <c r="ES689" s="2">
        <f t="shared" si="3945"/>
        <v>1</v>
      </c>
    </row>
    <row r="690" spans="1:150" ht="12.75" customHeight="1">
      <c r="A690" s="6" t="s">
        <v>22</v>
      </c>
      <c r="B690" s="2" t="s">
        <v>3</v>
      </c>
      <c r="C690" s="3" t="s">
        <v>57</v>
      </c>
      <c r="E690" s="3" t="s">
        <v>16</v>
      </c>
      <c r="G690" s="1" t="s">
        <v>91</v>
      </c>
      <c r="I690" s="18">
        <v>5</v>
      </c>
      <c r="J690" s="21">
        <v>6</v>
      </c>
      <c r="K690" s="21">
        <v>6</v>
      </c>
      <c r="L690" s="21">
        <v>7</v>
      </c>
      <c r="M690" s="22">
        <v>0</v>
      </c>
      <c r="N690" s="21">
        <v>0</v>
      </c>
      <c r="O690" s="21">
        <v>0</v>
      </c>
      <c r="P690" s="21">
        <v>0</v>
      </c>
      <c r="Q690" s="21">
        <v>1</v>
      </c>
      <c r="R690" s="21">
        <v>1</v>
      </c>
      <c r="S690" s="21">
        <v>3</v>
      </c>
      <c r="T690" s="21">
        <v>4</v>
      </c>
      <c r="U690" s="21">
        <v>4</v>
      </c>
      <c r="V690" s="27">
        <v>5</v>
      </c>
      <c r="W690" s="21">
        <v>6</v>
      </c>
      <c r="X690" s="21">
        <v>7</v>
      </c>
      <c r="Y690" s="379">
        <v>1</v>
      </c>
      <c r="Z690" s="21">
        <v>1</v>
      </c>
      <c r="AA690" s="21">
        <v>1</v>
      </c>
      <c r="AB690" s="21">
        <v>3</v>
      </c>
      <c r="AC690" s="21">
        <v>3</v>
      </c>
      <c r="AD690" s="21">
        <v>5</v>
      </c>
      <c r="AE690" s="21">
        <v>5</v>
      </c>
      <c r="AF690" s="21">
        <v>6</v>
      </c>
      <c r="AG690" s="21">
        <v>7</v>
      </c>
      <c r="AH690" s="21">
        <v>7</v>
      </c>
      <c r="AI690" s="21">
        <v>7</v>
      </c>
      <c r="AJ690" s="21"/>
      <c r="AK690" s="408"/>
      <c r="AL690" s="21">
        <f t="shared" si="3913"/>
        <v>1</v>
      </c>
      <c r="AM690" s="21">
        <f t="shared" si="3913"/>
        <v>0</v>
      </c>
      <c r="AN690" s="21">
        <f t="shared" si="3914"/>
        <v>1</v>
      </c>
      <c r="AO690" s="21">
        <f>M690</f>
        <v>0</v>
      </c>
      <c r="AP690" s="129">
        <f t="shared" si="3915"/>
        <v>0</v>
      </c>
      <c r="AQ690" s="129">
        <f t="shared" si="3916"/>
        <v>0</v>
      </c>
      <c r="AR690" s="129">
        <f t="shared" si="3917"/>
        <v>0</v>
      </c>
      <c r="AS690" s="129">
        <f t="shared" si="3918"/>
        <v>1</v>
      </c>
      <c r="AT690" s="129">
        <f t="shared" si="3919"/>
        <v>0</v>
      </c>
      <c r="AU690" s="129">
        <f t="shared" si="3920"/>
        <v>2</v>
      </c>
      <c r="AV690" s="129">
        <f t="shared" si="3921"/>
        <v>1</v>
      </c>
      <c r="AW690" s="129">
        <f t="shared" si="3922"/>
        <v>0</v>
      </c>
      <c r="AX690" s="129">
        <f>IF(V690&lt;&gt;"",V690-U690,0)</f>
        <v>1</v>
      </c>
      <c r="AY690" s="129">
        <f t="shared" si="3923"/>
        <v>1</v>
      </c>
      <c r="AZ690" s="129">
        <f t="shared" si="3924"/>
        <v>1</v>
      </c>
      <c r="BA690" s="21">
        <f>Y690</f>
        <v>1</v>
      </c>
      <c r="BB690" s="129">
        <f t="shared" si="3925"/>
        <v>0</v>
      </c>
      <c r="BC690" s="129">
        <f t="shared" si="3926"/>
        <v>0</v>
      </c>
      <c r="BD690" s="129">
        <f t="shared" si="3927"/>
        <v>2</v>
      </c>
      <c r="BE690" s="129">
        <f t="shared" si="3928"/>
        <v>0</v>
      </c>
      <c r="BF690" s="129">
        <f t="shared" si="3929"/>
        <v>2</v>
      </c>
      <c r="BG690" s="129">
        <f t="shared" si="3930"/>
        <v>0</v>
      </c>
      <c r="BH690" s="129">
        <f t="shared" si="3931"/>
        <v>1</v>
      </c>
      <c r="BI690" s="129">
        <f t="shared" si="3932"/>
        <v>1</v>
      </c>
      <c r="BJ690" s="129">
        <f>IF(AH690&lt;&gt;"",AH690-AG690,0)</f>
        <v>0</v>
      </c>
      <c r="BK690" s="129">
        <f t="shared" si="3933"/>
        <v>0</v>
      </c>
      <c r="BL690" s="129">
        <f t="shared" si="3934"/>
        <v>0</v>
      </c>
      <c r="BM690" s="408"/>
      <c r="BN690" s="48">
        <f t="shared" si="3946"/>
        <v>2</v>
      </c>
      <c r="BO690" s="48">
        <f t="shared" si="3947"/>
        <v>2</v>
      </c>
      <c r="BP690" s="48">
        <f t="shared" si="3948"/>
        <v>2</v>
      </c>
      <c r="BQ690" s="48">
        <f t="shared" si="3949"/>
        <v>0</v>
      </c>
      <c r="BR690" s="48">
        <f t="shared" si="3950"/>
        <v>0</v>
      </c>
      <c r="BS690" s="48">
        <f t="shared" si="3951"/>
        <v>0</v>
      </c>
      <c r="BT690" s="48">
        <f t="shared" si="3952"/>
        <v>1</v>
      </c>
      <c r="BU690" s="48">
        <f t="shared" si="3953"/>
        <v>1</v>
      </c>
      <c r="BV690" s="48">
        <f t="shared" si="3954"/>
        <v>1</v>
      </c>
      <c r="BW690" s="48">
        <f t="shared" si="3955"/>
        <v>3</v>
      </c>
      <c r="BX690" s="48">
        <f t="shared" si="3956"/>
        <v>3</v>
      </c>
      <c r="BY690" s="48">
        <f t="shared" si="3957"/>
        <v>3</v>
      </c>
      <c r="BZ690" s="48">
        <f t="shared" si="3958"/>
        <v>3</v>
      </c>
      <c r="CA690" s="48">
        <f t="shared" si="3959"/>
        <v>3</v>
      </c>
      <c r="CB690" s="48">
        <f t="shared" si="3960"/>
        <v>3</v>
      </c>
      <c r="CC690" s="48">
        <f t="shared" si="3961"/>
        <v>1</v>
      </c>
      <c r="CD690" s="48">
        <f t="shared" si="3962"/>
        <v>1</v>
      </c>
      <c r="CE690" s="48">
        <f t="shared" si="3963"/>
        <v>1</v>
      </c>
      <c r="CF690" s="48">
        <f t="shared" si="3964"/>
        <v>4</v>
      </c>
      <c r="CG690" s="48">
        <f t="shared" si="3965"/>
        <v>4</v>
      </c>
      <c r="CH690" s="48">
        <f t="shared" si="3966"/>
        <v>4</v>
      </c>
      <c r="CI690" s="48">
        <f t="shared" si="3967"/>
        <v>2</v>
      </c>
      <c r="CJ690" s="48">
        <f t="shared" si="3968"/>
        <v>2</v>
      </c>
      <c r="CK690" s="48">
        <f t="shared" si="3969"/>
        <v>2</v>
      </c>
      <c r="CL690" s="48">
        <f t="shared" si="3970"/>
        <v>0</v>
      </c>
      <c r="CM690" s="48">
        <f t="shared" si="3971"/>
        <v>0</v>
      </c>
      <c r="CN690" s="48">
        <f t="shared" si="3972"/>
        <v>0</v>
      </c>
      <c r="CO690" s="406"/>
      <c r="CP690" s="21">
        <f t="shared" si="3935"/>
        <v>6</v>
      </c>
      <c r="CQ690" s="21">
        <f t="shared" si="3935"/>
        <v>6</v>
      </c>
      <c r="CR690" s="21">
        <f t="shared" si="3935"/>
        <v>7</v>
      </c>
      <c r="CS690" s="21">
        <f>AO690</f>
        <v>0</v>
      </c>
      <c r="CT690" s="21">
        <f t="shared" si="3936"/>
        <v>0</v>
      </c>
      <c r="CU690" s="21">
        <f t="shared" si="3936"/>
        <v>0</v>
      </c>
      <c r="CV690" s="21">
        <f t="shared" si="3936"/>
        <v>0</v>
      </c>
      <c r="CW690" s="21">
        <f t="shared" si="3936"/>
        <v>1</v>
      </c>
      <c r="CX690" s="21">
        <f t="shared" si="3936"/>
        <v>1</v>
      </c>
      <c r="CY690" s="21">
        <f t="shared" si="3936"/>
        <v>3</v>
      </c>
      <c r="CZ690" s="21">
        <f t="shared" si="3936"/>
        <v>4</v>
      </c>
      <c r="DA690" s="21">
        <f t="shared" si="3936"/>
        <v>4</v>
      </c>
      <c r="DB690" s="21">
        <f t="shared" si="3936"/>
        <v>5</v>
      </c>
      <c r="DC690" s="21">
        <f t="shared" si="3936"/>
        <v>6</v>
      </c>
      <c r="DD690" s="21">
        <f t="shared" si="3936"/>
        <v>7</v>
      </c>
      <c r="DE690" s="21">
        <f>+BA690</f>
        <v>1</v>
      </c>
      <c r="DF690" s="21">
        <f t="shared" si="3937"/>
        <v>1</v>
      </c>
      <c r="DG690" s="21">
        <f t="shared" si="3937"/>
        <v>1</v>
      </c>
      <c r="DH690" s="21">
        <f t="shared" si="3937"/>
        <v>3</v>
      </c>
      <c r="DI690" s="21">
        <f t="shared" si="3937"/>
        <v>3</v>
      </c>
      <c r="DJ690" s="21">
        <f t="shared" si="3937"/>
        <v>5</v>
      </c>
      <c r="DK690" s="21">
        <f t="shared" si="3937"/>
        <v>5</v>
      </c>
      <c r="DL690" s="21">
        <f t="shared" si="3937"/>
        <v>6</v>
      </c>
      <c r="DM690" s="21">
        <f t="shared" si="3937"/>
        <v>7</v>
      </c>
      <c r="DN690" s="21">
        <f t="shared" si="3937"/>
        <v>7</v>
      </c>
      <c r="DO690" s="21">
        <f t="shared" si="3937"/>
        <v>7</v>
      </c>
      <c r="DP690" s="21">
        <f t="shared" si="3937"/>
        <v>7</v>
      </c>
      <c r="DQ690" s="248"/>
      <c r="DR690" s="248"/>
      <c r="DS690" s="248"/>
      <c r="DT690" s="248"/>
      <c r="DU690" s="248"/>
      <c r="DV690" s="248"/>
      <c r="DW690" s="248"/>
      <c r="DX690" s="248"/>
      <c r="DY690" s="248"/>
      <c r="ED690" s="429"/>
      <c r="EE690" s="23"/>
      <c r="EF690" s="23"/>
      <c r="EG690" s="23"/>
      <c r="EH690" s="18">
        <f t="shared" si="3938"/>
        <v>0</v>
      </c>
      <c r="EI690" s="18">
        <f t="shared" si="3939"/>
        <v>0</v>
      </c>
      <c r="EJ690" s="18">
        <f t="shared" si="3940"/>
        <v>7</v>
      </c>
      <c r="EK690" s="24">
        <f>$EK$1/12</f>
        <v>0.91666666666666663</v>
      </c>
      <c r="EL690" s="14">
        <f t="shared" si="3941"/>
        <v>0</v>
      </c>
      <c r="EM690" s="14">
        <f t="shared" si="3941"/>
        <v>0</v>
      </c>
      <c r="EN690" s="14">
        <f>EJ690/EG667</f>
        <v>0.58333333333333337</v>
      </c>
      <c r="EO690" s="46" t="str">
        <f>IF(EH690&lt;0,,IF(EH690&lt;EE667,"È",IF(EH690=EE667,"Ç","Æ")))</f>
        <v>È</v>
      </c>
      <c r="EP690" s="46" t="str">
        <f>IF(EI690&lt;0,,IF(EI690&lt;EF667,"È",IF(EI690=EF667,"Æ","Ç")))</f>
        <v>È</v>
      </c>
      <c r="EQ690" s="2">
        <f t="shared" si="3943"/>
        <v>3</v>
      </c>
      <c r="ER690" s="2">
        <f t="shared" si="3944"/>
        <v>3</v>
      </c>
      <c r="ES690" s="2">
        <f t="shared" si="3945"/>
        <v>3</v>
      </c>
    </row>
    <row r="691" spans="1:150" ht="12.75" customHeight="1" thickBot="1">
      <c r="A691" s="6" t="s">
        <v>22</v>
      </c>
      <c r="B691" s="2" t="s">
        <v>94</v>
      </c>
      <c r="C691" s="3" t="s">
        <v>58</v>
      </c>
      <c r="E691" s="3" t="s">
        <v>16</v>
      </c>
      <c r="G691" s="1" t="s">
        <v>91</v>
      </c>
      <c r="I691" s="116">
        <v>9.5000000000000001E-2</v>
      </c>
      <c r="J691" s="116">
        <v>9.5000000000000001E-2</v>
      </c>
      <c r="K691" s="116">
        <v>9.5000000000000001E-2</v>
      </c>
      <c r="L691" s="116">
        <v>0.17299999999999999</v>
      </c>
      <c r="M691" s="117">
        <v>0</v>
      </c>
      <c r="N691" s="116">
        <v>0</v>
      </c>
      <c r="O691" s="116">
        <v>0</v>
      </c>
      <c r="P691" s="116">
        <v>0</v>
      </c>
      <c r="Q691" s="116">
        <v>0</v>
      </c>
      <c r="R691" s="116">
        <v>0</v>
      </c>
      <c r="S691" s="116">
        <v>0.25</v>
      </c>
      <c r="T691" s="116">
        <v>0.252</v>
      </c>
      <c r="U691" s="116">
        <v>0.80200000000000005</v>
      </c>
      <c r="V691" s="123">
        <v>0.80200000000000005</v>
      </c>
      <c r="W691" s="116">
        <v>0.80200000000000005</v>
      </c>
      <c r="X691" s="116">
        <v>0.81200000000000006</v>
      </c>
      <c r="Y691" s="380">
        <v>0</v>
      </c>
      <c r="Z691" s="116">
        <v>0</v>
      </c>
      <c r="AA691" s="116">
        <v>0</v>
      </c>
      <c r="AB691" s="116">
        <v>0.435</v>
      </c>
      <c r="AC691" s="116">
        <v>0.435</v>
      </c>
      <c r="AD691" s="116">
        <v>0.435</v>
      </c>
      <c r="AE691" s="116">
        <v>0.435</v>
      </c>
      <c r="AF691" s="116">
        <v>0.53500000000000003</v>
      </c>
      <c r="AG691" s="116">
        <v>0.92024600000000001</v>
      </c>
      <c r="AH691" s="116">
        <v>0.92</v>
      </c>
      <c r="AI691" s="116">
        <v>1.040246</v>
      </c>
      <c r="AJ691" s="116"/>
      <c r="AK691" s="416"/>
      <c r="AL691" s="116">
        <f t="shared" si="3913"/>
        <v>0</v>
      </c>
      <c r="AM691" s="116">
        <f t="shared" si="3913"/>
        <v>0</v>
      </c>
      <c r="AN691" s="116">
        <f t="shared" si="3914"/>
        <v>7.7999999999999986E-2</v>
      </c>
      <c r="AO691" s="116">
        <f>M691</f>
        <v>0</v>
      </c>
      <c r="AP691" s="129">
        <f t="shared" si="3915"/>
        <v>0</v>
      </c>
      <c r="AQ691" s="129">
        <f t="shared" si="3916"/>
        <v>0</v>
      </c>
      <c r="AR691" s="129">
        <f t="shared" si="3917"/>
        <v>0</v>
      </c>
      <c r="AS691" s="129">
        <f t="shared" si="3918"/>
        <v>0</v>
      </c>
      <c r="AT691" s="129">
        <f t="shared" si="3919"/>
        <v>0</v>
      </c>
      <c r="AU691" s="129">
        <f t="shared" si="3920"/>
        <v>0.25</v>
      </c>
      <c r="AV691" s="129">
        <f t="shared" si="3921"/>
        <v>2.0000000000000018E-3</v>
      </c>
      <c r="AW691" s="129">
        <f t="shared" si="3922"/>
        <v>0.55000000000000004</v>
      </c>
      <c r="AX691" s="129">
        <f>IF(V691&lt;&gt;"",V691-U691,0)</f>
        <v>0</v>
      </c>
      <c r="AY691" s="129">
        <f t="shared" si="3923"/>
        <v>0</v>
      </c>
      <c r="AZ691" s="129">
        <f t="shared" si="3924"/>
        <v>1.0000000000000009E-2</v>
      </c>
      <c r="BA691" s="116">
        <f>Y691</f>
        <v>0</v>
      </c>
      <c r="BB691" s="129">
        <f t="shared" si="3925"/>
        <v>0</v>
      </c>
      <c r="BC691" s="129">
        <f t="shared" si="3926"/>
        <v>0</v>
      </c>
      <c r="BD691" s="129">
        <f t="shared" si="3927"/>
        <v>0.435</v>
      </c>
      <c r="BE691" s="129">
        <f t="shared" si="3928"/>
        <v>0</v>
      </c>
      <c r="BF691" s="129">
        <f t="shared" si="3929"/>
        <v>0</v>
      </c>
      <c r="BG691" s="129">
        <f t="shared" si="3930"/>
        <v>0</v>
      </c>
      <c r="BH691" s="129">
        <f t="shared" si="3931"/>
        <v>0.10000000000000003</v>
      </c>
      <c r="BI691" s="129">
        <f t="shared" si="3932"/>
        <v>0.38524599999999998</v>
      </c>
      <c r="BJ691" s="129">
        <f>IF(AH691&lt;&gt;"",AH691-AG691,0)</f>
        <v>-2.4599999999996847E-4</v>
      </c>
      <c r="BK691" s="129">
        <f t="shared" si="3933"/>
        <v>0.12024599999999996</v>
      </c>
      <c r="BL691" s="129">
        <f t="shared" si="3934"/>
        <v>0</v>
      </c>
      <c r="BM691" s="409"/>
      <c r="BN691" s="119">
        <f t="shared" si="3946"/>
        <v>7.7999999999999986E-2</v>
      </c>
      <c r="BO691" s="119">
        <f t="shared" si="3947"/>
        <v>7.7999999999999986E-2</v>
      </c>
      <c r="BP691" s="119">
        <f t="shared" si="3948"/>
        <v>7.7999999999999986E-2</v>
      </c>
      <c r="BQ691" s="119">
        <f t="shared" si="3949"/>
        <v>0</v>
      </c>
      <c r="BR691" s="119">
        <f t="shared" si="3950"/>
        <v>0</v>
      </c>
      <c r="BS691" s="119">
        <f t="shared" si="3951"/>
        <v>0</v>
      </c>
      <c r="BT691" s="119">
        <f t="shared" si="3952"/>
        <v>0</v>
      </c>
      <c r="BU691" s="119">
        <f t="shared" si="3953"/>
        <v>0</v>
      </c>
      <c r="BV691" s="119">
        <f t="shared" si="3954"/>
        <v>0</v>
      </c>
      <c r="BW691" s="119">
        <f t="shared" si="3955"/>
        <v>0.80200000000000005</v>
      </c>
      <c r="BX691" s="119">
        <f t="shared" si="3956"/>
        <v>0.80200000000000005</v>
      </c>
      <c r="BY691" s="119">
        <f t="shared" si="3957"/>
        <v>0.80200000000000005</v>
      </c>
      <c r="BZ691" s="119">
        <f t="shared" si="3958"/>
        <v>1.0000000000000009E-2</v>
      </c>
      <c r="CA691" s="119">
        <f t="shared" si="3959"/>
        <v>1.0000000000000009E-2</v>
      </c>
      <c r="CB691" s="119">
        <f t="shared" si="3960"/>
        <v>1.0000000000000009E-2</v>
      </c>
      <c r="CC691" s="119">
        <f t="shared" si="3961"/>
        <v>0</v>
      </c>
      <c r="CD691" s="119">
        <f t="shared" si="3962"/>
        <v>0</v>
      </c>
      <c r="CE691" s="119">
        <f t="shared" si="3963"/>
        <v>0</v>
      </c>
      <c r="CF691" s="119">
        <f t="shared" si="3964"/>
        <v>0.435</v>
      </c>
      <c r="CG691" s="119">
        <f t="shared" si="3965"/>
        <v>0.435</v>
      </c>
      <c r="CH691" s="119">
        <f t="shared" si="3966"/>
        <v>0.435</v>
      </c>
      <c r="CI691" s="119">
        <f t="shared" si="3967"/>
        <v>0.48524600000000001</v>
      </c>
      <c r="CJ691" s="119">
        <f t="shared" si="3968"/>
        <v>0.48524600000000001</v>
      </c>
      <c r="CK691" s="119">
        <f t="shared" si="3969"/>
        <v>0.48524600000000001</v>
      </c>
      <c r="CL691" s="119">
        <f t="shared" si="3970"/>
        <v>0.12</v>
      </c>
      <c r="CM691" s="119">
        <f t="shared" si="3971"/>
        <v>0.12</v>
      </c>
      <c r="CN691" s="119">
        <f t="shared" si="3972"/>
        <v>0.12</v>
      </c>
      <c r="CO691" s="421"/>
      <c r="CP691" s="116">
        <f t="shared" si="3935"/>
        <v>9.5000000000000001E-2</v>
      </c>
      <c r="CQ691" s="116">
        <f t="shared" si="3935"/>
        <v>9.5000000000000001E-2</v>
      </c>
      <c r="CR691" s="116">
        <f t="shared" si="3935"/>
        <v>0.17299999999999999</v>
      </c>
      <c r="CS691" s="116">
        <f>AO691</f>
        <v>0</v>
      </c>
      <c r="CT691" s="116">
        <f t="shared" si="3936"/>
        <v>0</v>
      </c>
      <c r="CU691" s="116">
        <f t="shared" si="3936"/>
        <v>0</v>
      </c>
      <c r="CV691" s="116">
        <f t="shared" si="3936"/>
        <v>0</v>
      </c>
      <c r="CW691" s="116">
        <f t="shared" si="3936"/>
        <v>0</v>
      </c>
      <c r="CX691" s="116">
        <f t="shared" si="3936"/>
        <v>0</v>
      </c>
      <c r="CY691" s="116">
        <f t="shared" si="3936"/>
        <v>0.25</v>
      </c>
      <c r="CZ691" s="116">
        <f t="shared" si="3936"/>
        <v>0.252</v>
      </c>
      <c r="DA691" s="116">
        <f t="shared" si="3936"/>
        <v>0.80200000000000005</v>
      </c>
      <c r="DB691" s="116">
        <f t="shared" si="3936"/>
        <v>0.80200000000000005</v>
      </c>
      <c r="DC691" s="116">
        <f t="shared" si="3936"/>
        <v>0.80200000000000005</v>
      </c>
      <c r="DD691" s="116">
        <f t="shared" si="3936"/>
        <v>0.81200000000000006</v>
      </c>
      <c r="DE691" s="116">
        <f>+BA691</f>
        <v>0</v>
      </c>
      <c r="DF691" s="116">
        <f t="shared" si="3937"/>
        <v>0</v>
      </c>
      <c r="DG691" s="116">
        <f t="shared" si="3937"/>
        <v>0</v>
      </c>
      <c r="DH691" s="116">
        <f t="shared" si="3937"/>
        <v>0.435</v>
      </c>
      <c r="DI691" s="116">
        <f t="shared" si="3937"/>
        <v>0.435</v>
      </c>
      <c r="DJ691" s="116">
        <f t="shared" si="3937"/>
        <v>0.435</v>
      </c>
      <c r="DK691" s="116">
        <f t="shared" si="3937"/>
        <v>0.435</v>
      </c>
      <c r="DL691" s="116">
        <f t="shared" si="3937"/>
        <v>0.53500000000000003</v>
      </c>
      <c r="DM691" s="116">
        <f t="shared" si="3937"/>
        <v>0.92024600000000001</v>
      </c>
      <c r="DN691" s="116">
        <f t="shared" si="3937"/>
        <v>0.92</v>
      </c>
      <c r="DO691" s="116">
        <f t="shared" si="3937"/>
        <v>1.040246</v>
      </c>
      <c r="DP691" s="116">
        <f t="shared" si="3937"/>
        <v>1.040246</v>
      </c>
      <c r="DQ691" s="243"/>
      <c r="DR691" s="243"/>
      <c r="DS691" s="243"/>
      <c r="DT691" s="243"/>
      <c r="DU691" s="243"/>
      <c r="DV691" s="243"/>
      <c r="DW691" s="243"/>
      <c r="DX691" s="243"/>
      <c r="DY691" s="243"/>
      <c r="DZ691" s="124"/>
      <c r="EA691" s="124"/>
      <c r="EB691" s="124"/>
      <c r="EC691" s="124"/>
      <c r="ED691" s="431"/>
      <c r="EE691" s="125"/>
      <c r="EF691" s="125"/>
      <c r="EG691" s="125"/>
      <c r="EH691" s="237">
        <v>0</v>
      </c>
      <c r="EI691" s="116">
        <v>0</v>
      </c>
      <c r="EJ691" s="116">
        <f t="shared" si="3940"/>
        <v>1.040246</v>
      </c>
      <c r="EK691" s="24">
        <f>$EK$1/12</f>
        <v>0.91666666666666663</v>
      </c>
      <c r="EL691" s="14">
        <f t="shared" si="3941"/>
        <v>0</v>
      </c>
      <c r="EM691" s="14">
        <f t="shared" si="3941"/>
        <v>0</v>
      </c>
      <c r="EN691" s="14">
        <f>EJ691/EG668</f>
        <v>2.7739893333333332</v>
      </c>
      <c r="EO691" s="46" t="str">
        <f>IF(EH691&lt;0,,IF(EH691&lt;EE668,"È",IF(EH691=EE668,"Æ","Ç")))</f>
        <v>È</v>
      </c>
      <c r="EP691" s="46" t="str">
        <f t="shared" si="3942"/>
        <v>È</v>
      </c>
      <c r="EQ691" s="2">
        <f t="shared" si="3943"/>
        <v>3</v>
      </c>
      <c r="ER691" s="2">
        <f t="shared" si="3944"/>
        <v>3</v>
      </c>
      <c r="ES691" s="2">
        <f t="shared" si="3945"/>
        <v>1</v>
      </c>
    </row>
    <row r="692" spans="1:150" ht="12.75" customHeight="1">
      <c r="A692" s="6" t="s">
        <v>23</v>
      </c>
      <c r="B692" s="2" t="s">
        <v>5</v>
      </c>
      <c r="C692" s="3" t="s">
        <v>61</v>
      </c>
      <c r="E692" s="3" t="s">
        <v>16</v>
      </c>
      <c r="G692" s="3" t="s">
        <v>91</v>
      </c>
      <c r="I692" s="23"/>
      <c r="J692" s="19">
        <v>5</v>
      </c>
      <c r="K692" s="19">
        <v>7</v>
      </c>
      <c r="L692" s="19">
        <v>17</v>
      </c>
      <c r="M692" s="19">
        <v>19</v>
      </c>
      <c r="N692" s="19">
        <v>24</v>
      </c>
      <c r="O692" s="19">
        <v>28</v>
      </c>
      <c r="P692" s="19">
        <v>31</v>
      </c>
      <c r="Q692" s="19">
        <v>48</v>
      </c>
      <c r="R692" s="19">
        <v>54</v>
      </c>
      <c r="S692" s="19">
        <v>65</v>
      </c>
      <c r="T692" s="19">
        <v>70</v>
      </c>
      <c r="U692" s="19">
        <v>84</v>
      </c>
      <c r="V692" s="31">
        <v>13</v>
      </c>
      <c r="W692" s="19">
        <v>23</v>
      </c>
      <c r="X692" s="19">
        <v>37</v>
      </c>
      <c r="Y692" s="376">
        <v>47</v>
      </c>
      <c r="Z692" s="19">
        <v>57</v>
      </c>
      <c r="AA692" s="19">
        <v>64</v>
      </c>
      <c r="AB692" s="19">
        <v>69</v>
      </c>
      <c r="AC692" s="19">
        <v>84</v>
      </c>
      <c r="AD692" s="19">
        <v>92</v>
      </c>
      <c r="AE692" s="19">
        <v>97</v>
      </c>
      <c r="AF692" s="19">
        <v>106</v>
      </c>
      <c r="AG692" s="19">
        <v>112</v>
      </c>
      <c r="AH692" s="31">
        <v>8</v>
      </c>
      <c r="AI692" s="19">
        <v>17</v>
      </c>
      <c r="AJ692" s="19"/>
      <c r="AK692" s="408"/>
      <c r="AL692" s="19">
        <f t="shared" ref="AL692:AL708" si="3973">J692</f>
        <v>5</v>
      </c>
      <c r="AM692" s="19">
        <f>K692-J692</f>
        <v>2</v>
      </c>
      <c r="AN692" s="19">
        <f t="shared" si="3914"/>
        <v>10</v>
      </c>
      <c r="AO692" s="19">
        <f>M692-L692</f>
        <v>2</v>
      </c>
      <c r="AP692" s="129">
        <f t="shared" si="3915"/>
        <v>5</v>
      </c>
      <c r="AQ692" s="129">
        <f t="shared" si="3916"/>
        <v>4</v>
      </c>
      <c r="AR692" s="129">
        <f t="shared" si="3917"/>
        <v>3</v>
      </c>
      <c r="AS692" s="129">
        <f t="shared" si="3918"/>
        <v>17</v>
      </c>
      <c r="AT692" s="129">
        <f t="shared" si="3919"/>
        <v>6</v>
      </c>
      <c r="AU692" s="129">
        <f t="shared" si="3920"/>
        <v>11</v>
      </c>
      <c r="AV692" s="129">
        <f t="shared" si="3921"/>
        <v>5</v>
      </c>
      <c r="AW692" s="129">
        <f t="shared" si="3922"/>
        <v>14</v>
      </c>
      <c r="AX692" s="19">
        <f t="shared" ref="AX692:AX706" si="3974">V692</f>
        <v>13</v>
      </c>
      <c r="AY692" s="129">
        <f t="shared" si="3923"/>
        <v>10</v>
      </c>
      <c r="AZ692" s="129">
        <f t="shared" si="3924"/>
        <v>14</v>
      </c>
      <c r="BA692" s="129">
        <f t="shared" ref="BA692:BA706" si="3975">IF(Y692&lt;&gt;"",Y692-X692,0)</f>
        <v>10</v>
      </c>
      <c r="BB692" s="129">
        <f t="shared" si="3925"/>
        <v>10</v>
      </c>
      <c r="BC692" s="129">
        <f t="shared" si="3926"/>
        <v>7</v>
      </c>
      <c r="BD692" s="129">
        <f t="shared" si="3927"/>
        <v>5</v>
      </c>
      <c r="BE692" s="129">
        <f t="shared" si="3928"/>
        <v>15</v>
      </c>
      <c r="BF692" s="129">
        <f t="shared" si="3929"/>
        <v>8</v>
      </c>
      <c r="BG692" s="129">
        <f t="shared" si="3930"/>
        <v>5</v>
      </c>
      <c r="BH692" s="129">
        <f t="shared" si="3931"/>
        <v>9</v>
      </c>
      <c r="BI692" s="129">
        <f t="shared" si="3932"/>
        <v>6</v>
      </c>
      <c r="BJ692" s="19">
        <f t="shared" ref="BJ692:BJ703" si="3976">AH692</f>
        <v>8</v>
      </c>
      <c r="BK692" s="129">
        <f t="shared" si="3933"/>
        <v>9</v>
      </c>
      <c r="BL692" s="129">
        <f t="shared" si="3934"/>
        <v>0</v>
      </c>
      <c r="BM692" s="408"/>
      <c r="BN692" s="48">
        <f t="shared" si="3946"/>
        <v>17</v>
      </c>
      <c r="BO692" s="48">
        <f t="shared" si="3947"/>
        <v>17</v>
      </c>
      <c r="BP692" s="48">
        <f t="shared" si="3948"/>
        <v>17</v>
      </c>
      <c r="BQ692" s="48">
        <f t="shared" si="3949"/>
        <v>11</v>
      </c>
      <c r="BR692" s="48">
        <f t="shared" si="3950"/>
        <v>11</v>
      </c>
      <c r="BS692" s="48">
        <f t="shared" si="3951"/>
        <v>11</v>
      </c>
      <c r="BT692" s="48">
        <f t="shared" si="3952"/>
        <v>26</v>
      </c>
      <c r="BU692" s="48">
        <f t="shared" si="3953"/>
        <v>26</v>
      </c>
      <c r="BV692" s="48">
        <f t="shared" si="3954"/>
        <v>26</v>
      </c>
      <c r="BW692" s="48">
        <f t="shared" si="3955"/>
        <v>30</v>
      </c>
      <c r="BX692" s="48">
        <f t="shared" si="3956"/>
        <v>30</v>
      </c>
      <c r="BY692" s="48">
        <f t="shared" si="3957"/>
        <v>30</v>
      </c>
      <c r="BZ692" s="48">
        <f t="shared" si="3958"/>
        <v>37</v>
      </c>
      <c r="CA692" s="48">
        <f t="shared" si="3959"/>
        <v>37</v>
      </c>
      <c r="CB692" s="48">
        <f t="shared" si="3960"/>
        <v>37</v>
      </c>
      <c r="CC692" s="48">
        <f t="shared" si="3961"/>
        <v>27</v>
      </c>
      <c r="CD692" s="48">
        <f t="shared" si="3962"/>
        <v>27</v>
      </c>
      <c r="CE692" s="48">
        <f t="shared" si="3963"/>
        <v>27</v>
      </c>
      <c r="CF692" s="48">
        <f t="shared" si="3964"/>
        <v>28</v>
      </c>
      <c r="CG692" s="48">
        <f t="shared" si="3965"/>
        <v>28</v>
      </c>
      <c r="CH692" s="48">
        <f t="shared" si="3966"/>
        <v>28</v>
      </c>
      <c r="CI692" s="48">
        <f t="shared" si="3967"/>
        <v>20</v>
      </c>
      <c r="CJ692" s="48">
        <f t="shared" si="3968"/>
        <v>20</v>
      </c>
      <c r="CK692" s="48">
        <f t="shared" si="3969"/>
        <v>20</v>
      </c>
      <c r="CL692" s="48">
        <f t="shared" si="3970"/>
        <v>17</v>
      </c>
      <c r="CM692" s="48">
        <f t="shared" si="3971"/>
        <v>17</v>
      </c>
      <c r="CN692" s="48">
        <f t="shared" si="3972"/>
        <v>17</v>
      </c>
      <c r="CO692" s="406"/>
      <c r="CP692" s="21">
        <f>+AL692</f>
        <v>5</v>
      </c>
      <c r="CQ692" s="21">
        <f t="shared" ref="CQ692:DA692" si="3977">+CP692+AM692</f>
        <v>7</v>
      </c>
      <c r="CR692" s="21">
        <f t="shared" si="3977"/>
        <v>17</v>
      </c>
      <c r="CS692" s="21">
        <f t="shared" si="3977"/>
        <v>19</v>
      </c>
      <c r="CT692" s="21">
        <f t="shared" si="3977"/>
        <v>24</v>
      </c>
      <c r="CU692" s="21">
        <f t="shared" si="3977"/>
        <v>28</v>
      </c>
      <c r="CV692" s="21">
        <f t="shared" si="3977"/>
        <v>31</v>
      </c>
      <c r="CW692" s="21">
        <f t="shared" si="3977"/>
        <v>48</v>
      </c>
      <c r="CX692" s="21">
        <f t="shared" si="3977"/>
        <v>54</v>
      </c>
      <c r="CY692" s="21">
        <f t="shared" si="3977"/>
        <v>65</v>
      </c>
      <c r="CZ692" s="21">
        <f t="shared" si="3977"/>
        <v>70</v>
      </c>
      <c r="DA692" s="21">
        <f t="shared" si="3977"/>
        <v>84</v>
      </c>
      <c r="DB692" s="21">
        <f>AX692</f>
        <v>13</v>
      </c>
      <c r="DC692" s="21">
        <f t="shared" ref="DC692:DM692" si="3978">+DB692+AY692</f>
        <v>23</v>
      </c>
      <c r="DD692" s="21">
        <f t="shared" si="3978"/>
        <v>37</v>
      </c>
      <c r="DE692" s="21">
        <f t="shared" si="3978"/>
        <v>47</v>
      </c>
      <c r="DF692" s="21">
        <f t="shared" si="3978"/>
        <v>57</v>
      </c>
      <c r="DG692" s="21">
        <f t="shared" si="3978"/>
        <v>64</v>
      </c>
      <c r="DH692" s="21">
        <f t="shared" si="3978"/>
        <v>69</v>
      </c>
      <c r="DI692" s="21">
        <f t="shared" si="3978"/>
        <v>84</v>
      </c>
      <c r="DJ692" s="21">
        <f t="shared" si="3978"/>
        <v>92</v>
      </c>
      <c r="DK692" s="21">
        <f t="shared" si="3978"/>
        <v>97</v>
      </c>
      <c r="DL692" s="21">
        <f t="shared" si="3978"/>
        <v>106</v>
      </c>
      <c r="DM692" s="21">
        <f t="shared" si="3978"/>
        <v>112</v>
      </c>
      <c r="DN692" s="21">
        <f>+BJ692</f>
        <v>8</v>
      </c>
      <c r="DO692" s="21">
        <f>+DN692+BK692</f>
        <v>17</v>
      </c>
      <c r="DP692" s="21">
        <f>+DO692+BL692</f>
        <v>17</v>
      </c>
      <c r="DQ692" s="248"/>
      <c r="DR692" s="248"/>
      <c r="DS692" s="248"/>
      <c r="DT692" s="248"/>
      <c r="DU692" s="248"/>
      <c r="DV692" s="248"/>
      <c r="DW692" s="248"/>
      <c r="DX692" s="248"/>
      <c r="DY692" s="248"/>
      <c r="ED692" s="429"/>
      <c r="EE692" s="23"/>
      <c r="EF692" s="23"/>
      <c r="EG692" s="23"/>
      <c r="EH692" s="18">
        <f t="shared" si="3938"/>
        <v>9</v>
      </c>
      <c r="EI692" s="18">
        <f t="shared" si="3939"/>
        <v>17</v>
      </c>
      <c r="EJ692" s="18">
        <f t="shared" si="3940"/>
        <v>17</v>
      </c>
      <c r="EK692" s="24">
        <f>$EK$2/12</f>
        <v>0.16666666666666666</v>
      </c>
      <c r="EL692" s="14">
        <f t="shared" si="3941"/>
        <v>1.44</v>
      </c>
      <c r="EM692" s="14">
        <f t="shared" si="3941"/>
        <v>0.90666666666666662</v>
      </c>
      <c r="EN692" s="14">
        <f>EJ692/EK692/EG669</f>
        <v>1.36</v>
      </c>
      <c r="EO692" s="46" t="str">
        <f t="shared" si="3942"/>
        <v>Ç</v>
      </c>
      <c r="EP692" s="46" t="str">
        <f t="shared" si="3942"/>
        <v>È</v>
      </c>
      <c r="EQ692" s="2">
        <f t="shared" si="3943"/>
        <v>1</v>
      </c>
      <c r="ER692" s="2">
        <f t="shared" si="3944"/>
        <v>1</v>
      </c>
      <c r="ES692" s="2">
        <f t="shared" si="3945"/>
        <v>1</v>
      </c>
    </row>
    <row r="693" spans="1:150" ht="12.75" customHeight="1">
      <c r="A693" s="6" t="s">
        <v>23</v>
      </c>
      <c r="B693" s="2" t="s">
        <v>4</v>
      </c>
      <c r="C693" s="3" t="s">
        <v>62</v>
      </c>
      <c r="E693" s="3" t="s">
        <v>16</v>
      </c>
      <c r="G693" s="3" t="s">
        <v>91</v>
      </c>
      <c r="I693" s="23"/>
      <c r="J693" s="19">
        <v>1</v>
      </c>
      <c r="K693" s="19">
        <v>2</v>
      </c>
      <c r="L693" s="19">
        <v>3</v>
      </c>
      <c r="M693" s="19">
        <v>3</v>
      </c>
      <c r="N693" s="19">
        <v>3</v>
      </c>
      <c r="O693" s="19">
        <v>5</v>
      </c>
      <c r="P693" s="19">
        <v>7</v>
      </c>
      <c r="Q693" s="19">
        <v>12</v>
      </c>
      <c r="R693" s="19">
        <v>12</v>
      </c>
      <c r="S693" s="19">
        <v>14</v>
      </c>
      <c r="T693" s="19">
        <v>16</v>
      </c>
      <c r="U693" s="19">
        <v>23</v>
      </c>
      <c r="V693" s="31">
        <v>2</v>
      </c>
      <c r="W693" s="19">
        <v>5</v>
      </c>
      <c r="X693" s="19">
        <v>10</v>
      </c>
      <c r="Y693" s="376">
        <v>15</v>
      </c>
      <c r="Z693" s="19">
        <v>16</v>
      </c>
      <c r="AA693" s="19">
        <v>19</v>
      </c>
      <c r="AB693" s="19">
        <v>21</v>
      </c>
      <c r="AC693" s="19">
        <v>24</v>
      </c>
      <c r="AD693" s="19">
        <v>27</v>
      </c>
      <c r="AE693" s="19">
        <v>28</v>
      </c>
      <c r="AF693" s="19">
        <v>31</v>
      </c>
      <c r="AG693" s="19">
        <v>31</v>
      </c>
      <c r="AH693" s="31">
        <v>1</v>
      </c>
      <c r="AI693" s="19">
        <v>4</v>
      </c>
      <c r="AJ693" s="19"/>
      <c r="AK693" s="408"/>
      <c r="AL693" s="19">
        <f t="shared" si="3973"/>
        <v>1</v>
      </c>
      <c r="AM693" s="19">
        <f>K693-J693</f>
        <v>1</v>
      </c>
      <c r="AN693" s="19">
        <f t="shared" si="3914"/>
        <v>1</v>
      </c>
      <c r="AO693" s="19">
        <f>M693-L693</f>
        <v>0</v>
      </c>
      <c r="AP693" s="129">
        <f t="shared" si="3915"/>
        <v>0</v>
      </c>
      <c r="AQ693" s="129">
        <f t="shared" si="3916"/>
        <v>2</v>
      </c>
      <c r="AR693" s="129">
        <f t="shared" si="3917"/>
        <v>2</v>
      </c>
      <c r="AS693" s="129">
        <f t="shared" si="3918"/>
        <v>5</v>
      </c>
      <c r="AT693" s="129">
        <f t="shared" si="3919"/>
        <v>0</v>
      </c>
      <c r="AU693" s="129">
        <f t="shared" si="3920"/>
        <v>2</v>
      </c>
      <c r="AV693" s="129">
        <f t="shared" si="3921"/>
        <v>2</v>
      </c>
      <c r="AW693" s="129">
        <f t="shared" si="3922"/>
        <v>7</v>
      </c>
      <c r="AX693" s="19">
        <f t="shared" si="3974"/>
        <v>2</v>
      </c>
      <c r="AY693" s="129">
        <f t="shared" si="3923"/>
        <v>3</v>
      </c>
      <c r="AZ693" s="129">
        <f t="shared" si="3924"/>
        <v>5</v>
      </c>
      <c r="BA693" s="129">
        <f t="shared" si="3975"/>
        <v>5</v>
      </c>
      <c r="BB693" s="129">
        <f t="shared" si="3925"/>
        <v>1</v>
      </c>
      <c r="BC693" s="129">
        <f t="shared" si="3926"/>
        <v>3</v>
      </c>
      <c r="BD693" s="129">
        <f t="shared" si="3927"/>
        <v>2</v>
      </c>
      <c r="BE693" s="129">
        <f t="shared" si="3928"/>
        <v>3</v>
      </c>
      <c r="BF693" s="129">
        <f t="shared" si="3929"/>
        <v>3</v>
      </c>
      <c r="BG693" s="129">
        <f t="shared" si="3930"/>
        <v>1</v>
      </c>
      <c r="BH693" s="129">
        <f t="shared" si="3931"/>
        <v>3</v>
      </c>
      <c r="BI693" s="129">
        <f t="shared" si="3932"/>
        <v>0</v>
      </c>
      <c r="BJ693" s="19">
        <f t="shared" si="3976"/>
        <v>1</v>
      </c>
      <c r="BK693" s="129">
        <f t="shared" si="3933"/>
        <v>3</v>
      </c>
      <c r="BL693" s="129">
        <f t="shared" si="3934"/>
        <v>0</v>
      </c>
      <c r="BM693" s="408"/>
      <c r="BN693" s="48">
        <f t="shared" si="3946"/>
        <v>3</v>
      </c>
      <c r="BO693" s="48">
        <f t="shared" si="3947"/>
        <v>3</v>
      </c>
      <c r="BP693" s="48">
        <f t="shared" si="3948"/>
        <v>3</v>
      </c>
      <c r="BQ693" s="48">
        <f t="shared" si="3949"/>
        <v>2</v>
      </c>
      <c r="BR693" s="48">
        <f t="shared" si="3950"/>
        <v>2</v>
      </c>
      <c r="BS693" s="48">
        <f t="shared" si="3951"/>
        <v>2</v>
      </c>
      <c r="BT693" s="48">
        <f t="shared" si="3952"/>
        <v>7</v>
      </c>
      <c r="BU693" s="48">
        <f t="shared" si="3953"/>
        <v>7</v>
      </c>
      <c r="BV693" s="48">
        <f t="shared" si="3954"/>
        <v>7</v>
      </c>
      <c r="BW693" s="48">
        <f t="shared" si="3955"/>
        <v>11</v>
      </c>
      <c r="BX693" s="48">
        <f t="shared" si="3956"/>
        <v>11</v>
      </c>
      <c r="BY693" s="48">
        <f t="shared" si="3957"/>
        <v>11</v>
      </c>
      <c r="BZ693" s="48">
        <f t="shared" si="3958"/>
        <v>10</v>
      </c>
      <c r="CA693" s="48">
        <f t="shared" si="3959"/>
        <v>10</v>
      </c>
      <c r="CB693" s="48">
        <f t="shared" si="3960"/>
        <v>10</v>
      </c>
      <c r="CC693" s="48">
        <f t="shared" si="3961"/>
        <v>9</v>
      </c>
      <c r="CD693" s="48">
        <f t="shared" si="3962"/>
        <v>9</v>
      </c>
      <c r="CE693" s="48">
        <f t="shared" si="3963"/>
        <v>9</v>
      </c>
      <c r="CF693" s="48">
        <f t="shared" si="3964"/>
        <v>8</v>
      </c>
      <c r="CG693" s="48">
        <f t="shared" si="3965"/>
        <v>8</v>
      </c>
      <c r="CH693" s="48">
        <f t="shared" si="3966"/>
        <v>8</v>
      </c>
      <c r="CI693" s="48">
        <f t="shared" si="3967"/>
        <v>4</v>
      </c>
      <c r="CJ693" s="48">
        <f t="shared" si="3968"/>
        <v>4</v>
      </c>
      <c r="CK693" s="48">
        <f t="shared" si="3969"/>
        <v>4</v>
      </c>
      <c r="CL693" s="48">
        <f t="shared" si="3970"/>
        <v>4</v>
      </c>
      <c r="CM693" s="48">
        <f t="shared" si="3971"/>
        <v>4</v>
      </c>
      <c r="CN693" s="48">
        <f t="shared" si="3972"/>
        <v>4</v>
      </c>
      <c r="CO693" s="406"/>
      <c r="CP693" s="21">
        <f>+AL693</f>
        <v>1</v>
      </c>
      <c r="CQ693" s="21">
        <f t="shared" ref="CQ693:CR695" si="3979">+CP693+AM693</f>
        <v>2</v>
      </c>
      <c r="CR693" s="21">
        <f t="shared" si="3979"/>
        <v>3</v>
      </c>
      <c r="CS693" s="21">
        <f t="shared" ref="CS693:DA695" si="3980">L693+AO693</f>
        <v>3</v>
      </c>
      <c r="CT693" s="21">
        <f t="shared" si="3980"/>
        <v>3</v>
      </c>
      <c r="CU693" s="21">
        <f t="shared" si="3980"/>
        <v>5</v>
      </c>
      <c r="CV693" s="21">
        <f t="shared" si="3980"/>
        <v>7</v>
      </c>
      <c r="CW693" s="21">
        <f t="shared" si="3980"/>
        <v>12</v>
      </c>
      <c r="CX693" s="21">
        <f t="shared" si="3980"/>
        <v>12</v>
      </c>
      <c r="CY693" s="21">
        <f t="shared" si="3980"/>
        <v>14</v>
      </c>
      <c r="CZ693" s="21">
        <f t="shared" si="3980"/>
        <v>16</v>
      </c>
      <c r="DA693" s="21">
        <f t="shared" si="3980"/>
        <v>23</v>
      </c>
      <c r="DB693" s="21">
        <f>AX693</f>
        <v>2</v>
      </c>
      <c r="DC693" s="21">
        <f t="shared" ref="DC693:DM695" si="3981">V693+AY693</f>
        <v>5</v>
      </c>
      <c r="DD693" s="21">
        <f t="shared" si="3981"/>
        <v>10</v>
      </c>
      <c r="DE693" s="21">
        <f t="shared" si="3981"/>
        <v>15</v>
      </c>
      <c r="DF693" s="21">
        <f t="shared" si="3981"/>
        <v>16</v>
      </c>
      <c r="DG693" s="21">
        <f t="shared" si="3981"/>
        <v>19</v>
      </c>
      <c r="DH693" s="21">
        <f t="shared" si="3981"/>
        <v>21</v>
      </c>
      <c r="DI693" s="21">
        <f t="shared" si="3981"/>
        <v>24</v>
      </c>
      <c r="DJ693" s="21">
        <f t="shared" si="3981"/>
        <v>27</v>
      </c>
      <c r="DK693" s="21">
        <f t="shared" si="3981"/>
        <v>28</v>
      </c>
      <c r="DL693" s="21">
        <f t="shared" si="3981"/>
        <v>31</v>
      </c>
      <c r="DM693" s="21">
        <f t="shared" si="3981"/>
        <v>31</v>
      </c>
      <c r="DN693" s="21">
        <f>BJ693</f>
        <v>1</v>
      </c>
      <c r="DO693" s="21">
        <f t="shared" ref="DO693:DP695" si="3982">AH693+BK693</f>
        <v>4</v>
      </c>
      <c r="DP693" s="21">
        <f t="shared" si="3982"/>
        <v>4</v>
      </c>
      <c r="DQ693" s="248"/>
      <c r="DR693" s="248"/>
      <c r="DS693" s="248"/>
      <c r="DT693" s="248"/>
      <c r="DU693" s="248"/>
      <c r="DV693" s="248"/>
      <c r="DW693" s="248"/>
      <c r="DX693" s="248"/>
      <c r="DY693" s="248"/>
      <c r="ED693" s="429"/>
      <c r="EE693" s="23"/>
      <c r="EF693" s="23"/>
      <c r="EG693" s="23"/>
      <c r="EH693" s="18">
        <f t="shared" si="3938"/>
        <v>3</v>
      </c>
      <c r="EI693" s="18">
        <f t="shared" si="3939"/>
        <v>4</v>
      </c>
      <c r="EJ693" s="18">
        <f t="shared" si="3940"/>
        <v>4</v>
      </c>
      <c r="EK693" s="24">
        <f t="shared" ref="EK693:EK709" si="3983">$EK$2/12</f>
        <v>0.16666666666666666</v>
      </c>
      <c r="EL693" s="14">
        <f t="shared" si="3941"/>
        <v>1.8947368421052633</v>
      </c>
      <c r="EM693" s="14">
        <f t="shared" si="3941"/>
        <v>0.84210526315789469</v>
      </c>
      <c r="EN693" s="14">
        <f>EJ693/EK693/EG670</f>
        <v>1.263157894736842</v>
      </c>
      <c r="EO693" s="46" t="str">
        <f t="shared" si="3942"/>
        <v>Ç</v>
      </c>
      <c r="EP693" s="46" t="str">
        <f t="shared" si="3942"/>
        <v>È</v>
      </c>
      <c r="EQ693" s="2">
        <f t="shared" si="3943"/>
        <v>1</v>
      </c>
      <c r="ER693" s="2">
        <f t="shared" si="3944"/>
        <v>2</v>
      </c>
      <c r="ES693" s="2">
        <f t="shared" si="3945"/>
        <v>1</v>
      </c>
    </row>
    <row r="694" spans="1:150" ht="12.75" customHeight="1">
      <c r="A694" s="6" t="s">
        <v>23</v>
      </c>
      <c r="B694" s="2" t="s">
        <v>162</v>
      </c>
      <c r="C694" s="3" t="s">
        <v>62</v>
      </c>
      <c r="E694" s="3" t="s">
        <v>16</v>
      </c>
      <c r="G694" s="3" t="s">
        <v>91</v>
      </c>
      <c r="I694" s="23"/>
      <c r="J694" s="19">
        <v>8</v>
      </c>
      <c r="K694" s="19">
        <v>12</v>
      </c>
      <c r="L694" s="19">
        <v>22</v>
      </c>
      <c r="M694" s="19">
        <v>24</v>
      </c>
      <c r="N694" s="19">
        <v>29</v>
      </c>
      <c r="O694" s="19">
        <v>34</v>
      </c>
      <c r="P694" s="19">
        <v>37</v>
      </c>
      <c r="Q694" s="19">
        <v>55</v>
      </c>
      <c r="R694" s="19">
        <v>63</v>
      </c>
      <c r="S694" s="19">
        <v>78</v>
      </c>
      <c r="T694" s="19">
        <v>83</v>
      </c>
      <c r="U694" s="19">
        <v>98</v>
      </c>
      <c r="V694" s="31">
        <v>17</v>
      </c>
      <c r="W694" s="19">
        <v>30</v>
      </c>
      <c r="X694" s="19">
        <v>46</v>
      </c>
      <c r="Y694" s="376">
        <v>59</v>
      </c>
      <c r="Z694" s="19">
        <v>70</v>
      </c>
      <c r="AA694" s="19">
        <v>83</v>
      </c>
      <c r="AB694" s="19">
        <v>89</v>
      </c>
      <c r="AC694" s="19">
        <v>105</v>
      </c>
      <c r="AD694" s="19">
        <v>114</v>
      </c>
      <c r="AE694" s="19">
        <v>121</v>
      </c>
      <c r="AF694" s="19">
        <v>130</v>
      </c>
      <c r="AG694" s="19">
        <v>136</v>
      </c>
      <c r="AH694" s="31">
        <v>8</v>
      </c>
      <c r="AI694" s="19">
        <v>20</v>
      </c>
      <c r="AJ694" s="19"/>
      <c r="AK694" s="408"/>
      <c r="AL694" s="19">
        <f t="shared" si="3973"/>
        <v>8</v>
      </c>
      <c r="AM694" s="19">
        <f>K694-J694</f>
        <v>4</v>
      </c>
      <c r="AN694" s="19">
        <f t="shared" si="3914"/>
        <v>10</v>
      </c>
      <c r="AO694" s="19">
        <f>M694-L694</f>
        <v>2</v>
      </c>
      <c r="AP694" s="129">
        <f t="shared" si="3915"/>
        <v>5</v>
      </c>
      <c r="AQ694" s="129">
        <f t="shared" si="3916"/>
        <v>5</v>
      </c>
      <c r="AR694" s="129">
        <f t="shared" si="3917"/>
        <v>3</v>
      </c>
      <c r="AS694" s="129">
        <f t="shared" si="3918"/>
        <v>18</v>
      </c>
      <c r="AT694" s="129">
        <f t="shared" si="3919"/>
        <v>8</v>
      </c>
      <c r="AU694" s="129">
        <f t="shared" si="3920"/>
        <v>15</v>
      </c>
      <c r="AV694" s="129">
        <f t="shared" si="3921"/>
        <v>5</v>
      </c>
      <c r="AW694" s="129">
        <f t="shared" si="3922"/>
        <v>15</v>
      </c>
      <c r="AX694" s="19">
        <f t="shared" si="3974"/>
        <v>17</v>
      </c>
      <c r="AY694" s="129">
        <f t="shared" si="3923"/>
        <v>13</v>
      </c>
      <c r="AZ694" s="129">
        <f t="shared" si="3924"/>
        <v>16</v>
      </c>
      <c r="BA694" s="129">
        <f t="shared" si="3975"/>
        <v>13</v>
      </c>
      <c r="BB694" s="129">
        <f t="shared" si="3925"/>
        <v>11</v>
      </c>
      <c r="BC694" s="129">
        <f t="shared" si="3926"/>
        <v>13</v>
      </c>
      <c r="BD694" s="129">
        <f t="shared" si="3927"/>
        <v>6</v>
      </c>
      <c r="BE694" s="129">
        <f t="shared" si="3928"/>
        <v>16</v>
      </c>
      <c r="BF694" s="129">
        <f t="shared" si="3929"/>
        <v>9</v>
      </c>
      <c r="BG694" s="129">
        <f t="shared" si="3930"/>
        <v>7</v>
      </c>
      <c r="BH694" s="129">
        <f t="shared" si="3931"/>
        <v>9</v>
      </c>
      <c r="BI694" s="129">
        <f t="shared" si="3932"/>
        <v>6</v>
      </c>
      <c r="BJ694" s="19">
        <f t="shared" si="3976"/>
        <v>8</v>
      </c>
      <c r="BK694" s="129">
        <f t="shared" si="3933"/>
        <v>12</v>
      </c>
      <c r="BL694" s="129">
        <f t="shared" si="3934"/>
        <v>0</v>
      </c>
      <c r="BM694" s="408"/>
      <c r="BN694" s="48">
        <f t="shared" si="3946"/>
        <v>22</v>
      </c>
      <c r="BO694" s="48">
        <f t="shared" si="3947"/>
        <v>22</v>
      </c>
      <c r="BP694" s="48">
        <f>SUM(AL694:AN694)</f>
        <v>22</v>
      </c>
      <c r="BQ694" s="48">
        <f t="shared" si="3949"/>
        <v>12</v>
      </c>
      <c r="BR694" s="48">
        <f t="shared" si="3950"/>
        <v>12</v>
      </c>
      <c r="BS694" s="48">
        <f>SUM(AO694:AQ694)</f>
        <v>12</v>
      </c>
      <c r="BT694" s="48">
        <f t="shared" si="3952"/>
        <v>29</v>
      </c>
      <c r="BU694" s="48">
        <f t="shared" si="3953"/>
        <v>29</v>
      </c>
      <c r="BV694" s="48">
        <f>SUM(AR694:AT694)</f>
        <v>29</v>
      </c>
      <c r="BW694" s="48">
        <f t="shared" si="3955"/>
        <v>35</v>
      </c>
      <c r="BX694" s="48">
        <f t="shared" si="3956"/>
        <v>35</v>
      </c>
      <c r="BY694" s="48">
        <f>SUM(AU694:AW694)</f>
        <v>35</v>
      </c>
      <c r="BZ694" s="48">
        <f t="shared" si="3958"/>
        <v>46</v>
      </c>
      <c r="CA694" s="48">
        <f t="shared" si="3959"/>
        <v>46</v>
      </c>
      <c r="CB694" s="48">
        <f>SUM(AX694:AZ694)</f>
        <v>46</v>
      </c>
      <c r="CC694" s="48">
        <f t="shared" si="3961"/>
        <v>37</v>
      </c>
      <c r="CD694" s="48">
        <f t="shared" si="3962"/>
        <v>37</v>
      </c>
      <c r="CE694" s="48">
        <f>SUM(BA694:BC694)</f>
        <v>37</v>
      </c>
      <c r="CF694" s="48">
        <f t="shared" si="3964"/>
        <v>31</v>
      </c>
      <c r="CG694" s="48">
        <f t="shared" si="3965"/>
        <v>31</v>
      </c>
      <c r="CH694" s="48">
        <f>SUM(BD694:BF694)</f>
        <v>31</v>
      </c>
      <c r="CI694" s="48">
        <f t="shared" si="3967"/>
        <v>22</v>
      </c>
      <c r="CJ694" s="48">
        <f t="shared" si="3968"/>
        <v>22</v>
      </c>
      <c r="CK694" s="48">
        <f>SUM(BG694:BI694)</f>
        <v>22</v>
      </c>
      <c r="CL694" s="48">
        <f t="shared" si="3970"/>
        <v>20</v>
      </c>
      <c r="CM694" s="48">
        <f t="shared" si="3971"/>
        <v>20</v>
      </c>
      <c r="CN694" s="48">
        <f>SUM(BJ694:BL694)</f>
        <v>20</v>
      </c>
      <c r="CO694" s="406"/>
      <c r="CP694" s="21">
        <f>+AL694</f>
        <v>8</v>
      </c>
      <c r="CQ694" s="21">
        <f t="shared" si="3979"/>
        <v>12</v>
      </c>
      <c r="CR694" s="21">
        <f t="shared" si="3979"/>
        <v>22</v>
      </c>
      <c r="CS694" s="21">
        <f t="shared" si="3980"/>
        <v>24</v>
      </c>
      <c r="CT694" s="21">
        <f t="shared" si="3980"/>
        <v>29</v>
      </c>
      <c r="CU694" s="21">
        <f t="shared" si="3980"/>
        <v>34</v>
      </c>
      <c r="CV694" s="21">
        <f t="shared" si="3980"/>
        <v>37</v>
      </c>
      <c r="CW694" s="21">
        <f t="shared" si="3980"/>
        <v>55</v>
      </c>
      <c r="CX694" s="21">
        <f t="shared" si="3980"/>
        <v>63</v>
      </c>
      <c r="CY694" s="21">
        <f t="shared" si="3980"/>
        <v>78</v>
      </c>
      <c r="CZ694" s="21">
        <f t="shared" si="3980"/>
        <v>83</v>
      </c>
      <c r="DA694" s="21">
        <f t="shared" si="3980"/>
        <v>98</v>
      </c>
      <c r="DB694" s="21">
        <f>AX694</f>
        <v>17</v>
      </c>
      <c r="DC694" s="21">
        <f t="shared" si="3981"/>
        <v>30</v>
      </c>
      <c r="DD694" s="21">
        <f t="shared" si="3981"/>
        <v>46</v>
      </c>
      <c r="DE694" s="21">
        <f t="shared" si="3981"/>
        <v>59</v>
      </c>
      <c r="DF694" s="21">
        <f t="shared" si="3981"/>
        <v>70</v>
      </c>
      <c r="DG694" s="21">
        <f t="shared" si="3981"/>
        <v>83</v>
      </c>
      <c r="DH694" s="21">
        <f t="shared" si="3981"/>
        <v>89</v>
      </c>
      <c r="DI694" s="21">
        <f t="shared" si="3981"/>
        <v>105</v>
      </c>
      <c r="DJ694" s="21">
        <f t="shared" si="3981"/>
        <v>114</v>
      </c>
      <c r="DK694" s="21">
        <f t="shared" si="3981"/>
        <v>121</v>
      </c>
      <c r="DL694" s="21">
        <f t="shared" si="3981"/>
        <v>130</v>
      </c>
      <c r="DM694" s="21">
        <f t="shared" si="3981"/>
        <v>136</v>
      </c>
      <c r="DN694" s="21">
        <f>BJ694</f>
        <v>8</v>
      </c>
      <c r="DO694" s="21">
        <f t="shared" si="3982"/>
        <v>20</v>
      </c>
      <c r="DP694" s="21">
        <f t="shared" si="3982"/>
        <v>20</v>
      </c>
      <c r="DQ694" s="248"/>
      <c r="DR694" s="248"/>
      <c r="DS694" s="248"/>
      <c r="DT694" s="248"/>
      <c r="DU694" s="248"/>
      <c r="DV694" s="248"/>
      <c r="DW694" s="248"/>
      <c r="DX694" s="248"/>
      <c r="DY694" s="248"/>
      <c r="ED694" s="429"/>
      <c r="EE694" s="23"/>
      <c r="EF694" s="23"/>
      <c r="EG694" s="23"/>
      <c r="EH694" s="18">
        <f t="shared" si="3938"/>
        <v>12</v>
      </c>
      <c r="EI694" s="18">
        <f t="shared" si="3939"/>
        <v>20</v>
      </c>
      <c r="EJ694" s="18">
        <f t="shared" si="3940"/>
        <v>20</v>
      </c>
      <c r="EK694" s="24">
        <f t="shared" si="3983"/>
        <v>0.16666666666666666</v>
      </c>
      <c r="EL694" s="14"/>
      <c r="EM694" s="14"/>
      <c r="EN694" s="14"/>
      <c r="EO694" s="46" t="str">
        <f>IF(EH694&lt;0,,IF(EH694&lt;EE672,"È",IF(EH694=EE672,"Æ","Ç")))</f>
        <v>Ç</v>
      </c>
      <c r="EP694" s="46" t="str">
        <f>IF(EI694&lt;0,,IF(EI694&lt;EF672,"È",IF(EI694=EF672,"Æ","Ç")))</f>
        <v>Ç</v>
      </c>
      <c r="EQ694" s="2">
        <f t="shared" si="3943"/>
        <v>3</v>
      </c>
      <c r="ER694" s="2">
        <f t="shared" si="3944"/>
        <v>3</v>
      </c>
      <c r="ES694" s="2">
        <f t="shared" si="3945"/>
        <v>3</v>
      </c>
    </row>
    <row r="695" spans="1:150" ht="12.75" customHeight="1">
      <c r="A695" s="6" t="s">
        <v>23</v>
      </c>
      <c r="B695" s="2" t="s">
        <v>163</v>
      </c>
      <c r="C695" s="3" t="s">
        <v>62</v>
      </c>
      <c r="E695" s="3" t="s">
        <v>16</v>
      </c>
      <c r="G695" s="3" t="s">
        <v>91</v>
      </c>
      <c r="I695" s="23"/>
      <c r="J695" s="19">
        <v>1</v>
      </c>
      <c r="K695" s="19">
        <v>3</v>
      </c>
      <c r="L695" s="19">
        <v>4</v>
      </c>
      <c r="M695" s="19">
        <v>4</v>
      </c>
      <c r="N695" s="19">
        <v>5</v>
      </c>
      <c r="O695" s="19">
        <v>6</v>
      </c>
      <c r="P695" s="19">
        <v>6</v>
      </c>
      <c r="Q695" s="19">
        <v>7</v>
      </c>
      <c r="R695" s="19">
        <v>8</v>
      </c>
      <c r="S695" s="19">
        <v>11</v>
      </c>
      <c r="T695" s="19">
        <v>12</v>
      </c>
      <c r="U695" s="19">
        <v>12</v>
      </c>
      <c r="V695" s="31">
        <v>0</v>
      </c>
      <c r="W695" s="19">
        <v>1</v>
      </c>
      <c r="X695" s="19">
        <v>2</v>
      </c>
      <c r="Y695" s="376">
        <v>3</v>
      </c>
      <c r="Z695" s="19">
        <v>4</v>
      </c>
      <c r="AA695" s="19">
        <v>7</v>
      </c>
      <c r="AB695" s="19">
        <v>7</v>
      </c>
      <c r="AC695" s="19">
        <v>8</v>
      </c>
      <c r="AD695" s="19">
        <v>10</v>
      </c>
      <c r="AE695" s="19">
        <v>12</v>
      </c>
      <c r="AF695" s="19">
        <v>12</v>
      </c>
      <c r="AG695" s="19">
        <v>13</v>
      </c>
      <c r="AH695" s="31">
        <v>0</v>
      </c>
      <c r="AI695" s="19">
        <v>2</v>
      </c>
      <c r="AJ695" s="19"/>
      <c r="AK695" s="408"/>
      <c r="AL695" s="19">
        <f t="shared" si="3973"/>
        <v>1</v>
      </c>
      <c r="AM695" s="19">
        <f>K695-J695</f>
        <v>2</v>
      </c>
      <c r="AN695" s="19">
        <f t="shared" si="3914"/>
        <v>1</v>
      </c>
      <c r="AO695" s="19">
        <f>M695-L695</f>
        <v>0</v>
      </c>
      <c r="AP695" s="129">
        <f t="shared" si="3915"/>
        <v>1</v>
      </c>
      <c r="AQ695" s="129">
        <f t="shared" si="3916"/>
        <v>1</v>
      </c>
      <c r="AR695" s="129">
        <f t="shared" si="3917"/>
        <v>0</v>
      </c>
      <c r="AS695" s="129">
        <f t="shared" si="3918"/>
        <v>1</v>
      </c>
      <c r="AT695" s="129">
        <f t="shared" si="3919"/>
        <v>1</v>
      </c>
      <c r="AU695" s="129">
        <f t="shared" si="3920"/>
        <v>3</v>
      </c>
      <c r="AV695" s="129">
        <f t="shared" si="3921"/>
        <v>1</v>
      </c>
      <c r="AW695" s="129">
        <f t="shared" si="3922"/>
        <v>0</v>
      </c>
      <c r="AX695" s="19">
        <f t="shared" si="3974"/>
        <v>0</v>
      </c>
      <c r="AY695" s="129">
        <f t="shared" si="3923"/>
        <v>1</v>
      </c>
      <c r="AZ695" s="129">
        <f t="shared" si="3924"/>
        <v>1</v>
      </c>
      <c r="BA695" s="129">
        <f t="shared" si="3975"/>
        <v>1</v>
      </c>
      <c r="BB695" s="129">
        <f t="shared" si="3925"/>
        <v>1</v>
      </c>
      <c r="BC695" s="129">
        <f t="shared" si="3926"/>
        <v>3</v>
      </c>
      <c r="BD695" s="129">
        <f t="shared" si="3927"/>
        <v>0</v>
      </c>
      <c r="BE695" s="129">
        <f t="shared" si="3928"/>
        <v>1</v>
      </c>
      <c r="BF695" s="129">
        <f t="shared" si="3929"/>
        <v>2</v>
      </c>
      <c r="BG695" s="129">
        <f t="shared" si="3930"/>
        <v>2</v>
      </c>
      <c r="BH695" s="129">
        <f t="shared" si="3931"/>
        <v>0</v>
      </c>
      <c r="BI695" s="129">
        <f t="shared" si="3932"/>
        <v>1</v>
      </c>
      <c r="BJ695" s="19">
        <f t="shared" si="3976"/>
        <v>0</v>
      </c>
      <c r="BK695" s="129">
        <f t="shared" si="3933"/>
        <v>2</v>
      </c>
      <c r="BL695" s="129">
        <f t="shared" si="3934"/>
        <v>0</v>
      </c>
      <c r="BM695" s="408"/>
      <c r="BN695" s="48">
        <f t="shared" si="3946"/>
        <v>4</v>
      </c>
      <c r="BO695" s="48">
        <f t="shared" si="3947"/>
        <v>4</v>
      </c>
      <c r="BP695" s="48">
        <f>SUM(AL695:AN695)</f>
        <v>4</v>
      </c>
      <c r="BQ695" s="48">
        <f t="shared" si="3949"/>
        <v>2</v>
      </c>
      <c r="BR695" s="48">
        <f t="shared" si="3950"/>
        <v>2</v>
      </c>
      <c r="BS695" s="48">
        <f>SUM(AO695:AQ695)</f>
        <v>2</v>
      </c>
      <c r="BT695" s="48">
        <f t="shared" si="3952"/>
        <v>2</v>
      </c>
      <c r="BU695" s="48">
        <f t="shared" si="3953"/>
        <v>2</v>
      </c>
      <c r="BV695" s="48">
        <f>SUM(AR695:AT695)</f>
        <v>2</v>
      </c>
      <c r="BW695" s="48">
        <f t="shared" si="3955"/>
        <v>4</v>
      </c>
      <c r="BX695" s="48">
        <f t="shared" si="3956"/>
        <v>4</v>
      </c>
      <c r="BY695" s="48">
        <f>SUM(AU695:AW695)</f>
        <v>4</v>
      </c>
      <c r="BZ695" s="48">
        <f t="shared" si="3958"/>
        <v>2</v>
      </c>
      <c r="CA695" s="48">
        <f t="shared" si="3959"/>
        <v>2</v>
      </c>
      <c r="CB695" s="48">
        <f>SUM(AX695:AZ695)</f>
        <v>2</v>
      </c>
      <c r="CC695" s="48">
        <f t="shared" si="3961"/>
        <v>5</v>
      </c>
      <c r="CD695" s="48">
        <f t="shared" si="3962"/>
        <v>5</v>
      </c>
      <c r="CE695" s="48">
        <f>SUM(BA695:BC695)</f>
        <v>5</v>
      </c>
      <c r="CF695" s="48">
        <f t="shared" si="3964"/>
        <v>3</v>
      </c>
      <c r="CG695" s="48">
        <f t="shared" si="3965"/>
        <v>3</v>
      </c>
      <c r="CH695" s="48">
        <f>SUM(BD695:BF695)</f>
        <v>3</v>
      </c>
      <c r="CI695" s="48">
        <f t="shared" si="3967"/>
        <v>3</v>
      </c>
      <c r="CJ695" s="48">
        <f t="shared" si="3968"/>
        <v>3</v>
      </c>
      <c r="CK695" s="48">
        <f>SUM(BG695:BI695)</f>
        <v>3</v>
      </c>
      <c r="CL695" s="48">
        <f t="shared" si="3970"/>
        <v>2</v>
      </c>
      <c r="CM695" s="48">
        <f t="shared" si="3971"/>
        <v>2</v>
      </c>
      <c r="CN695" s="48">
        <f>SUM(BJ695:BL695)</f>
        <v>2</v>
      </c>
      <c r="CO695" s="406"/>
      <c r="CP695" s="21">
        <f>+AL695</f>
        <v>1</v>
      </c>
      <c r="CQ695" s="21">
        <f t="shared" si="3979"/>
        <v>3</v>
      </c>
      <c r="CR695" s="21">
        <f t="shared" si="3979"/>
        <v>4</v>
      </c>
      <c r="CS695" s="21">
        <f t="shared" si="3980"/>
        <v>4</v>
      </c>
      <c r="CT695" s="21">
        <f t="shared" si="3980"/>
        <v>5</v>
      </c>
      <c r="CU695" s="21">
        <f t="shared" si="3980"/>
        <v>6</v>
      </c>
      <c r="CV695" s="21">
        <f t="shared" si="3980"/>
        <v>6</v>
      </c>
      <c r="CW695" s="21">
        <f t="shared" si="3980"/>
        <v>7</v>
      </c>
      <c r="CX695" s="21">
        <f t="shared" si="3980"/>
        <v>8</v>
      </c>
      <c r="CY695" s="21">
        <f t="shared" si="3980"/>
        <v>11</v>
      </c>
      <c r="CZ695" s="21">
        <f t="shared" si="3980"/>
        <v>12</v>
      </c>
      <c r="DA695" s="21">
        <f t="shared" si="3980"/>
        <v>12</v>
      </c>
      <c r="DB695" s="21">
        <f>AX695</f>
        <v>0</v>
      </c>
      <c r="DC695" s="21">
        <f t="shared" si="3981"/>
        <v>1</v>
      </c>
      <c r="DD695" s="21">
        <f t="shared" si="3981"/>
        <v>2</v>
      </c>
      <c r="DE695" s="21">
        <f t="shared" si="3981"/>
        <v>3</v>
      </c>
      <c r="DF695" s="21">
        <f t="shared" si="3981"/>
        <v>4</v>
      </c>
      <c r="DG695" s="21">
        <f t="shared" si="3981"/>
        <v>7</v>
      </c>
      <c r="DH695" s="21">
        <f t="shared" si="3981"/>
        <v>7</v>
      </c>
      <c r="DI695" s="21">
        <f t="shared" si="3981"/>
        <v>8</v>
      </c>
      <c r="DJ695" s="21">
        <f t="shared" si="3981"/>
        <v>10</v>
      </c>
      <c r="DK695" s="21">
        <f t="shared" si="3981"/>
        <v>12</v>
      </c>
      <c r="DL695" s="21">
        <f t="shared" si="3981"/>
        <v>12</v>
      </c>
      <c r="DM695" s="21">
        <f t="shared" si="3981"/>
        <v>13</v>
      </c>
      <c r="DN695" s="21">
        <f>BJ695</f>
        <v>0</v>
      </c>
      <c r="DO695" s="21">
        <f t="shared" si="3982"/>
        <v>2</v>
      </c>
      <c r="DP695" s="21">
        <f t="shared" si="3982"/>
        <v>2</v>
      </c>
      <c r="DQ695" s="248"/>
      <c r="DR695" s="248"/>
      <c r="DS695" s="248"/>
      <c r="DT695" s="248"/>
      <c r="DU695" s="248"/>
      <c r="DV695" s="248"/>
      <c r="DW695" s="248"/>
      <c r="DX695" s="248"/>
      <c r="DY695" s="248"/>
      <c r="ED695" s="429"/>
      <c r="EE695" s="23"/>
      <c r="EF695" s="23"/>
      <c r="EG695" s="23"/>
      <c r="EH695" s="18">
        <f t="shared" si="3938"/>
        <v>2</v>
      </c>
      <c r="EI695" s="18">
        <f t="shared" si="3939"/>
        <v>2</v>
      </c>
      <c r="EJ695" s="18">
        <f t="shared" si="3940"/>
        <v>2</v>
      </c>
      <c r="EK695" s="24">
        <f t="shared" si="3983"/>
        <v>0.16666666666666666</v>
      </c>
      <c r="EL695" s="14"/>
      <c r="EM695" s="14"/>
      <c r="EN695" s="14"/>
      <c r="EO695" s="46" t="str">
        <f>IF(EH695&lt;0,,IF(EH695&lt;EE671,"È",IF(EH695=EE671,"Æ","Ç")))</f>
        <v>Ç</v>
      </c>
      <c r="EP695" s="46" t="str">
        <f>IF(EI695&lt;0,,IF(EI695&lt;EF671,"È",IF(EI695=EF671,"Æ","Ç")))</f>
        <v>Ç</v>
      </c>
      <c r="EQ695" s="2">
        <f t="shared" si="3943"/>
        <v>3</v>
      </c>
      <c r="ER695" s="2">
        <f t="shared" si="3944"/>
        <v>3</v>
      </c>
      <c r="ES695" s="2">
        <f t="shared" si="3945"/>
        <v>3</v>
      </c>
    </row>
    <row r="696" spans="1:150" ht="12.75" customHeight="1">
      <c r="A696" s="6" t="s">
        <v>23</v>
      </c>
      <c r="B696" s="2" t="s">
        <v>6</v>
      </c>
      <c r="C696" s="3" t="s">
        <v>63</v>
      </c>
      <c r="E696" s="3" t="s">
        <v>16</v>
      </c>
      <c r="G696" s="3" t="s">
        <v>89</v>
      </c>
      <c r="I696" s="23"/>
      <c r="J696" s="19">
        <v>2</v>
      </c>
      <c r="K696" s="19">
        <v>2</v>
      </c>
      <c r="L696" s="19">
        <v>1</v>
      </c>
      <c r="M696" s="19">
        <v>0</v>
      </c>
      <c r="N696" s="19">
        <v>0</v>
      </c>
      <c r="O696" s="19">
        <v>0</v>
      </c>
      <c r="P696" s="19">
        <v>1</v>
      </c>
      <c r="Q696" s="19">
        <v>1</v>
      </c>
      <c r="R696" s="19">
        <v>5</v>
      </c>
      <c r="S696" s="19">
        <v>1E-3</v>
      </c>
      <c r="T696" s="19">
        <v>2</v>
      </c>
      <c r="U696" s="19">
        <v>1</v>
      </c>
      <c r="V696" s="31">
        <v>4</v>
      </c>
      <c r="W696" s="19">
        <v>3</v>
      </c>
      <c r="X696" s="19">
        <v>0</v>
      </c>
      <c r="Y696" s="376">
        <v>1</v>
      </c>
      <c r="Z696" s="19">
        <v>1</v>
      </c>
      <c r="AA696" s="19">
        <v>1</v>
      </c>
      <c r="AB696" s="263">
        <v>1E-4</v>
      </c>
      <c r="AC696" s="19">
        <v>0</v>
      </c>
      <c r="AD696" s="19">
        <v>0</v>
      </c>
      <c r="AE696" s="19">
        <v>0</v>
      </c>
      <c r="AF696" s="19">
        <v>2</v>
      </c>
      <c r="AG696" s="19">
        <v>1</v>
      </c>
      <c r="AH696" s="31">
        <v>0</v>
      </c>
      <c r="AI696" s="19">
        <v>2</v>
      </c>
      <c r="AJ696" s="19"/>
      <c r="AK696" s="408"/>
      <c r="AL696" s="19">
        <f t="shared" si="3973"/>
        <v>2</v>
      </c>
      <c r="AM696" s="246">
        <f t="shared" ref="AM696:AV696" si="3984">K696</f>
        <v>2</v>
      </c>
      <c r="AN696" s="246">
        <f t="shared" si="3984"/>
        <v>1</v>
      </c>
      <c r="AO696" s="246">
        <f t="shared" si="3984"/>
        <v>0</v>
      </c>
      <c r="AP696" s="246">
        <f t="shared" si="3984"/>
        <v>0</v>
      </c>
      <c r="AQ696" s="246">
        <f t="shared" si="3984"/>
        <v>0</v>
      </c>
      <c r="AR696" s="246">
        <f t="shared" si="3984"/>
        <v>1</v>
      </c>
      <c r="AS696" s="246">
        <f t="shared" si="3984"/>
        <v>1</v>
      </c>
      <c r="AT696" s="246">
        <f t="shared" si="3984"/>
        <v>5</v>
      </c>
      <c r="AU696" s="246">
        <f t="shared" si="3984"/>
        <v>1E-3</v>
      </c>
      <c r="AV696" s="246">
        <f t="shared" si="3984"/>
        <v>2</v>
      </c>
      <c r="AW696" s="376">
        <f>U696</f>
        <v>1</v>
      </c>
      <c r="AX696" s="376">
        <f t="shared" si="3974"/>
        <v>4</v>
      </c>
      <c r="AY696" s="376">
        <f t="shared" ref="AY696:BI696" si="3985">W696</f>
        <v>3</v>
      </c>
      <c r="AZ696" s="376">
        <f t="shared" si="3985"/>
        <v>0</v>
      </c>
      <c r="BA696" s="376">
        <f t="shared" si="3985"/>
        <v>1</v>
      </c>
      <c r="BB696" s="376">
        <f t="shared" si="3985"/>
        <v>1</v>
      </c>
      <c r="BC696" s="376">
        <f t="shared" si="3985"/>
        <v>1</v>
      </c>
      <c r="BD696" s="376">
        <f t="shared" si="3985"/>
        <v>1E-4</v>
      </c>
      <c r="BE696" s="376">
        <f t="shared" si="3985"/>
        <v>0</v>
      </c>
      <c r="BF696" s="376">
        <f t="shared" si="3985"/>
        <v>0</v>
      </c>
      <c r="BG696" s="376">
        <f t="shared" si="3985"/>
        <v>0</v>
      </c>
      <c r="BH696" s="376">
        <f t="shared" si="3985"/>
        <v>2</v>
      </c>
      <c r="BI696" s="376">
        <f t="shared" si="3985"/>
        <v>1</v>
      </c>
      <c r="BJ696" s="376">
        <f t="shared" si="3976"/>
        <v>0</v>
      </c>
      <c r="BK696" s="376">
        <f>AI696</f>
        <v>2</v>
      </c>
      <c r="BL696" s="376">
        <f>AJ696</f>
        <v>0</v>
      </c>
      <c r="BM696" s="408"/>
      <c r="BN696" s="48">
        <f t="shared" si="3946"/>
        <v>5</v>
      </c>
      <c r="BO696" s="48">
        <f t="shared" si="3947"/>
        <v>5</v>
      </c>
      <c r="BP696" s="48">
        <f>SUM(AL696:AN696)</f>
        <v>5</v>
      </c>
      <c r="BQ696" s="48">
        <f t="shared" si="3949"/>
        <v>0</v>
      </c>
      <c r="BR696" s="48">
        <f t="shared" si="3950"/>
        <v>0</v>
      </c>
      <c r="BS696" s="48">
        <f>SUM(AO696:AQ696)</f>
        <v>0</v>
      </c>
      <c r="BT696" s="48">
        <f t="shared" si="3952"/>
        <v>7</v>
      </c>
      <c r="BU696" s="48">
        <f t="shared" si="3953"/>
        <v>7</v>
      </c>
      <c r="BV696" s="48">
        <f>SUM(AR696:AT696)</f>
        <v>7</v>
      </c>
      <c r="BW696" s="48">
        <f t="shared" si="3955"/>
        <v>3.0009999999999999</v>
      </c>
      <c r="BX696" s="48">
        <f t="shared" si="3956"/>
        <v>3.0009999999999999</v>
      </c>
      <c r="BY696" s="48">
        <f>SUM(AU696:AW696)</f>
        <v>3.0009999999999999</v>
      </c>
      <c r="BZ696" s="48">
        <f t="shared" si="3958"/>
        <v>7</v>
      </c>
      <c r="CA696" s="48">
        <f t="shared" si="3959"/>
        <v>7</v>
      </c>
      <c r="CB696" s="48">
        <f>SUM(AX696:AZ696)</f>
        <v>7</v>
      </c>
      <c r="CC696" s="48">
        <f t="shared" si="3961"/>
        <v>3</v>
      </c>
      <c r="CD696" s="48">
        <f t="shared" si="3962"/>
        <v>3</v>
      </c>
      <c r="CE696" s="48">
        <f>SUM(BA696:BC696)</f>
        <v>3</v>
      </c>
      <c r="CF696" s="48">
        <f t="shared" si="3964"/>
        <v>1E-4</v>
      </c>
      <c r="CG696" s="48">
        <f t="shared" si="3965"/>
        <v>1E-4</v>
      </c>
      <c r="CH696" s="48">
        <f>SUM(BD696:BF696)</f>
        <v>1E-4</v>
      </c>
      <c r="CI696" s="48">
        <f t="shared" si="3967"/>
        <v>3</v>
      </c>
      <c r="CJ696" s="48">
        <f t="shared" si="3968"/>
        <v>3</v>
      </c>
      <c r="CK696" s="48">
        <f>SUM(BG696:BI696)</f>
        <v>3</v>
      </c>
      <c r="CL696" s="48">
        <f t="shared" si="3970"/>
        <v>2</v>
      </c>
      <c r="CM696" s="48">
        <f t="shared" si="3971"/>
        <v>2</v>
      </c>
      <c r="CN696" s="48">
        <f>SUM(BJ696:BL696)</f>
        <v>2</v>
      </c>
      <c r="CO696" s="406"/>
      <c r="CP696" s="21">
        <f>+J696</f>
        <v>2</v>
      </c>
      <c r="CQ696" s="21">
        <f t="shared" ref="CQ696:DA696" si="3986">+CP696+K696</f>
        <v>4</v>
      </c>
      <c r="CR696" s="21">
        <f t="shared" si="3986"/>
        <v>5</v>
      </c>
      <c r="CS696" s="21">
        <f t="shared" si="3986"/>
        <v>5</v>
      </c>
      <c r="CT696" s="21">
        <f t="shared" si="3986"/>
        <v>5</v>
      </c>
      <c r="CU696" s="21">
        <f t="shared" si="3986"/>
        <v>5</v>
      </c>
      <c r="CV696" s="21">
        <f t="shared" si="3986"/>
        <v>6</v>
      </c>
      <c r="CW696" s="21">
        <f t="shared" si="3986"/>
        <v>7</v>
      </c>
      <c r="CX696" s="21">
        <f t="shared" si="3986"/>
        <v>12</v>
      </c>
      <c r="CY696" s="21">
        <f t="shared" si="3986"/>
        <v>12.000999999999999</v>
      </c>
      <c r="CZ696" s="21">
        <f t="shared" si="3986"/>
        <v>14.000999999999999</v>
      </c>
      <c r="DA696" s="21">
        <f t="shared" si="3986"/>
        <v>15.000999999999999</v>
      </c>
      <c r="DB696" s="21">
        <f>+V696</f>
        <v>4</v>
      </c>
      <c r="DC696" s="21">
        <f t="shared" ref="DC696:DM696" si="3987">+DB696+W696</f>
        <v>7</v>
      </c>
      <c r="DD696" s="21">
        <f t="shared" si="3987"/>
        <v>7</v>
      </c>
      <c r="DE696" s="21">
        <f t="shared" si="3987"/>
        <v>8</v>
      </c>
      <c r="DF696" s="21">
        <f t="shared" si="3987"/>
        <v>9</v>
      </c>
      <c r="DG696" s="21">
        <f t="shared" si="3987"/>
        <v>10</v>
      </c>
      <c r="DH696" s="21">
        <f t="shared" si="3987"/>
        <v>10.0001</v>
      </c>
      <c r="DI696" s="21">
        <f t="shared" si="3987"/>
        <v>10.0001</v>
      </c>
      <c r="DJ696" s="21">
        <f t="shared" si="3987"/>
        <v>10.0001</v>
      </c>
      <c r="DK696" s="21">
        <f t="shared" si="3987"/>
        <v>10.0001</v>
      </c>
      <c r="DL696" s="21">
        <f t="shared" si="3987"/>
        <v>12.0001</v>
      </c>
      <c r="DM696" s="21">
        <f t="shared" si="3987"/>
        <v>13.0001</v>
      </c>
      <c r="DN696" s="21">
        <f>BJ696</f>
        <v>0</v>
      </c>
      <c r="DO696" s="21">
        <f>DN696+BK696</f>
        <v>2</v>
      </c>
      <c r="DP696" s="21">
        <f>DO696+BL696</f>
        <v>2</v>
      </c>
      <c r="DQ696" s="248"/>
      <c r="DR696" s="248"/>
      <c r="DS696" s="248"/>
      <c r="DT696" s="248"/>
      <c r="DU696" s="248"/>
      <c r="DV696" s="248"/>
      <c r="DW696" s="248"/>
      <c r="DX696" s="248"/>
      <c r="DY696" s="248"/>
      <c r="ED696" s="429"/>
      <c r="EE696" s="23"/>
      <c r="EF696" s="23"/>
      <c r="EG696" s="23"/>
      <c r="EH696" s="18">
        <f t="shared" si="3938"/>
        <v>2</v>
      </c>
      <c r="EI696" s="237">
        <f t="shared" si="3939"/>
        <v>2</v>
      </c>
      <c r="EJ696" s="18">
        <f t="shared" si="3940"/>
        <v>2</v>
      </c>
      <c r="EK696" s="24">
        <f t="shared" si="3983"/>
        <v>0.16666666666666666</v>
      </c>
      <c r="EL696" s="14" t="e">
        <f t="shared" ref="EL696:EN703" si="3988">EH696/EE671</f>
        <v>#DIV/0!</v>
      </c>
      <c r="EM696" s="14" t="e">
        <f t="shared" si="3988"/>
        <v>#DIV/0!</v>
      </c>
      <c r="EN696" s="14">
        <f>EJ696/EK696/EG671</f>
        <v>0.71856129657200374</v>
      </c>
      <c r="EO696" s="46" t="str">
        <f t="shared" ref="EO696:EO708" si="3989">IF(EH696&lt;0,,IF(EH696&lt;EE671,"È",IF(EH696=EE671,"Æ","Ç")))</f>
        <v>Ç</v>
      </c>
      <c r="EP696" s="46" t="str">
        <f t="shared" ref="EP696:EP708" si="3990">IF(EI696&lt;0,,IF(EI696&lt;EF671,"È",IF(EI696=EF671,"Æ","Ç")))</f>
        <v>Ç</v>
      </c>
      <c r="EQ696" s="2" t="e">
        <f t="shared" si="3943"/>
        <v>#DIV/0!</v>
      </c>
      <c r="ER696" s="2" t="e">
        <f t="shared" si="3944"/>
        <v>#DIV/0!</v>
      </c>
      <c r="ES696" s="2">
        <f t="shared" si="3945"/>
        <v>3</v>
      </c>
    </row>
    <row r="697" spans="1:150" ht="12.75" customHeight="1">
      <c r="A697" s="15" t="s">
        <v>23</v>
      </c>
      <c r="B697" s="14" t="s">
        <v>7</v>
      </c>
      <c r="C697" s="16" t="s">
        <v>64</v>
      </c>
      <c r="D697" s="16"/>
      <c r="E697" s="16" t="s">
        <v>16</v>
      </c>
      <c r="F697" s="16"/>
      <c r="G697" s="16" t="s">
        <v>89</v>
      </c>
      <c r="H697" s="16"/>
      <c r="I697" s="24"/>
      <c r="J697" s="25">
        <v>1</v>
      </c>
      <c r="K697" s="25">
        <v>1</v>
      </c>
      <c r="L697" s="25">
        <v>1</v>
      </c>
      <c r="M697" s="25">
        <v>0</v>
      </c>
      <c r="N697" s="25">
        <v>0</v>
      </c>
      <c r="O697" s="25">
        <v>0</v>
      </c>
      <c r="P697" s="25">
        <v>1</v>
      </c>
      <c r="Q697" s="25">
        <v>1</v>
      </c>
      <c r="R697" s="25">
        <v>1</v>
      </c>
      <c r="S697" s="25">
        <v>0</v>
      </c>
      <c r="T697" s="25">
        <v>0.5</v>
      </c>
      <c r="U697" s="25">
        <v>1</v>
      </c>
      <c r="V697" s="33">
        <v>0.95</v>
      </c>
      <c r="W697" s="25">
        <v>1</v>
      </c>
      <c r="X697" s="25">
        <v>0</v>
      </c>
      <c r="Y697" s="377">
        <v>1</v>
      </c>
      <c r="Z697" s="25">
        <v>1</v>
      </c>
      <c r="AA697" s="25">
        <v>0</v>
      </c>
      <c r="AB697" s="25">
        <v>0</v>
      </c>
      <c r="AC697" s="25">
        <v>0</v>
      </c>
      <c r="AD697" s="25">
        <v>0</v>
      </c>
      <c r="AE697" s="25">
        <v>0</v>
      </c>
      <c r="AF697" s="25">
        <v>1</v>
      </c>
      <c r="AG697" s="25">
        <v>1</v>
      </c>
      <c r="AH697" s="33">
        <v>0</v>
      </c>
      <c r="AI697" s="25">
        <v>1</v>
      </c>
      <c r="AJ697" s="25"/>
      <c r="AK697" s="412"/>
      <c r="AL697" s="14">
        <f t="shared" si="3973"/>
        <v>1</v>
      </c>
      <c r="AM697" s="14">
        <f>K697</f>
        <v>1</v>
      </c>
      <c r="AN697" s="14">
        <f>L697</f>
        <v>1</v>
      </c>
      <c r="AO697" s="14">
        <f>M697</f>
        <v>0</v>
      </c>
      <c r="AP697" s="129">
        <f>IF(N697&lt;&gt;"",N697-M697,0)</f>
        <v>0</v>
      </c>
      <c r="AQ697" s="129">
        <f t="shared" ref="AQ697:AW697" si="3991">IF(O697&lt;&gt;"",O697,0)</f>
        <v>0</v>
      </c>
      <c r="AR697" s="129">
        <f t="shared" si="3991"/>
        <v>1</v>
      </c>
      <c r="AS697" s="129">
        <f t="shared" si="3991"/>
        <v>1</v>
      </c>
      <c r="AT697" s="129">
        <f t="shared" si="3991"/>
        <v>1</v>
      </c>
      <c r="AU697" s="129">
        <f t="shared" si="3991"/>
        <v>0</v>
      </c>
      <c r="AV697" s="129">
        <f t="shared" si="3991"/>
        <v>0.5</v>
      </c>
      <c r="AW697" s="129">
        <f t="shared" si="3991"/>
        <v>1</v>
      </c>
      <c r="AX697" s="14">
        <f t="shared" si="3974"/>
        <v>0.95</v>
      </c>
      <c r="AY697" s="289">
        <f>IF(W697&lt;&gt;"",W697,0)</f>
        <v>1</v>
      </c>
      <c r="AZ697" s="289">
        <f>IF(X697&lt;&gt;"",X697,0)</f>
        <v>0</v>
      </c>
      <c r="BA697" s="289">
        <f>IF(Y697&lt;&gt;"",Y697,0)</f>
        <v>1</v>
      </c>
      <c r="BB697" s="289">
        <f>IF(Z697&lt;&gt;"",Z697,0)</f>
        <v>1</v>
      </c>
      <c r="BC697" s="289">
        <f>IF(AA697&lt;&gt;"",AA697,0)</f>
        <v>0</v>
      </c>
      <c r="BD697" s="129">
        <f t="shared" si="3927"/>
        <v>0</v>
      </c>
      <c r="BE697" s="129">
        <f t="shared" si="3928"/>
        <v>0</v>
      </c>
      <c r="BF697" s="129">
        <f t="shared" si="3929"/>
        <v>0</v>
      </c>
      <c r="BG697" s="129">
        <f t="shared" si="3930"/>
        <v>0</v>
      </c>
      <c r="BH697" s="129">
        <f t="shared" si="3931"/>
        <v>1</v>
      </c>
      <c r="BI697" s="129">
        <f t="shared" si="3932"/>
        <v>0</v>
      </c>
      <c r="BJ697" s="14">
        <f t="shared" si="3976"/>
        <v>0</v>
      </c>
      <c r="BK697" s="129">
        <f t="shared" si="3933"/>
        <v>1</v>
      </c>
      <c r="BL697" s="129">
        <f t="shared" si="3934"/>
        <v>0</v>
      </c>
      <c r="BM697" s="410"/>
      <c r="BN697" s="56">
        <f t="shared" si="3946"/>
        <v>1</v>
      </c>
      <c r="BO697" s="56">
        <f t="shared" si="3947"/>
        <v>1</v>
      </c>
      <c r="BP697" s="56">
        <f>(AL697*AL696+AM697*AM696+AN697*AN696)/BP696</f>
        <v>1</v>
      </c>
      <c r="BQ697" s="56" t="e">
        <f>(AM697*AM696+AN697*AN696+AO697*AO696)/BQ696</f>
        <v>#DIV/0!</v>
      </c>
      <c r="BR697" s="56" t="e">
        <f>(AN697*AN696+AO697*AO696+AP697*AP696)/BR696</f>
        <v>#DIV/0!</v>
      </c>
      <c r="BS697" s="56" t="e">
        <f>(AO697*AO696+AP697*AP696+AQ697*AQ696)/BS696</f>
        <v>#DIV/0!</v>
      </c>
      <c r="BT697" s="56">
        <f t="shared" si="3952"/>
        <v>1</v>
      </c>
      <c r="BU697" s="56">
        <f t="shared" si="3953"/>
        <v>1</v>
      </c>
      <c r="BV697" s="56">
        <f>(AR697*AR696+AS697*AS696+AT697*AT696)/BV696</f>
        <v>1</v>
      </c>
      <c r="BW697" s="56">
        <f t="shared" si="3955"/>
        <v>0.66644451849383546</v>
      </c>
      <c r="BX697" s="56">
        <f t="shared" si="3956"/>
        <v>0.66644451849383546</v>
      </c>
      <c r="BY697" s="56">
        <f>(AU697*AU696+AV697*AV696+AW697*AW696)/BY696</f>
        <v>0.66644451849383546</v>
      </c>
      <c r="BZ697" s="56">
        <f t="shared" si="3958"/>
        <v>0.97142857142857142</v>
      </c>
      <c r="CA697" s="56">
        <f t="shared" si="3959"/>
        <v>0.97142857142857142</v>
      </c>
      <c r="CB697" s="56">
        <f>(AX697*AX696+AY697*AY696+AZ697*AZ696)/CB696</f>
        <v>0.97142857142857142</v>
      </c>
      <c r="CC697" s="56">
        <f t="shared" si="3961"/>
        <v>0.66666666666666663</v>
      </c>
      <c r="CD697" s="56">
        <f t="shared" si="3962"/>
        <v>0.66666666666666663</v>
      </c>
      <c r="CE697" s="56">
        <f>(BA697*BA696+BB697*BB696+BC697*BC696)/CE696</f>
        <v>0.66666666666666663</v>
      </c>
      <c r="CF697" s="56">
        <f t="shared" si="3964"/>
        <v>0</v>
      </c>
      <c r="CG697" s="56">
        <f t="shared" si="3965"/>
        <v>0</v>
      </c>
      <c r="CH697" s="56">
        <f>(BD697*BD696+BE697*BE696+BF697*BF696)/CH696</f>
        <v>0</v>
      </c>
      <c r="CI697" s="56">
        <v>1E-4</v>
      </c>
      <c r="CJ697" s="56">
        <f t="shared" si="3968"/>
        <v>0.66666666666666663</v>
      </c>
      <c r="CK697" s="56">
        <f>(BG697*BG696+BH697*BH696+BI697*BI696)/CK696</f>
        <v>0.66666666666666663</v>
      </c>
      <c r="CL697" s="56">
        <v>0</v>
      </c>
      <c r="CM697" s="56">
        <f t="shared" si="3971"/>
        <v>1</v>
      </c>
      <c r="CN697" s="56">
        <f>(BJ697*BJ696+BK697*BK696+BL697*BL696)/CN696</f>
        <v>1</v>
      </c>
      <c r="CO697" s="422"/>
      <c r="CP697" s="25">
        <f>J697</f>
        <v>1</v>
      </c>
      <c r="CQ697" s="25">
        <f t="shared" ref="CQ697:DP697" si="3992">CQ709/CQ696</f>
        <v>1</v>
      </c>
      <c r="CR697" s="25">
        <f t="shared" si="3992"/>
        <v>1</v>
      </c>
      <c r="CS697" s="25">
        <f t="shared" si="3992"/>
        <v>1</v>
      </c>
      <c r="CT697" s="25">
        <f t="shared" si="3992"/>
        <v>1</v>
      </c>
      <c r="CU697" s="25">
        <f t="shared" si="3992"/>
        <v>1</v>
      </c>
      <c r="CV697" s="25">
        <f t="shared" si="3992"/>
        <v>1</v>
      </c>
      <c r="CW697" s="25">
        <f t="shared" si="3992"/>
        <v>1</v>
      </c>
      <c r="CX697" s="25">
        <f t="shared" si="3992"/>
        <v>1</v>
      </c>
      <c r="CY697" s="25">
        <f t="shared" si="3992"/>
        <v>0.99991667361053249</v>
      </c>
      <c r="CZ697" s="25">
        <f t="shared" si="3992"/>
        <v>0.92850510677808729</v>
      </c>
      <c r="DA697" s="25">
        <f t="shared" si="3992"/>
        <v>0.93327111525898276</v>
      </c>
      <c r="DB697" s="25">
        <f t="shared" si="3992"/>
        <v>0.95</v>
      </c>
      <c r="DC697" s="25">
        <f t="shared" si="3992"/>
        <v>0.97142857142857142</v>
      </c>
      <c r="DD697" s="25">
        <f t="shared" si="3992"/>
        <v>0.97142857142857142</v>
      </c>
      <c r="DE697" s="25">
        <f t="shared" si="3992"/>
        <v>0.97499999999999998</v>
      </c>
      <c r="DF697" s="25">
        <f t="shared" si="3992"/>
        <v>0.97777777777777786</v>
      </c>
      <c r="DG697" s="25">
        <f t="shared" si="3992"/>
        <v>0.88000000000000012</v>
      </c>
      <c r="DH697" s="25">
        <f t="shared" si="3992"/>
        <v>0.87999120008799925</v>
      </c>
      <c r="DI697" s="25">
        <f t="shared" si="3992"/>
        <v>0.87999120008799925</v>
      </c>
      <c r="DJ697" s="25">
        <f t="shared" si="3992"/>
        <v>0.87999120008799925</v>
      </c>
      <c r="DK697" s="25">
        <f t="shared" si="3992"/>
        <v>0.87999120008799925</v>
      </c>
      <c r="DL697" s="25">
        <f t="shared" si="3992"/>
        <v>0.89999250006249953</v>
      </c>
      <c r="DM697" s="25">
        <f t="shared" si="3992"/>
        <v>0.90768532549749625</v>
      </c>
      <c r="DN697" s="25">
        <v>0</v>
      </c>
      <c r="DO697" s="25">
        <f t="shared" si="3992"/>
        <v>1</v>
      </c>
      <c r="DP697" s="25">
        <f t="shared" si="3992"/>
        <v>1</v>
      </c>
      <c r="DQ697" s="377"/>
      <c r="DR697" s="377"/>
      <c r="DS697" s="377"/>
      <c r="DT697" s="377"/>
      <c r="DU697" s="377"/>
      <c r="DV697" s="377"/>
      <c r="DW697" s="377"/>
      <c r="DX697" s="377"/>
      <c r="DY697" s="377"/>
      <c r="DZ697" s="14"/>
      <c r="EA697" s="14"/>
      <c r="EB697" s="14"/>
      <c r="EC697" s="14"/>
      <c r="ED697" s="430"/>
      <c r="EE697" s="24"/>
      <c r="EF697" s="24"/>
      <c r="EG697" s="24"/>
      <c r="EH697" s="25">
        <f t="shared" si="3938"/>
        <v>1</v>
      </c>
      <c r="EI697" s="250">
        <f t="shared" si="3939"/>
        <v>1</v>
      </c>
      <c r="EJ697" s="25">
        <f t="shared" si="3940"/>
        <v>1</v>
      </c>
      <c r="EK697" s="24">
        <f t="shared" si="3983"/>
        <v>0.16666666666666666</v>
      </c>
      <c r="EL697" s="14">
        <f>EH697</f>
        <v>1</v>
      </c>
      <c r="EM697" s="14">
        <f>EI697</f>
        <v>1</v>
      </c>
      <c r="EN697" s="14">
        <f>EJ697</f>
        <v>1</v>
      </c>
      <c r="EO697" s="46" t="str">
        <f t="shared" si="3989"/>
        <v>Ç</v>
      </c>
      <c r="EP697" s="46" t="str">
        <f>IF(EI697&lt;0,,IF(EI697&lt;EF672,"È",IF(EI697=EF672,"Æ","Ç")))</f>
        <v>Ç</v>
      </c>
      <c r="EQ697" s="2">
        <f t="shared" si="3943"/>
        <v>1</v>
      </c>
      <c r="ER697" s="381">
        <f t="shared" si="3944"/>
        <v>1</v>
      </c>
      <c r="ES697" s="381">
        <f t="shared" si="3945"/>
        <v>1</v>
      </c>
      <c r="ET697" s="14"/>
    </row>
    <row r="698" spans="1:150" ht="12.75" customHeight="1">
      <c r="A698" s="6" t="s">
        <v>23</v>
      </c>
      <c r="B698" s="2" t="s">
        <v>8</v>
      </c>
      <c r="C698" s="3" t="s">
        <v>87</v>
      </c>
      <c r="E698" s="3" t="s">
        <v>16</v>
      </c>
      <c r="G698" s="3" t="s">
        <v>91</v>
      </c>
      <c r="I698" s="23"/>
      <c r="J698" s="19">
        <v>0</v>
      </c>
      <c r="K698" s="19">
        <v>0</v>
      </c>
      <c r="L698" s="19">
        <v>0</v>
      </c>
      <c r="M698" s="19">
        <v>0</v>
      </c>
      <c r="N698" s="19">
        <v>0</v>
      </c>
      <c r="O698" s="19">
        <v>0</v>
      </c>
      <c r="P698" s="19">
        <v>0</v>
      </c>
      <c r="Q698" s="19">
        <v>0</v>
      </c>
      <c r="R698" s="19">
        <v>4</v>
      </c>
      <c r="S698" s="19">
        <v>4</v>
      </c>
      <c r="T698" s="19">
        <v>4</v>
      </c>
      <c r="U698" s="19">
        <v>4</v>
      </c>
      <c r="V698" s="31">
        <v>0</v>
      </c>
      <c r="W698" s="19">
        <v>0</v>
      </c>
      <c r="X698" s="19">
        <v>0</v>
      </c>
      <c r="Y698" s="376">
        <v>0</v>
      </c>
      <c r="Z698" s="19">
        <v>0</v>
      </c>
      <c r="AA698" s="19">
        <v>0</v>
      </c>
      <c r="AB698" s="19">
        <v>0</v>
      </c>
      <c r="AC698" s="19">
        <v>0</v>
      </c>
      <c r="AD698" s="19">
        <v>0</v>
      </c>
      <c r="AE698" s="19">
        <v>0</v>
      </c>
      <c r="AF698" s="19">
        <v>0</v>
      </c>
      <c r="AG698" s="19">
        <v>0</v>
      </c>
      <c r="AH698" s="31">
        <v>0</v>
      </c>
      <c r="AI698" s="19">
        <v>0</v>
      </c>
      <c r="AJ698" s="19"/>
      <c r="AK698" s="408"/>
      <c r="AL698" s="19">
        <f t="shared" si="3973"/>
        <v>0</v>
      </c>
      <c r="AM698" s="19">
        <f>K698-J698</f>
        <v>0</v>
      </c>
      <c r="AN698" s="19">
        <f t="shared" ref="AN698:AN704" si="3993">L698-K698</f>
        <v>0</v>
      </c>
      <c r="AO698" s="19">
        <f t="shared" ref="AO698:AO704" si="3994">M698-L698</f>
        <v>0</v>
      </c>
      <c r="AP698" s="129">
        <f t="shared" ref="AP698:AP703" si="3995">IF(N698&lt;&gt;"",N698-M698,0)</f>
        <v>0</v>
      </c>
      <c r="AQ698" s="129">
        <f t="shared" ref="AQ698:AQ706" si="3996">IF(O698&lt;&gt;"",O698-N698,0)</f>
        <v>0</v>
      </c>
      <c r="AR698" s="129">
        <f t="shared" si="3917"/>
        <v>0</v>
      </c>
      <c r="AS698" s="129">
        <f t="shared" si="3918"/>
        <v>0</v>
      </c>
      <c r="AT698" s="129">
        <f t="shared" si="3919"/>
        <v>4</v>
      </c>
      <c r="AU698" s="129">
        <f t="shared" si="3920"/>
        <v>0</v>
      </c>
      <c r="AV698" s="129">
        <f t="shared" si="3921"/>
        <v>0</v>
      </c>
      <c r="AW698" s="129">
        <f t="shared" si="3922"/>
        <v>0</v>
      </c>
      <c r="AX698" s="19">
        <f t="shared" si="3974"/>
        <v>0</v>
      </c>
      <c r="AY698" s="129">
        <f t="shared" si="3923"/>
        <v>0</v>
      </c>
      <c r="AZ698" s="129">
        <f t="shared" si="3924"/>
        <v>0</v>
      </c>
      <c r="BA698" s="129">
        <f t="shared" si="3975"/>
        <v>0</v>
      </c>
      <c r="BB698" s="129">
        <f t="shared" si="3925"/>
        <v>0</v>
      </c>
      <c r="BC698" s="129">
        <f t="shared" si="3926"/>
        <v>0</v>
      </c>
      <c r="BD698" s="129">
        <f t="shared" si="3927"/>
        <v>0</v>
      </c>
      <c r="BE698" s="129">
        <f t="shared" si="3928"/>
        <v>0</v>
      </c>
      <c r="BF698" s="129">
        <f t="shared" si="3929"/>
        <v>0</v>
      </c>
      <c r="BG698" s="129">
        <f t="shared" si="3930"/>
        <v>0</v>
      </c>
      <c r="BH698" s="129">
        <f t="shared" si="3931"/>
        <v>0</v>
      </c>
      <c r="BI698" s="129">
        <f t="shared" si="3932"/>
        <v>0</v>
      </c>
      <c r="BJ698" s="19">
        <f t="shared" si="3976"/>
        <v>0</v>
      </c>
      <c r="BK698" s="129">
        <f t="shared" si="3933"/>
        <v>0</v>
      </c>
      <c r="BL698" s="129">
        <f t="shared" si="3934"/>
        <v>0</v>
      </c>
      <c r="BM698" s="408"/>
      <c r="BN698" s="48">
        <f t="shared" si="3946"/>
        <v>0</v>
      </c>
      <c r="BO698" s="48">
        <f t="shared" si="3947"/>
        <v>0</v>
      </c>
      <c r="BP698" s="48">
        <f t="shared" ref="BP698:BP703" si="3997">SUM(AL698:AN698)</f>
        <v>0</v>
      </c>
      <c r="BQ698" s="48">
        <f t="shared" si="3949"/>
        <v>0</v>
      </c>
      <c r="BR698" s="48">
        <f t="shared" si="3950"/>
        <v>0</v>
      </c>
      <c r="BS698" s="48">
        <f t="shared" ref="BS698:BS703" si="3998">SUM(AO698:AQ698)</f>
        <v>0</v>
      </c>
      <c r="BT698" s="48">
        <f t="shared" si="3952"/>
        <v>4</v>
      </c>
      <c r="BU698" s="48">
        <f t="shared" si="3953"/>
        <v>4</v>
      </c>
      <c r="BV698" s="48">
        <f t="shared" ref="BV698:BV703" si="3999">SUM(AR698:AT698)</f>
        <v>4</v>
      </c>
      <c r="BW698" s="48">
        <f t="shared" si="3955"/>
        <v>0</v>
      </c>
      <c r="BX698" s="48">
        <f t="shared" si="3956"/>
        <v>0</v>
      </c>
      <c r="BY698" s="48">
        <f t="shared" ref="BY698:BY703" si="4000">SUM(AU698:AW698)</f>
        <v>0</v>
      </c>
      <c r="BZ698" s="48">
        <f t="shared" si="3958"/>
        <v>0</v>
      </c>
      <c r="CA698" s="48">
        <f t="shared" si="3959"/>
        <v>0</v>
      </c>
      <c r="CB698" s="48">
        <f t="shared" ref="CB698:CB703" si="4001">SUM(AX698:AZ698)</f>
        <v>0</v>
      </c>
      <c r="CC698" s="48">
        <f t="shared" si="3961"/>
        <v>0</v>
      </c>
      <c r="CD698" s="48">
        <f t="shared" si="3962"/>
        <v>0</v>
      </c>
      <c r="CE698" s="48">
        <f t="shared" ref="CE698:CE703" si="4002">SUM(BA698:BC698)</f>
        <v>0</v>
      </c>
      <c r="CF698" s="48">
        <f t="shared" si="3964"/>
        <v>0</v>
      </c>
      <c r="CG698" s="48">
        <f t="shared" si="3965"/>
        <v>0</v>
      </c>
      <c r="CH698" s="48">
        <f t="shared" ref="CH698:CH703" si="4003">SUM(BD698:BF698)</f>
        <v>0</v>
      </c>
      <c r="CI698" s="48">
        <f t="shared" si="3967"/>
        <v>0</v>
      </c>
      <c r="CJ698" s="48">
        <f t="shared" si="3968"/>
        <v>0</v>
      </c>
      <c r="CK698" s="48">
        <f t="shared" ref="CK698:CK703" si="4004">SUM(BG698:BI698)</f>
        <v>0</v>
      </c>
      <c r="CL698" s="48">
        <f t="shared" si="3970"/>
        <v>0</v>
      </c>
      <c r="CM698" s="48">
        <f t="shared" si="3971"/>
        <v>0</v>
      </c>
      <c r="CN698" s="48">
        <f t="shared" ref="CN698:CN703" si="4005">SUM(BJ698:BL698)</f>
        <v>0</v>
      </c>
      <c r="CO698" s="406"/>
      <c r="CP698" s="21">
        <f>AL698</f>
        <v>0</v>
      </c>
      <c r="CQ698" s="21">
        <f>CP698+AM698</f>
        <v>0</v>
      </c>
      <c r="CR698" s="21">
        <f t="shared" ref="CR698:CR704" si="4006">CQ698+AN698</f>
        <v>0</v>
      </c>
      <c r="CS698" s="21">
        <f t="shared" ref="CS698:CS704" si="4007">CR698+AO698</f>
        <v>0</v>
      </c>
      <c r="CT698" s="21">
        <f t="shared" ref="CT698:CT704" si="4008">CS698+AP698</f>
        <v>0</v>
      </c>
      <c r="CU698" s="21">
        <f t="shared" ref="CU698:CU704" si="4009">CT698+AQ698</f>
        <v>0</v>
      </c>
      <c r="CV698" s="21">
        <f t="shared" ref="CV698:CV704" si="4010">CU698+AR698</f>
        <v>0</v>
      </c>
      <c r="CW698" s="21">
        <f t="shared" ref="CW698:CW704" si="4011">CV698+AS698</f>
        <v>0</v>
      </c>
      <c r="CX698" s="21">
        <f t="shared" ref="CX698:CX704" si="4012">CW698+AT698</f>
        <v>4</v>
      </c>
      <c r="CY698" s="21">
        <f t="shared" ref="CY698:CY704" si="4013">CX698+AU698</f>
        <v>4</v>
      </c>
      <c r="CZ698" s="21">
        <f t="shared" ref="CZ698:CZ704" si="4014">CY698+AV698</f>
        <v>4</v>
      </c>
      <c r="DA698" s="21">
        <f t="shared" ref="DA698:DA704" si="4015">CZ698+AW698</f>
        <v>4</v>
      </c>
      <c r="DB698" s="21">
        <f>AX698</f>
        <v>0</v>
      </c>
      <c r="DC698" s="21">
        <f t="shared" ref="DC698:DC704" si="4016">DB698+AY698</f>
        <v>0</v>
      </c>
      <c r="DD698" s="21">
        <f t="shared" ref="DD698:DD704" si="4017">DC698+AZ698</f>
        <v>0</v>
      </c>
      <c r="DE698" s="21">
        <f t="shared" ref="DE698:DE704" si="4018">DD698+BA698</f>
        <v>0</v>
      </c>
      <c r="DF698" s="21">
        <f t="shared" ref="DF698:DF704" si="4019">DE698+BB698</f>
        <v>0</v>
      </c>
      <c r="DG698" s="21">
        <f t="shared" ref="DG698:DG704" si="4020">DF698+BC698</f>
        <v>0</v>
      </c>
      <c r="DH698" s="21">
        <f t="shared" ref="DH698:DH704" si="4021">DG698+BD698</f>
        <v>0</v>
      </c>
      <c r="DI698" s="21">
        <f t="shared" ref="DI698:DI704" si="4022">DH698+BE698</f>
        <v>0</v>
      </c>
      <c r="DJ698" s="21">
        <f t="shared" ref="DJ698:DJ704" si="4023">DI698+BF698</f>
        <v>0</v>
      </c>
      <c r="DK698" s="21">
        <f t="shared" ref="DK698:DK704" si="4024">DJ698+BG698</f>
        <v>0</v>
      </c>
      <c r="DL698" s="21">
        <f t="shared" ref="DL698:DL704" si="4025">DK698+BH698</f>
        <v>0</v>
      </c>
      <c r="DM698" s="21">
        <f t="shared" ref="DM698:DM704" si="4026">DL698+BI698</f>
        <v>0</v>
      </c>
      <c r="DN698" s="21">
        <f t="shared" ref="DN698:DN703" si="4027">BJ698</f>
        <v>0</v>
      </c>
      <c r="DO698" s="21">
        <f t="shared" ref="DO698:DO704" si="4028">DN698+BK698</f>
        <v>0</v>
      </c>
      <c r="DP698" s="21">
        <f t="shared" ref="DP698:DP704" si="4029">DO698+BL698</f>
        <v>0</v>
      </c>
      <c r="DQ698" s="248"/>
      <c r="DR698" s="248"/>
      <c r="DS698" s="248"/>
      <c r="DT698" s="248"/>
      <c r="DU698" s="248"/>
      <c r="DV698" s="248"/>
      <c r="DW698" s="248"/>
      <c r="DX698" s="248"/>
      <c r="DY698" s="248"/>
      <c r="ED698" s="429"/>
      <c r="EE698" s="23"/>
      <c r="EF698" s="23"/>
      <c r="EG698" s="23"/>
      <c r="EH698" s="18">
        <f t="shared" si="3938"/>
        <v>0</v>
      </c>
      <c r="EI698" s="18">
        <f t="shared" si="3939"/>
        <v>0</v>
      </c>
      <c r="EJ698" s="18">
        <f t="shared" si="3940"/>
        <v>0</v>
      </c>
      <c r="EK698" s="24">
        <f t="shared" si="3983"/>
        <v>0.16666666666666666</v>
      </c>
      <c r="EL698" s="14" t="e">
        <f t="shared" si="3988"/>
        <v>#DIV/0!</v>
      </c>
      <c r="EM698" s="14" t="e">
        <f t="shared" si="3988"/>
        <v>#DIV/0!</v>
      </c>
      <c r="EN698" s="14">
        <f>EJ698/EK698/EG673</f>
        <v>0</v>
      </c>
      <c r="EO698" s="46" t="str">
        <f t="shared" si="3989"/>
        <v>Æ</v>
      </c>
      <c r="EP698" s="46" t="str">
        <f t="shared" si="3990"/>
        <v>Æ</v>
      </c>
      <c r="EQ698" s="2" t="e">
        <f t="shared" si="3943"/>
        <v>#DIV/0!</v>
      </c>
      <c r="ER698" s="2" t="e">
        <f t="shared" si="3944"/>
        <v>#DIV/0!</v>
      </c>
      <c r="ES698" s="2">
        <f t="shared" si="3945"/>
        <v>3</v>
      </c>
    </row>
    <row r="699" spans="1:150" ht="12.75" customHeight="1">
      <c r="A699" s="6" t="s">
        <v>23</v>
      </c>
      <c r="B699" s="2" t="s">
        <v>9</v>
      </c>
      <c r="C699" s="3" t="s">
        <v>65</v>
      </c>
      <c r="E699" s="3" t="s">
        <v>16</v>
      </c>
      <c r="G699" s="3" t="s">
        <v>91</v>
      </c>
      <c r="I699" s="23"/>
      <c r="J699" s="19">
        <v>15</v>
      </c>
      <c r="K699" s="19">
        <v>23.75</v>
      </c>
      <c r="L699" s="19">
        <v>52.75</v>
      </c>
      <c r="M699" s="19">
        <v>60.25</v>
      </c>
      <c r="N699" s="19">
        <v>75.25</v>
      </c>
      <c r="O699" s="19">
        <v>86.75</v>
      </c>
      <c r="P699" s="19">
        <v>98.75</v>
      </c>
      <c r="Q699" s="19">
        <v>135.35</v>
      </c>
      <c r="R699" s="19">
        <v>159.94999999999999</v>
      </c>
      <c r="S699" s="19">
        <v>195.25</v>
      </c>
      <c r="T699" s="19">
        <v>213.25</v>
      </c>
      <c r="U699" s="19">
        <v>247.75</v>
      </c>
      <c r="V699" s="31">
        <v>24.2</v>
      </c>
      <c r="W699" s="19">
        <v>45.7</v>
      </c>
      <c r="X699" s="19">
        <v>66.7</v>
      </c>
      <c r="Y699" s="376">
        <v>90.75</v>
      </c>
      <c r="Z699" s="19">
        <v>108.75</v>
      </c>
      <c r="AA699" s="19">
        <v>160.35</v>
      </c>
      <c r="AB699" s="19">
        <v>169.25</v>
      </c>
      <c r="AC699" s="19">
        <v>199.25</v>
      </c>
      <c r="AD699" s="19">
        <v>225.25</v>
      </c>
      <c r="AE699" s="19">
        <v>264.25</v>
      </c>
      <c r="AF699" s="19">
        <v>290.75</v>
      </c>
      <c r="AG699" s="19">
        <v>316.25</v>
      </c>
      <c r="AH699" s="404">
        <v>21</v>
      </c>
      <c r="AI699" s="254">
        <v>49</v>
      </c>
      <c r="AJ699" s="19"/>
      <c r="AK699" s="408"/>
      <c r="AL699" s="19">
        <f t="shared" si="3973"/>
        <v>15</v>
      </c>
      <c r="AM699" s="19">
        <f t="shared" ref="AM699:AM704" si="4030">K699-J699</f>
        <v>8.75</v>
      </c>
      <c r="AN699" s="19">
        <f t="shared" si="3993"/>
        <v>29</v>
      </c>
      <c r="AO699" s="19">
        <f t="shared" si="3994"/>
        <v>7.5</v>
      </c>
      <c r="AP699" s="130">
        <f t="shared" si="3995"/>
        <v>15</v>
      </c>
      <c r="AQ699" s="130">
        <f t="shared" si="3996"/>
        <v>11.5</v>
      </c>
      <c r="AR699" s="130">
        <f t="shared" si="3917"/>
        <v>12</v>
      </c>
      <c r="AS699" s="130">
        <f t="shared" si="3918"/>
        <v>36.599999999999994</v>
      </c>
      <c r="AT699" s="130">
        <f t="shared" si="3919"/>
        <v>24.599999999999994</v>
      </c>
      <c r="AU699" s="130">
        <f t="shared" si="3920"/>
        <v>35.300000000000011</v>
      </c>
      <c r="AV699" s="130">
        <f t="shared" si="3921"/>
        <v>18</v>
      </c>
      <c r="AW699" s="130">
        <f t="shared" si="3922"/>
        <v>34.5</v>
      </c>
      <c r="AX699" s="19">
        <f t="shared" si="3974"/>
        <v>24.2</v>
      </c>
      <c r="AY699" s="130">
        <f t="shared" si="3923"/>
        <v>21.500000000000004</v>
      </c>
      <c r="AZ699" s="130">
        <f t="shared" si="3924"/>
        <v>21</v>
      </c>
      <c r="BA699" s="130">
        <f t="shared" si="3975"/>
        <v>24.049999999999997</v>
      </c>
      <c r="BB699" s="130">
        <f t="shared" si="3925"/>
        <v>18</v>
      </c>
      <c r="BC699" s="130">
        <f t="shared" si="3926"/>
        <v>51.599999999999994</v>
      </c>
      <c r="BD699" s="130">
        <f t="shared" si="3927"/>
        <v>8.9000000000000057</v>
      </c>
      <c r="BE699" s="130">
        <f t="shared" si="3928"/>
        <v>30</v>
      </c>
      <c r="BF699" s="130">
        <f t="shared" si="3929"/>
        <v>26</v>
      </c>
      <c r="BG699" s="130">
        <f t="shared" si="3930"/>
        <v>39</v>
      </c>
      <c r="BH699" s="130">
        <f t="shared" si="3931"/>
        <v>26.5</v>
      </c>
      <c r="BI699" s="130">
        <f t="shared" si="3932"/>
        <v>25.5</v>
      </c>
      <c r="BJ699" s="19">
        <f t="shared" si="3976"/>
        <v>21</v>
      </c>
      <c r="BK699" s="130">
        <f t="shared" si="3933"/>
        <v>28</v>
      </c>
      <c r="BL699" s="130">
        <f t="shared" si="3934"/>
        <v>0</v>
      </c>
      <c r="BM699" s="408"/>
      <c r="BN699" s="48">
        <f t="shared" si="3946"/>
        <v>52.75</v>
      </c>
      <c r="BO699" s="48">
        <f t="shared" si="3947"/>
        <v>52.75</v>
      </c>
      <c r="BP699" s="48">
        <f t="shared" si="3997"/>
        <v>52.75</v>
      </c>
      <c r="BQ699" s="48">
        <f t="shared" si="3949"/>
        <v>34</v>
      </c>
      <c r="BR699" s="48">
        <f t="shared" si="3950"/>
        <v>34</v>
      </c>
      <c r="BS699" s="48">
        <f t="shared" si="3998"/>
        <v>34</v>
      </c>
      <c r="BT699" s="48">
        <f t="shared" si="3952"/>
        <v>73.199999999999989</v>
      </c>
      <c r="BU699" s="48">
        <f t="shared" si="3953"/>
        <v>73.199999999999989</v>
      </c>
      <c r="BV699" s="48">
        <f t="shared" si="3999"/>
        <v>73.199999999999989</v>
      </c>
      <c r="BW699" s="48">
        <f t="shared" si="3955"/>
        <v>87.800000000000011</v>
      </c>
      <c r="BX699" s="48">
        <f t="shared" si="3956"/>
        <v>87.800000000000011</v>
      </c>
      <c r="BY699" s="48">
        <f t="shared" si="4000"/>
        <v>87.800000000000011</v>
      </c>
      <c r="BZ699" s="48">
        <f t="shared" si="3958"/>
        <v>66.7</v>
      </c>
      <c r="CA699" s="48">
        <f t="shared" si="3959"/>
        <v>66.7</v>
      </c>
      <c r="CB699" s="48">
        <f t="shared" si="4001"/>
        <v>66.7</v>
      </c>
      <c r="CC699" s="48">
        <f t="shared" si="3961"/>
        <v>93.649999999999991</v>
      </c>
      <c r="CD699" s="48">
        <f t="shared" si="3962"/>
        <v>93.649999999999991</v>
      </c>
      <c r="CE699" s="48">
        <f t="shared" si="4002"/>
        <v>93.649999999999991</v>
      </c>
      <c r="CF699" s="48">
        <f t="shared" si="3964"/>
        <v>64.900000000000006</v>
      </c>
      <c r="CG699" s="48">
        <f t="shared" si="3965"/>
        <v>64.900000000000006</v>
      </c>
      <c r="CH699" s="48">
        <f t="shared" si="4003"/>
        <v>64.900000000000006</v>
      </c>
      <c r="CI699" s="48">
        <f t="shared" si="3967"/>
        <v>91</v>
      </c>
      <c r="CJ699" s="48">
        <f t="shared" si="3968"/>
        <v>91</v>
      </c>
      <c r="CK699" s="48">
        <f t="shared" si="4004"/>
        <v>91</v>
      </c>
      <c r="CL699" s="48">
        <f t="shared" si="3970"/>
        <v>49</v>
      </c>
      <c r="CM699" s="48">
        <f t="shared" si="3971"/>
        <v>49</v>
      </c>
      <c r="CN699" s="48">
        <f t="shared" si="4005"/>
        <v>49</v>
      </c>
      <c r="CO699" s="406"/>
      <c r="CP699" s="21">
        <f t="shared" ref="CP699:CP704" si="4031">AL699</f>
        <v>15</v>
      </c>
      <c r="CQ699" s="21">
        <f t="shared" ref="CQ699:CQ704" si="4032">CP699+AM699</f>
        <v>23.75</v>
      </c>
      <c r="CR699" s="21">
        <f t="shared" si="4006"/>
        <v>52.75</v>
      </c>
      <c r="CS699" s="21">
        <f t="shared" si="4007"/>
        <v>60.25</v>
      </c>
      <c r="CT699" s="21">
        <f t="shared" si="4008"/>
        <v>75.25</v>
      </c>
      <c r="CU699" s="21">
        <f t="shared" si="4009"/>
        <v>86.75</v>
      </c>
      <c r="CV699" s="21">
        <f t="shared" si="4010"/>
        <v>98.75</v>
      </c>
      <c r="CW699" s="21">
        <f t="shared" si="4011"/>
        <v>135.35</v>
      </c>
      <c r="CX699" s="21">
        <f t="shared" si="4012"/>
        <v>159.94999999999999</v>
      </c>
      <c r="CY699" s="21">
        <f t="shared" si="4013"/>
        <v>195.25</v>
      </c>
      <c r="CZ699" s="21">
        <f t="shared" si="4014"/>
        <v>213.25</v>
      </c>
      <c r="DA699" s="21">
        <f t="shared" si="4015"/>
        <v>247.75</v>
      </c>
      <c r="DB699" s="21">
        <f t="shared" ref="DB699:DB704" si="4033">AX699</f>
        <v>24.2</v>
      </c>
      <c r="DC699" s="21">
        <f t="shared" si="4016"/>
        <v>45.7</v>
      </c>
      <c r="DD699" s="21">
        <f t="shared" si="4017"/>
        <v>66.7</v>
      </c>
      <c r="DE699" s="21">
        <f t="shared" si="4018"/>
        <v>90.75</v>
      </c>
      <c r="DF699" s="21">
        <f t="shared" si="4019"/>
        <v>108.75</v>
      </c>
      <c r="DG699" s="21">
        <f t="shared" si="4020"/>
        <v>160.35</v>
      </c>
      <c r="DH699" s="21">
        <f t="shared" si="4021"/>
        <v>169.25</v>
      </c>
      <c r="DI699" s="21">
        <f t="shared" si="4022"/>
        <v>199.25</v>
      </c>
      <c r="DJ699" s="21">
        <f t="shared" si="4023"/>
        <v>225.25</v>
      </c>
      <c r="DK699" s="21">
        <f t="shared" si="4024"/>
        <v>264.25</v>
      </c>
      <c r="DL699" s="21">
        <f t="shared" si="4025"/>
        <v>290.75</v>
      </c>
      <c r="DM699" s="21">
        <f t="shared" si="4026"/>
        <v>316.25</v>
      </c>
      <c r="DN699" s="21">
        <f t="shared" si="4027"/>
        <v>21</v>
      </c>
      <c r="DO699" s="21">
        <f t="shared" si="4028"/>
        <v>49</v>
      </c>
      <c r="DP699" s="21">
        <f t="shared" si="4029"/>
        <v>49</v>
      </c>
      <c r="DQ699" s="248"/>
      <c r="DR699" s="248"/>
      <c r="DS699" s="248"/>
      <c r="DT699" s="248"/>
      <c r="DU699" s="248"/>
      <c r="DV699" s="248"/>
      <c r="DW699" s="248"/>
      <c r="DX699" s="248"/>
      <c r="DY699" s="248"/>
      <c r="ED699" s="429"/>
      <c r="EE699" s="23"/>
      <c r="EF699" s="23"/>
      <c r="EG699" s="23"/>
      <c r="EH699" s="18">
        <f t="shared" si="3938"/>
        <v>28</v>
      </c>
      <c r="EI699" s="18">
        <f t="shared" si="3939"/>
        <v>49</v>
      </c>
      <c r="EJ699" s="18">
        <f t="shared" si="3940"/>
        <v>49</v>
      </c>
      <c r="EK699" s="24">
        <f t="shared" si="3983"/>
        <v>0.16666666666666666</v>
      </c>
      <c r="EL699" s="14">
        <f t="shared" si="3988"/>
        <v>0.84</v>
      </c>
      <c r="EM699" s="14">
        <f t="shared" si="3988"/>
        <v>0.49</v>
      </c>
      <c r="EN699" s="14">
        <f>EJ699/EK699/EG674</f>
        <v>0.73499999999999999</v>
      </c>
      <c r="EO699" s="46" t="str">
        <f t="shared" si="3989"/>
        <v>È</v>
      </c>
      <c r="EP699" s="46" t="str">
        <f t="shared" si="3990"/>
        <v>È</v>
      </c>
      <c r="EQ699" s="2">
        <f t="shared" si="3943"/>
        <v>2</v>
      </c>
      <c r="ER699" s="2">
        <f t="shared" si="3944"/>
        <v>3</v>
      </c>
      <c r="ES699" s="2">
        <f t="shared" si="3945"/>
        <v>3</v>
      </c>
    </row>
    <row r="700" spans="1:150" ht="12.75" customHeight="1">
      <c r="A700" s="6" t="s">
        <v>23</v>
      </c>
      <c r="B700" s="2" t="s">
        <v>10</v>
      </c>
      <c r="C700" s="3" t="s">
        <v>66</v>
      </c>
      <c r="E700" s="3" t="s">
        <v>16</v>
      </c>
      <c r="G700" s="3" t="s">
        <v>91</v>
      </c>
      <c r="I700" s="23"/>
      <c r="J700" s="19">
        <v>1</v>
      </c>
      <c r="K700" s="19">
        <v>3.25</v>
      </c>
      <c r="L700" s="19">
        <v>7.75</v>
      </c>
      <c r="M700" s="19">
        <v>10.25</v>
      </c>
      <c r="N700" s="19">
        <v>11.75</v>
      </c>
      <c r="O700" s="19">
        <v>13.75</v>
      </c>
      <c r="P700" s="19">
        <v>16.25</v>
      </c>
      <c r="Q700" s="19">
        <v>23.75</v>
      </c>
      <c r="R700" s="19">
        <v>38.85</v>
      </c>
      <c r="S700" s="19">
        <v>57.65</v>
      </c>
      <c r="T700" s="19">
        <v>63.65</v>
      </c>
      <c r="U700" s="19">
        <v>86.65</v>
      </c>
      <c r="V700" s="31">
        <v>13.7</v>
      </c>
      <c r="W700" s="19">
        <v>26.2</v>
      </c>
      <c r="X700" s="19">
        <v>36.700000000000003</v>
      </c>
      <c r="Y700" s="376">
        <v>57.5</v>
      </c>
      <c r="Z700" s="19">
        <v>64.5</v>
      </c>
      <c r="AA700" s="19">
        <v>104.5</v>
      </c>
      <c r="AB700" s="19">
        <v>110.9</v>
      </c>
      <c r="AC700" s="19">
        <v>123.4</v>
      </c>
      <c r="AD700" s="19">
        <v>138.9</v>
      </c>
      <c r="AE700" s="19">
        <v>151.4</v>
      </c>
      <c r="AF700" s="19">
        <v>164.4</v>
      </c>
      <c r="AG700" s="19">
        <v>182.4</v>
      </c>
      <c r="AH700" s="404">
        <v>11.5</v>
      </c>
      <c r="AI700" s="254">
        <v>19</v>
      </c>
      <c r="AJ700" s="19"/>
      <c r="AK700" s="408"/>
      <c r="AL700" s="19">
        <f t="shared" si="3973"/>
        <v>1</v>
      </c>
      <c r="AM700" s="19">
        <f t="shared" si="4030"/>
        <v>2.25</v>
      </c>
      <c r="AN700" s="19">
        <f t="shared" si="3993"/>
        <v>4.5</v>
      </c>
      <c r="AO700" s="19">
        <f t="shared" si="3994"/>
        <v>2.5</v>
      </c>
      <c r="AP700" s="129">
        <f t="shared" si="3995"/>
        <v>1.5</v>
      </c>
      <c r="AQ700" s="129">
        <f t="shared" si="3996"/>
        <v>2</v>
      </c>
      <c r="AR700" s="129">
        <f t="shared" si="3917"/>
        <v>2.5</v>
      </c>
      <c r="AS700" s="129">
        <f t="shared" si="3918"/>
        <v>7.5</v>
      </c>
      <c r="AT700" s="129">
        <f t="shared" si="3919"/>
        <v>15.100000000000001</v>
      </c>
      <c r="AU700" s="129">
        <f t="shared" si="3920"/>
        <v>18.799999999999997</v>
      </c>
      <c r="AV700" s="129">
        <f t="shared" si="3921"/>
        <v>6</v>
      </c>
      <c r="AW700" s="129">
        <f t="shared" si="3922"/>
        <v>23.000000000000007</v>
      </c>
      <c r="AX700" s="19">
        <f t="shared" si="3974"/>
        <v>13.7</v>
      </c>
      <c r="AY700" s="129">
        <f t="shared" si="3923"/>
        <v>12.5</v>
      </c>
      <c r="AZ700" s="129">
        <f t="shared" si="3924"/>
        <v>10.500000000000004</v>
      </c>
      <c r="BA700" s="129">
        <f t="shared" si="3975"/>
        <v>20.799999999999997</v>
      </c>
      <c r="BB700" s="129">
        <f t="shared" si="3925"/>
        <v>7</v>
      </c>
      <c r="BC700" s="129">
        <f t="shared" si="3926"/>
        <v>40</v>
      </c>
      <c r="BD700" s="129">
        <f t="shared" si="3927"/>
        <v>6.4000000000000057</v>
      </c>
      <c r="BE700" s="129">
        <f t="shared" si="3928"/>
        <v>12.5</v>
      </c>
      <c r="BF700" s="129">
        <f t="shared" si="3929"/>
        <v>15.5</v>
      </c>
      <c r="BG700" s="129">
        <f t="shared" si="3930"/>
        <v>12.5</v>
      </c>
      <c r="BH700" s="129">
        <f t="shared" si="3931"/>
        <v>13</v>
      </c>
      <c r="BI700" s="129">
        <f t="shared" si="3932"/>
        <v>18</v>
      </c>
      <c r="BJ700" s="19">
        <f t="shared" si="3976"/>
        <v>11.5</v>
      </c>
      <c r="BK700" s="129">
        <f t="shared" si="3933"/>
        <v>7.5</v>
      </c>
      <c r="BL700" s="129">
        <f t="shared" si="3934"/>
        <v>0</v>
      </c>
      <c r="BM700" s="408"/>
      <c r="BN700" s="48">
        <f t="shared" si="3946"/>
        <v>7.75</v>
      </c>
      <c r="BO700" s="48">
        <f t="shared" si="3947"/>
        <v>7.75</v>
      </c>
      <c r="BP700" s="48">
        <f t="shared" si="3997"/>
        <v>7.75</v>
      </c>
      <c r="BQ700" s="48">
        <f t="shared" si="3949"/>
        <v>6</v>
      </c>
      <c r="BR700" s="48">
        <f t="shared" si="3950"/>
        <v>6</v>
      </c>
      <c r="BS700" s="48">
        <f t="shared" si="3998"/>
        <v>6</v>
      </c>
      <c r="BT700" s="48">
        <f t="shared" si="3952"/>
        <v>25.1</v>
      </c>
      <c r="BU700" s="48">
        <f t="shared" si="3953"/>
        <v>25.1</v>
      </c>
      <c r="BV700" s="48">
        <f t="shared" si="3999"/>
        <v>25.1</v>
      </c>
      <c r="BW700" s="48">
        <f t="shared" si="3955"/>
        <v>47.800000000000004</v>
      </c>
      <c r="BX700" s="48">
        <f t="shared" si="3956"/>
        <v>47.800000000000004</v>
      </c>
      <c r="BY700" s="48">
        <f t="shared" si="4000"/>
        <v>47.800000000000004</v>
      </c>
      <c r="BZ700" s="48">
        <f t="shared" si="3958"/>
        <v>36.700000000000003</v>
      </c>
      <c r="CA700" s="48">
        <f t="shared" si="3959"/>
        <v>36.700000000000003</v>
      </c>
      <c r="CB700" s="48">
        <f t="shared" si="4001"/>
        <v>36.700000000000003</v>
      </c>
      <c r="CC700" s="48">
        <f t="shared" si="3961"/>
        <v>67.8</v>
      </c>
      <c r="CD700" s="48">
        <f t="shared" si="3962"/>
        <v>67.8</v>
      </c>
      <c r="CE700" s="48">
        <f t="shared" si="4002"/>
        <v>67.8</v>
      </c>
      <c r="CF700" s="48">
        <f t="shared" si="3964"/>
        <v>34.400000000000006</v>
      </c>
      <c r="CG700" s="48">
        <f t="shared" si="3965"/>
        <v>34.400000000000006</v>
      </c>
      <c r="CH700" s="48">
        <f t="shared" si="4003"/>
        <v>34.400000000000006</v>
      </c>
      <c r="CI700" s="48">
        <f t="shared" si="3967"/>
        <v>43.5</v>
      </c>
      <c r="CJ700" s="48">
        <f t="shared" si="3968"/>
        <v>43.5</v>
      </c>
      <c r="CK700" s="48">
        <f t="shared" si="4004"/>
        <v>43.5</v>
      </c>
      <c r="CL700" s="48">
        <f t="shared" si="3970"/>
        <v>19</v>
      </c>
      <c r="CM700" s="48">
        <f t="shared" si="3971"/>
        <v>19</v>
      </c>
      <c r="CN700" s="48">
        <f t="shared" si="4005"/>
        <v>19</v>
      </c>
      <c r="CO700" s="406"/>
      <c r="CP700" s="21">
        <f t="shared" si="4031"/>
        <v>1</v>
      </c>
      <c r="CQ700" s="21">
        <f t="shared" si="4032"/>
        <v>3.25</v>
      </c>
      <c r="CR700" s="21">
        <f t="shared" si="4006"/>
        <v>7.75</v>
      </c>
      <c r="CS700" s="21">
        <f t="shared" si="4007"/>
        <v>10.25</v>
      </c>
      <c r="CT700" s="21">
        <f t="shared" si="4008"/>
        <v>11.75</v>
      </c>
      <c r="CU700" s="21">
        <f t="shared" si="4009"/>
        <v>13.75</v>
      </c>
      <c r="CV700" s="21">
        <f t="shared" si="4010"/>
        <v>16.25</v>
      </c>
      <c r="CW700" s="21">
        <f t="shared" si="4011"/>
        <v>23.75</v>
      </c>
      <c r="CX700" s="21">
        <f t="shared" si="4012"/>
        <v>38.85</v>
      </c>
      <c r="CY700" s="21">
        <f t="shared" si="4013"/>
        <v>57.65</v>
      </c>
      <c r="CZ700" s="21">
        <f t="shared" si="4014"/>
        <v>63.65</v>
      </c>
      <c r="DA700" s="21">
        <f t="shared" si="4015"/>
        <v>86.65</v>
      </c>
      <c r="DB700" s="21">
        <f t="shared" si="4033"/>
        <v>13.7</v>
      </c>
      <c r="DC700" s="21">
        <f t="shared" si="4016"/>
        <v>26.2</v>
      </c>
      <c r="DD700" s="21">
        <f t="shared" si="4017"/>
        <v>36.700000000000003</v>
      </c>
      <c r="DE700" s="21">
        <f t="shared" si="4018"/>
        <v>57.5</v>
      </c>
      <c r="DF700" s="21">
        <f t="shared" si="4019"/>
        <v>64.5</v>
      </c>
      <c r="DG700" s="21">
        <f t="shared" si="4020"/>
        <v>104.5</v>
      </c>
      <c r="DH700" s="21">
        <f t="shared" si="4021"/>
        <v>110.9</v>
      </c>
      <c r="DI700" s="21">
        <f t="shared" si="4022"/>
        <v>123.4</v>
      </c>
      <c r="DJ700" s="21">
        <f t="shared" si="4023"/>
        <v>138.9</v>
      </c>
      <c r="DK700" s="21">
        <f t="shared" si="4024"/>
        <v>151.4</v>
      </c>
      <c r="DL700" s="21">
        <f t="shared" si="4025"/>
        <v>164.4</v>
      </c>
      <c r="DM700" s="21">
        <f t="shared" si="4026"/>
        <v>182.4</v>
      </c>
      <c r="DN700" s="21">
        <f t="shared" si="4027"/>
        <v>11.5</v>
      </c>
      <c r="DO700" s="21">
        <f t="shared" si="4028"/>
        <v>19</v>
      </c>
      <c r="DP700" s="21">
        <f t="shared" si="4029"/>
        <v>19</v>
      </c>
      <c r="DQ700" s="248"/>
      <c r="DR700" s="248"/>
      <c r="DS700" s="248"/>
      <c r="DT700" s="248"/>
      <c r="DU700" s="248"/>
      <c r="DV700" s="248"/>
      <c r="DW700" s="248"/>
      <c r="DX700" s="248"/>
      <c r="DY700" s="248"/>
      <c r="ED700" s="429"/>
      <c r="EE700" s="23"/>
      <c r="EF700" s="23"/>
      <c r="EG700" s="23"/>
      <c r="EH700" s="18">
        <f t="shared" si="3938"/>
        <v>7.5</v>
      </c>
      <c r="EI700" s="18">
        <f t="shared" si="3939"/>
        <v>19</v>
      </c>
      <c r="EJ700" s="18">
        <f t="shared" si="3940"/>
        <v>19</v>
      </c>
      <c r="EK700" s="24">
        <f t="shared" si="3983"/>
        <v>0.16666666666666666</v>
      </c>
      <c r="EL700" s="14" t="e">
        <f t="shared" si="3988"/>
        <v>#DIV/0!</v>
      </c>
      <c r="EM700" s="14" t="e">
        <f t="shared" si="3988"/>
        <v>#DIV/0!</v>
      </c>
      <c r="EN700" s="14">
        <f>EJ700/EK700/EG675</f>
        <v>0.50666666666666671</v>
      </c>
      <c r="EO700" s="46" t="str">
        <f t="shared" si="3989"/>
        <v>Ç</v>
      </c>
      <c r="EP700" s="46" t="str">
        <f t="shared" si="3990"/>
        <v>Ç</v>
      </c>
      <c r="EQ700" s="2" t="e">
        <f t="shared" si="3943"/>
        <v>#DIV/0!</v>
      </c>
      <c r="ER700" s="2" t="e">
        <f t="shared" si="3944"/>
        <v>#DIV/0!</v>
      </c>
      <c r="ES700" s="2">
        <f t="shared" si="3945"/>
        <v>3</v>
      </c>
    </row>
    <row r="701" spans="1:150" ht="12.75" customHeight="1">
      <c r="A701" s="6" t="s">
        <v>23</v>
      </c>
      <c r="B701" s="2" t="s">
        <v>11</v>
      </c>
      <c r="C701" s="3" t="s">
        <v>67</v>
      </c>
      <c r="E701" s="3" t="s">
        <v>16</v>
      </c>
      <c r="G701" s="3" t="s">
        <v>91</v>
      </c>
      <c r="I701" s="23"/>
      <c r="J701" s="19">
        <v>8</v>
      </c>
      <c r="K701" s="19">
        <v>12</v>
      </c>
      <c r="L701" s="19">
        <v>22</v>
      </c>
      <c r="M701" s="19">
        <v>25</v>
      </c>
      <c r="N701" s="19">
        <v>30</v>
      </c>
      <c r="O701" s="19">
        <v>35</v>
      </c>
      <c r="P701" s="19">
        <v>40</v>
      </c>
      <c r="Q701" s="19">
        <v>61</v>
      </c>
      <c r="R701" s="19">
        <v>72</v>
      </c>
      <c r="S701" s="19">
        <v>88</v>
      </c>
      <c r="T701" s="19">
        <v>94</v>
      </c>
      <c r="U701" s="19">
        <v>109</v>
      </c>
      <c r="V701" s="31">
        <v>13</v>
      </c>
      <c r="W701" s="19">
        <v>23</v>
      </c>
      <c r="X701" s="19">
        <v>37</v>
      </c>
      <c r="Y701" s="376">
        <v>47</v>
      </c>
      <c r="Z701" s="19">
        <v>63</v>
      </c>
      <c r="AA701" s="19">
        <v>85</v>
      </c>
      <c r="AB701" s="19">
        <v>96</v>
      </c>
      <c r="AC701" s="19">
        <v>114</v>
      </c>
      <c r="AD701" s="19">
        <v>129</v>
      </c>
      <c r="AE701" s="19">
        <v>141</v>
      </c>
      <c r="AF701" s="19">
        <v>155</v>
      </c>
      <c r="AG701" s="19">
        <v>167</v>
      </c>
      <c r="AH701" s="31">
        <v>11</v>
      </c>
      <c r="AI701" s="19">
        <v>21</v>
      </c>
      <c r="AJ701" s="19"/>
      <c r="AK701" s="408"/>
      <c r="AL701" s="19">
        <f t="shared" si="3973"/>
        <v>8</v>
      </c>
      <c r="AM701" s="19">
        <f t="shared" si="4030"/>
        <v>4</v>
      </c>
      <c r="AN701" s="19">
        <f t="shared" si="3993"/>
        <v>10</v>
      </c>
      <c r="AO701" s="19">
        <f t="shared" si="3994"/>
        <v>3</v>
      </c>
      <c r="AP701" s="129">
        <f t="shared" si="3995"/>
        <v>5</v>
      </c>
      <c r="AQ701" s="129">
        <f t="shared" si="3996"/>
        <v>5</v>
      </c>
      <c r="AR701" s="129">
        <f t="shared" si="3917"/>
        <v>5</v>
      </c>
      <c r="AS701" s="129">
        <f t="shared" si="3918"/>
        <v>21</v>
      </c>
      <c r="AT701" s="129">
        <f t="shared" si="3919"/>
        <v>11</v>
      </c>
      <c r="AU701" s="129">
        <f t="shared" si="3920"/>
        <v>16</v>
      </c>
      <c r="AV701" s="129">
        <f t="shared" si="3921"/>
        <v>6</v>
      </c>
      <c r="AW701" s="129">
        <f t="shared" si="3922"/>
        <v>15</v>
      </c>
      <c r="AX701" s="19">
        <f t="shared" si="3974"/>
        <v>13</v>
      </c>
      <c r="AY701" s="129">
        <f t="shared" si="3923"/>
        <v>10</v>
      </c>
      <c r="AZ701" s="129">
        <f t="shared" si="3924"/>
        <v>14</v>
      </c>
      <c r="BA701" s="129">
        <f t="shared" si="3975"/>
        <v>10</v>
      </c>
      <c r="BB701" s="129">
        <f t="shared" si="3925"/>
        <v>16</v>
      </c>
      <c r="BC701" s="129">
        <f t="shared" si="3926"/>
        <v>22</v>
      </c>
      <c r="BD701" s="129">
        <f t="shared" si="3927"/>
        <v>11</v>
      </c>
      <c r="BE701" s="129">
        <f t="shared" si="3928"/>
        <v>18</v>
      </c>
      <c r="BF701" s="129">
        <f t="shared" si="3929"/>
        <v>15</v>
      </c>
      <c r="BG701" s="129">
        <f t="shared" si="3930"/>
        <v>12</v>
      </c>
      <c r="BH701" s="129">
        <f t="shared" si="3931"/>
        <v>14</v>
      </c>
      <c r="BI701" s="129">
        <f t="shared" si="3932"/>
        <v>12</v>
      </c>
      <c r="BJ701" s="19">
        <f t="shared" si="3976"/>
        <v>11</v>
      </c>
      <c r="BK701" s="129">
        <f t="shared" si="3933"/>
        <v>10</v>
      </c>
      <c r="BL701" s="129">
        <f t="shared" si="3934"/>
        <v>0</v>
      </c>
      <c r="BM701" s="408"/>
      <c r="BN701" s="48">
        <f t="shared" si="3946"/>
        <v>22</v>
      </c>
      <c r="BO701" s="48">
        <f t="shared" si="3947"/>
        <v>22</v>
      </c>
      <c r="BP701" s="48">
        <f t="shared" si="3997"/>
        <v>22</v>
      </c>
      <c r="BQ701" s="48">
        <f t="shared" si="3949"/>
        <v>13</v>
      </c>
      <c r="BR701" s="48">
        <f t="shared" si="3950"/>
        <v>13</v>
      </c>
      <c r="BS701" s="48">
        <f t="shared" si="3998"/>
        <v>13</v>
      </c>
      <c r="BT701" s="48">
        <f t="shared" si="3952"/>
        <v>37</v>
      </c>
      <c r="BU701" s="48">
        <f t="shared" si="3953"/>
        <v>37</v>
      </c>
      <c r="BV701" s="48">
        <f t="shared" si="3999"/>
        <v>37</v>
      </c>
      <c r="BW701" s="48">
        <f t="shared" si="3955"/>
        <v>37</v>
      </c>
      <c r="BX701" s="48">
        <f t="shared" si="3956"/>
        <v>37</v>
      </c>
      <c r="BY701" s="48">
        <f t="shared" si="4000"/>
        <v>37</v>
      </c>
      <c r="BZ701" s="48">
        <f t="shared" si="3958"/>
        <v>37</v>
      </c>
      <c r="CA701" s="48">
        <f t="shared" si="3959"/>
        <v>37</v>
      </c>
      <c r="CB701" s="48">
        <f t="shared" si="4001"/>
        <v>37</v>
      </c>
      <c r="CC701" s="48">
        <f t="shared" si="3961"/>
        <v>48</v>
      </c>
      <c r="CD701" s="48">
        <f t="shared" si="3962"/>
        <v>48</v>
      </c>
      <c r="CE701" s="48">
        <f t="shared" si="4002"/>
        <v>48</v>
      </c>
      <c r="CF701" s="48">
        <f t="shared" si="3964"/>
        <v>44</v>
      </c>
      <c r="CG701" s="48">
        <f t="shared" si="3965"/>
        <v>44</v>
      </c>
      <c r="CH701" s="48">
        <f t="shared" si="4003"/>
        <v>44</v>
      </c>
      <c r="CI701" s="48">
        <f t="shared" si="3967"/>
        <v>38</v>
      </c>
      <c r="CJ701" s="48">
        <f t="shared" si="3968"/>
        <v>38</v>
      </c>
      <c r="CK701" s="48">
        <f t="shared" si="4004"/>
        <v>38</v>
      </c>
      <c r="CL701" s="48">
        <f t="shared" si="3970"/>
        <v>21</v>
      </c>
      <c r="CM701" s="48">
        <f t="shared" si="3971"/>
        <v>21</v>
      </c>
      <c r="CN701" s="48">
        <f t="shared" si="4005"/>
        <v>21</v>
      </c>
      <c r="CO701" s="406"/>
      <c r="CP701" s="21">
        <f t="shared" si="4031"/>
        <v>8</v>
      </c>
      <c r="CQ701" s="21">
        <f t="shared" si="4032"/>
        <v>12</v>
      </c>
      <c r="CR701" s="21">
        <f t="shared" si="4006"/>
        <v>22</v>
      </c>
      <c r="CS701" s="21">
        <f t="shared" si="4007"/>
        <v>25</v>
      </c>
      <c r="CT701" s="21">
        <f t="shared" si="4008"/>
        <v>30</v>
      </c>
      <c r="CU701" s="21">
        <f t="shared" si="4009"/>
        <v>35</v>
      </c>
      <c r="CV701" s="21">
        <f t="shared" si="4010"/>
        <v>40</v>
      </c>
      <c r="CW701" s="21">
        <f t="shared" si="4011"/>
        <v>61</v>
      </c>
      <c r="CX701" s="21">
        <f t="shared" si="4012"/>
        <v>72</v>
      </c>
      <c r="CY701" s="21">
        <f t="shared" si="4013"/>
        <v>88</v>
      </c>
      <c r="CZ701" s="21">
        <f t="shared" si="4014"/>
        <v>94</v>
      </c>
      <c r="DA701" s="21">
        <f t="shared" si="4015"/>
        <v>109</v>
      </c>
      <c r="DB701" s="21">
        <f t="shared" si="4033"/>
        <v>13</v>
      </c>
      <c r="DC701" s="21">
        <f t="shared" si="4016"/>
        <v>23</v>
      </c>
      <c r="DD701" s="21">
        <f t="shared" si="4017"/>
        <v>37</v>
      </c>
      <c r="DE701" s="21">
        <f t="shared" si="4018"/>
        <v>47</v>
      </c>
      <c r="DF701" s="21">
        <f t="shared" si="4019"/>
        <v>63</v>
      </c>
      <c r="DG701" s="21">
        <f t="shared" si="4020"/>
        <v>85</v>
      </c>
      <c r="DH701" s="21">
        <f t="shared" si="4021"/>
        <v>96</v>
      </c>
      <c r="DI701" s="21">
        <f t="shared" si="4022"/>
        <v>114</v>
      </c>
      <c r="DJ701" s="21">
        <f t="shared" si="4023"/>
        <v>129</v>
      </c>
      <c r="DK701" s="21">
        <f t="shared" si="4024"/>
        <v>141</v>
      </c>
      <c r="DL701" s="21">
        <f t="shared" si="4025"/>
        <v>155</v>
      </c>
      <c r="DM701" s="21">
        <f t="shared" si="4026"/>
        <v>167</v>
      </c>
      <c r="DN701" s="21">
        <f t="shared" si="4027"/>
        <v>11</v>
      </c>
      <c r="DO701" s="21">
        <f t="shared" si="4028"/>
        <v>21</v>
      </c>
      <c r="DP701" s="21">
        <f t="shared" si="4029"/>
        <v>21</v>
      </c>
      <c r="DQ701" s="248"/>
      <c r="DR701" s="248"/>
      <c r="DS701" s="248"/>
      <c r="DT701" s="248"/>
      <c r="DU701" s="248"/>
      <c r="DV701" s="248"/>
      <c r="DW701" s="248"/>
      <c r="DX701" s="248"/>
      <c r="DY701" s="248"/>
      <c r="ED701" s="429"/>
      <c r="EE701" s="23"/>
      <c r="EF701" s="23"/>
      <c r="EG701" s="23"/>
      <c r="EH701" s="18">
        <f t="shared" si="3938"/>
        <v>10</v>
      </c>
      <c r="EI701" s="18">
        <f t="shared" si="3939"/>
        <v>21</v>
      </c>
      <c r="EJ701" s="18">
        <f t="shared" si="3940"/>
        <v>21</v>
      </c>
      <c r="EK701" s="24">
        <f t="shared" si="3983"/>
        <v>0.16666666666666666</v>
      </c>
      <c r="EL701" s="14" t="e">
        <f t="shared" si="3988"/>
        <v>#DIV/0!</v>
      </c>
      <c r="EM701" s="14" t="e">
        <f t="shared" si="3988"/>
        <v>#DIV/0!</v>
      </c>
      <c r="EN701" s="14">
        <f>EJ701/EG676</f>
        <v>0.30882336288936324</v>
      </c>
      <c r="EO701" s="46" t="str">
        <f t="shared" si="3989"/>
        <v>Ç</v>
      </c>
      <c r="EP701" s="46" t="str">
        <f t="shared" si="3990"/>
        <v>Ç</v>
      </c>
      <c r="EQ701" s="2" t="e">
        <f t="shared" si="3943"/>
        <v>#DIV/0!</v>
      </c>
      <c r="ER701" s="2" t="e">
        <f t="shared" si="3944"/>
        <v>#DIV/0!</v>
      </c>
      <c r="ES701" s="2">
        <f t="shared" si="3945"/>
        <v>3</v>
      </c>
    </row>
    <row r="702" spans="1:150" ht="12.75" customHeight="1">
      <c r="A702" s="6" t="s">
        <v>23</v>
      </c>
      <c r="B702" s="2" t="s">
        <v>12</v>
      </c>
      <c r="C702" s="3" t="s">
        <v>68</v>
      </c>
      <c r="E702" s="3" t="s">
        <v>16</v>
      </c>
      <c r="G702" s="3" t="s">
        <v>91</v>
      </c>
      <c r="I702" s="23"/>
      <c r="J702" s="19">
        <v>6</v>
      </c>
      <c r="K702" s="19">
        <v>11</v>
      </c>
      <c r="L702" s="19">
        <v>20</v>
      </c>
      <c r="M702" s="19">
        <v>23</v>
      </c>
      <c r="N702" s="19">
        <v>27</v>
      </c>
      <c r="O702" s="19">
        <v>32</v>
      </c>
      <c r="P702" s="19">
        <v>36</v>
      </c>
      <c r="Q702" s="19">
        <v>53</v>
      </c>
      <c r="R702" s="19">
        <v>62</v>
      </c>
      <c r="S702" s="19">
        <v>74</v>
      </c>
      <c r="T702" s="19">
        <v>78</v>
      </c>
      <c r="U702" s="19">
        <v>87</v>
      </c>
      <c r="V702" s="31">
        <v>4</v>
      </c>
      <c r="W702" s="19">
        <v>12</v>
      </c>
      <c r="X702" s="19">
        <v>17</v>
      </c>
      <c r="Y702" s="376">
        <v>28</v>
      </c>
      <c r="Z702" s="19">
        <v>38</v>
      </c>
      <c r="AA702" s="19">
        <v>60</v>
      </c>
      <c r="AB702" s="19">
        <v>67</v>
      </c>
      <c r="AC702" s="19">
        <v>79</v>
      </c>
      <c r="AD702" s="19">
        <v>89</v>
      </c>
      <c r="AE702" s="19">
        <v>101</v>
      </c>
      <c r="AF702" s="19">
        <v>109</v>
      </c>
      <c r="AG702" s="19">
        <v>116</v>
      </c>
      <c r="AH702" s="31">
        <v>7</v>
      </c>
      <c r="AI702" s="19">
        <v>19</v>
      </c>
      <c r="AJ702" s="19"/>
      <c r="AK702" s="408"/>
      <c r="AL702" s="19">
        <f t="shared" si="3973"/>
        <v>6</v>
      </c>
      <c r="AM702" s="19">
        <f t="shared" si="4030"/>
        <v>5</v>
      </c>
      <c r="AN702" s="19">
        <f t="shared" si="3993"/>
        <v>9</v>
      </c>
      <c r="AO702" s="19">
        <f t="shared" si="3994"/>
        <v>3</v>
      </c>
      <c r="AP702" s="129">
        <f t="shared" si="3995"/>
        <v>4</v>
      </c>
      <c r="AQ702" s="129">
        <f t="shared" si="3996"/>
        <v>5</v>
      </c>
      <c r="AR702" s="129">
        <f t="shared" si="3917"/>
        <v>4</v>
      </c>
      <c r="AS702" s="129">
        <f t="shared" si="3918"/>
        <v>17</v>
      </c>
      <c r="AT702" s="129">
        <f t="shared" si="3919"/>
        <v>9</v>
      </c>
      <c r="AU702" s="129">
        <f t="shared" si="3920"/>
        <v>12</v>
      </c>
      <c r="AV702" s="129">
        <f t="shared" si="3921"/>
        <v>4</v>
      </c>
      <c r="AW702" s="129">
        <f t="shared" si="3922"/>
        <v>9</v>
      </c>
      <c r="AX702" s="19">
        <f t="shared" si="3974"/>
        <v>4</v>
      </c>
      <c r="AY702" s="129">
        <f t="shared" si="3923"/>
        <v>8</v>
      </c>
      <c r="AZ702" s="129">
        <f t="shared" si="3924"/>
        <v>5</v>
      </c>
      <c r="BA702" s="129">
        <f t="shared" si="3975"/>
        <v>11</v>
      </c>
      <c r="BB702" s="129">
        <f t="shared" si="3925"/>
        <v>10</v>
      </c>
      <c r="BC702" s="129">
        <f t="shared" si="3926"/>
        <v>22</v>
      </c>
      <c r="BD702" s="129">
        <f t="shared" si="3927"/>
        <v>7</v>
      </c>
      <c r="BE702" s="129">
        <f t="shared" si="3928"/>
        <v>12</v>
      </c>
      <c r="BF702" s="129">
        <f t="shared" si="3929"/>
        <v>10</v>
      </c>
      <c r="BG702" s="129">
        <f t="shared" si="3930"/>
        <v>12</v>
      </c>
      <c r="BH702" s="129">
        <f t="shared" si="3931"/>
        <v>8</v>
      </c>
      <c r="BI702" s="129">
        <f t="shared" si="3932"/>
        <v>7</v>
      </c>
      <c r="BJ702" s="19">
        <f t="shared" si="3976"/>
        <v>7</v>
      </c>
      <c r="BK702" s="129">
        <f t="shared" si="3933"/>
        <v>12</v>
      </c>
      <c r="BL702" s="129">
        <f t="shared" si="3934"/>
        <v>0</v>
      </c>
      <c r="BM702" s="408"/>
      <c r="BN702" s="48">
        <f t="shared" si="3946"/>
        <v>20</v>
      </c>
      <c r="BO702" s="48">
        <f t="shared" si="3947"/>
        <v>20</v>
      </c>
      <c r="BP702" s="48">
        <f t="shared" si="3997"/>
        <v>20</v>
      </c>
      <c r="BQ702" s="48">
        <f t="shared" si="3949"/>
        <v>12</v>
      </c>
      <c r="BR702" s="48">
        <f t="shared" si="3950"/>
        <v>12</v>
      </c>
      <c r="BS702" s="48">
        <f t="shared" si="3998"/>
        <v>12</v>
      </c>
      <c r="BT702" s="48">
        <f t="shared" si="3952"/>
        <v>30</v>
      </c>
      <c r="BU702" s="48">
        <f t="shared" si="3953"/>
        <v>30</v>
      </c>
      <c r="BV702" s="48">
        <f t="shared" si="3999"/>
        <v>30</v>
      </c>
      <c r="BW702" s="48">
        <f t="shared" si="3955"/>
        <v>25</v>
      </c>
      <c r="BX702" s="48">
        <f t="shared" si="3956"/>
        <v>25</v>
      </c>
      <c r="BY702" s="48">
        <f t="shared" si="4000"/>
        <v>25</v>
      </c>
      <c r="BZ702" s="48">
        <f t="shared" si="3958"/>
        <v>17</v>
      </c>
      <c r="CA702" s="48">
        <f t="shared" si="3959"/>
        <v>17</v>
      </c>
      <c r="CB702" s="48">
        <f t="shared" si="4001"/>
        <v>17</v>
      </c>
      <c r="CC702" s="48">
        <f t="shared" si="3961"/>
        <v>43</v>
      </c>
      <c r="CD702" s="48">
        <f t="shared" si="3962"/>
        <v>43</v>
      </c>
      <c r="CE702" s="48">
        <f t="shared" si="4002"/>
        <v>43</v>
      </c>
      <c r="CF702" s="48">
        <f t="shared" si="3964"/>
        <v>29</v>
      </c>
      <c r="CG702" s="48">
        <f t="shared" si="3965"/>
        <v>29</v>
      </c>
      <c r="CH702" s="48">
        <f t="shared" si="4003"/>
        <v>29</v>
      </c>
      <c r="CI702" s="48">
        <f t="shared" si="3967"/>
        <v>27</v>
      </c>
      <c r="CJ702" s="48">
        <f t="shared" si="3968"/>
        <v>27</v>
      </c>
      <c r="CK702" s="48">
        <f t="shared" si="4004"/>
        <v>27</v>
      </c>
      <c r="CL702" s="48">
        <f t="shared" si="3970"/>
        <v>19</v>
      </c>
      <c r="CM702" s="48">
        <f t="shared" si="3971"/>
        <v>19</v>
      </c>
      <c r="CN702" s="48">
        <f t="shared" si="4005"/>
        <v>19</v>
      </c>
      <c r="CO702" s="406"/>
      <c r="CP702" s="21">
        <f t="shared" si="4031"/>
        <v>6</v>
      </c>
      <c r="CQ702" s="21">
        <f t="shared" si="4032"/>
        <v>11</v>
      </c>
      <c r="CR702" s="21">
        <f t="shared" si="4006"/>
        <v>20</v>
      </c>
      <c r="CS702" s="21">
        <f t="shared" si="4007"/>
        <v>23</v>
      </c>
      <c r="CT702" s="21">
        <f t="shared" si="4008"/>
        <v>27</v>
      </c>
      <c r="CU702" s="21">
        <f t="shared" si="4009"/>
        <v>32</v>
      </c>
      <c r="CV702" s="21">
        <f t="shared" si="4010"/>
        <v>36</v>
      </c>
      <c r="CW702" s="21">
        <f t="shared" si="4011"/>
        <v>53</v>
      </c>
      <c r="CX702" s="21">
        <f t="shared" si="4012"/>
        <v>62</v>
      </c>
      <c r="CY702" s="21">
        <f t="shared" si="4013"/>
        <v>74</v>
      </c>
      <c r="CZ702" s="21">
        <f t="shared" si="4014"/>
        <v>78</v>
      </c>
      <c r="DA702" s="21">
        <f t="shared" si="4015"/>
        <v>87</v>
      </c>
      <c r="DB702" s="21">
        <f t="shared" si="4033"/>
        <v>4</v>
      </c>
      <c r="DC702" s="21">
        <f t="shared" si="4016"/>
        <v>12</v>
      </c>
      <c r="DD702" s="21">
        <f t="shared" si="4017"/>
        <v>17</v>
      </c>
      <c r="DE702" s="21">
        <f t="shared" si="4018"/>
        <v>28</v>
      </c>
      <c r="DF702" s="21">
        <f t="shared" si="4019"/>
        <v>38</v>
      </c>
      <c r="DG702" s="21">
        <f t="shared" si="4020"/>
        <v>60</v>
      </c>
      <c r="DH702" s="21">
        <f t="shared" si="4021"/>
        <v>67</v>
      </c>
      <c r="DI702" s="21">
        <f t="shared" si="4022"/>
        <v>79</v>
      </c>
      <c r="DJ702" s="21">
        <f t="shared" si="4023"/>
        <v>89</v>
      </c>
      <c r="DK702" s="21">
        <f t="shared" si="4024"/>
        <v>101</v>
      </c>
      <c r="DL702" s="21">
        <f t="shared" si="4025"/>
        <v>109</v>
      </c>
      <c r="DM702" s="21">
        <f t="shared" si="4026"/>
        <v>116</v>
      </c>
      <c r="DN702" s="21">
        <f t="shared" si="4027"/>
        <v>7</v>
      </c>
      <c r="DO702" s="21">
        <f t="shared" si="4028"/>
        <v>19</v>
      </c>
      <c r="DP702" s="21">
        <f t="shared" si="4029"/>
        <v>19</v>
      </c>
      <c r="DQ702" s="248"/>
      <c r="DR702" s="248"/>
      <c r="DS702" s="248"/>
      <c r="DT702" s="248"/>
      <c r="DU702" s="248"/>
      <c r="DV702" s="248"/>
      <c r="DW702" s="248"/>
      <c r="DX702" s="248"/>
      <c r="DY702" s="248"/>
      <c r="ED702" s="429"/>
      <c r="EE702" s="23"/>
      <c r="EF702" s="23"/>
      <c r="EG702" s="23"/>
      <c r="EH702" s="18">
        <f t="shared" si="3938"/>
        <v>12</v>
      </c>
      <c r="EI702" s="18">
        <f t="shared" si="3939"/>
        <v>19</v>
      </c>
      <c r="EJ702" s="18">
        <f t="shared" si="3940"/>
        <v>19</v>
      </c>
      <c r="EK702" s="24">
        <f t="shared" si="3983"/>
        <v>0.16666666666666666</v>
      </c>
      <c r="EL702" s="14" t="e">
        <f t="shared" si="3988"/>
        <v>#DIV/0!</v>
      </c>
      <c r="EM702" s="14" t="e">
        <f t="shared" si="3988"/>
        <v>#DIV/0!</v>
      </c>
      <c r="EN702" s="14">
        <f t="shared" si="3988"/>
        <v>0.24675312925175671</v>
      </c>
      <c r="EO702" s="46" t="str">
        <f t="shared" si="3989"/>
        <v>Ç</v>
      </c>
      <c r="EP702" s="46" t="str">
        <f t="shared" si="3990"/>
        <v>Ç</v>
      </c>
      <c r="EQ702" s="2" t="e">
        <f t="shared" si="3943"/>
        <v>#DIV/0!</v>
      </c>
      <c r="ER702" s="2" t="e">
        <f t="shared" si="3944"/>
        <v>#DIV/0!</v>
      </c>
      <c r="ES702" s="2">
        <f t="shared" si="3945"/>
        <v>3</v>
      </c>
    </row>
    <row r="703" spans="1:150" ht="12.75" customHeight="1">
      <c r="A703" s="6" t="s">
        <v>23</v>
      </c>
      <c r="B703" s="2" t="s">
        <v>17</v>
      </c>
      <c r="C703" s="3" t="s">
        <v>69</v>
      </c>
      <c r="E703" s="3" t="s">
        <v>18</v>
      </c>
      <c r="G703" s="3" t="s">
        <v>91</v>
      </c>
      <c r="I703" s="23"/>
      <c r="J703" s="19">
        <v>0</v>
      </c>
      <c r="K703" s="19">
        <v>0</v>
      </c>
      <c r="L703" s="19">
        <v>2</v>
      </c>
      <c r="M703" s="19">
        <v>2</v>
      </c>
      <c r="N703" s="19">
        <v>2</v>
      </c>
      <c r="O703" s="19">
        <v>2</v>
      </c>
      <c r="P703" s="19">
        <v>4</v>
      </c>
      <c r="Q703" s="19">
        <v>4</v>
      </c>
      <c r="R703" s="246">
        <v>4</v>
      </c>
      <c r="S703" s="19">
        <v>4</v>
      </c>
      <c r="T703" s="19">
        <v>7</v>
      </c>
      <c r="U703" s="19">
        <v>7</v>
      </c>
      <c r="V703" s="31">
        <v>0</v>
      </c>
      <c r="W703" s="19">
        <v>2</v>
      </c>
      <c r="X703" s="19">
        <v>2</v>
      </c>
      <c r="Y703" s="376">
        <v>2</v>
      </c>
      <c r="Z703" s="19">
        <v>2</v>
      </c>
      <c r="AA703" s="19">
        <v>2</v>
      </c>
      <c r="AB703" s="19">
        <v>4</v>
      </c>
      <c r="AC703" s="19">
        <v>4</v>
      </c>
      <c r="AD703" s="19">
        <v>4</v>
      </c>
      <c r="AE703" s="19">
        <v>4</v>
      </c>
      <c r="AF703" s="19"/>
      <c r="AG703" s="19">
        <v>2</v>
      </c>
      <c r="AH703" s="31"/>
      <c r="AI703" s="19"/>
      <c r="AJ703" s="19"/>
      <c r="AK703" s="408"/>
      <c r="AL703" s="19">
        <f t="shared" si="3973"/>
        <v>0</v>
      </c>
      <c r="AM703" s="19">
        <f t="shared" si="4030"/>
        <v>0</v>
      </c>
      <c r="AN703" s="19">
        <f t="shared" si="3993"/>
        <v>2</v>
      </c>
      <c r="AO703" s="19">
        <f t="shared" si="3994"/>
        <v>0</v>
      </c>
      <c r="AP703" s="129">
        <f t="shared" si="3995"/>
        <v>0</v>
      </c>
      <c r="AQ703" s="129">
        <f t="shared" si="3996"/>
        <v>0</v>
      </c>
      <c r="AR703" s="129">
        <f t="shared" si="3917"/>
        <v>2</v>
      </c>
      <c r="AS703" s="129">
        <f t="shared" si="3918"/>
        <v>0</v>
      </c>
      <c r="AT703" s="129">
        <f t="shared" si="3919"/>
        <v>0</v>
      </c>
      <c r="AU703" s="129">
        <f t="shared" si="3920"/>
        <v>0</v>
      </c>
      <c r="AV703" s="129">
        <f t="shared" si="3921"/>
        <v>3</v>
      </c>
      <c r="AW703" s="129">
        <f t="shared" si="3922"/>
        <v>0</v>
      </c>
      <c r="AX703" s="19">
        <f t="shared" si="3974"/>
        <v>0</v>
      </c>
      <c r="AY703" s="129">
        <f t="shared" si="3923"/>
        <v>2</v>
      </c>
      <c r="AZ703" s="129">
        <f t="shared" si="3924"/>
        <v>0</v>
      </c>
      <c r="BA703" s="129">
        <f t="shared" si="3975"/>
        <v>0</v>
      </c>
      <c r="BB703" s="129">
        <f t="shared" si="3925"/>
        <v>0</v>
      </c>
      <c r="BC703" s="129">
        <f t="shared" si="3926"/>
        <v>0</v>
      </c>
      <c r="BD703" s="129">
        <f t="shared" si="3927"/>
        <v>2</v>
      </c>
      <c r="BE703" s="129">
        <f t="shared" si="3928"/>
        <v>0</v>
      </c>
      <c r="BF703" s="129">
        <f t="shared" si="3929"/>
        <v>0</v>
      </c>
      <c r="BG703" s="129">
        <f t="shared" si="3930"/>
        <v>0</v>
      </c>
      <c r="BH703" s="129">
        <f t="shared" si="3931"/>
        <v>0</v>
      </c>
      <c r="BI703" s="129">
        <f t="shared" si="3932"/>
        <v>2</v>
      </c>
      <c r="BJ703" s="19">
        <f t="shared" si="3976"/>
        <v>0</v>
      </c>
      <c r="BK703" s="129">
        <f t="shared" si="3933"/>
        <v>0</v>
      </c>
      <c r="BL703" s="129">
        <f t="shared" si="3934"/>
        <v>0</v>
      </c>
      <c r="BM703" s="408"/>
      <c r="BN703" s="48">
        <f t="shared" si="3946"/>
        <v>2</v>
      </c>
      <c r="BO703" s="48">
        <f t="shared" si="3947"/>
        <v>2</v>
      </c>
      <c r="BP703" s="48">
        <f t="shared" si="3997"/>
        <v>2</v>
      </c>
      <c r="BQ703" s="48">
        <f t="shared" si="3949"/>
        <v>0</v>
      </c>
      <c r="BR703" s="48">
        <f t="shared" si="3950"/>
        <v>0</v>
      </c>
      <c r="BS703" s="48">
        <f t="shared" si="3998"/>
        <v>0</v>
      </c>
      <c r="BT703" s="48">
        <f t="shared" si="3952"/>
        <v>2</v>
      </c>
      <c r="BU703" s="48">
        <f t="shared" si="3953"/>
        <v>2</v>
      </c>
      <c r="BV703" s="48">
        <f t="shared" si="3999"/>
        <v>2</v>
      </c>
      <c r="BW703" s="48">
        <f t="shared" si="3955"/>
        <v>3</v>
      </c>
      <c r="BX703" s="48">
        <f t="shared" si="3956"/>
        <v>3</v>
      </c>
      <c r="BY703" s="48">
        <f t="shared" si="4000"/>
        <v>3</v>
      </c>
      <c r="BZ703" s="48">
        <f t="shared" si="3958"/>
        <v>2</v>
      </c>
      <c r="CA703" s="48">
        <f t="shared" si="3959"/>
        <v>2</v>
      </c>
      <c r="CB703" s="48">
        <f t="shared" si="4001"/>
        <v>2</v>
      </c>
      <c r="CC703" s="48">
        <f t="shared" si="3961"/>
        <v>0</v>
      </c>
      <c r="CD703" s="48">
        <f t="shared" si="3962"/>
        <v>0</v>
      </c>
      <c r="CE703" s="48">
        <f t="shared" si="4002"/>
        <v>0</v>
      </c>
      <c r="CF703" s="48">
        <f t="shared" si="3964"/>
        <v>2</v>
      </c>
      <c r="CG703" s="48">
        <f t="shared" si="3965"/>
        <v>2</v>
      </c>
      <c r="CH703" s="48">
        <f t="shared" si="4003"/>
        <v>2</v>
      </c>
      <c r="CI703" s="48">
        <f t="shared" si="3967"/>
        <v>2</v>
      </c>
      <c r="CJ703" s="48">
        <f t="shared" si="3968"/>
        <v>2</v>
      </c>
      <c r="CK703" s="48">
        <f t="shared" si="4004"/>
        <v>2</v>
      </c>
      <c r="CL703" s="48">
        <f t="shared" si="3970"/>
        <v>0</v>
      </c>
      <c r="CM703" s="48">
        <f t="shared" si="3971"/>
        <v>0</v>
      </c>
      <c r="CN703" s="48">
        <f t="shared" si="4005"/>
        <v>0</v>
      </c>
      <c r="CO703" s="406"/>
      <c r="CP703" s="21">
        <f t="shared" si="4031"/>
        <v>0</v>
      </c>
      <c r="CQ703" s="21">
        <f t="shared" si="4032"/>
        <v>0</v>
      </c>
      <c r="CR703" s="21">
        <f t="shared" si="4006"/>
        <v>2</v>
      </c>
      <c r="CS703" s="21">
        <f t="shared" si="4007"/>
        <v>2</v>
      </c>
      <c r="CT703" s="21">
        <f t="shared" si="4008"/>
        <v>2</v>
      </c>
      <c r="CU703" s="21">
        <f t="shared" si="4009"/>
        <v>2</v>
      </c>
      <c r="CV703" s="21">
        <f t="shared" si="4010"/>
        <v>4</v>
      </c>
      <c r="CW703" s="21">
        <f t="shared" si="4011"/>
        <v>4</v>
      </c>
      <c r="CX703" s="21">
        <f t="shared" si="4012"/>
        <v>4</v>
      </c>
      <c r="CY703" s="21">
        <f t="shared" si="4013"/>
        <v>4</v>
      </c>
      <c r="CZ703" s="21">
        <f t="shared" si="4014"/>
        <v>7</v>
      </c>
      <c r="DA703" s="21">
        <f t="shared" si="4015"/>
        <v>7</v>
      </c>
      <c r="DB703" s="21">
        <f t="shared" si="4033"/>
        <v>0</v>
      </c>
      <c r="DC703" s="21">
        <f t="shared" si="4016"/>
        <v>2</v>
      </c>
      <c r="DD703" s="21">
        <f t="shared" si="4017"/>
        <v>2</v>
      </c>
      <c r="DE703" s="21">
        <f t="shared" si="4018"/>
        <v>2</v>
      </c>
      <c r="DF703" s="21">
        <f t="shared" si="4019"/>
        <v>2</v>
      </c>
      <c r="DG703" s="21">
        <f t="shared" si="4020"/>
        <v>2</v>
      </c>
      <c r="DH703" s="21">
        <f t="shared" si="4021"/>
        <v>4</v>
      </c>
      <c r="DI703" s="21">
        <f t="shared" si="4022"/>
        <v>4</v>
      </c>
      <c r="DJ703" s="21">
        <f t="shared" si="4023"/>
        <v>4</v>
      </c>
      <c r="DK703" s="21">
        <f t="shared" si="4024"/>
        <v>4</v>
      </c>
      <c r="DL703" s="21">
        <f t="shared" si="4025"/>
        <v>4</v>
      </c>
      <c r="DM703" s="21">
        <f t="shared" si="4026"/>
        <v>6</v>
      </c>
      <c r="DN703" s="21">
        <f t="shared" si="4027"/>
        <v>0</v>
      </c>
      <c r="DO703" s="21">
        <f t="shared" si="4028"/>
        <v>0</v>
      </c>
      <c r="DP703" s="21">
        <f t="shared" si="4029"/>
        <v>0</v>
      </c>
      <c r="DQ703" s="248"/>
      <c r="DR703" s="248"/>
      <c r="DS703" s="248"/>
      <c r="DT703" s="248"/>
      <c r="DU703" s="248"/>
      <c r="DV703" s="248"/>
      <c r="DW703" s="248"/>
      <c r="DX703" s="248"/>
      <c r="DY703" s="248"/>
      <c r="ED703" s="429"/>
      <c r="EE703" s="23"/>
      <c r="EF703" s="23"/>
      <c r="EG703" s="23"/>
      <c r="EH703" s="18">
        <f t="shared" si="3938"/>
        <v>0</v>
      </c>
      <c r="EI703" s="18">
        <f t="shared" si="3939"/>
        <v>0</v>
      </c>
      <c r="EJ703" s="18">
        <f t="shared" si="3940"/>
        <v>0</v>
      </c>
      <c r="EK703" s="24">
        <f t="shared" si="3983"/>
        <v>0.16666666666666666</v>
      </c>
      <c r="EL703" s="14">
        <f>IF(EE678=0,0,EH703/EE678)</f>
        <v>0</v>
      </c>
      <c r="EM703" s="14" t="str">
        <f>IF(EF678=0,"",EI703/EF678)</f>
        <v/>
      </c>
      <c r="EN703" s="14">
        <f t="shared" si="3988"/>
        <v>0</v>
      </c>
      <c r="EO703" s="46" t="str">
        <f t="shared" si="3989"/>
        <v>Æ</v>
      </c>
      <c r="EP703" s="46" t="str">
        <f t="shared" si="3990"/>
        <v>Æ</v>
      </c>
      <c r="EQ703" s="24" t="str">
        <f>IF(EJ678&lt;&gt;0,EM703/EJ678,"N/A")</f>
        <v>N/A</v>
      </c>
      <c r="ER703" s="2">
        <f>IF(EM703&gt;=0.9,1,IF(EM703&gt;0.75,2,3))</f>
        <v>1</v>
      </c>
      <c r="ES703" s="2">
        <f>IF(EN703="","",IF(EN703&gt;=0.9,1,IF(EN703&lt;0.75,3,2)))</f>
        <v>3</v>
      </c>
    </row>
    <row r="704" spans="1:150" ht="12.75" customHeight="1">
      <c r="A704" s="6" t="s">
        <v>23</v>
      </c>
      <c r="B704" s="324" t="s">
        <v>202</v>
      </c>
      <c r="C704" s="3" t="s">
        <v>70</v>
      </c>
      <c r="E704" s="3" t="s">
        <v>15</v>
      </c>
      <c r="G704" s="3" t="s">
        <v>91</v>
      </c>
      <c r="I704" s="23"/>
      <c r="J704" s="19">
        <v>0</v>
      </c>
      <c r="K704" s="19">
        <v>0</v>
      </c>
      <c r="L704" s="19">
        <v>0</v>
      </c>
      <c r="M704" s="19">
        <v>0</v>
      </c>
      <c r="N704" s="19">
        <v>0</v>
      </c>
      <c r="O704" s="19">
        <v>0</v>
      </c>
      <c r="P704" s="19">
        <v>0</v>
      </c>
      <c r="Q704" s="19">
        <v>0</v>
      </c>
      <c r="R704" s="246">
        <v>2</v>
      </c>
      <c r="S704" s="19">
        <v>2</v>
      </c>
      <c r="T704" s="19">
        <v>2</v>
      </c>
      <c r="U704" s="19">
        <v>4</v>
      </c>
      <c r="V704" s="31">
        <v>0</v>
      </c>
      <c r="W704" s="19">
        <v>0</v>
      </c>
      <c r="X704" s="19">
        <v>0</v>
      </c>
      <c r="Y704" s="376">
        <v>0</v>
      </c>
      <c r="Z704" s="19">
        <v>0</v>
      </c>
      <c r="AA704" s="19">
        <v>0</v>
      </c>
      <c r="AB704" s="19">
        <v>2</v>
      </c>
      <c r="AC704" s="19">
        <v>2</v>
      </c>
      <c r="AD704" s="19">
        <v>2</v>
      </c>
      <c r="AE704" s="19">
        <v>2</v>
      </c>
      <c r="AF704" s="19">
        <v>2</v>
      </c>
      <c r="AG704" s="19">
        <v>4</v>
      </c>
      <c r="AH704" s="31"/>
      <c r="AI704" s="19"/>
      <c r="AJ704" s="19"/>
      <c r="AK704" s="408"/>
      <c r="AL704" s="40">
        <f t="shared" si="3973"/>
        <v>0</v>
      </c>
      <c r="AM704" s="40">
        <f t="shared" si="4030"/>
        <v>0</v>
      </c>
      <c r="AN704" s="40">
        <f t="shared" si="3993"/>
        <v>0</v>
      </c>
      <c r="AO704" s="40">
        <f t="shared" si="3994"/>
        <v>0</v>
      </c>
      <c r="AP704" s="40">
        <f t="shared" ref="AP704:AW704" si="4034">N704-M704</f>
        <v>0</v>
      </c>
      <c r="AQ704" s="40">
        <f t="shared" si="4034"/>
        <v>0</v>
      </c>
      <c r="AR704" s="40">
        <f t="shared" si="4034"/>
        <v>0</v>
      </c>
      <c r="AS704" s="40">
        <f t="shared" si="4034"/>
        <v>0</v>
      </c>
      <c r="AT704" s="40">
        <f t="shared" si="4034"/>
        <v>2</v>
      </c>
      <c r="AU704" s="40">
        <f t="shared" si="4034"/>
        <v>0</v>
      </c>
      <c r="AV704" s="40">
        <f t="shared" si="4034"/>
        <v>0</v>
      </c>
      <c r="AW704" s="40">
        <f t="shared" si="4034"/>
        <v>2</v>
      </c>
      <c r="AX704" s="40">
        <f t="shared" si="3974"/>
        <v>0</v>
      </c>
      <c r="AY704" s="40">
        <f t="shared" ref="AY704:BL705" si="4035">W704-V704</f>
        <v>0</v>
      </c>
      <c r="AZ704" s="40">
        <f t="shared" si="4035"/>
        <v>0</v>
      </c>
      <c r="BA704" s="40">
        <f t="shared" si="4035"/>
        <v>0</v>
      </c>
      <c r="BB704" s="40">
        <f t="shared" si="4035"/>
        <v>0</v>
      </c>
      <c r="BC704" s="40">
        <f t="shared" si="4035"/>
        <v>0</v>
      </c>
      <c r="BD704" s="40">
        <f t="shared" si="4035"/>
        <v>2</v>
      </c>
      <c r="BE704" s="40">
        <f t="shared" si="4035"/>
        <v>0</v>
      </c>
      <c r="BF704" s="40">
        <f t="shared" si="4035"/>
        <v>0</v>
      </c>
      <c r="BG704" s="40">
        <f t="shared" si="4035"/>
        <v>0</v>
      </c>
      <c r="BH704" s="40">
        <f t="shared" si="4035"/>
        <v>0</v>
      </c>
      <c r="BI704" s="40">
        <f t="shared" si="4035"/>
        <v>2</v>
      </c>
      <c r="BJ704" s="40">
        <f t="shared" si="4035"/>
        <v>-4</v>
      </c>
      <c r="BK704" s="40">
        <f t="shared" si="4035"/>
        <v>0</v>
      </c>
      <c r="BL704" s="40">
        <f t="shared" si="4035"/>
        <v>0</v>
      </c>
      <c r="BM704" s="408"/>
      <c r="BN704" s="48">
        <f t="shared" si="3946"/>
        <v>0</v>
      </c>
      <c r="BO704" s="48">
        <f t="shared" si="3947"/>
        <v>0</v>
      </c>
      <c r="BP704" s="48">
        <f>SUM(AL704:AN704)</f>
        <v>0</v>
      </c>
      <c r="BQ704" s="48">
        <f t="shared" si="3949"/>
        <v>0</v>
      </c>
      <c r="BR704" s="48">
        <f t="shared" si="3950"/>
        <v>0</v>
      </c>
      <c r="BS704" s="48">
        <f>SUM(AO704:AQ704)</f>
        <v>0</v>
      </c>
      <c r="BT704" s="48">
        <f t="shared" si="3952"/>
        <v>2</v>
      </c>
      <c r="BU704" s="48">
        <f t="shared" si="3953"/>
        <v>2</v>
      </c>
      <c r="BV704" s="48">
        <f>SUM(AR704:AT704)</f>
        <v>2</v>
      </c>
      <c r="BW704" s="48">
        <f t="shared" si="3955"/>
        <v>2</v>
      </c>
      <c r="BX704" s="48">
        <f t="shared" si="3956"/>
        <v>2</v>
      </c>
      <c r="BY704" s="48">
        <f>SUM(AU704:AW704)</f>
        <v>2</v>
      </c>
      <c r="BZ704" s="48">
        <f t="shared" si="3958"/>
        <v>0</v>
      </c>
      <c r="CA704" s="48">
        <f t="shared" si="3959"/>
        <v>0</v>
      </c>
      <c r="CB704" s="48">
        <f>SUM(AX704:AZ704)</f>
        <v>0</v>
      </c>
      <c r="CC704" s="48">
        <f t="shared" si="3961"/>
        <v>0</v>
      </c>
      <c r="CD704" s="48">
        <f t="shared" si="3962"/>
        <v>0</v>
      </c>
      <c r="CE704" s="48">
        <f>SUM(BA704:BC704)</f>
        <v>0</v>
      </c>
      <c r="CF704" s="48">
        <f t="shared" si="3964"/>
        <v>2</v>
      </c>
      <c r="CG704" s="48">
        <f t="shared" si="3965"/>
        <v>2</v>
      </c>
      <c r="CH704" s="48">
        <f>SUM(BD704:BF704)</f>
        <v>2</v>
      </c>
      <c r="CI704" s="48">
        <f t="shared" si="3967"/>
        <v>2</v>
      </c>
      <c r="CJ704" s="48">
        <f t="shared" si="3968"/>
        <v>2</v>
      </c>
      <c r="CK704" s="48">
        <f>SUM(BG704:BI704)</f>
        <v>2</v>
      </c>
      <c r="CL704" s="48">
        <f t="shared" si="3970"/>
        <v>-4</v>
      </c>
      <c r="CM704" s="48">
        <f t="shared" si="3971"/>
        <v>-4</v>
      </c>
      <c r="CN704" s="48">
        <f>SUM(BJ704:BL704)</f>
        <v>-4</v>
      </c>
      <c r="CO704" s="406"/>
      <c r="CP704" s="48">
        <f t="shared" si="4031"/>
        <v>0</v>
      </c>
      <c r="CQ704" s="48">
        <f t="shared" si="4032"/>
        <v>0</v>
      </c>
      <c r="CR704" s="48">
        <f t="shared" si="4006"/>
        <v>0</v>
      </c>
      <c r="CS704" s="48">
        <f t="shared" si="4007"/>
        <v>0</v>
      </c>
      <c r="CT704" s="48">
        <f t="shared" si="4008"/>
        <v>0</v>
      </c>
      <c r="CU704" s="48">
        <f t="shared" si="4009"/>
        <v>0</v>
      </c>
      <c r="CV704" s="48">
        <f t="shared" si="4010"/>
        <v>0</v>
      </c>
      <c r="CW704" s="48">
        <f t="shared" si="4011"/>
        <v>0</v>
      </c>
      <c r="CX704" s="48">
        <f t="shared" si="4012"/>
        <v>2</v>
      </c>
      <c r="CY704" s="48">
        <f t="shared" si="4013"/>
        <v>2</v>
      </c>
      <c r="CZ704" s="48">
        <f t="shared" si="4014"/>
        <v>2</v>
      </c>
      <c r="DA704" s="48">
        <f t="shared" si="4015"/>
        <v>4</v>
      </c>
      <c r="DB704" s="48">
        <f t="shared" si="4033"/>
        <v>0</v>
      </c>
      <c r="DC704" s="48">
        <f t="shared" si="4016"/>
        <v>0</v>
      </c>
      <c r="DD704" s="48">
        <f t="shared" si="4017"/>
        <v>0</v>
      </c>
      <c r="DE704" s="48">
        <f t="shared" si="4018"/>
        <v>0</v>
      </c>
      <c r="DF704" s="48">
        <f t="shared" si="4019"/>
        <v>0</v>
      </c>
      <c r="DG704" s="48">
        <f t="shared" si="4020"/>
        <v>0</v>
      </c>
      <c r="DH704" s="48">
        <f t="shared" si="4021"/>
        <v>2</v>
      </c>
      <c r="DI704" s="48">
        <f t="shared" si="4022"/>
        <v>2</v>
      </c>
      <c r="DJ704" s="48">
        <f t="shared" si="4023"/>
        <v>2</v>
      </c>
      <c r="DK704" s="48">
        <f t="shared" si="4024"/>
        <v>2</v>
      </c>
      <c r="DL704" s="48">
        <f t="shared" si="4025"/>
        <v>2</v>
      </c>
      <c r="DM704" s="48">
        <f t="shared" si="4026"/>
        <v>4</v>
      </c>
      <c r="DN704" s="48">
        <f>DM704+BJ704</f>
        <v>0</v>
      </c>
      <c r="DO704" s="48">
        <f t="shared" si="4028"/>
        <v>0</v>
      </c>
      <c r="DP704" s="48">
        <f t="shared" si="4029"/>
        <v>0</v>
      </c>
      <c r="DQ704" s="48"/>
      <c r="DR704" s="48"/>
      <c r="DS704" s="48"/>
      <c r="DT704" s="48"/>
      <c r="DU704" s="48"/>
      <c r="DV704" s="48"/>
      <c r="DW704" s="48"/>
      <c r="DX704" s="48"/>
      <c r="DY704" s="48"/>
      <c r="ED704" s="429"/>
      <c r="EE704" s="23"/>
      <c r="EF704" s="23"/>
      <c r="EG704" s="23"/>
      <c r="EH704" s="18">
        <f t="shared" si="3938"/>
        <v>0</v>
      </c>
      <c r="EI704" s="18">
        <f t="shared" si="3939"/>
        <v>-4</v>
      </c>
      <c r="EJ704" s="18">
        <f t="shared" si="3940"/>
        <v>0</v>
      </c>
      <c r="EK704" s="24">
        <f>IF(EK662&lt;6,0.5,IF(AND(EK662&gt;=6,EK662&lt;12),0.5,1))</f>
        <v>0.5</v>
      </c>
      <c r="EL704" s="14">
        <f>IF(EE679=0,0,EH704/EE679)</f>
        <v>0</v>
      </c>
      <c r="EM704" s="14">
        <f>IF(EF679=0,0,EI704/EF679)</f>
        <v>1</v>
      </c>
      <c r="EN704" s="14">
        <f>IF(EG679="","",EJ704/EG679)</f>
        <v>0</v>
      </c>
      <c r="EO704" s="46" t="str">
        <f t="shared" si="3989"/>
        <v>Æ</v>
      </c>
      <c r="EP704" s="46">
        <f t="shared" si="3990"/>
        <v>0</v>
      </c>
      <c r="EQ704" s="24" t="str">
        <f>IF(EJ679&lt;&gt;0,EM704/EJ679,"N/A")</f>
        <v>N/A</v>
      </c>
      <c r="ER704" s="24" t="str">
        <f>IF(EK679&lt;&gt;0,EN704/EK679,"N/A")</f>
        <v>N/A</v>
      </c>
      <c r="ES704" s="2">
        <f>IF(EN704="","",IF(EN704&gt;=0.9,1,IF(EN704&lt;0.75,3,2)))</f>
        <v>3</v>
      </c>
    </row>
    <row r="705" spans="1:149">
      <c r="A705" s="6" t="s">
        <v>23</v>
      </c>
      <c r="B705" s="2" t="s">
        <v>13</v>
      </c>
      <c r="C705" s="3" t="s">
        <v>71</v>
      </c>
      <c r="E705" s="3" t="s">
        <v>15</v>
      </c>
      <c r="G705" s="3" t="s">
        <v>91</v>
      </c>
      <c r="I705" s="23"/>
      <c r="J705" s="19">
        <v>0</v>
      </c>
      <c r="K705" s="19">
        <f>J705</f>
        <v>0</v>
      </c>
      <c r="L705" s="19">
        <v>6784</v>
      </c>
      <c r="M705" s="19">
        <f>L705</f>
        <v>6784</v>
      </c>
      <c r="N705" s="19">
        <f>+M705</f>
        <v>6784</v>
      </c>
      <c r="O705" s="19">
        <v>6784.22</v>
      </c>
      <c r="P705" s="19">
        <v>14597.93</v>
      </c>
      <c r="Q705" s="263">
        <f>P705</f>
        <v>14597.93</v>
      </c>
      <c r="R705" s="263">
        <f>Q705</f>
        <v>14597.93</v>
      </c>
      <c r="S705" s="19">
        <v>14598</v>
      </c>
      <c r="T705" s="19">
        <v>14598</v>
      </c>
      <c r="U705" s="19">
        <v>14598</v>
      </c>
      <c r="V705" s="31">
        <v>0</v>
      </c>
      <c r="W705" s="19">
        <v>0</v>
      </c>
      <c r="X705" s="19">
        <v>0</v>
      </c>
      <c r="Y705" s="376">
        <v>0</v>
      </c>
      <c r="Z705" s="19">
        <v>0</v>
      </c>
      <c r="AA705" s="19">
        <v>0</v>
      </c>
      <c r="AB705" s="263">
        <v>24798.01</v>
      </c>
      <c r="AC705" s="19">
        <v>0</v>
      </c>
      <c r="AD705" s="19">
        <v>0</v>
      </c>
      <c r="AE705" s="19">
        <v>0</v>
      </c>
      <c r="AF705" s="19">
        <v>0</v>
      </c>
      <c r="AG705" s="19"/>
      <c r="AH705" s="404">
        <v>16829.439999999999</v>
      </c>
      <c r="AI705" s="19"/>
      <c r="AJ705" s="19"/>
      <c r="AK705" s="408"/>
      <c r="AL705" s="19">
        <f t="shared" si="3973"/>
        <v>0</v>
      </c>
      <c r="AM705" s="19"/>
      <c r="AN705" s="19"/>
      <c r="AO705" s="19"/>
      <c r="AP705" s="19"/>
      <c r="AQ705" s="19">
        <f t="shared" si="3996"/>
        <v>0.22000000000025466</v>
      </c>
      <c r="AR705" s="19">
        <f t="shared" si="3917"/>
        <v>7813.71</v>
      </c>
      <c r="AS705" s="19">
        <f t="shared" si="3918"/>
        <v>0</v>
      </c>
      <c r="AT705" s="19"/>
      <c r="AU705" s="19"/>
      <c r="AV705" s="19">
        <f t="shared" si="3921"/>
        <v>0</v>
      </c>
      <c r="AW705" s="19">
        <f t="shared" si="3922"/>
        <v>0</v>
      </c>
      <c r="AX705" s="19">
        <f t="shared" si="3974"/>
        <v>0</v>
      </c>
      <c r="AY705" s="19">
        <f t="shared" si="3923"/>
        <v>0</v>
      </c>
      <c r="AZ705" s="19">
        <f t="shared" si="3924"/>
        <v>0</v>
      </c>
      <c r="BA705" s="19">
        <f t="shared" si="3975"/>
        <v>0</v>
      </c>
      <c r="BB705" s="19">
        <f t="shared" si="4035"/>
        <v>0</v>
      </c>
      <c r="BC705" s="19">
        <f t="shared" si="4035"/>
        <v>0</v>
      </c>
      <c r="BD705" s="19">
        <f t="shared" si="4035"/>
        <v>24798.01</v>
      </c>
      <c r="BE705" s="19"/>
      <c r="BF705" s="19">
        <f t="shared" si="4035"/>
        <v>0</v>
      </c>
      <c r="BG705" s="19">
        <f t="shared" si="4035"/>
        <v>0</v>
      </c>
      <c r="BH705" s="19">
        <f t="shared" si="4035"/>
        <v>0</v>
      </c>
      <c r="BI705" s="19">
        <f t="shared" si="4035"/>
        <v>0</v>
      </c>
      <c r="BJ705" s="19"/>
      <c r="BK705" s="19"/>
      <c r="BL705" s="19"/>
      <c r="BM705" s="408"/>
      <c r="BN705" s="40" t="s">
        <v>97</v>
      </c>
      <c r="BO705" s="40" t="s">
        <v>97</v>
      </c>
      <c r="BP705" s="40" t="s">
        <v>97</v>
      </c>
      <c r="BQ705" s="40" t="s">
        <v>97</v>
      </c>
      <c r="BR705" s="40" t="s">
        <v>97</v>
      </c>
      <c r="BS705" s="40" t="s">
        <v>97</v>
      </c>
      <c r="BT705" s="40" t="s">
        <v>97</v>
      </c>
      <c r="BU705" s="40" t="s">
        <v>97</v>
      </c>
      <c r="BV705" s="40" t="s">
        <v>97</v>
      </c>
      <c r="BW705" s="40" t="s">
        <v>97</v>
      </c>
      <c r="BX705" s="40" t="s">
        <v>97</v>
      </c>
      <c r="BY705" s="40" t="s">
        <v>97</v>
      </c>
      <c r="BZ705" s="40" t="s">
        <v>97</v>
      </c>
      <c r="CA705" s="40" t="s">
        <v>97</v>
      </c>
      <c r="CB705" s="40" t="s">
        <v>97</v>
      </c>
      <c r="CC705" s="40" t="s">
        <v>97</v>
      </c>
      <c r="CD705" s="40" t="s">
        <v>97</v>
      </c>
      <c r="CE705" s="40" t="s">
        <v>97</v>
      </c>
      <c r="CF705" s="40" t="s">
        <v>97</v>
      </c>
      <c r="CG705" s="40" t="s">
        <v>97</v>
      </c>
      <c r="CH705" s="40" t="s">
        <v>97</v>
      </c>
      <c r="CI705" s="40" t="s">
        <v>97</v>
      </c>
      <c r="CJ705" s="40" t="s">
        <v>97</v>
      </c>
      <c r="CK705" s="40" t="s">
        <v>97</v>
      </c>
      <c r="CL705" s="40" t="s">
        <v>97</v>
      </c>
      <c r="CM705" s="40" t="s">
        <v>97</v>
      </c>
      <c r="CN705" s="40" t="s">
        <v>97</v>
      </c>
      <c r="CO705" s="408"/>
      <c r="CP705" s="21">
        <f t="shared" ref="CP705:CY706" si="4036">J705</f>
        <v>0</v>
      </c>
      <c r="CQ705" s="21">
        <f t="shared" si="4036"/>
        <v>0</v>
      </c>
      <c r="CR705" s="21">
        <f t="shared" si="4036"/>
        <v>6784</v>
      </c>
      <c r="CS705" s="21">
        <f t="shared" si="4036"/>
        <v>6784</v>
      </c>
      <c r="CT705" s="21">
        <f t="shared" si="4036"/>
        <v>6784</v>
      </c>
      <c r="CU705" s="21">
        <f t="shared" si="4036"/>
        <v>6784.22</v>
      </c>
      <c r="CV705" s="21">
        <f t="shared" si="4036"/>
        <v>14597.93</v>
      </c>
      <c r="CW705" s="21">
        <f t="shared" si="4036"/>
        <v>14597.93</v>
      </c>
      <c r="CX705" s="21">
        <f t="shared" si="4036"/>
        <v>14597.93</v>
      </c>
      <c r="CY705" s="21">
        <f t="shared" si="4036"/>
        <v>14598</v>
      </c>
      <c r="CZ705" s="21">
        <f t="shared" ref="CZ705:DI706" si="4037">T705</f>
        <v>14598</v>
      </c>
      <c r="DA705" s="21">
        <f t="shared" si="4037"/>
        <v>14598</v>
      </c>
      <c r="DB705" s="21">
        <f t="shared" si="4037"/>
        <v>0</v>
      </c>
      <c r="DC705" s="21">
        <f t="shared" si="4037"/>
        <v>0</v>
      </c>
      <c r="DD705" s="21">
        <f t="shared" si="4037"/>
        <v>0</v>
      </c>
      <c r="DE705" s="21">
        <f t="shared" si="4037"/>
        <v>0</v>
      </c>
      <c r="DF705" s="21">
        <f t="shared" si="4037"/>
        <v>0</v>
      </c>
      <c r="DG705" s="21">
        <f t="shared" si="4037"/>
        <v>0</v>
      </c>
      <c r="DH705" s="21">
        <f t="shared" si="4037"/>
        <v>24798.01</v>
      </c>
      <c r="DI705" s="21">
        <f t="shared" si="4037"/>
        <v>0</v>
      </c>
      <c r="DJ705" s="21">
        <f t="shared" ref="DJ705:DP706" si="4038">AD705</f>
        <v>0</v>
      </c>
      <c r="DK705" s="21">
        <f t="shared" si="4038"/>
        <v>0</v>
      </c>
      <c r="DL705" s="21">
        <f t="shared" si="4038"/>
        <v>0</v>
      </c>
      <c r="DM705" s="21">
        <f t="shared" si="4038"/>
        <v>0</v>
      </c>
      <c r="DN705" s="21">
        <f t="shared" si="4038"/>
        <v>16829.439999999999</v>
      </c>
      <c r="DO705" s="21">
        <f t="shared" si="4038"/>
        <v>0</v>
      </c>
      <c r="DP705" s="21">
        <f t="shared" si="4038"/>
        <v>0</v>
      </c>
      <c r="DQ705" s="248"/>
      <c r="DR705" s="248"/>
      <c r="DS705" s="248"/>
      <c r="DT705" s="248"/>
      <c r="DU705" s="248"/>
      <c r="DV705" s="248"/>
      <c r="DW705" s="248"/>
      <c r="DX705" s="248"/>
      <c r="DY705" s="248"/>
      <c r="ED705" s="429"/>
      <c r="EE705" s="23"/>
      <c r="EF705" s="23"/>
      <c r="EG705" s="23"/>
      <c r="EH705" s="24" t="s">
        <v>97</v>
      </c>
      <c r="EI705" s="24" t="s">
        <v>97</v>
      </c>
      <c r="EJ705" s="18">
        <f t="shared" si="3940"/>
        <v>0</v>
      </c>
      <c r="EK705" s="24">
        <f t="shared" si="3983"/>
        <v>0.16666666666666666</v>
      </c>
      <c r="EL705" s="24" t="s">
        <v>97</v>
      </c>
      <c r="EM705" s="24" t="s">
        <v>97</v>
      </c>
      <c r="EN705" s="24">
        <f>EJ705/EG680</f>
        <v>0</v>
      </c>
      <c r="EO705" s="46" t="str">
        <f t="shared" si="3989"/>
        <v>Æ</v>
      </c>
      <c r="EP705" s="46" t="str">
        <f t="shared" si="3990"/>
        <v>Æ</v>
      </c>
      <c r="EQ705" s="24" t="s">
        <v>97</v>
      </c>
      <c r="ER705" s="24" t="s">
        <v>97</v>
      </c>
      <c r="ES705" s="2">
        <f>IF(EN705&gt;=0.9,1,IF(EN705&lt;0.75,2,3))</f>
        <v>2</v>
      </c>
    </row>
    <row r="706" spans="1:149" ht="13.5" thickBot="1">
      <c r="A706" s="6" t="s">
        <v>23</v>
      </c>
      <c r="B706" s="2" t="s">
        <v>14</v>
      </c>
      <c r="C706" s="3" t="s">
        <v>72</v>
      </c>
      <c r="E706" s="3" t="s">
        <v>15</v>
      </c>
      <c r="G706" s="3" t="s">
        <v>91</v>
      </c>
      <c r="I706" s="23"/>
      <c r="J706" s="19">
        <v>0</v>
      </c>
      <c r="K706" s="19">
        <f>J706</f>
        <v>0</v>
      </c>
      <c r="L706" s="19">
        <v>11460</v>
      </c>
      <c r="M706" s="19">
        <f>L706</f>
        <v>11460</v>
      </c>
      <c r="N706" s="19">
        <f>+M706</f>
        <v>11460</v>
      </c>
      <c r="O706" s="19">
        <f>7334.16+4125.46</f>
        <v>11459.619999999999</v>
      </c>
      <c r="P706" s="19">
        <f>13925.16+7832.9</f>
        <v>21758.059999999998</v>
      </c>
      <c r="Q706" s="263">
        <f>P706</f>
        <v>21758.059999999998</v>
      </c>
      <c r="R706" s="263">
        <f>Q706</f>
        <v>21758.059999999998</v>
      </c>
      <c r="S706" s="19">
        <v>21758</v>
      </c>
      <c r="T706" s="19">
        <v>21758</v>
      </c>
      <c r="U706" s="19">
        <v>21758</v>
      </c>
      <c r="V706" s="34">
        <v>0</v>
      </c>
      <c r="W706" s="19">
        <v>0</v>
      </c>
      <c r="X706" s="19">
        <v>0</v>
      </c>
      <c r="Y706" s="376">
        <v>0</v>
      </c>
      <c r="Z706" s="19">
        <v>0</v>
      </c>
      <c r="AA706" s="19">
        <v>0</v>
      </c>
      <c r="AB706" s="263">
        <v>48329.27</v>
      </c>
      <c r="AC706" s="19">
        <v>0</v>
      </c>
      <c r="AD706" s="19">
        <v>0</v>
      </c>
      <c r="AE706" s="19">
        <v>0</v>
      </c>
      <c r="AF706" s="19">
        <v>0</v>
      </c>
      <c r="AG706" s="19"/>
      <c r="AH706" s="387">
        <v>19317.099999999999</v>
      </c>
      <c r="AI706" s="19"/>
      <c r="AJ706" s="19"/>
      <c r="AK706" s="408"/>
      <c r="AL706" s="19">
        <f t="shared" si="3973"/>
        <v>0</v>
      </c>
      <c r="AM706" s="19"/>
      <c r="AN706" s="19"/>
      <c r="AO706" s="19"/>
      <c r="AP706" s="19"/>
      <c r="AQ706" s="19">
        <f t="shared" si="3996"/>
        <v>-0.38000000000101863</v>
      </c>
      <c r="AR706" s="19">
        <f t="shared" si="3917"/>
        <v>10298.439999999999</v>
      </c>
      <c r="AS706" s="19">
        <f t="shared" si="3918"/>
        <v>0</v>
      </c>
      <c r="AT706" s="19"/>
      <c r="AU706" s="19"/>
      <c r="AV706" s="19">
        <f t="shared" si="3921"/>
        <v>0</v>
      </c>
      <c r="AW706" s="19">
        <f t="shared" si="3922"/>
        <v>0</v>
      </c>
      <c r="AX706" s="19">
        <f t="shared" si="3974"/>
        <v>0</v>
      </c>
      <c r="AY706" s="19">
        <f t="shared" si="3923"/>
        <v>0</v>
      </c>
      <c r="AZ706" s="19">
        <f t="shared" si="3924"/>
        <v>0</v>
      </c>
      <c r="BA706" s="19">
        <f t="shared" si="3975"/>
        <v>0</v>
      </c>
      <c r="BB706" s="19"/>
      <c r="BC706" s="19"/>
      <c r="BD706" s="19"/>
      <c r="BE706" s="19"/>
      <c r="BF706" s="19"/>
      <c r="BG706" s="19"/>
      <c r="BH706" s="19"/>
      <c r="BI706" s="19"/>
      <c r="BJ706" s="19"/>
      <c r="BK706" s="19"/>
      <c r="BL706" s="19"/>
      <c r="BM706" s="408"/>
      <c r="BN706" s="40" t="s">
        <v>97</v>
      </c>
      <c r="BO706" s="40" t="s">
        <v>97</v>
      </c>
      <c r="BP706" s="40" t="s">
        <v>97</v>
      </c>
      <c r="BQ706" s="40" t="s">
        <v>97</v>
      </c>
      <c r="BR706" s="40" t="s">
        <v>97</v>
      </c>
      <c r="BS706" s="40" t="s">
        <v>97</v>
      </c>
      <c r="BT706" s="40" t="s">
        <v>97</v>
      </c>
      <c r="BU706" s="40" t="s">
        <v>97</v>
      </c>
      <c r="BV706" s="40" t="s">
        <v>97</v>
      </c>
      <c r="BW706" s="40" t="s">
        <v>97</v>
      </c>
      <c r="BX706" s="40" t="s">
        <v>97</v>
      </c>
      <c r="BY706" s="40" t="s">
        <v>97</v>
      </c>
      <c r="BZ706" s="40" t="s">
        <v>97</v>
      </c>
      <c r="CA706" s="40" t="s">
        <v>97</v>
      </c>
      <c r="CB706" s="40" t="s">
        <v>97</v>
      </c>
      <c r="CC706" s="40" t="s">
        <v>97</v>
      </c>
      <c r="CD706" s="40" t="s">
        <v>97</v>
      </c>
      <c r="CE706" s="40" t="s">
        <v>97</v>
      </c>
      <c r="CF706" s="40" t="s">
        <v>97</v>
      </c>
      <c r="CG706" s="40" t="s">
        <v>97</v>
      </c>
      <c r="CH706" s="40" t="s">
        <v>97</v>
      </c>
      <c r="CI706" s="40" t="s">
        <v>97</v>
      </c>
      <c r="CJ706" s="40" t="s">
        <v>97</v>
      </c>
      <c r="CK706" s="40" t="s">
        <v>97</v>
      </c>
      <c r="CL706" s="40" t="s">
        <v>97</v>
      </c>
      <c r="CM706" s="40" t="s">
        <v>97</v>
      </c>
      <c r="CN706" s="40" t="s">
        <v>97</v>
      </c>
      <c r="CO706" s="408"/>
      <c r="CP706" s="21">
        <f t="shared" si="4036"/>
        <v>0</v>
      </c>
      <c r="CQ706" s="21">
        <f t="shared" si="4036"/>
        <v>0</v>
      </c>
      <c r="CR706" s="21">
        <f t="shared" si="4036"/>
        <v>11460</v>
      </c>
      <c r="CS706" s="21">
        <f t="shared" si="4036"/>
        <v>11460</v>
      </c>
      <c r="CT706" s="21">
        <f t="shared" si="4036"/>
        <v>11460</v>
      </c>
      <c r="CU706" s="21">
        <f t="shared" si="4036"/>
        <v>11459.619999999999</v>
      </c>
      <c r="CV706" s="21">
        <f t="shared" si="4036"/>
        <v>21758.059999999998</v>
      </c>
      <c r="CW706" s="21">
        <f t="shared" si="4036"/>
        <v>21758.059999999998</v>
      </c>
      <c r="CX706" s="21">
        <f t="shared" si="4036"/>
        <v>21758.059999999998</v>
      </c>
      <c r="CY706" s="21">
        <f t="shared" si="4036"/>
        <v>21758</v>
      </c>
      <c r="CZ706" s="21">
        <f t="shared" si="4037"/>
        <v>21758</v>
      </c>
      <c r="DA706" s="21">
        <f t="shared" si="4037"/>
        <v>21758</v>
      </c>
      <c r="DB706" s="21">
        <f t="shared" si="4037"/>
        <v>0</v>
      </c>
      <c r="DC706" s="21">
        <f t="shared" si="4037"/>
        <v>0</v>
      </c>
      <c r="DD706" s="21">
        <f t="shared" si="4037"/>
        <v>0</v>
      </c>
      <c r="DE706" s="21">
        <f t="shared" si="4037"/>
        <v>0</v>
      </c>
      <c r="DF706" s="21">
        <f t="shared" si="4037"/>
        <v>0</v>
      </c>
      <c r="DG706" s="21">
        <f t="shared" si="4037"/>
        <v>0</v>
      </c>
      <c r="DH706" s="21">
        <f t="shared" si="4037"/>
        <v>48329.27</v>
      </c>
      <c r="DI706" s="21">
        <f t="shared" si="4037"/>
        <v>0</v>
      </c>
      <c r="DJ706" s="21">
        <f t="shared" si="4038"/>
        <v>0</v>
      </c>
      <c r="DK706" s="21">
        <f t="shared" si="4038"/>
        <v>0</v>
      </c>
      <c r="DL706" s="21">
        <f t="shared" si="4038"/>
        <v>0</v>
      </c>
      <c r="DM706" s="21">
        <f t="shared" si="4038"/>
        <v>0</v>
      </c>
      <c r="DN706" s="21">
        <f t="shared" si="4038"/>
        <v>19317.099999999999</v>
      </c>
      <c r="DO706" s="21">
        <f t="shared" si="4038"/>
        <v>0</v>
      </c>
      <c r="DP706" s="21">
        <f t="shared" si="4038"/>
        <v>0</v>
      </c>
      <c r="DQ706" s="248"/>
      <c r="DR706" s="248"/>
      <c r="DS706" s="248"/>
      <c r="DT706" s="248"/>
      <c r="DU706" s="248"/>
      <c r="DV706" s="248"/>
      <c r="DW706" s="248"/>
      <c r="DX706" s="248"/>
      <c r="DY706" s="248"/>
      <c r="ED706" s="429"/>
      <c r="EE706" s="23"/>
      <c r="EF706" s="23"/>
      <c r="EG706" s="23"/>
      <c r="EH706" s="24" t="s">
        <v>97</v>
      </c>
      <c r="EI706" s="24" t="s">
        <v>97</v>
      </c>
      <c r="EJ706" s="18">
        <f t="shared" si="3940"/>
        <v>0</v>
      </c>
      <c r="EK706" s="24">
        <f t="shared" si="3983"/>
        <v>0.16666666666666666</v>
      </c>
      <c r="EL706" s="24" t="s">
        <v>97</v>
      </c>
      <c r="EM706" s="24" t="s">
        <v>97</v>
      </c>
      <c r="EN706" s="24">
        <f>EJ706/EG681</f>
        <v>0</v>
      </c>
      <c r="EO706" s="46" t="str">
        <f t="shared" si="3989"/>
        <v>Æ</v>
      </c>
      <c r="EP706" s="46" t="str">
        <f t="shared" si="3990"/>
        <v>Æ</v>
      </c>
      <c r="EQ706" s="24" t="s">
        <v>97</v>
      </c>
      <c r="ER706" s="24" t="s">
        <v>97</v>
      </c>
      <c r="ES706" s="2">
        <f>IF(EN706&gt;=0.9,1,IF(EN706&lt;0.75,2,3))</f>
        <v>2</v>
      </c>
    </row>
    <row r="707" spans="1:149">
      <c r="A707" s="6" t="s">
        <v>23</v>
      </c>
      <c r="B707" s="2" t="s">
        <v>0</v>
      </c>
      <c r="C707" s="3" t="s">
        <v>59</v>
      </c>
      <c r="E707" s="3" t="s">
        <v>16</v>
      </c>
      <c r="G707" s="28" t="s">
        <v>92</v>
      </c>
      <c r="H707" s="28"/>
      <c r="I707" s="29"/>
      <c r="J707" s="30">
        <f t="shared" ref="J707:U707" si="4039">IF(J694&lt;&gt;"",+J694-I694,"")</f>
        <v>8</v>
      </c>
      <c r="K707" s="30">
        <f t="shared" si="4039"/>
        <v>4</v>
      </c>
      <c r="L707" s="30">
        <f t="shared" si="4039"/>
        <v>10</v>
      </c>
      <c r="M707" s="30">
        <f t="shared" si="4039"/>
        <v>2</v>
      </c>
      <c r="N707" s="30">
        <f t="shared" si="4039"/>
        <v>5</v>
      </c>
      <c r="O707" s="30">
        <f t="shared" si="4039"/>
        <v>5</v>
      </c>
      <c r="P707" s="30">
        <f t="shared" si="4039"/>
        <v>3</v>
      </c>
      <c r="Q707" s="30">
        <f t="shared" si="4039"/>
        <v>18</v>
      </c>
      <c r="R707" s="30">
        <f t="shared" si="4039"/>
        <v>8</v>
      </c>
      <c r="S707" s="30">
        <f t="shared" si="4039"/>
        <v>15</v>
      </c>
      <c r="T707" s="30">
        <f>IF(T694&lt;&gt;"",+T694-S694,"")</f>
        <v>5</v>
      </c>
      <c r="U707" s="30">
        <f t="shared" si="4039"/>
        <v>15</v>
      </c>
      <c r="V707" s="30">
        <f>IF(V687&lt;&gt;"",+V687-U687,"")</f>
        <v>13</v>
      </c>
      <c r="W707" s="30">
        <f>IF(W694&lt;&gt;"",+W694-V694,"")</f>
        <v>13</v>
      </c>
      <c r="X707" s="30">
        <f>IF(X694&lt;&gt;"",+X694-W694,"")</f>
        <v>16</v>
      </c>
      <c r="Y707" s="226">
        <f>IF(Y694&lt;&gt;"",+Y694-X694,0)</f>
        <v>13</v>
      </c>
      <c r="Z707" s="30">
        <f t="shared" ref="Z707:AG708" si="4040">IF(Z694&lt;&gt;"",+Z694-Y694,"")</f>
        <v>11</v>
      </c>
      <c r="AA707" s="30">
        <f t="shared" si="4040"/>
        <v>13</v>
      </c>
      <c r="AB707" s="30">
        <f t="shared" si="4040"/>
        <v>6</v>
      </c>
      <c r="AC707" s="30">
        <f t="shared" si="4040"/>
        <v>16</v>
      </c>
      <c r="AD707" s="30">
        <f t="shared" si="4040"/>
        <v>9</v>
      </c>
      <c r="AE707" s="30">
        <f t="shared" si="4040"/>
        <v>7</v>
      </c>
      <c r="AF707" s="30">
        <f t="shared" si="4040"/>
        <v>9</v>
      </c>
      <c r="AG707" s="30">
        <f t="shared" si="4040"/>
        <v>6</v>
      </c>
      <c r="AH707" s="30">
        <f>IF(AH694&lt;&gt;"",+AH694,"")</f>
        <v>8</v>
      </c>
      <c r="AI707" s="30">
        <f>IF(AI694&lt;&gt;"",+AI694-AH694,"")</f>
        <v>12</v>
      </c>
      <c r="AJ707" s="30" t="str">
        <f>IF(AJ694&lt;&gt;"",+AJ694-AI694,"")</f>
        <v/>
      </c>
      <c r="AK707" s="408"/>
      <c r="AL707" s="48">
        <f t="shared" si="3973"/>
        <v>8</v>
      </c>
      <c r="AM707" s="48">
        <f t="shared" ref="AM707:AV708" si="4041">K707</f>
        <v>4</v>
      </c>
      <c r="AN707" s="48">
        <f t="shared" si="4041"/>
        <v>10</v>
      </c>
      <c r="AO707" s="48">
        <f t="shared" si="4041"/>
        <v>2</v>
      </c>
      <c r="AP707" s="48">
        <f t="shared" si="4041"/>
        <v>5</v>
      </c>
      <c r="AQ707" s="48">
        <f t="shared" si="4041"/>
        <v>5</v>
      </c>
      <c r="AR707" s="48">
        <f t="shared" si="4041"/>
        <v>3</v>
      </c>
      <c r="AS707" s="48">
        <f t="shared" si="4041"/>
        <v>18</v>
      </c>
      <c r="AT707" s="48">
        <f t="shared" si="4041"/>
        <v>8</v>
      </c>
      <c r="AU707" s="48">
        <f t="shared" si="4041"/>
        <v>15</v>
      </c>
      <c r="AV707" s="48">
        <f t="shared" si="4041"/>
        <v>5</v>
      </c>
      <c r="AW707" s="48">
        <f t="shared" ref="AW707:BF708" si="4042">U707</f>
        <v>15</v>
      </c>
      <c r="AX707" s="48">
        <f t="shared" si="4042"/>
        <v>13</v>
      </c>
      <c r="AY707" s="48">
        <f t="shared" si="4042"/>
        <v>13</v>
      </c>
      <c r="AZ707" s="48">
        <f t="shared" si="4042"/>
        <v>16</v>
      </c>
      <c r="BA707" s="48">
        <f t="shared" si="4042"/>
        <v>13</v>
      </c>
      <c r="BB707" s="48">
        <f t="shared" si="4042"/>
        <v>11</v>
      </c>
      <c r="BC707" s="48">
        <f t="shared" si="4042"/>
        <v>13</v>
      </c>
      <c r="BD707" s="48">
        <f t="shared" si="4042"/>
        <v>6</v>
      </c>
      <c r="BE707" s="48">
        <f t="shared" si="4042"/>
        <v>16</v>
      </c>
      <c r="BF707" s="48">
        <f t="shared" si="4042"/>
        <v>9</v>
      </c>
      <c r="BG707" s="48">
        <f t="shared" ref="BG707:BL708" si="4043">AE707</f>
        <v>7</v>
      </c>
      <c r="BH707" s="48">
        <f t="shared" si="4043"/>
        <v>9</v>
      </c>
      <c r="BI707" s="48">
        <f t="shared" si="4043"/>
        <v>6</v>
      </c>
      <c r="BJ707" s="48">
        <f t="shared" si="4043"/>
        <v>8</v>
      </c>
      <c r="BK707" s="48">
        <f t="shared" si="4043"/>
        <v>12</v>
      </c>
      <c r="BL707" s="48" t="str">
        <f t="shared" si="4043"/>
        <v/>
      </c>
      <c r="BM707" s="408"/>
      <c r="BN707" s="48">
        <f>+AL707</f>
        <v>8</v>
      </c>
      <c r="BO707" s="48">
        <f t="shared" ref="BO707:BP709" si="4044">+BN707+AM707</f>
        <v>12</v>
      </c>
      <c r="BP707" s="48">
        <f t="shared" si="4044"/>
        <v>22</v>
      </c>
      <c r="BQ707" s="48">
        <f>+AO707</f>
        <v>2</v>
      </c>
      <c r="BR707" s="48">
        <f t="shared" ref="BR707:BS709" si="4045">+BQ707+AP707</f>
        <v>7</v>
      </c>
      <c r="BS707" s="48">
        <f t="shared" si="4045"/>
        <v>12</v>
      </c>
      <c r="BT707" s="48">
        <f>+AR707</f>
        <v>3</v>
      </c>
      <c r="BU707" s="48">
        <f t="shared" ref="BU707:BV709" si="4046">+BT707+AS707</f>
        <v>21</v>
      </c>
      <c r="BV707" s="48">
        <f t="shared" si="4046"/>
        <v>29</v>
      </c>
      <c r="BW707" s="48">
        <f>+AU707</f>
        <v>15</v>
      </c>
      <c r="BX707" s="48">
        <f t="shared" ref="BX707:BY709" si="4047">+BW707+AV707</f>
        <v>20</v>
      </c>
      <c r="BY707" s="48">
        <f t="shared" si="4047"/>
        <v>35</v>
      </c>
      <c r="BZ707" s="48">
        <f>+AX707</f>
        <v>13</v>
      </c>
      <c r="CA707" s="48">
        <f t="shared" ref="CA707:CB709" si="4048">+BZ707+AY707</f>
        <v>26</v>
      </c>
      <c r="CB707" s="48">
        <f t="shared" si="4048"/>
        <v>42</v>
      </c>
      <c r="CC707" s="48">
        <f>+BA707</f>
        <v>13</v>
      </c>
      <c r="CD707" s="48">
        <f t="shared" ref="CD707:CE709" si="4049">+CC707+BB707</f>
        <v>24</v>
      </c>
      <c r="CE707" s="48">
        <f t="shared" si="4049"/>
        <v>37</v>
      </c>
      <c r="CF707" s="48">
        <f>+BD707</f>
        <v>6</v>
      </c>
      <c r="CG707" s="48">
        <f t="shared" ref="CG707:CH709" si="4050">+CF707+BE707</f>
        <v>22</v>
      </c>
      <c r="CH707" s="48">
        <f t="shared" si="4050"/>
        <v>31</v>
      </c>
      <c r="CI707" s="48">
        <f>+BG707</f>
        <v>7</v>
      </c>
      <c r="CJ707" s="48">
        <f t="shared" ref="CJ707:CK709" si="4051">+CI707+BH707</f>
        <v>16</v>
      </c>
      <c r="CK707" s="48">
        <f t="shared" si="4051"/>
        <v>22</v>
      </c>
      <c r="CL707" s="48">
        <f>+BJ707</f>
        <v>8</v>
      </c>
      <c r="CM707" s="48">
        <f t="shared" ref="CM707:CN709" si="4052">+CL707+BK707</f>
        <v>20</v>
      </c>
      <c r="CN707" s="48" t="e">
        <f t="shared" si="4052"/>
        <v>#VALUE!</v>
      </c>
      <c r="CO707" s="406"/>
      <c r="CP707" s="40">
        <f>AL707</f>
        <v>8</v>
      </c>
      <c r="CQ707" s="40">
        <f t="shared" ref="CQ707:DA708" si="4053">CP707+AM707</f>
        <v>12</v>
      </c>
      <c r="CR707" s="40">
        <f t="shared" si="4053"/>
        <v>22</v>
      </c>
      <c r="CS707" s="40">
        <f t="shared" si="4053"/>
        <v>24</v>
      </c>
      <c r="CT707" s="40">
        <f t="shared" si="4053"/>
        <v>29</v>
      </c>
      <c r="CU707" s="40">
        <f t="shared" si="4053"/>
        <v>34</v>
      </c>
      <c r="CV707" s="40">
        <f t="shared" si="4053"/>
        <v>37</v>
      </c>
      <c r="CW707" s="40">
        <f t="shared" si="4053"/>
        <v>55</v>
      </c>
      <c r="CX707" s="40">
        <f t="shared" si="4053"/>
        <v>63</v>
      </c>
      <c r="CY707" s="40">
        <f t="shared" si="4053"/>
        <v>78</v>
      </c>
      <c r="CZ707" s="40">
        <f t="shared" si="4053"/>
        <v>83</v>
      </c>
      <c r="DA707" s="40">
        <f t="shared" si="4053"/>
        <v>98</v>
      </c>
      <c r="DB707" s="40">
        <f>AX707</f>
        <v>13</v>
      </c>
      <c r="DC707" s="40">
        <f t="shared" ref="DC707:DM708" si="4054">DB707+AY707</f>
        <v>26</v>
      </c>
      <c r="DD707" s="40">
        <f t="shared" si="4054"/>
        <v>42</v>
      </c>
      <c r="DE707" s="40">
        <f t="shared" si="4054"/>
        <v>55</v>
      </c>
      <c r="DF707" s="40">
        <f t="shared" si="4054"/>
        <v>66</v>
      </c>
      <c r="DG707" s="40">
        <f t="shared" si="4054"/>
        <v>79</v>
      </c>
      <c r="DH707" s="40">
        <f t="shared" si="4054"/>
        <v>85</v>
      </c>
      <c r="DI707" s="40">
        <f t="shared" si="4054"/>
        <v>101</v>
      </c>
      <c r="DJ707" s="40">
        <f t="shared" si="4054"/>
        <v>110</v>
      </c>
      <c r="DK707" s="40">
        <f t="shared" si="4054"/>
        <v>117</v>
      </c>
      <c r="DL707" s="40">
        <f t="shared" si="4054"/>
        <v>126</v>
      </c>
      <c r="DM707" s="40">
        <f t="shared" si="4054"/>
        <v>132</v>
      </c>
      <c r="DN707" s="40">
        <f>BJ707</f>
        <v>8</v>
      </c>
      <c r="DO707" s="40">
        <f>DN707+BK707</f>
        <v>20</v>
      </c>
      <c r="DP707" s="40" t="e">
        <f>DO707+BL707</f>
        <v>#VALUE!</v>
      </c>
      <c r="DQ707" s="40"/>
      <c r="DR707" s="40"/>
      <c r="DS707" s="40"/>
      <c r="DT707" s="40"/>
      <c r="DU707" s="40"/>
      <c r="DV707" s="40"/>
      <c r="DW707" s="40"/>
      <c r="DX707" s="40"/>
      <c r="DY707" s="40"/>
      <c r="EA707" s="53"/>
      <c r="EB707" s="53"/>
      <c r="EC707" s="53"/>
      <c r="ED707" s="429"/>
      <c r="EE707" s="54"/>
      <c r="EF707" s="54"/>
      <c r="EG707" s="54"/>
      <c r="EH707" s="18">
        <f>HLOOKUP($I$1,Month,ROW()-1)</f>
        <v>12</v>
      </c>
      <c r="EI707" s="18">
        <f>HLOOKUP($I$1,Qtr,ROW()-1)</f>
        <v>20</v>
      </c>
      <c r="EJ707" s="18">
        <f t="shared" si="3940"/>
        <v>20</v>
      </c>
      <c r="EK707" s="57">
        <f t="shared" si="3983"/>
        <v>0.16666666666666666</v>
      </c>
      <c r="EL707" s="14">
        <f>EH707/EE682</f>
        <v>0.6</v>
      </c>
      <c r="EM707" s="14">
        <f>EI707/EF682</f>
        <v>0.66666666666666663</v>
      </c>
      <c r="EN707" s="14">
        <f>EJ707/EG682</f>
        <v>0.16666666666666666</v>
      </c>
      <c r="EO707" s="46" t="str">
        <f t="shared" si="3989"/>
        <v>È</v>
      </c>
      <c r="EP707" s="46" t="str">
        <f>IF(EI707&lt;0,,IF(EI707&lt;EF682,"È",IF(EI707=EF682,"Æ","Ç")))</f>
        <v>È</v>
      </c>
      <c r="EQ707" s="2">
        <f>IF(EL707&gt;=0.9,1,IF(EL707&lt;0.75,2,3))</f>
        <v>2</v>
      </c>
      <c r="ER707" s="2">
        <f>IF(EM707&gt;=0.9,1,IF(EM707&lt;0.75,2,3))</f>
        <v>2</v>
      </c>
      <c r="ES707" s="2">
        <f>IF(EN707&gt;=0.9,1,IF(EN707&lt;0.75,2,3))</f>
        <v>2</v>
      </c>
    </row>
    <row r="708" spans="1:149">
      <c r="A708" s="6" t="s">
        <v>23</v>
      </c>
      <c r="B708" s="2" t="s">
        <v>1</v>
      </c>
      <c r="C708" s="3" t="s">
        <v>60</v>
      </c>
      <c r="E708" s="3" t="s">
        <v>16</v>
      </c>
      <c r="G708" s="28" t="s">
        <v>92</v>
      </c>
      <c r="H708" s="28"/>
      <c r="I708" s="29"/>
      <c r="J708" s="30">
        <f>IF(J695&lt;&gt;"",,"")+J695-I695</f>
        <v>1</v>
      </c>
      <c r="K708" s="30">
        <f t="shared" ref="K708:U708" si="4055">IF(K695&lt;&gt;"",+K695-J695,"")</f>
        <v>2</v>
      </c>
      <c r="L708" s="30">
        <f t="shared" si="4055"/>
        <v>1</v>
      </c>
      <c r="M708" s="30">
        <f t="shared" si="4055"/>
        <v>0</v>
      </c>
      <c r="N708" s="30">
        <f t="shared" si="4055"/>
        <v>1</v>
      </c>
      <c r="O708" s="30">
        <f t="shared" si="4055"/>
        <v>1</v>
      </c>
      <c r="P708" s="30">
        <f t="shared" si="4055"/>
        <v>0</v>
      </c>
      <c r="Q708" s="30">
        <f t="shared" si="4055"/>
        <v>1</v>
      </c>
      <c r="R708" s="30">
        <f t="shared" si="4055"/>
        <v>1</v>
      </c>
      <c r="S708" s="30">
        <f t="shared" si="4055"/>
        <v>3</v>
      </c>
      <c r="T708" s="30">
        <f t="shared" si="4055"/>
        <v>1</v>
      </c>
      <c r="U708" s="30">
        <f t="shared" si="4055"/>
        <v>0</v>
      </c>
      <c r="V708" s="30">
        <f>IF(V695&lt;&gt;"",+V695,"")</f>
        <v>0</v>
      </c>
      <c r="W708" s="30">
        <f>IF(W695&lt;&gt;"",+W695-V695,"")</f>
        <v>1</v>
      </c>
      <c r="X708" s="30">
        <f>IF(X695&lt;&gt;"",+X695-W695,"")</f>
        <v>1</v>
      </c>
      <c r="Y708" s="30">
        <f>IF(Y695&lt;&gt;"",+Y695-X695,"")</f>
        <v>1</v>
      </c>
      <c r="Z708" s="30">
        <f t="shared" si="4040"/>
        <v>1</v>
      </c>
      <c r="AA708" s="30">
        <f t="shared" si="4040"/>
        <v>3</v>
      </c>
      <c r="AB708" s="30">
        <f t="shared" si="4040"/>
        <v>0</v>
      </c>
      <c r="AC708" s="30">
        <f t="shared" si="4040"/>
        <v>1</v>
      </c>
      <c r="AD708" s="30">
        <f t="shared" si="4040"/>
        <v>2</v>
      </c>
      <c r="AE708" s="30">
        <f t="shared" si="4040"/>
        <v>2</v>
      </c>
      <c r="AF708" s="30">
        <f t="shared" si="4040"/>
        <v>0</v>
      </c>
      <c r="AG708" s="30">
        <f t="shared" si="4040"/>
        <v>1</v>
      </c>
      <c r="AH708" s="30">
        <f>IF(AH695&lt;&gt;"",+AH695,"")</f>
        <v>0</v>
      </c>
      <c r="AI708" s="30">
        <f>IF(AI695&lt;&gt;"",+AI695-AH695,"")</f>
        <v>2</v>
      </c>
      <c r="AJ708" s="30" t="str">
        <f>IF(AJ695&lt;&gt;"",+AJ695-AI695,"")</f>
        <v/>
      </c>
      <c r="AK708" s="408"/>
      <c r="AL708" s="48">
        <f t="shared" si="3973"/>
        <v>1</v>
      </c>
      <c r="AM708" s="48">
        <f t="shared" si="4041"/>
        <v>2</v>
      </c>
      <c r="AN708" s="48">
        <f t="shared" si="4041"/>
        <v>1</v>
      </c>
      <c r="AO708" s="48">
        <f t="shared" si="4041"/>
        <v>0</v>
      </c>
      <c r="AP708" s="48">
        <f t="shared" si="4041"/>
        <v>1</v>
      </c>
      <c r="AQ708" s="48">
        <f t="shared" si="4041"/>
        <v>1</v>
      </c>
      <c r="AR708" s="48">
        <f t="shared" si="4041"/>
        <v>0</v>
      </c>
      <c r="AS708" s="48">
        <f t="shared" si="4041"/>
        <v>1</v>
      </c>
      <c r="AT708" s="48">
        <f t="shared" si="4041"/>
        <v>1</v>
      </c>
      <c r="AU708" s="48">
        <f t="shared" si="4041"/>
        <v>3</v>
      </c>
      <c r="AV708" s="48">
        <f t="shared" si="4041"/>
        <v>1</v>
      </c>
      <c r="AW708" s="48">
        <f t="shared" si="4042"/>
        <v>0</v>
      </c>
      <c r="AX708" s="48">
        <f t="shared" si="4042"/>
        <v>0</v>
      </c>
      <c r="AY708" s="48">
        <f t="shared" si="4042"/>
        <v>1</v>
      </c>
      <c r="AZ708" s="48">
        <f t="shared" si="4042"/>
        <v>1</v>
      </c>
      <c r="BA708" s="48">
        <f t="shared" si="4042"/>
        <v>1</v>
      </c>
      <c r="BB708" s="48">
        <f t="shared" si="4042"/>
        <v>1</v>
      </c>
      <c r="BC708" s="48">
        <f t="shared" si="4042"/>
        <v>3</v>
      </c>
      <c r="BD708" s="48">
        <f t="shared" si="4042"/>
        <v>0</v>
      </c>
      <c r="BE708" s="48">
        <f t="shared" si="4042"/>
        <v>1</v>
      </c>
      <c r="BF708" s="48">
        <f t="shared" si="4042"/>
        <v>2</v>
      </c>
      <c r="BG708" s="48">
        <f t="shared" si="4043"/>
        <v>2</v>
      </c>
      <c r="BH708" s="48">
        <f t="shared" si="4043"/>
        <v>0</v>
      </c>
      <c r="BI708" s="48">
        <f t="shared" si="4043"/>
        <v>1</v>
      </c>
      <c r="BJ708" s="48">
        <f t="shared" si="4043"/>
        <v>0</v>
      </c>
      <c r="BK708" s="48">
        <f t="shared" si="4043"/>
        <v>2</v>
      </c>
      <c r="BL708" s="48" t="str">
        <f t="shared" si="4043"/>
        <v/>
      </c>
      <c r="BM708" s="408"/>
      <c r="BN708" s="48">
        <f>+AL708</f>
        <v>1</v>
      </c>
      <c r="BO708" s="48">
        <f t="shared" si="4044"/>
        <v>3</v>
      </c>
      <c r="BP708" s="48">
        <f t="shared" si="4044"/>
        <v>4</v>
      </c>
      <c r="BQ708" s="48">
        <f>+AO708</f>
        <v>0</v>
      </c>
      <c r="BR708" s="48">
        <f t="shared" si="4045"/>
        <v>1</v>
      </c>
      <c r="BS708" s="48">
        <f t="shared" si="4045"/>
        <v>2</v>
      </c>
      <c r="BT708" s="48">
        <f>+AR708</f>
        <v>0</v>
      </c>
      <c r="BU708" s="48">
        <f t="shared" si="4046"/>
        <v>1</v>
      </c>
      <c r="BV708" s="48">
        <f t="shared" si="4046"/>
        <v>2</v>
      </c>
      <c r="BW708" s="48">
        <f>+AU708</f>
        <v>3</v>
      </c>
      <c r="BX708" s="48">
        <f t="shared" si="4047"/>
        <v>4</v>
      </c>
      <c r="BY708" s="48">
        <f t="shared" si="4047"/>
        <v>4</v>
      </c>
      <c r="BZ708" s="48">
        <f>+AX708</f>
        <v>0</v>
      </c>
      <c r="CA708" s="48">
        <f t="shared" si="4048"/>
        <v>1</v>
      </c>
      <c r="CB708" s="48">
        <f t="shared" si="4048"/>
        <v>2</v>
      </c>
      <c r="CC708" s="48">
        <f>+BA708</f>
        <v>1</v>
      </c>
      <c r="CD708" s="48">
        <f t="shared" si="4049"/>
        <v>2</v>
      </c>
      <c r="CE708" s="48">
        <f t="shared" si="4049"/>
        <v>5</v>
      </c>
      <c r="CF708" s="48">
        <f>+BD708</f>
        <v>0</v>
      </c>
      <c r="CG708" s="48">
        <f t="shared" si="4050"/>
        <v>1</v>
      </c>
      <c r="CH708" s="48">
        <f t="shared" si="4050"/>
        <v>3</v>
      </c>
      <c r="CI708" s="48">
        <f>+BG708</f>
        <v>2</v>
      </c>
      <c r="CJ708" s="48">
        <f t="shared" si="4051"/>
        <v>2</v>
      </c>
      <c r="CK708" s="48">
        <f t="shared" si="4051"/>
        <v>3</v>
      </c>
      <c r="CL708" s="48">
        <f>+BJ708</f>
        <v>0</v>
      </c>
      <c r="CM708" s="48">
        <f t="shared" si="4052"/>
        <v>2</v>
      </c>
      <c r="CN708" s="48" t="e">
        <f t="shared" si="4052"/>
        <v>#VALUE!</v>
      </c>
      <c r="CO708" s="406"/>
      <c r="CP708" s="40">
        <f>AL708</f>
        <v>1</v>
      </c>
      <c r="CQ708" s="40">
        <f t="shared" si="4053"/>
        <v>3</v>
      </c>
      <c r="CR708" s="40">
        <f t="shared" si="4053"/>
        <v>4</v>
      </c>
      <c r="CS708" s="40">
        <f t="shared" si="4053"/>
        <v>4</v>
      </c>
      <c r="CT708" s="40">
        <f t="shared" si="4053"/>
        <v>5</v>
      </c>
      <c r="CU708" s="40">
        <f t="shared" si="4053"/>
        <v>6</v>
      </c>
      <c r="CV708" s="40">
        <f t="shared" si="4053"/>
        <v>6</v>
      </c>
      <c r="CW708" s="40">
        <f t="shared" si="4053"/>
        <v>7</v>
      </c>
      <c r="CX708" s="40">
        <f t="shared" si="4053"/>
        <v>8</v>
      </c>
      <c r="CY708" s="40">
        <f t="shared" si="4053"/>
        <v>11</v>
      </c>
      <c r="CZ708" s="40">
        <f t="shared" si="4053"/>
        <v>12</v>
      </c>
      <c r="DA708" s="40">
        <f t="shared" si="4053"/>
        <v>12</v>
      </c>
      <c r="DB708" s="40">
        <f>AX708</f>
        <v>0</v>
      </c>
      <c r="DC708" s="40">
        <f t="shared" si="4054"/>
        <v>1</v>
      </c>
      <c r="DD708" s="40">
        <f t="shared" si="4054"/>
        <v>2</v>
      </c>
      <c r="DE708" s="40">
        <f t="shared" si="4054"/>
        <v>3</v>
      </c>
      <c r="DF708" s="40">
        <f t="shared" si="4054"/>
        <v>4</v>
      </c>
      <c r="DG708" s="40">
        <f t="shared" si="4054"/>
        <v>7</v>
      </c>
      <c r="DH708" s="40">
        <f t="shared" si="4054"/>
        <v>7</v>
      </c>
      <c r="DI708" s="40">
        <f t="shared" si="4054"/>
        <v>8</v>
      </c>
      <c r="DJ708" s="40">
        <f t="shared" si="4054"/>
        <v>10</v>
      </c>
      <c r="DK708" s="40">
        <f t="shared" si="4054"/>
        <v>12</v>
      </c>
      <c r="DL708" s="40">
        <f t="shared" si="4054"/>
        <v>12</v>
      </c>
      <c r="DM708" s="40">
        <f t="shared" si="4054"/>
        <v>13</v>
      </c>
      <c r="DN708" s="40">
        <f>BJ708</f>
        <v>0</v>
      </c>
      <c r="DO708" s="40">
        <f>DN708+BK708</f>
        <v>2</v>
      </c>
      <c r="DP708" s="40" t="e">
        <f>DO708+BL708</f>
        <v>#VALUE!</v>
      </c>
      <c r="DQ708" s="40"/>
      <c r="DR708" s="40"/>
      <c r="DS708" s="40"/>
      <c r="DT708" s="40"/>
      <c r="DU708" s="40"/>
      <c r="DV708" s="40"/>
      <c r="DW708" s="40"/>
      <c r="DX708" s="40"/>
      <c r="DY708" s="40"/>
      <c r="EA708" s="53"/>
      <c r="EB708" s="53"/>
      <c r="EC708" s="53"/>
      <c r="ED708" s="429"/>
      <c r="EE708" s="54"/>
      <c r="EF708" s="54"/>
      <c r="EG708" s="54"/>
      <c r="EH708" s="18">
        <f>HLOOKUP($I$1,Month,ROW()-1)</f>
        <v>2</v>
      </c>
      <c r="EI708" s="18">
        <f>HLOOKUP($I$1,Qtr,ROW()-1)</f>
        <v>2</v>
      </c>
      <c r="EJ708" s="18">
        <f t="shared" si="3940"/>
        <v>2</v>
      </c>
      <c r="EK708" s="57">
        <f t="shared" si="3983"/>
        <v>0.16666666666666666</v>
      </c>
      <c r="EL708" s="14">
        <f>EH708/EE683</f>
        <v>2</v>
      </c>
      <c r="EM708" s="14">
        <f>EI708/EF683</f>
        <v>1</v>
      </c>
      <c r="EN708" s="14">
        <f>EJ708/EG683</f>
        <v>0.142857142755102</v>
      </c>
      <c r="EO708" s="46" t="str">
        <f t="shared" si="3989"/>
        <v>Ç</v>
      </c>
      <c r="EP708" s="46" t="str">
        <f t="shared" si="3990"/>
        <v>Æ</v>
      </c>
      <c r="EQ708" s="2">
        <f>IF(EL708&gt;=0.9,1,IF(EL708&lt;0.75,2,3))</f>
        <v>1</v>
      </c>
      <c r="ER708" s="2">
        <f>IF(EM708&gt;=0.9,1,IF(EM708&lt;0.75,2,3))</f>
        <v>1</v>
      </c>
      <c r="ES708" s="2">
        <f>IF(EN708&gt;=0.9,1,IF(EN708&lt;0.75,2,3))</f>
        <v>2</v>
      </c>
    </row>
    <row r="709" spans="1:149">
      <c r="A709" s="6" t="s">
        <v>23</v>
      </c>
      <c r="B709" s="2" t="s">
        <v>98</v>
      </c>
      <c r="G709" s="28" t="s">
        <v>92</v>
      </c>
      <c r="H709" s="28"/>
      <c r="I709" s="29"/>
      <c r="J709" s="32">
        <f>J696*J697</f>
        <v>2</v>
      </c>
      <c r="K709" s="32">
        <f t="shared" ref="K709:AJ709" si="4056">K696*K697</f>
        <v>2</v>
      </c>
      <c r="L709" s="32">
        <f t="shared" si="4056"/>
        <v>1</v>
      </c>
      <c r="M709" s="32">
        <f t="shared" si="4056"/>
        <v>0</v>
      </c>
      <c r="N709" s="32">
        <f t="shared" si="4056"/>
        <v>0</v>
      </c>
      <c r="O709" s="32">
        <f t="shared" si="4056"/>
        <v>0</v>
      </c>
      <c r="P709" s="32">
        <f t="shared" si="4056"/>
        <v>1</v>
      </c>
      <c r="Q709" s="32">
        <f t="shared" si="4056"/>
        <v>1</v>
      </c>
      <c r="R709" s="32">
        <f t="shared" si="4056"/>
        <v>5</v>
      </c>
      <c r="S709" s="32">
        <f t="shared" si="4056"/>
        <v>0</v>
      </c>
      <c r="T709" s="32">
        <f t="shared" si="4056"/>
        <v>1</v>
      </c>
      <c r="U709" s="32">
        <f t="shared" si="4056"/>
        <v>1</v>
      </c>
      <c r="V709" s="32">
        <f t="shared" si="4056"/>
        <v>3.8</v>
      </c>
      <c r="W709" s="32">
        <f t="shared" si="4056"/>
        <v>3</v>
      </c>
      <c r="X709" s="32">
        <f t="shared" si="4056"/>
        <v>0</v>
      </c>
      <c r="Y709" s="32">
        <f t="shared" si="4056"/>
        <v>1</v>
      </c>
      <c r="Z709" s="32">
        <f t="shared" si="4056"/>
        <v>1</v>
      </c>
      <c r="AA709" s="32">
        <f t="shared" si="4056"/>
        <v>0</v>
      </c>
      <c r="AB709" s="32">
        <f t="shared" si="4056"/>
        <v>0</v>
      </c>
      <c r="AC709" s="32">
        <f t="shared" si="4056"/>
        <v>0</v>
      </c>
      <c r="AD709" s="32">
        <f t="shared" si="4056"/>
        <v>0</v>
      </c>
      <c r="AE709" s="32">
        <f t="shared" si="4056"/>
        <v>0</v>
      </c>
      <c r="AF709" s="32">
        <f t="shared" si="4056"/>
        <v>2</v>
      </c>
      <c r="AG709" s="32">
        <f t="shared" si="4056"/>
        <v>1</v>
      </c>
      <c r="AH709" s="32">
        <f t="shared" si="4056"/>
        <v>0</v>
      </c>
      <c r="AI709" s="32">
        <f t="shared" si="4056"/>
        <v>2</v>
      </c>
      <c r="AJ709" s="32">
        <f t="shared" si="4056"/>
        <v>0</v>
      </c>
      <c r="AK709" s="408"/>
      <c r="AL709" s="56">
        <f t="shared" ref="AL709:BL709" si="4057">AL696*AL697</f>
        <v>2</v>
      </c>
      <c r="AM709" s="56">
        <f t="shared" si="4057"/>
        <v>2</v>
      </c>
      <c r="AN709" s="56">
        <f t="shared" si="4057"/>
        <v>1</v>
      </c>
      <c r="AO709" s="56">
        <f t="shared" si="4057"/>
        <v>0</v>
      </c>
      <c r="AP709" s="56">
        <f t="shared" si="4057"/>
        <v>0</v>
      </c>
      <c r="AQ709" s="56">
        <f t="shared" si="4057"/>
        <v>0</v>
      </c>
      <c r="AR709" s="56">
        <f t="shared" si="4057"/>
        <v>1</v>
      </c>
      <c r="AS709" s="56">
        <f t="shared" si="4057"/>
        <v>1</v>
      </c>
      <c r="AT709" s="56">
        <f t="shared" si="4057"/>
        <v>5</v>
      </c>
      <c r="AU709" s="56">
        <f t="shared" si="4057"/>
        <v>0</v>
      </c>
      <c r="AV709" s="56">
        <f t="shared" si="4057"/>
        <v>1</v>
      </c>
      <c r="AW709" s="56">
        <f t="shared" si="4057"/>
        <v>1</v>
      </c>
      <c r="AX709" s="56">
        <f t="shared" si="4057"/>
        <v>3.8</v>
      </c>
      <c r="AY709" s="56">
        <f t="shared" si="4057"/>
        <v>3</v>
      </c>
      <c r="AZ709" s="56">
        <f t="shared" si="4057"/>
        <v>0</v>
      </c>
      <c r="BA709" s="56">
        <f t="shared" si="4057"/>
        <v>1</v>
      </c>
      <c r="BB709" s="56">
        <f t="shared" si="4057"/>
        <v>1</v>
      </c>
      <c r="BC709" s="56">
        <f t="shared" si="4057"/>
        <v>0</v>
      </c>
      <c r="BD709" s="56">
        <f t="shared" si="4057"/>
        <v>0</v>
      </c>
      <c r="BE709" s="56">
        <f t="shared" si="4057"/>
        <v>0</v>
      </c>
      <c r="BF709" s="56">
        <f t="shared" si="4057"/>
        <v>0</v>
      </c>
      <c r="BG709" s="56">
        <f t="shared" si="4057"/>
        <v>0</v>
      </c>
      <c r="BH709" s="56">
        <f t="shared" si="4057"/>
        <v>2</v>
      </c>
      <c r="BI709" s="56">
        <f t="shared" si="4057"/>
        <v>0</v>
      </c>
      <c r="BJ709" s="56">
        <f t="shared" si="4057"/>
        <v>0</v>
      </c>
      <c r="BK709" s="56">
        <f t="shared" si="4057"/>
        <v>2</v>
      </c>
      <c r="BL709" s="56">
        <f t="shared" si="4057"/>
        <v>0</v>
      </c>
      <c r="BM709" s="408"/>
      <c r="BN709" s="56">
        <f>+AL709</f>
        <v>2</v>
      </c>
      <c r="BO709" s="56">
        <f t="shared" si="4044"/>
        <v>4</v>
      </c>
      <c r="BP709" s="56">
        <f t="shared" si="4044"/>
        <v>5</v>
      </c>
      <c r="BQ709" s="56">
        <f>+AO709</f>
        <v>0</v>
      </c>
      <c r="BR709" s="56">
        <f t="shared" si="4045"/>
        <v>0</v>
      </c>
      <c r="BS709" s="56">
        <f t="shared" si="4045"/>
        <v>0</v>
      </c>
      <c r="BT709" s="56">
        <f>+AR709</f>
        <v>1</v>
      </c>
      <c r="BU709" s="56">
        <f t="shared" si="4046"/>
        <v>2</v>
      </c>
      <c r="BV709" s="56">
        <f t="shared" si="4046"/>
        <v>7</v>
      </c>
      <c r="BW709" s="56">
        <f>+AU709</f>
        <v>0</v>
      </c>
      <c r="BX709" s="56">
        <f t="shared" si="4047"/>
        <v>1</v>
      </c>
      <c r="BY709" s="56">
        <f t="shared" si="4047"/>
        <v>2</v>
      </c>
      <c r="BZ709" s="56">
        <f>+AX709</f>
        <v>3.8</v>
      </c>
      <c r="CA709" s="56">
        <f t="shared" si="4048"/>
        <v>6.8</v>
      </c>
      <c r="CB709" s="56">
        <f t="shared" si="4048"/>
        <v>6.8</v>
      </c>
      <c r="CC709" s="56">
        <f>+BA709</f>
        <v>1</v>
      </c>
      <c r="CD709" s="56">
        <f t="shared" si="4049"/>
        <v>2</v>
      </c>
      <c r="CE709" s="56">
        <f t="shared" si="4049"/>
        <v>2</v>
      </c>
      <c r="CF709" s="56">
        <f>+BD709</f>
        <v>0</v>
      </c>
      <c r="CG709" s="56">
        <f t="shared" si="4050"/>
        <v>0</v>
      </c>
      <c r="CH709" s="56">
        <f t="shared" si="4050"/>
        <v>0</v>
      </c>
      <c r="CI709" s="56">
        <f>+BG709</f>
        <v>0</v>
      </c>
      <c r="CJ709" s="56">
        <f t="shared" si="4051"/>
        <v>2</v>
      </c>
      <c r="CK709" s="56">
        <f t="shared" si="4051"/>
        <v>2</v>
      </c>
      <c r="CL709" s="56">
        <f>+BJ709</f>
        <v>0</v>
      </c>
      <c r="CM709" s="56">
        <f t="shared" si="4052"/>
        <v>2</v>
      </c>
      <c r="CN709" s="56">
        <f t="shared" si="4052"/>
        <v>2</v>
      </c>
      <c r="CO709" s="406"/>
      <c r="CP709" s="60">
        <f>J709</f>
        <v>2</v>
      </c>
      <c r="CQ709" s="60">
        <f t="shared" ref="CQ709:DA709" si="4058">CP709+K709</f>
        <v>4</v>
      </c>
      <c r="CR709" s="60">
        <f t="shared" si="4058"/>
        <v>5</v>
      </c>
      <c r="CS709" s="60">
        <f t="shared" si="4058"/>
        <v>5</v>
      </c>
      <c r="CT709" s="60">
        <f t="shared" si="4058"/>
        <v>5</v>
      </c>
      <c r="CU709" s="60">
        <f t="shared" si="4058"/>
        <v>5</v>
      </c>
      <c r="CV709" s="60">
        <f t="shared" si="4058"/>
        <v>6</v>
      </c>
      <c r="CW709" s="60">
        <f t="shared" si="4058"/>
        <v>7</v>
      </c>
      <c r="CX709" s="60">
        <f t="shared" si="4058"/>
        <v>12</v>
      </c>
      <c r="CY709" s="60">
        <f t="shared" si="4058"/>
        <v>12</v>
      </c>
      <c r="CZ709" s="60">
        <f t="shared" si="4058"/>
        <v>13</v>
      </c>
      <c r="DA709" s="60">
        <f t="shared" si="4058"/>
        <v>14</v>
      </c>
      <c r="DB709" s="60">
        <f>V709</f>
        <v>3.8</v>
      </c>
      <c r="DC709" s="60">
        <f t="shared" ref="DC709:DM709" si="4059">DB709+W709</f>
        <v>6.8</v>
      </c>
      <c r="DD709" s="60">
        <f t="shared" si="4059"/>
        <v>6.8</v>
      </c>
      <c r="DE709" s="60">
        <f t="shared" si="4059"/>
        <v>7.8</v>
      </c>
      <c r="DF709" s="60">
        <f t="shared" si="4059"/>
        <v>8.8000000000000007</v>
      </c>
      <c r="DG709" s="60">
        <f t="shared" si="4059"/>
        <v>8.8000000000000007</v>
      </c>
      <c r="DH709" s="60">
        <f t="shared" si="4059"/>
        <v>8.8000000000000007</v>
      </c>
      <c r="DI709" s="60">
        <f t="shared" si="4059"/>
        <v>8.8000000000000007</v>
      </c>
      <c r="DJ709" s="60">
        <f t="shared" si="4059"/>
        <v>8.8000000000000007</v>
      </c>
      <c r="DK709" s="60">
        <f t="shared" si="4059"/>
        <v>8.8000000000000007</v>
      </c>
      <c r="DL709" s="60">
        <f t="shared" si="4059"/>
        <v>10.8</v>
      </c>
      <c r="DM709" s="60">
        <f t="shared" si="4059"/>
        <v>11.8</v>
      </c>
      <c r="DN709" s="60">
        <f>AH709</f>
        <v>0</v>
      </c>
      <c r="DO709" s="60">
        <f>DN709+AI709</f>
        <v>2</v>
      </c>
      <c r="DP709" s="60">
        <f>DO709+AJ709</f>
        <v>2</v>
      </c>
      <c r="DQ709" s="60"/>
      <c r="DR709" s="60"/>
      <c r="DS709" s="60"/>
      <c r="DT709" s="60"/>
      <c r="DU709" s="60"/>
      <c r="DV709" s="60"/>
      <c r="DW709" s="60"/>
      <c r="DX709" s="60"/>
      <c r="DY709" s="60"/>
      <c r="EA709" s="53"/>
      <c r="EB709" s="53"/>
      <c r="EC709" s="53"/>
      <c r="ED709" s="429"/>
      <c r="EE709" s="54"/>
      <c r="EF709" s="54"/>
      <c r="EG709" s="54"/>
      <c r="EH709" s="18">
        <f>HLOOKUP($I$1,Month,ROW()-1)</f>
        <v>2</v>
      </c>
      <c r="EI709" s="18">
        <f>HLOOKUP($I$1,Qtr,ROW()-1)</f>
        <v>2</v>
      </c>
      <c r="EJ709" s="18">
        <f t="shared" si="3940"/>
        <v>2</v>
      </c>
      <c r="EK709" s="57">
        <f t="shared" si="3983"/>
        <v>0.16666666666666666</v>
      </c>
      <c r="EL709" s="14"/>
      <c r="EM709" s="14" t="e">
        <f>EI709/EF685</f>
        <v>#DIV/0!</v>
      </c>
      <c r="EN709" s="14"/>
      <c r="EO709" s="46" t="str">
        <f>IF(EH709&lt;0,,IF(EH709&lt;EE685,"È",IF(EH709=EE685,"Æ","Ç")))</f>
        <v>Ç</v>
      </c>
      <c r="EP709" s="46" t="str">
        <f>IF(EI709&lt;0,,IF(EI709&lt;EF685,"È",IF(EI709=EF685,"Æ","Ç")))</f>
        <v>Ç</v>
      </c>
    </row>
    <row r="710" spans="1:149" ht="13.5" thickBot="1">
      <c r="K710" s="42" t="s">
        <v>114</v>
      </c>
      <c r="AL710" s="14"/>
      <c r="CN710" s="23" t="s">
        <v>152</v>
      </c>
      <c r="CP710" s="2">
        <v>10</v>
      </c>
      <c r="CQ710" s="2">
        <v>11</v>
      </c>
      <c r="CR710" s="2">
        <v>12</v>
      </c>
      <c r="CS710" s="2">
        <v>1</v>
      </c>
      <c r="CT710" s="2">
        <v>2</v>
      </c>
      <c r="CU710" s="2">
        <v>3</v>
      </c>
      <c r="CV710" s="2">
        <v>4</v>
      </c>
      <c r="CW710" s="2">
        <v>5</v>
      </c>
      <c r="CX710" s="2">
        <v>6</v>
      </c>
      <c r="CY710" s="2">
        <v>7</v>
      </c>
      <c r="CZ710" s="2">
        <v>8</v>
      </c>
      <c r="DA710" s="2">
        <v>9</v>
      </c>
      <c r="DB710" s="2">
        <v>10</v>
      </c>
      <c r="DC710" s="2">
        <v>11</v>
      </c>
      <c r="DD710" s="2">
        <v>12</v>
      </c>
      <c r="DE710" s="2">
        <v>1</v>
      </c>
      <c r="DF710" s="2">
        <v>2</v>
      </c>
      <c r="DG710" s="2">
        <v>3</v>
      </c>
      <c r="DH710" s="2">
        <v>4</v>
      </c>
      <c r="DI710" s="2">
        <v>5</v>
      </c>
      <c r="DJ710" s="2">
        <v>6</v>
      </c>
      <c r="DK710" s="2">
        <v>7</v>
      </c>
      <c r="DL710" s="2">
        <v>8</v>
      </c>
      <c r="DM710" s="2">
        <v>9</v>
      </c>
      <c r="DN710" s="2">
        <v>10</v>
      </c>
      <c r="DO710" s="2">
        <v>11</v>
      </c>
      <c r="DP710" s="2">
        <v>12</v>
      </c>
      <c r="ED710" s="429"/>
      <c r="EE710" s="23"/>
      <c r="EF710" s="23"/>
      <c r="EG710" s="23"/>
      <c r="EH710" s="23"/>
      <c r="EI710" s="23"/>
      <c r="EJ710" s="23"/>
      <c r="EK710" s="23"/>
    </row>
    <row r="711" spans="1:149" ht="13.5" thickBot="1">
      <c r="E711" s="666" t="s">
        <v>88</v>
      </c>
      <c r="F711" s="667"/>
      <c r="G711" s="667"/>
      <c r="H711" s="667"/>
      <c r="I711" s="668"/>
      <c r="CN711" s="23" t="s">
        <v>153</v>
      </c>
      <c r="CP711" s="2">
        <v>1</v>
      </c>
      <c r="CQ711" s="2">
        <v>2</v>
      </c>
      <c r="CR711" s="2">
        <v>3</v>
      </c>
      <c r="CS711" s="2">
        <v>4</v>
      </c>
      <c r="CT711" s="2">
        <v>5</v>
      </c>
      <c r="CU711" s="2">
        <v>6</v>
      </c>
      <c r="CV711" s="2">
        <v>7</v>
      </c>
      <c r="CW711" s="2">
        <v>8</v>
      </c>
      <c r="CX711" s="2">
        <v>9</v>
      </c>
      <c r="CY711" s="2">
        <v>10</v>
      </c>
      <c r="CZ711" s="2">
        <v>11</v>
      </c>
      <c r="DA711" s="2">
        <v>12</v>
      </c>
      <c r="DB711" s="2">
        <v>1</v>
      </c>
      <c r="DC711" s="2">
        <v>2</v>
      </c>
      <c r="DD711" s="2">
        <v>3</v>
      </c>
      <c r="DE711" s="2">
        <v>4</v>
      </c>
      <c r="DF711" s="2">
        <v>5</v>
      </c>
      <c r="DG711" s="2">
        <v>6</v>
      </c>
      <c r="DH711" s="2">
        <v>7</v>
      </c>
      <c r="DI711" s="2">
        <v>8</v>
      </c>
      <c r="DJ711" s="2">
        <v>9</v>
      </c>
      <c r="DK711" s="2">
        <v>10</v>
      </c>
      <c r="DL711" s="2">
        <v>11</v>
      </c>
      <c r="DM711" s="2">
        <v>12</v>
      </c>
      <c r="ED711" s="429"/>
      <c r="EE711" s="23"/>
      <c r="EF711" s="23"/>
      <c r="EG711" s="23"/>
      <c r="EH711" s="23"/>
      <c r="EI711" s="23"/>
      <c r="EJ711" s="23"/>
      <c r="EK711" s="23"/>
    </row>
    <row r="712" spans="1:149" ht="13.5" thickBot="1">
      <c r="A712" s="6" t="s">
        <v>30</v>
      </c>
      <c r="C712" s="11" t="s">
        <v>73</v>
      </c>
      <c r="E712" s="8" t="s">
        <v>34</v>
      </c>
      <c r="F712" s="11" t="s">
        <v>33</v>
      </c>
      <c r="G712" s="9" t="s">
        <v>34</v>
      </c>
      <c r="H712" s="11" t="s">
        <v>33</v>
      </c>
      <c r="I712" s="11" t="s">
        <v>34</v>
      </c>
      <c r="AL712" s="109"/>
    </row>
    <row r="713" spans="1:149">
      <c r="A713" s="6" t="s">
        <v>23</v>
      </c>
      <c r="B713" s="2" t="s">
        <v>24</v>
      </c>
      <c r="C713" s="3" t="s">
        <v>74</v>
      </c>
      <c r="E713" s="4" t="str">
        <f>C670</f>
        <v>BInBusNew</v>
      </c>
      <c r="F713" s="4" t="s">
        <v>31</v>
      </c>
      <c r="G713" s="28" t="str">
        <f>C669</f>
        <v>BAllNew</v>
      </c>
      <c r="H713" s="28"/>
      <c r="I713" s="28"/>
      <c r="J713" s="62">
        <f t="shared" ref="J713:AJ713" si="4060">J670/J669</f>
        <v>0.34</v>
      </c>
      <c r="K713" s="62">
        <f t="shared" si="4060"/>
        <v>0.33999999982631574</v>
      </c>
      <c r="L713" s="62">
        <f t="shared" si="4060"/>
        <v>0.3399999997684211</v>
      </c>
      <c r="M713" s="62">
        <f t="shared" si="4060"/>
        <v>0.3399999997394737</v>
      </c>
      <c r="N713" s="62">
        <f t="shared" si="4060"/>
        <v>0.33999999972210526</v>
      </c>
      <c r="O713" s="62">
        <f t="shared" si="4060"/>
        <v>0.3399999997105263</v>
      </c>
      <c r="P713" s="62">
        <f t="shared" si="4060"/>
        <v>0.33999999970225564</v>
      </c>
      <c r="Q713" s="62">
        <f t="shared" si="4060"/>
        <v>0.3399999996960526</v>
      </c>
      <c r="R713" s="62">
        <f t="shared" si="4060"/>
        <v>0.33999999969122802</v>
      </c>
      <c r="S713" s="62">
        <f t="shared" si="4060"/>
        <v>0.33999999968736833</v>
      </c>
      <c r="T713" s="62">
        <f t="shared" si="4060"/>
        <v>0.33999999968421041</v>
      </c>
      <c r="U713" s="62">
        <f t="shared" si="4060"/>
        <v>0.33999999968157885</v>
      </c>
      <c r="V713" s="62">
        <f t="shared" si="4060"/>
        <v>0.35526315789473684</v>
      </c>
      <c r="W713" s="62">
        <f t="shared" si="4060"/>
        <v>0.3552632513850662</v>
      </c>
      <c r="X713" s="62">
        <f t="shared" si="4060"/>
        <v>0.35526328254852019</v>
      </c>
      <c r="Y713" s="62">
        <f t="shared" si="4060"/>
        <v>0.35526329813024926</v>
      </c>
      <c r="Z713" s="62">
        <f t="shared" si="4060"/>
        <v>0.35526330747928736</v>
      </c>
      <c r="AA713" s="62">
        <f t="shared" si="4060"/>
        <v>0.35526331371197972</v>
      </c>
      <c r="AB713" s="62">
        <f t="shared" si="4060"/>
        <v>0.35526331816390289</v>
      </c>
      <c r="AC713" s="62">
        <f t="shared" si="4060"/>
        <v>0.3552633215028454</v>
      </c>
      <c r="AD713" s="62">
        <f t="shared" si="4060"/>
        <v>0.35526332409980066</v>
      </c>
      <c r="AE713" s="62">
        <f t="shared" si="4060"/>
        <v>0.35526332617736495</v>
      </c>
      <c r="AF713" s="62">
        <f t="shared" si="4060"/>
        <v>0.35526332787719028</v>
      </c>
      <c r="AG713" s="62">
        <f t="shared" si="4060"/>
        <v>0.35526332929371141</v>
      </c>
      <c r="AH713" s="62">
        <f t="shared" si="4060"/>
        <v>0.2533333333333333</v>
      </c>
      <c r="AI713" s="62">
        <f t="shared" si="4060"/>
        <v>0.2533333333333333</v>
      </c>
      <c r="AJ713" s="62" t="e">
        <f t="shared" si="4060"/>
        <v>#DIV/0!</v>
      </c>
      <c r="AK713" s="412"/>
      <c r="AL713" s="14">
        <f t="shared" ref="AL713:BL713" si="4061">AL670/AL669</f>
        <v>0.34</v>
      </c>
      <c r="AM713" s="14">
        <f t="shared" si="4061"/>
        <v>0.33999999965263145</v>
      </c>
      <c r="AN713" s="14">
        <f t="shared" si="4061"/>
        <v>0.33999999965263178</v>
      </c>
      <c r="AO713" s="14">
        <f t="shared" si="4061"/>
        <v>0.33999999965263156</v>
      </c>
      <c r="AP713" s="14">
        <f t="shared" si="4061"/>
        <v>0.33999999965263156</v>
      </c>
      <c r="AQ713" s="14">
        <f t="shared" si="4061"/>
        <v>0.33999999965263156</v>
      </c>
      <c r="AR713" s="14">
        <f t="shared" si="4061"/>
        <v>0.33999999965263156</v>
      </c>
      <c r="AS713" s="14">
        <f t="shared" si="4061"/>
        <v>0.33999999965263128</v>
      </c>
      <c r="AT713" s="14">
        <f t="shared" si="4061"/>
        <v>0.33999999965263128</v>
      </c>
      <c r="AU713" s="14">
        <f t="shared" si="4061"/>
        <v>0.33999999965263128</v>
      </c>
      <c r="AV713" s="14">
        <f t="shared" si="4061"/>
        <v>0.33999999965263128</v>
      </c>
      <c r="AW713" s="14">
        <f t="shared" si="4061"/>
        <v>0.33999999965263128</v>
      </c>
      <c r="AX713" s="14">
        <f t="shared" si="4061"/>
        <v>0.35526315789473684</v>
      </c>
      <c r="AY713" s="14">
        <f t="shared" si="4061"/>
        <v>0.3552633448754447</v>
      </c>
      <c r="AZ713" s="14">
        <f t="shared" si="4061"/>
        <v>0.35526334487544464</v>
      </c>
      <c r="BA713" s="14">
        <f t="shared" si="4061"/>
        <v>0.35526334487544464</v>
      </c>
      <c r="BB713" s="14">
        <f t="shared" si="4061"/>
        <v>0.35526334487544464</v>
      </c>
      <c r="BC713" s="14">
        <f t="shared" si="4061"/>
        <v>0.35526334487544464</v>
      </c>
      <c r="BD713" s="14">
        <f t="shared" si="4061"/>
        <v>0.35526334487544448</v>
      </c>
      <c r="BE713" s="14">
        <f t="shared" si="4061"/>
        <v>0.35526334487544448</v>
      </c>
      <c r="BF713" s="14">
        <f t="shared" si="4061"/>
        <v>0.35526334487544448</v>
      </c>
      <c r="BG713" s="14">
        <f t="shared" si="4061"/>
        <v>0.35526334487544448</v>
      </c>
      <c r="BH713" s="14">
        <f t="shared" si="4061"/>
        <v>0.35526334487544448</v>
      </c>
      <c r="BI713" s="14">
        <f t="shared" si="4061"/>
        <v>0.35526334487544448</v>
      </c>
      <c r="BJ713" s="14">
        <f t="shared" si="4061"/>
        <v>0.2533333333333333</v>
      </c>
      <c r="BK713" s="14">
        <f t="shared" si="4061"/>
        <v>0.2533333333333333</v>
      </c>
      <c r="BL713" s="14">
        <f t="shared" si="4061"/>
        <v>0.2533333333333333</v>
      </c>
      <c r="BM713" s="412"/>
      <c r="BN713" s="14">
        <f t="shared" ref="BN713:CN713" si="4062">BN670/BN669</f>
        <v>0.3399999997684211</v>
      </c>
      <c r="BO713" s="14">
        <f t="shared" si="4062"/>
        <v>0.3399999997684211</v>
      </c>
      <c r="BP713" s="14">
        <f t="shared" si="4062"/>
        <v>0.3399999997684211</v>
      </c>
      <c r="BQ713" s="14">
        <f t="shared" si="4062"/>
        <v>0.33999999965263156</v>
      </c>
      <c r="BR713" s="14">
        <f t="shared" si="4062"/>
        <v>0.33999999965263156</v>
      </c>
      <c r="BS713" s="14">
        <f t="shared" si="4062"/>
        <v>0.33999999965263156</v>
      </c>
      <c r="BT713" s="14">
        <f t="shared" si="4062"/>
        <v>0.33999999965263139</v>
      </c>
      <c r="BU713" s="14">
        <f t="shared" si="4062"/>
        <v>0.33999999965263139</v>
      </c>
      <c r="BV713" s="14">
        <f t="shared" si="4062"/>
        <v>0.33999999965263139</v>
      </c>
      <c r="BW713" s="14">
        <f t="shared" si="4062"/>
        <v>0.33999999965263128</v>
      </c>
      <c r="BX713" s="14">
        <f t="shared" si="4062"/>
        <v>0.33999999965263128</v>
      </c>
      <c r="BY713" s="14">
        <f t="shared" si="4062"/>
        <v>0.33999999965263128</v>
      </c>
      <c r="BZ713" s="14">
        <f t="shared" si="4062"/>
        <v>0.35526328254852019</v>
      </c>
      <c r="CA713" s="14">
        <f t="shared" si="4062"/>
        <v>0.35526328254852019</v>
      </c>
      <c r="CB713" s="14">
        <f t="shared" si="4062"/>
        <v>0.35526328254852019</v>
      </c>
      <c r="CC713" s="14">
        <f t="shared" si="4062"/>
        <v>0.35526334487544464</v>
      </c>
      <c r="CD713" s="14">
        <f t="shared" si="4062"/>
        <v>0.35526334487544464</v>
      </c>
      <c r="CE713" s="14">
        <f t="shared" si="4062"/>
        <v>0.35526334487544464</v>
      </c>
      <c r="CF713" s="14">
        <f t="shared" si="4062"/>
        <v>0.35526334487544448</v>
      </c>
      <c r="CG713" s="14">
        <f t="shared" si="4062"/>
        <v>0.35526334487544448</v>
      </c>
      <c r="CH713" s="14">
        <f t="shared" si="4062"/>
        <v>0.35526334487544448</v>
      </c>
      <c r="CI713" s="14">
        <f t="shared" si="4062"/>
        <v>0.35526334487544448</v>
      </c>
      <c r="CJ713" s="14">
        <f t="shared" si="4062"/>
        <v>0.35526334487544448</v>
      </c>
      <c r="CK713" s="14">
        <f t="shared" si="4062"/>
        <v>0.35526334487544448</v>
      </c>
      <c r="CL713" s="14">
        <f t="shared" si="4062"/>
        <v>0.25333333333333335</v>
      </c>
      <c r="CM713" s="14">
        <f t="shared" si="4062"/>
        <v>0.25333333333333335</v>
      </c>
      <c r="CN713" s="14">
        <f t="shared" si="4062"/>
        <v>0.25333333333333335</v>
      </c>
      <c r="CO713" s="412"/>
      <c r="CP713" s="14">
        <f t="shared" ref="CP713:DP713" si="4063">CP670/CP669</f>
        <v>0.34</v>
      </c>
      <c r="CQ713" s="14">
        <f t="shared" si="4063"/>
        <v>0.33999999982631574</v>
      </c>
      <c r="CR713" s="14">
        <f t="shared" si="4063"/>
        <v>0.3399999997684211</v>
      </c>
      <c r="CS713" s="14">
        <f t="shared" si="4063"/>
        <v>0.3399999997394737</v>
      </c>
      <c r="CT713" s="14">
        <f t="shared" si="4063"/>
        <v>0.33999999972210526</v>
      </c>
      <c r="CU713" s="14">
        <f t="shared" si="4063"/>
        <v>0.3399999997105263</v>
      </c>
      <c r="CV713" s="14">
        <f t="shared" si="4063"/>
        <v>0.33999999970225564</v>
      </c>
      <c r="CW713" s="14">
        <f t="shared" si="4063"/>
        <v>0.3399999996960526</v>
      </c>
      <c r="CX713" s="14">
        <f t="shared" si="4063"/>
        <v>0.33999999969122802</v>
      </c>
      <c r="CY713" s="14">
        <f t="shared" si="4063"/>
        <v>0.33999999968736833</v>
      </c>
      <c r="CZ713" s="14">
        <f t="shared" si="4063"/>
        <v>0.33999999968421041</v>
      </c>
      <c r="DA713" s="14">
        <f t="shared" si="4063"/>
        <v>0.33999999968157885</v>
      </c>
      <c r="DB713" s="14">
        <f t="shared" si="4063"/>
        <v>0.35526315789473684</v>
      </c>
      <c r="DC713" s="14">
        <f t="shared" si="4063"/>
        <v>0.3552632513850662</v>
      </c>
      <c r="DD713" s="14">
        <f t="shared" si="4063"/>
        <v>0.35526328254852019</v>
      </c>
      <c r="DE713" s="14">
        <f t="shared" si="4063"/>
        <v>0.35526329813024926</v>
      </c>
      <c r="DF713" s="14">
        <f t="shared" si="4063"/>
        <v>0.35526330747928736</v>
      </c>
      <c r="DG713" s="14">
        <f t="shared" si="4063"/>
        <v>0.35526331371197972</v>
      </c>
      <c r="DH713" s="14">
        <f t="shared" si="4063"/>
        <v>0.35526331816390289</v>
      </c>
      <c r="DI713" s="14">
        <f t="shared" si="4063"/>
        <v>0.3552633215028454</v>
      </c>
      <c r="DJ713" s="14">
        <f t="shared" si="4063"/>
        <v>0.35526332409980066</v>
      </c>
      <c r="DK713" s="14">
        <f t="shared" si="4063"/>
        <v>0.35526332617736495</v>
      </c>
      <c r="DL713" s="14">
        <f t="shared" si="4063"/>
        <v>0.35526332787719028</v>
      </c>
      <c r="DM713" s="14">
        <f t="shared" si="4063"/>
        <v>0.35526332929371141</v>
      </c>
      <c r="DN713" s="14">
        <f t="shared" si="4063"/>
        <v>0.2533333333333333</v>
      </c>
      <c r="DO713" s="14">
        <f t="shared" si="4063"/>
        <v>0.2533333333333333</v>
      </c>
      <c r="DP713" s="14" t="e">
        <f t="shared" si="4063"/>
        <v>#DIV/0!</v>
      </c>
      <c r="DQ713" s="14"/>
      <c r="DR713" s="14"/>
      <c r="DS713" s="14"/>
      <c r="DT713" s="14"/>
      <c r="DU713" s="14"/>
      <c r="DV713" s="14"/>
      <c r="DW713" s="14"/>
      <c r="DX713" s="14"/>
      <c r="DY713" s="14"/>
      <c r="DZ713" s="14"/>
      <c r="EA713" s="14">
        <f>EA670/EA669</f>
        <v>0.33999999968157885</v>
      </c>
      <c r="EB713" s="14">
        <f>EB670/EB669</f>
        <v>0.35526332929371141</v>
      </c>
      <c r="EC713" s="14"/>
      <c r="ED713" s="429"/>
      <c r="EE713" s="14">
        <f>EE670/EE669</f>
        <v>0.2533333333333333</v>
      </c>
      <c r="EF713" s="14">
        <f>EF670/EF669</f>
        <v>0.25333333333333335</v>
      </c>
      <c r="EG713" s="14">
        <f>EG670/EG669</f>
        <v>0.25333333333333335</v>
      </c>
      <c r="EK713" s="24"/>
      <c r="EL713" s="47"/>
      <c r="EM713" s="47"/>
      <c r="EN713" s="47"/>
    </row>
    <row r="714" spans="1:149">
      <c r="A714" s="6" t="s">
        <v>23</v>
      </c>
      <c r="B714" s="2" t="s">
        <v>25</v>
      </c>
      <c r="C714" s="3" t="s">
        <v>75</v>
      </c>
      <c r="E714" s="4" t="str">
        <f>C683</f>
        <v>BSEE</v>
      </c>
      <c r="F714" s="4" t="s">
        <v>31</v>
      </c>
      <c r="G714" s="28" t="str">
        <f>C682</f>
        <v>BSUniq</v>
      </c>
      <c r="H714" s="28"/>
      <c r="I714" s="28"/>
      <c r="J714" s="62">
        <f t="shared" ref="J714:AJ714" si="4064">J683/J682</f>
        <v>8.8960342979635509E-2</v>
      </c>
      <c r="K714" s="62">
        <f t="shared" si="4064"/>
        <v>8.8960342979635607E-2</v>
      </c>
      <c r="L714" s="62">
        <f t="shared" si="4064"/>
        <v>8.8960342979635607E-2</v>
      </c>
      <c r="M714" s="62">
        <f t="shared" si="4064"/>
        <v>0.2197802197802198</v>
      </c>
      <c r="N714" s="62">
        <f t="shared" si="4064"/>
        <v>0.21978022031638686</v>
      </c>
      <c r="O714" s="62">
        <f t="shared" si="4064"/>
        <v>0.21978022031638692</v>
      </c>
      <c r="P714" s="62">
        <f t="shared" si="4064"/>
        <v>0.2197802203163868</v>
      </c>
      <c r="Q714" s="62">
        <f t="shared" si="4064"/>
        <v>0.21978022031638692</v>
      </c>
      <c r="R714" s="62">
        <f t="shared" si="4064"/>
        <v>0.2197802203163868</v>
      </c>
      <c r="S714" s="62">
        <f t="shared" si="4064"/>
        <v>0.2197802203163868</v>
      </c>
      <c r="T714" s="62">
        <f t="shared" si="4064"/>
        <v>0.2197802203163868</v>
      </c>
      <c r="U714" s="62">
        <f t="shared" si="4064"/>
        <v>0.2197802203163868</v>
      </c>
      <c r="V714" s="62">
        <f t="shared" si="4064"/>
        <v>0.15503876000000014</v>
      </c>
      <c r="W714" s="62">
        <f t="shared" si="4064"/>
        <v>7.7519380000000068E-2</v>
      </c>
      <c r="X714" s="62">
        <f t="shared" si="4064"/>
        <v>5.1679586666666714E-2</v>
      </c>
      <c r="Y714" s="62">
        <f t="shared" si="4064"/>
        <v>2.3255813953488372E-2</v>
      </c>
      <c r="Z714" s="62">
        <f t="shared" si="4064"/>
        <v>1.8604651162790697E-2</v>
      </c>
      <c r="AA714" s="62">
        <f t="shared" si="4064"/>
        <v>1.5503875968992248E-2</v>
      </c>
      <c r="AB714" s="62">
        <f t="shared" si="4064"/>
        <v>1.3289036544850499E-2</v>
      </c>
      <c r="AC714" s="62">
        <f t="shared" si="4064"/>
        <v>1.1627906976744186E-2</v>
      </c>
      <c r="AD714" s="62">
        <f t="shared" si="4064"/>
        <v>1.0335917312661499E-2</v>
      </c>
      <c r="AE714" s="62">
        <f t="shared" si="4064"/>
        <v>9.3023255813953487E-3</v>
      </c>
      <c r="AF714" s="62">
        <f t="shared" si="4064"/>
        <v>8.4566596194503175E-3</v>
      </c>
      <c r="AG714" s="62">
        <f t="shared" si="4064"/>
        <v>7.7519379844961239E-3</v>
      </c>
      <c r="AH714" s="62">
        <f t="shared" si="4064"/>
        <v>0.1</v>
      </c>
      <c r="AI714" s="62">
        <f t="shared" si="4064"/>
        <v>0.05</v>
      </c>
      <c r="AJ714" s="62" t="e">
        <f t="shared" si="4064"/>
        <v>#DIV/0!</v>
      </c>
      <c r="AK714" s="412"/>
      <c r="AL714" s="14">
        <f t="shared" ref="AL714:BL714" si="4065">AL683/AL682</f>
        <v>8.8960342979635509E-2</v>
      </c>
      <c r="AM714" s="14">
        <f t="shared" si="4065"/>
        <v>8.8960342979635607E-2</v>
      </c>
      <c r="AN714" s="14">
        <f t="shared" si="4065"/>
        <v>8.8960342979635607E-2</v>
      </c>
      <c r="AO714" s="14">
        <f t="shared" si="4065"/>
        <v>0.2197802197802198</v>
      </c>
      <c r="AP714" s="14">
        <f t="shared" si="4065"/>
        <v>0.21978022031638686</v>
      </c>
      <c r="AQ714" s="14">
        <f t="shared" si="4065"/>
        <v>0.21978022031638692</v>
      </c>
      <c r="AR714" s="14">
        <f t="shared" si="4065"/>
        <v>0.2197802203163868</v>
      </c>
      <c r="AS714" s="14">
        <f t="shared" si="4065"/>
        <v>0.21978022031638692</v>
      </c>
      <c r="AT714" s="14">
        <f t="shared" si="4065"/>
        <v>0.2197802203163868</v>
      </c>
      <c r="AU714" s="14">
        <f t="shared" si="4065"/>
        <v>0.2197802203163868</v>
      </c>
      <c r="AV714" s="14">
        <f t="shared" si="4065"/>
        <v>0.2197802203163868</v>
      </c>
      <c r="AW714" s="14">
        <f t="shared" si="4065"/>
        <v>0.2197802203163868</v>
      </c>
      <c r="AX714" s="14">
        <f t="shared" si="4065"/>
        <v>0.15503876000000014</v>
      </c>
      <c r="AY714" s="14">
        <f t="shared" si="4065"/>
        <v>0.15503876000000014</v>
      </c>
      <c r="AZ714" s="14">
        <f t="shared" si="4065"/>
        <v>0.15503876000000014</v>
      </c>
      <c r="BA714" s="14">
        <f t="shared" si="4065"/>
        <v>9.3023255813953487E-2</v>
      </c>
      <c r="BB714" s="14">
        <f t="shared" si="4065"/>
        <v>9.3023255813953487E-2</v>
      </c>
      <c r="BC714" s="14">
        <f t="shared" si="4065"/>
        <v>9.3023255813953487E-2</v>
      </c>
      <c r="BD714" s="14">
        <f t="shared" si="4065"/>
        <v>9.3023255813953487E-2</v>
      </c>
      <c r="BE714" s="14">
        <f t="shared" si="4065"/>
        <v>9.3023255813953487E-2</v>
      </c>
      <c r="BF714" s="14">
        <f t="shared" si="4065"/>
        <v>9.3023255813953487E-2</v>
      </c>
      <c r="BG714" s="14">
        <f t="shared" si="4065"/>
        <v>9.3023255813953487E-2</v>
      </c>
      <c r="BH714" s="14">
        <f t="shared" si="4065"/>
        <v>9.3023255813953487E-2</v>
      </c>
      <c r="BI714" s="14">
        <f t="shared" si="4065"/>
        <v>9.3023255813953487E-2</v>
      </c>
      <c r="BJ714" s="14">
        <f t="shared" si="4065"/>
        <v>0.1</v>
      </c>
      <c r="BK714" s="14">
        <f t="shared" si="4065"/>
        <v>0.05</v>
      </c>
      <c r="BL714" s="14" t="e">
        <f t="shared" si="4065"/>
        <v>#DIV/0!</v>
      </c>
      <c r="BM714" s="412"/>
      <c r="BN714" s="14">
        <f t="shared" ref="BN714:CN714" si="4066">BN683/BN682</f>
        <v>8.8960342979635509E-2</v>
      </c>
      <c r="BO714" s="14">
        <f t="shared" si="4066"/>
        <v>8.8960342979635565E-2</v>
      </c>
      <c r="BP714" s="14">
        <f t="shared" si="4066"/>
        <v>8.8960342979635579E-2</v>
      </c>
      <c r="BQ714" s="14">
        <f t="shared" si="4066"/>
        <v>0.2197802197802198</v>
      </c>
      <c r="BR714" s="14">
        <f t="shared" si="4066"/>
        <v>0.21978022004830333</v>
      </c>
      <c r="BS714" s="14">
        <f t="shared" si="4066"/>
        <v>0.21978022013766452</v>
      </c>
      <c r="BT714" s="14">
        <f t="shared" si="4066"/>
        <v>0.2197802203163868</v>
      </c>
      <c r="BU714" s="14">
        <f t="shared" si="4066"/>
        <v>0.21978022031638686</v>
      </c>
      <c r="BV714" s="14">
        <f t="shared" si="4066"/>
        <v>0.21978022031638686</v>
      </c>
      <c r="BW714" s="14">
        <f t="shared" si="4066"/>
        <v>0.2197802203163868</v>
      </c>
      <c r="BX714" s="14">
        <f t="shared" si="4066"/>
        <v>0.2197802203163868</v>
      </c>
      <c r="BY714" s="14">
        <f t="shared" si="4066"/>
        <v>0.2197802203163868</v>
      </c>
      <c r="BZ714" s="14">
        <f t="shared" si="4066"/>
        <v>5.1679586666666714E-2</v>
      </c>
      <c r="CA714" s="14">
        <f t="shared" si="4066"/>
        <v>0.10335917333333343</v>
      </c>
      <c r="CB714" s="14">
        <f t="shared" si="4066"/>
        <v>0.15503876000000014</v>
      </c>
      <c r="CC714" s="14">
        <f t="shared" si="4066"/>
        <v>1.5503875968992248E-2</v>
      </c>
      <c r="CD714" s="14">
        <f t="shared" si="4066"/>
        <v>3.1007751937984496E-2</v>
      </c>
      <c r="CE714" s="14">
        <f t="shared" si="4066"/>
        <v>4.6511627906976744E-2</v>
      </c>
      <c r="CF714" s="14">
        <f t="shared" si="4066"/>
        <v>1.0335917312661499E-2</v>
      </c>
      <c r="CG714" s="14">
        <f t="shared" si="4066"/>
        <v>2.0671834625322998E-2</v>
      </c>
      <c r="CH714" s="14">
        <f t="shared" si="4066"/>
        <v>3.1007751937984496E-2</v>
      </c>
      <c r="CI714" s="14">
        <f t="shared" si="4066"/>
        <v>7.7519379844961239E-3</v>
      </c>
      <c r="CJ714" s="14">
        <f t="shared" si="4066"/>
        <v>1.5503875968992248E-2</v>
      </c>
      <c r="CK714" s="14">
        <f t="shared" si="4066"/>
        <v>2.3255813953488372E-2</v>
      </c>
      <c r="CL714" s="14">
        <f t="shared" si="4066"/>
        <v>3.3333333333333333E-2</v>
      </c>
      <c r="CM714" s="14">
        <f t="shared" si="4066"/>
        <v>6.6666666666666666E-2</v>
      </c>
      <c r="CN714" s="14">
        <f t="shared" si="4066"/>
        <v>0.1</v>
      </c>
      <c r="CO714" s="412"/>
      <c r="CP714" s="14">
        <f t="shared" ref="CP714:DP714" si="4067">CP683/CP682</f>
        <v>8.8960342979635509E-2</v>
      </c>
      <c r="CQ714" s="14">
        <f t="shared" si="4067"/>
        <v>8.8960342979635565E-2</v>
      </c>
      <c r="CR714" s="14">
        <f t="shared" si="4067"/>
        <v>8.8960342979635579E-2</v>
      </c>
      <c r="CS714" s="14">
        <f t="shared" si="4067"/>
        <v>0.11684782608695651</v>
      </c>
      <c r="CT714" s="14">
        <f t="shared" si="4067"/>
        <v>0.13493473400285275</v>
      </c>
      <c r="CU714" s="14">
        <f t="shared" si="4067"/>
        <v>0.14761529380470573</v>
      </c>
      <c r="CV714" s="14">
        <f t="shared" si="4067"/>
        <v>0.15699834277138908</v>
      </c>
      <c r="CW714" s="14">
        <f t="shared" si="4067"/>
        <v>0.16422213254384424</v>
      </c>
      <c r="CX714" s="14">
        <f t="shared" si="4067"/>
        <v>0.16995509619675125</v>
      </c>
      <c r="CY714" s="14">
        <f t="shared" si="4067"/>
        <v>0.1746155746668733</v>
      </c>
      <c r="CZ714" s="14">
        <f t="shared" si="4067"/>
        <v>0.1784787761119431</v>
      </c>
      <c r="DA714" s="14">
        <f t="shared" si="4067"/>
        <v>0.18173316740973483</v>
      </c>
      <c r="DB714" s="14">
        <f t="shared" si="4067"/>
        <v>0.15503876000000014</v>
      </c>
      <c r="DC714" s="14">
        <f t="shared" si="4067"/>
        <v>0.15503876000000014</v>
      </c>
      <c r="DD714" s="14">
        <f t="shared" si="4067"/>
        <v>0.15503876000000014</v>
      </c>
      <c r="DE714" s="14">
        <f t="shared" si="4067"/>
        <v>0.13953488395348848</v>
      </c>
      <c r="DF714" s="14">
        <f t="shared" si="4067"/>
        <v>0.13023255832558148</v>
      </c>
      <c r="DG714" s="14">
        <f t="shared" si="4067"/>
        <v>0.12403100790697681</v>
      </c>
      <c r="DH714" s="14">
        <f t="shared" si="4067"/>
        <v>0.11960132903654491</v>
      </c>
      <c r="DI714" s="14">
        <f t="shared" si="4067"/>
        <v>0.11627906988372098</v>
      </c>
      <c r="DJ714" s="14">
        <f t="shared" si="4067"/>
        <v>0.1136950905426357</v>
      </c>
      <c r="DK714" s="14">
        <f t="shared" si="4067"/>
        <v>0.11162790706976748</v>
      </c>
      <c r="DL714" s="14">
        <f t="shared" si="4067"/>
        <v>0.10993657513742075</v>
      </c>
      <c r="DM714" s="14">
        <f t="shared" si="4067"/>
        <v>0.10852713186046516</v>
      </c>
      <c r="DN714" s="14">
        <f t="shared" si="4067"/>
        <v>0.1</v>
      </c>
      <c r="DO714" s="14">
        <f t="shared" si="4067"/>
        <v>6.6666666666666666E-2</v>
      </c>
      <c r="DP714" s="14">
        <f t="shared" si="4067"/>
        <v>0.1</v>
      </c>
      <c r="DQ714" s="14"/>
      <c r="DR714" s="14"/>
      <c r="DS714" s="14"/>
      <c r="DT714" s="14"/>
      <c r="DU714" s="14"/>
      <c r="DV714" s="14"/>
      <c r="DW714" s="14"/>
      <c r="DX714" s="14"/>
      <c r="DY714" s="14"/>
      <c r="DZ714" s="14"/>
      <c r="EA714" s="14">
        <f>EA683/EA682</f>
        <v>0.18173316740973483</v>
      </c>
      <c r="EB714" s="14">
        <f>EB683/EB682</f>
        <v>0.10852713186046516</v>
      </c>
      <c r="EC714" s="14"/>
      <c r="ED714" s="429"/>
      <c r="EE714" s="14">
        <f>EG714</f>
        <v>0.1</v>
      </c>
      <c r="EF714" s="14">
        <f>EG714</f>
        <v>0.1</v>
      </c>
      <c r="EG714" s="14">
        <f>IF(I661&lt;40360,EG683/EG682,DP714)</f>
        <v>0.1</v>
      </c>
      <c r="EH714" s="266"/>
      <c r="EK714" s="24"/>
      <c r="EL714" s="47"/>
      <c r="EM714" s="47"/>
      <c r="EN714" s="47"/>
    </row>
    <row r="715" spans="1:149">
      <c r="A715" s="6" t="s">
        <v>23</v>
      </c>
      <c r="B715" s="2" t="s">
        <v>160</v>
      </c>
      <c r="C715" s="3" t="s">
        <v>76</v>
      </c>
      <c r="E715" s="3" t="str">
        <f>C672</f>
        <v>BSatRate</v>
      </c>
      <c r="F715" s="3" t="s">
        <v>32</v>
      </c>
      <c r="G715" s="28" t="str">
        <f>C669</f>
        <v>BAllNew</v>
      </c>
      <c r="H715" s="63" t="s">
        <v>31</v>
      </c>
      <c r="I715" s="28" t="str">
        <f>C671</f>
        <v>BSatResp</v>
      </c>
      <c r="J715" s="62">
        <f t="shared" ref="J715:AJ715" si="4068">J672*J671/J669</f>
        <v>0.23749999999999996</v>
      </c>
      <c r="K715" s="62">
        <f t="shared" si="4068"/>
        <v>0.11875000003124997</v>
      </c>
      <c r="L715" s="62">
        <f t="shared" si="4068"/>
        <v>7.9166666694444429E-2</v>
      </c>
      <c r="M715" s="62">
        <f t="shared" si="4068"/>
        <v>5.9375000023437485E-2</v>
      </c>
      <c r="N715" s="62">
        <f t="shared" si="4068"/>
        <v>4.7500000019999988E-2</v>
      </c>
      <c r="O715" s="62">
        <f t="shared" si="4068"/>
        <v>3.958333335069443E-2</v>
      </c>
      <c r="P715" s="62">
        <f t="shared" si="4068"/>
        <v>3.3928571443877537E-2</v>
      </c>
      <c r="Q715" s="62">
        <f t="shared" si="4068"/>
        <v>2.9687500013671864E-2</v>
      </c>
      <c r="R715" s="62">
        <f t="shared" si="4068"/>
        <v>2.6388888901234558E-2</v>
      </c>
      <c r="S715" s="62">
        <f t="shared" si="4068"/>
        <v>2.3750000011249991E-2</v>
      </c>
      <c r="T715" s="62">
        <f t="shared" si="4068"/>
        <v>2.1590909101239661E-2</v>
      </c>
      <c r="U715" s="62">
        <f t="shared" si="4068"/>
        <v>1.9791666676215271E-2</v>
      </c>
      <c r="V715" s="62">
        <f t="shared" si="4068"/>
        <v>0.20874999999999999</v>
      </c>
      <c r="W715" s="62">
        <f t="shared" si="4068"/>
        <v>0.20875030493429078</v>
      </c>
      <c r="X715" s="62">
        <f t="shared" si="4068"/>
        <v>0.20875040657909003</v>
      </c>
      <c r="Y715" s="62">
        <f t="shared" si="4068"/>
        <v>0.20875045740149631</v>
      </c>
      <c r="Z715" s="62">
        <f t="shared" si="4068"/>
        <v>0.20875048789494224</v>
      </c>
      <c r="AA715" s="62">
        <f t="shared" si="4068"/>
        <v>0.20875050822390706</v>
      </c>
      <c r="AB715" s="62">
        <f t="shared" si="4068"/>
        <v>0.20875052274459666</v>
      </c>
      <c r="AC715" s="62">
        <f t="shared" si="4068"/>
        <v>0.20875053363511409</v>
      </c>
      <c r="AD715" s="62">
        <f t="shared" si="4068"/>
        <v>0.20875054210551666</v>
      </c>
      <c r="AE715" s="62">
        <f t="shared" si="4068"/>
        <v>0.20875054888183883</v>
      </c>
      <c r="AF715" s="62">
        <f t="shared" si="4068"/>
        <v>0.20875055442610246</v>
      </c>
      <c r="AG715" s="62">
        <f t="shared" si="4068"/>
        <v>0.20875055904632223</v>
      </c>
      <c r="AH715" s="62">
        <f t="shared" si="4068"/>
        <v>0</v>
      </c>
      <c r="AI715" s="62">
        <f t="shared" si="4068"/>
        <v>0</v>
      </c>
      <c r="AJ715" s="62" t="e">
        <f t="shared" si="4068"/>
        <v>#DIV/0!</v>
      </c>
      <c r="AK715" s="412"/>
      <c r="AL715" s="14">
        <f t="shared" ref="AL715:BL715" si="4069">AL672*AL671/AL669</f>
        <v>0.23749999999999996</v>
      </c>
      <c r="AM715" s="14">
        <f t="shared" si="4069"/>
        <v>0.23750000012499992</v>
      </c>
      <c r="AN715" s="14">
        <f t="shared" si="4069"/>
        <v>0.23750000012500003</v>
      </c>
      <c r="AO715" s="14">
        <f t="shared" si="4069"/>
        <v>0.23750000012499989</v>
      </c>
      <c r="AP715" s="14">
        <f t="shared" si="4069"/>
        <v>0.23750000012499989</v>
      </c>
      <c r="AQ715" s="14">
        <f t="shared" si="4069"/>
        <v>0.23750000012499989</v>
      </c>
      <c r="AR715" s="14">
        <f t="shared" si="4069"/>
        <v>0.23750000012499989</v>
      </c>
      <c r="AS715" s="14">
        <f t="shared" si="4069"/>
        <v>0.23750000012499989</v>
      </c>
      <c r="AT715" s="14">
        <f t="shared" si="4069"/>
        <v>0.23750000012499989</v>
      </c>
      <c r="AU715" s="14">
        <f t="shared" si="4069"/>
        <v>0.23750000012499989</v>
      </c>
      <c r="AV715" s="14">
        <f t="shared" si="4069"/>
        <v>0.23750000012499989</v>
      </c>
      <c r="AW715" s="14">
        <f t="shared" si="4069"/>
        <v>0.23750000012499989</v>
      </c>
      <c r="AX715" s="14">
        <f t="shared" si="4069"/>
        <v>0.20874999999999999</v>
      </c>
      <c r="AY715" s="14">
        <f t="shared" si="4069"/>
        <v>0.20875060986874205</v>
      </c>
      <c r="AZ715" s="14">
        <f t="shared" si="4069"/>
        <v>0.20875060986874203</v>
      </c>
      <c r="BA715" s="14">
        <f t="shared" si="4069"/>
        <v>0.20875060986874194</v>
      </c>
      <c r="BB715" s="14">
        <f t="shared" si="4069"/>
        <v>0.20875060986874194</v>
      </c>
      <c r="BC715" s="14">
        <f t="shared" si="4069"/>
        <v>0.20875060986874194</v>
      </c>
      <c r="BD715" s="14">
        <f t="shared" si="4069"/>
        <v>0.20875060986874183</v>
      </c>
      <c r="BE715" s="14">
        <f t="shared" si="4069"/>
        <v>0.20875060986874183</v>
      </c>
      <c r="BF715" s="14">
        <f t="shared" si="4069"/>
        <v>0.20875060986874183</v>
      </c>
      <c r="BG715" s="14">
        <f t="shared" si="4069"/>
        <v>0.20875060986874183</v>
      </c>
      <c r="BH715" s="14">
        <f t="shared" si="4069"/>
        <v>0.20875060986874183</v>
      </c>
      <c r="BI715" s="14">
        <f t="shared" si="4069"/>
        <v>0.20875060986874183</v>
      </c>
      <c r="BJ715" s="14">
        <f t="shared" si="4069"/>
        <v>0</v>
      </c>
      <c r="BK715" s="14">
        <f t="shared" si="4069"/>
        <v>0</v>
      </c>
      <c r="BL715" s="14">
        <f t="shared" si="4069"/>
        <v>0</v>
      </c>
      <c r="BM715" s="412"/>
      <c r="BN715" s="14">
        <f t="shared" ref="BN715:CN715" si="4070">BN672*BN671/BN669</f>
        <v>0.2375000000833333</v>
      </c>
      <c r="BO715" s="14">
        <f t="shared" si="4070"/>
        <v>0.2375000000833333</v>
      </c>
      <c r="BP715" s="14">
        <f t="shared" si="4070"/>
        <v>0.2375000000833333</v>
      </c>
      <c r="BQ715" s="14">
        <f t="shared" si="4070"/>
        <v>0.23750000012499989</v>
      </c>
      <c r="BR715" s="14">
        <f t="shared" si="4070"/>
        <v>0.23750000012499989</v>
      </c>
      <c r="BS715" s="14">
        <f t="shared" si="4070"/>
        <v>0.23750000012499989</v>
      </c>
      <c r="BT715" s="14">
        <f t="shared" si="4070"/>
        <v>0.23750000012499989</v>
      </c>
      <c r="BU715" s="14">
        <f t="shared" si="4070"/>
        <v>0.23750000012499989</v>
      </c>
      <c r="BV715" s="14">
        <f t="shared" si="4070"/>
        <v>0.23750000012499989</v>
      </c>
      <c r="BW715" s="14">
        <f t="shared" si="4070"/>
        <v>0.23750000012499989</v>
      </c>
      <c r="BX715" s="14">
        <f t="shared" si="4070"/>
        <v>0.23750000012499989</v>
      </c>
      <c r="BY715" s="14">
        <f t="shared" si="4070"/>
        <v>0.23750000012499989</v>
      </c>
      <c r="BZ715" s="14">
        <f t="shared" si="4070"/>
        <v>0.20875040657909003</v>
      </c>
      <c r="CA715" s="14">
        <f t="shared" si="4070"/>
        <v>0.20875040657909003</v>
      </c>
      <c r="CB715" s="14">
        <f t="shared" si="4070"/>
        <v>0.20875040657909003</v>
      </c>
      <c r="CC715" s="14">
        <f t="shared" si="4070"/>
        <v>0.62625182960622583</v>
      </c>
      <c r="CD715" s="14">
        <f t="shared" si="4070"/>
        <v>0.62625182960622583</v>
      </c>
      <c r="CE715" s="14">
        <f t="shared" si="4070"/>
        <v>0.62625182960622583</v>
      </c>
      <c r="CF715" s="14">
        <f t="shared" si="4070"/>
        <v>0.6262518296062255</v>
      </c>
      <c r="CG715" s="14">
        <f t="shared" si="4070"/>
        <v>0.6262518296062255</v>
      </c>
      <c r="CH715" s="14">
        <f t="shared" si="4070"/>
        <v>0.6262518296062255</v>
      </c>
      <c r="CI715" s="14">
        <f t="shared" si="4070"/>
        <v>0.6262518296062255</v>
      </c>
      <c r="CJ715" s="14">
        <f t="shared" si="4070"/>
        <v>0.6262518296062255</v>
      </c>
      <c r="CK715" s="14">
        <f t="shared" si="4070"/>
        <v>0.6262518296062255</v>
      </c>
      <c r="CL715" s="14">
        <f t="shared" si="4070"/>
        <v>0</v>
      </c>
      <c r="CM715" s="14">
        <f t="shared" si="4070"/>
        <v>0</v>
      </c>
      <c r="CN715" s="14">
        <f t="shared" si="4070"/>
        <v>0</v>
      </c>
      <c r="CO715" s="412"/>
      <c r="CP715" s="14">
        <f t="shared" ref="CP715:DP715" si="4071">CP672*CP671/CP669</f>
        <v>0.23749999999999996</v>
      </c>
      <c r="CQ715" s="14">
        <f t="shared" si="4071"/>
        <v>0.23750000006249994</v>
      </c>
      <c r="CR715" s="14">
        <f t="shared" si="4071"/>
        <v>0.2375000000833333</v>
      </c>
      <c r="CS715" s="14">
        <f t="shared" si="4071"/>
        <v>0.23750000009374994</v>
      </c>
      <c r="CT715" s="14">
        <f t="shared" si="4071"/>
        <v>0.23750000009999994</v>
      </c>
      <c r="CU715" s="14">
        <f t="shared" si="4071"/>
        <v>0.23750000010416658</v>
      </c>
      <c r="CV715" s="14">
        <f t="shared" si="4071"/>
        <v>0.23750000010714278</v>
      </c>
      <c r="CW715" s="14">
        <f t="shared" si="4071"/>
        <v>0.23750000010937491</v>
      </c>
      <c r="CX715" s="14">
        <f t="shared" si="4071"/>
        <v>0.23750000011111103</v>
      </c>
      <c r="CY715" s="14">
        <f t="shared" si="4071"/>
        <v>0.23750000011249991</v>
      </c>
      <c r="CZ715" s="14">
        <f t="shared" si="4071"/>
        <v>0.23750000011363628</v>
      </c>
      <c r="DA715" s="14">
        <f t="shared" si="4071"/>
        <v>0.23750000011458325</v>
      </c>
      <c r="DB715" s="14">
        <f t="shared" si="4071"/>
        <v>0.20874999999999996</v>
      </c>
      <c r="DC715" s="14">
        <f t="shared" si="4071"/>
        <v>0.20875030493429075</v>
      </c>
      <c r="DD715" s="14">
        <f t="shared" si="4071"/>
        <v>0.20875040657909</v>
      </c>
      <c r="DE715" s="14">
        <f t="shared" si="4071"/>
        <v>0.20875045740149631</v>
      </c>
      <c r="DF715" s="14">
        <f t="shared" si="4071"/>
        <v>0.20875048789494222</v>
      </c>
      <c r="DG715" s="14">
        <f t="shared" si="4071"/>
        <v>0.20875050822390706</v>
      </c>
      <c r="DH715" s="14">
        <f t="shared" si="4071"/>
        <v>0.20875052274459663</v>
      </c>
      <c r="DI715" s="14">
        <f t="shared" si="4071"/>
        <v>0.20875053363511406</v>
      </c>
      <c r="DJ715" s="14">
        <f t="shared" si="4071"/>
        <v>0.20875054210551663</v>
      </c>
      <c r="DK715" s="14">
        <f t="shared" si="4071"/>
        <v>0.2087505488818388</v>
      </c>
      <c r="DL715" s="14">
        <f t="shared" si="4071"/>
        <v>0.20875055442610246</v>
      </c>
      <c r="DM715" s="14">
        <f t="shared" si="4071"/>
        <v>0.2087505590463222</v>
      </c>
      <c r="DN715" s="14">
        <f t="shared" si="4071"/>
        <v>0</v>
      </c>
      <c r="DO715" s="14">
        <f t="shared" si="4071"/>
        <v>0</v>
      </c>
      <c r="DP715" s="14" t="e">
        <f t="shared" si="4071"/>
        <v>#DIV/0!</v>
      </c>
      <c r="DQ715" s="14"/>
      <c r="DR715" s="14"/>
      <c r="DS715" s="14"/>
      <c r="DT715" s="14"/>
      <c r="DU715" s="14"/>
      <c r="DV715" s="14"/>
      <c r="DW715" s="14"/>
      <c r="DX715" s="14"/>
      <c r="DY715" s="14"/>
      <c r="DZ715" s="14"/>
      <c r="EA715" s="14">
        <f>EA672*EA671/EA669</f>
        <v>0.23750000011458325</v>
      </c>
      <c r="EB715" s="14">
        <f>EB672*EB671/EB669</f>
        <v>0.2087505590463222</v>
      </c>
      <c r="EC715" s="14"/>
      <c r="ED715" s="429"/>
      <c r="EE715" s="14" t="e">
        <f>EE671*EE672/EE671</f>
        <v>#DIV/0!</v>
      </c>
      <c r="EF715" s="14" t="e">
        <f>EF672*EF671/EF671</f>
        <v>#DIV/0!</v>
      </c>
      <c r="EG715" s="14">
        <f>EG671*EG672/EG671</f>
        <v>0.94999999999999984</v>
      </c>
      <c r="EK715" s="24"/>
      <c r="EL715" s="47"/>
      <c r="EM715" s="47"/>
      <c r="EN715" s="47"/>
    </row>
    <row r="716" spans="1:149">
      <c r="A716" s="6" t="s">
        <v>23</v>
      </c>
      <c r="B716" s="2" t="s">
        <v>26</v>
      </c>
      <c r="C716" s="3" t="s">
        <v>84</v>
      </c>
      <c r="E716" s="3" t="str">
        <f>C673</f>
        <v>BSpec1</v>
      </c>
      <c r="F716" s="4" t="s">
        <v>31</v>
      </c>
      <c r="G716" s="28" t="str">
        <f>C682</f>
        <v>BSUniq</v>
      </c>
      <c r="H716" s="28"/>
      <c r="I716" s="28"/>
      <c r="J716" s="62">
        <f t="shared" ref="J716:AJ716" si="4072">J673/J682</f>
        <v>8.038585209003217E-2</v>
      </c>
      <c r="K716" s="62">
        <f t="shared" si="4072"/>
        <v>0.16077170418006434</v>
      </c>
      <c r="L716" s="62">
        <f t="shared" si="4072"/>
        <v>0.2411575562700965</v>
      </c>
      <c r="M716" s="62">
        <f t="shared" si="4072"/>
        <v>0.39560439560439564</v>
      </c>
      <c r="N716" s="62">
        <f t="shared" si="4072"/>
        <v>0.49450549472285948</v>
      </c>
      <c r="O716" s="62">
        <f t="shared" si="4072"/>
        <v>0.59340659366743154</v>
      </c>
      <c r="P716" s="62">
        <f t="shared" si="4072"/>
        <v>0.6923076926120032</v>
      </c>
      <c r="Q716" s="62">
        <f t="shared" si="4072"/>
        <v>0.79120879155657509</v>
      </c>
      <c r="R716" s="62">
        <f t="shared" si="4072"/>
        <v>0.89010989050114697</v>
      </c>
      <c r="S716" s="62">
        <f t="shared" si="4072"/>
        <v>0.98901098944571886</v>
      </c>
      <c r="T716" s="62">
        <f t="shared" si="4072"/>
        <v>1.0879120883902906</v>
      </c>
      <c r="U716" s="62">
        <f t="shared" si="4072"/>
        <v>1.1868131873348626</v>
      </c>
      <c r="V716" s="62">
        <f t="shared" si="4072"/>
        <v>7.7519379844961239E-2</v>
      </c>
      <c r="W716" s="62">
        <f t="shared" si="4072"/>
        <v>7.7519224806201548E-2</v>
      </c>
      <c r="X716" s="62">
        <f t="shared" si="4072"/>
        <v>7.7519173126614979E-2</v>
      </c>
      <c r="Y716" s="62">
        <f t="shared" si="4072"/>
        <v>7.7519147286821702E-2</v>
      </c>
      <c r="Z716" s="62">
        <f t="shared" si="4072"/>
        <v>7.7519131782945741E-2</v>
      </c>
      <c r="AA716" s="62">
        <f t="shared" si="4072"/>
        <v>7.7519121447028425E-2</v>
      </c>
      <c r="AB716" s="62">
        <f t="shared" si="4072"/>
        <v>7.7519114064230343E-2</v>
      </c>
      <c r="AC716" s="62">
        <f t="shared" si="4072"/>
        <v>7.7519108527131786E-2</v>
      </c>
      <c r="AD716" s="62">
        <f t="shared" si="4072"/>
        <v>7.7519104220499582E-2</v>
      </c>
      <c r="AE716" s="62">
        <f t="shared" si="4072"/>
        <v>7.7519100775193792E-2</v>
      </c>
      <c r="AF716" s="62">
        <f t="shared" si="4072"/>
        <v>7.7519097956307265E-2</v>
      </c>
      <c r="AG716" s="62">
        <f t="shared" si="4072"/>
        <v>7.7519095607235147E-2</v>
      </c>
      <c r="AH716" s="62">
        <f t="shared" si="4072"/>
        <v>0</v>
      </c>
      <c r="AI716" s="62">
        <f t="shared" si="4072"/>
        <v>0</v>
      </c>
      <c r="AJ716" s="62" t="e">
        <f t="shared" si="4072"/>
        <v>#DIV/0!</v>
      </c>
      <c r="AK716" s="412"/>
      <c r="AL716" s="14">
        <f t="shared" ref="AL716:BL716" si="4073">AL673/AL682</f>
        <v>8.038585209003217E-2</v>
      </c>
      <c r="AM716" s="14">
        <f t="shared" si="4073"/>
        <v>8.038585209003217E-2</v>
      </c>
      <c r="AN716" s="14">
        <f t="shared" si="4073"/>
        <v>8.038585209003217E-2</v>
      </c>
      <c r="AO716" s="14">
        <f t="shared" si="4073"/>
        <v>9.8901098901098911E-2</v>
      </c>
      <c r="AP716" s="14">
        <f t="shared" si="4073"/>
        <v>9.89010989445719E-2</v>
      </c>
      <c r="AQ716" s="14">
        <f t="shared" si="4073"/>
        <v>9.8901098944571927E-2</v>
      </c>
      <c r="AR716" s="14">
        <f t="shared" si="4073"/>
        <v>9.8901098944571886E-2</v>
      </c>
      <c r="AS716" s="14">
        <f t="shared" si="4073"/>
        <v>9.8901098944571886E-2</v>
      </c>
      <c r="AT716" s="14">
        <f t="shared" si="4073"/>
        <v>9.8901098944571886E-2</v>
      </c>
      <c r="AU716" s="14">
        <f t="shared" si="4073"/>
        <v>9.8901098944571886E-2</v>
      </c>
      <c r="AV716" s="14">
        <f t="shared" si="4073"/>
        <v>9.8901098944571886E-2</v>
      </c>
      <c r="AW716" s="14">
        <f t="shared" si="4073"/>
        <v>9.8901098944571886E-2</v>
      </c>
      <c r="AX716" s="14">
        <f t="shared" si="4073"/>
        <v>7.7519379844961239E-2</v>
      </c>
      <c r="AY716" s="14">
        <f t="shared" si="4073"/>
        <v>7.7519069767441856E-2</v>
      </c>
      <c r="AZ716" s="14">
        <f t="shared" si="4073"/>
        <v>7.7519069767441856E-2</v>
      </c>
      <c r="BA716" s="14">
        <f t="shared" si="4073"/>
        <v>7.751906976744187E-2</v>
      </c>
      <c r="BB716" s="14">
        <f t="shared" si="4073"/>
        <v>7.751906976744187E-2</v>
      </c>
      <c r="BC716" s="14">
        <f t="shared" si="4073"/>
        <v>7.751906976744187E-2</v>
      </c>
      <c r="BD716" s="14">
        <f t="shared" si="4073"/>
        <v>7.751906976744187E-2</v>
      </c>
      <c r="BE716" s="14">
        <f t="shared" si="4073"/>
        <v>7.751906976744187E-2</v>
      </c>
      <c r="BF716" s="14">
        <f t="shared" si="4073"/>
        <v>7.751906976744187E-2</v>
      </c>
      <c r="BG716" s="14">
        <f t="shared" si="4073"/>
        <v>7.7519069767441787E-2</v>
      </c>
      <c r="BH716" s="14">
        <f t="shared" si="4073"/>
        <v>7.751906976744187E-2</v>
      </c>
      <c r="BI716" s="14">
        <f t="shared" si="4073"/>
        <v>7.751906976744187E-2</v>
      </c>
      <c r="BJ716" s="14">
        <f t="shared" si="4073"/>
        <v>0</v>
      </c>
      <c r="BK716" s="14">
        <f t="shared" si="4073"/>
        <v>0</v>
      </c>
      <c r="BL716" s="14" t="e">
        <f t="shared" si="4073"/>
        <v>#DIV/0!</v>
      </c>
      <c r="BM716" s="412"/>
      <c r="BN716" s="14">
        <f t="shared" ref="BN716:CN716" si="4074">BN673/BN682</f>
        <v>0.2411575562700965</v>
      </c>
      <c r="BO716" s="14">
        <f t="shared" si="4074"/>
        <v>0.12057877813504825</v>
      </c>
      <c r="BP716" s="14">
        <f t="shared" si="4074"/>
        <v>8.038585209003217E-2</v>
      </c>
      <c r="BQ716" s="14">
        <f t="shared" si="4074"/>
        <v>0.2967032967032967</v>
      </c>
      <c r="BR716" s="14">
        <f t="shared" si="4074"/>
        <v>0.1483516483842531</v>
      </c>
      <c r="BS716" s="14">
        <f t="shared" si="4074"/>
        <v>9.8901098930080908E-2</v>
      </c>
      <c r="BT716" s="14">
        <f t="shared" si="4074"/>
        <v>0.29670329683371566</v>
      </c>
      <c r="BU716" s="14">
        <f t="shared" si="4074"/>
        <v>0.14835164841685783</v>
      </c>
      <c r="BV716" s="14">
        <f t="shared" si="4074"/>
        <v>9.8901098944571886E-2</v>
      </c>
      <c r="BW716" s="14">
        <f t="shared" si="4074"/>
        <v>0.29670329683371566</v>
      </c>
      <c r="BX716" s="14">
        <f t="shared" si="4074"/>
        <v>0.14835164841685783</v>
      </c>
      <c r="BY716" s="14">
        <f t="shared" si="4074"/>
        <v>9.8901098944571886E-2</v>
      </c>
      <c r="BZ716" s="14">
        <f t="shared" si="4074"/>
        <v>7.7519173126614979E-2</v>
      </c>
      <c r="CA716" s="14">
        <f t="shared" si="4074"/>
        <v>7.7519173126614979E-2</v>
      </c>
      <c r="CB716" s="14">
        <f t="shared" si="4074"/>
        <v>7.7519173126614979E-2</v>
      </c>
      <c r="CC716" s="14">
        <f t="shared" si="4074"/>
        <v>3.8759534883720935E-2</v>
      </c>
      <c r="CD716" s="14">
        <f t="shared" si="4074"/>
        <v>3.8759534883720935E-2</v>
      </c>
      <c r="CE716" s="14">
        <f t="shared" si="4074"/>
        <v>3.8759534883720935E-2</v>
      </c>
      <c r="CF716" s="14">
        <f t="shared" si="4074"/>
        <v>2.5839689922480626E-2</v>
      </c>
      <c r="CG716" s="14">
        <f t="shared" si="4074"/>
        <v>2.5839689922480626E-2</v>
      </c>
      <c r="CH716" s="14">
        <f t="shared" si="4074"/>
        <v>2.5839689922480626E-2</v>
      </c>
      <c r="CI716" s="14">
        <f t="shared" si="4074"/>
        <v>1.9379767441860461E-2</v>
      </c>
      <c r="CJ716" s="14">
        <f t="shared" si="4074"/>
        <v>1.9379767441860461E-2</v>
      </c>
      <c r="CK716" s="14">
        <f t="shared" si="4074"/>
        <v>1.9379767441860461E-2</v>
      </c>
      <c r="CL716" s="14">
        <f t="shared" si="4074"/>
        <v>0</v>
      </c>
      <c r="CM716" s="14">
        <f t="shared" si="4074"/>
        <v>0</v>
      </c>
      <c r="CN716" s="14">
        <f t="shared" si="4074"/>
        <v>0</v>
      </c>
      <c r="CO716" s="412"/>
      <c r="CP716" s="14">
        <f t="shared" ref="CP716:DP716" si="4075">CP673/CP682</f>
        <v>8.038585209003217E-2</v>
      </c>
      <c r="CQ716" s="14">
        <f t="shared" si="4075"/>
        <v>8.038585209003217E-2</v>
      </c>
      <c r="CR716" s="14">
        <f t="shared" si="4075"/>
        <v>8.038585209003217E-2</v>
      </c>
      <c r="CS716" s="14">
        <f t="shared" si="4075"/>
        <v>8.4332833583208408E-2</v>
      </c>
      <c r="CT716" s="14">
        <f t="shared" si="4075"/>
        <v>8.6892716466122871E-2</v>
      </c>
      <c r="CU716" s="14">
        <f t="shared" si="4075"/>
        <v>8.8687426105464137E-2</v>
      </c>
      <c r="CV716" s="14">
        <f t="shared" si="4075"/>
        <v>9.0015431232213894E-2</v>
      </c>
      <c r="CW716" s="14">
        <f t="shared" si="4075"/>
        <v>9.1037831294970228E-2</v>
      </c>
      <c r="CX716" s="14">
        <f t="shared" si="4075"/>
        <v>9.1849231208747051E-2</v>
      </c>
      <c r="CY716" s="14">
        <f t="shared" si="4075"/>
        <v>9.2508839756395567E-2</v>
      </c>
      <c r="CZ716" s="14">
        <f t="shared" si="4075"/>
        <v>9.3055607799804083E-2</v>
      </c>
      <c r="DA716" s="14">
        <f t="shared" si="4075"/>
        <v>9.351620950222117E-2</v>
      </c>
      <c r="DB716" s="14">
        <f t="shared" si="4075"/>
        <v>7.7519379844961239E-2</v>
      </c>
      <c r="DC716" s="14">
        <f t="shared" si="4075"/>
        <v>7.7519224806201548E-2</v>
      </c>
      <c r="DD716" s="14">
        <f t="shared" si="4075"/>
        <v>7.7519173126614979E-2</v>
      </c>
      <c r="DE716" s="14">
        <f t="shared" si="4075"/>
        <v>7.7519147286821702E-2</v>
      </c>
      <c r="DF716" s="14">
        <f t="shared" si="4075"/>
        <v>7.7519131782945741E-2</v>
      </c>
      <c r="DG716" s="14">
        <f t="shared" si="4075"/>
        <v>7.7519121447028425E-2</v>
      </c>
      <c r="DH716" s="14">
        <f t="shared" si="4075"/>
        <v>7.7519114064230343E-2</v>
      </c>
      <c r="DI716" s="14">
        <f t="shared" si="4075"/>
        <v>7.7519108527131786E-2</v>
      </c>
      <c r="DJ716" s="14">
        <f t="shared" si="4075"/>
        <v>7.7519104220499582E-2</v>
      </c>
      <c r="DK716" s="14">
        <f t="shared" si="4075"/>
        <v>7.7519100775193792E-2</v>
      </c>
      <c r="DL716" s="14">
        <f t="shared" si="4075"/>
        <v>7.7519097956307265E-2</v>
      </c>
      <c r="DM716" s="14">
        <f t="shared" si="4075"/>
        <v>7.7519095607235147E-2</v>
      </c>
      <c r="DN716" s="14">
        <f t="shared" si="4075"/>
        <v>0</v>
      </c>
      <c r="DO716" s="14">
        <f t="shared" si="4075"/>
        <v>0</v>
      </c>
      <c r="DP716" s="14">
        <f t="shared" si="4075"/>
        <v>0</v>
      </c>
      <c r="DQ716" s="14"/>
      <c r="DR716" s="14"/>
      <c r="DS716" s="14"/>
      <c r="DT716" s="14"/>
      <c r="DU716" s="14"/>
      <c r="DV716" s="14"/>
      <c r="DW716" s="14"/>
      <c r="DX716" s="14"/>
      <c r="DY716" s="14"/>
      <c r="DZ716" s="14"/>
      <c r="EA716" s="14">
        <f>EA673/EA682</f>
        <v>9.351620950222117E-2</v>
      </c>
      <c r="EB716" s="14">
        <f>EB673/EB682</f>
        <v>7.7519095607235147E-2</v>
      </c>
      <c r="EC716" s="14"/>
      <c r="ED716" s="429"/>
      <c r="EE716" s="14">
        <f>EE673/EE682</f>
        <v>0</v>
      </c>
      <c r="EF716" s="14">
        <f>EF673/EF682</f>
        <v>0</v>
      </c>
      <c r="EG716" s="14">
        <f>EG673/EG682</f>
        <v>8.3333027777777777E-2</v>
      </c>
      <c r="EK716" s="24"/>
      <c r="EL716" s="47"/>
      <c r="EM716" s="47"/>
      <c r="EN716" s="47"/>
    </row>
    <row r="717" spans="1:149">
      <c r="A717" s="6" t="s">
        <v>23</v>
      </c>
      <c r="B717" s="2" t="s">
        <v>27</v>
      </c>
      <c r="C717" s="3" t="s">
        <v>77</v>
      </c>
      <c r="E717" s="3" t="str">
        <f>C675</f>
        <v>BOnlHrs</v>
      </c>
      <c r="F717" s="4" t="s">
        <v>31</v>
      </c>
      <c r="G717" s="28" t="str">
        <f>C674</f>
        <v>BTotHrs</v>
      </c>
      <c r="H717" s="28"/>
      <c r="I717" s="28"/>
      <c r="J717" s="62">
        <f t="shared" ref="J717:AJ717" si="4076">J675/J674</f>
        <v>0.1</v>
      </c>
      <c r="K717" s="62">
        <f t="shared" si="4076"/>
        <v>0.1</v>
      </c>
      <c r="L717" s="62">
        <f t="shared" si="4076"/>
        <v>0.1</v>
      </c>
      <c r="M717" s="62">
        <f t="shared" si="4076"/>
        <v>0.1</v>
      </c>
      <c r="N717" s="62">
        <f t="shared" si="4076"/>
        <v>0.1</v>
      </c>
      <c r="O717" s="62">
        <f t="shared" si="4076"/>
        <v>0.1</v>
      </c>
      <c r="P717" s="62">
        <f t="shared" si="4076"/>
        <v>0.1</v>
      </c>
      <c r="Q717" s="62">
        <f t="shared" si="4076"/>
        <v>0.1</v>
      </c>
      <c r="R717" s="62">
        <f t="shared" si="4076"/>
        <v>0.1</v>
      </c>
      <c r="S717" s="62">
        <f t="shared" si="4076"/>
        <v>0.1</v>
      </c>
      <c r="T717" s="62">
        <f t="shared" si="4076"/>
        <v>0.1</v>
      </c>
      <c r="U717" s="62">
        <f t="shared" si="4076"/>
        <v>0.10000000000000002</v>
      </c>
      <c r="V717" s="62">
        <f t="shared" si="4076"/>
        <v>0.5</v>
      </c>
      <c r="W717" s="62">
        <f t="shared" si="4076"/>
        <v>0.5</v>
      </c>
      <c r="X717" s="62">
        <f t="shared" si="4076"/>
        <v>0.5</v>
      </c>
      <c r="Y717" s="62">
        <f t="shared" si="4076"/>
        <v>0.5</v>
      </c>
      <c r="Z717" s="62">
        <f t="shared" si="4076"/>
        <v>0.5</v>
      </c>
      <c r="AA717" s="62">
        <f t="shared" si="4076"/>
        <v>0.5</v>
      </c>
      <c r="AB717" s="62">
        <f t="shared" si="4076"/>
        <v>0.5</v>
      </c>
      <c r="AC717" s="62">
        <f t="shared" si="4076"/>
        <v>0.5</v>
      </c>
      <c r="AD717" s="62">
        <f t="shared" si="4076"/>
        <v>0.5</v>
      </c>
      <c r="AE717" s="62">
        <f t="shared" si="4076"/>
        <v>0.5</v>
      </c>
      <c r="AF717" s="62">
        <f t="shared" si="4076"/>
        <v>0.5</v>
      </c>
      <c r="AG717" s="62">
        <f t="shared" si="4076"/>
        <v>0.5</v>
      </c>
      <c r="AH717" s="62">
        <f t="shared" si="4076"/>
        <v>0</v>
      </c>
      <c r="AI717" s="62">
        <f t="shared" si="4076"/>
        <v>0</v>
      </c>
      <c r="AJ717" s="62">
        <f t="shared" si="4076"/>
        <v>0</v>
      </c>
      <c r="AK717" s="412"/>
      <c r="AL717" s="14">
        <f t="shared" ref="AL717:BL717" si="4077">AL675/AL674</f>
        <v>0.1</v>
      </c>
      <c r="AM717" s="14">
        <f t="shared" si="4077"/>
        <v>0.1</v>
      </c>
      <c r="AN717" s="14">
        <f t="shared" si="4077"/>
        <v>9.9999999999999992E-2</v>
      </c>
      <c r="AO717" s="14">
        <f t="shared" si="4077"/>
        <v>0.10000000000000002</v>
      </c>
      <c r="AP717" s="14">
        <f t="shared" si="4077"/>
        <v>0.10000000000000002</v>
      </c>
      <c r="AQ717" s="14">
        <f t="shared" si="4077"/>
        <v>0.10000000000000002</v>
      </c>
      <c r="AR717" s="14">
        <f t="shared" si="4077"/>
        <v>0.10000000000000002</v>
      </c>
      <c r="AS717" s="14">
        <f t="shared" si="4077"/>
        <v>0.1</v>
      </c>
      <c r="AT717" s="14">
        <f t="shared" si="4077"/>
        <v>9.9999999999999922E-2</v>
      </c>
      <c r="AU717" s="14">
        <f t="shared" si="4077"/>
        <v>0.10000000000000013</v>
      </c>
      <c r="AV717" s="14">
        <f t="shared" si="4077"/>
        <v>9.9999999999999922E-2</v>
      </c>
      <c r="AW717" s="14">
        <f t="shared" si="4077"/>
        <v>0.10000000000000013</v>
      </c>
      <c r="AX717" s="14">
        <f t="shared" si="4077"/>
        <v>0.5</v>
      </c>
      <c r="AY717" s="14">
        <f t="shared" si="4077"/>
        <v>0.5</v>
      </c>
      <c r="AZ717" s="14">
        <f t="shared" si="4077"/>
        <v>0.5</v>
      </c>
      <c r="BA717" s="14">
        <f t="shared" si="4077"/>
        <v>0.5</v>
      </c>
      <c r="BB717" s="14">
        <f t="shared" si="4077"/>
        <v>0.5</v>
      </c>
      <c r="BC717" s="14">
        <f t="shared" si="4077"/>
        <v>0.5</v>
      </c>
      <c r="BD717" s="14">
        <f t="shared" si="4077"/>
        <v>0.5</v>
      </c>
      <c r="BE717" s="14">
        <f t="shared" si="4077"/>
        <v>0.5</v>
      </c>
      <c r="BF717" s="14">
        <f t="shared" si="4077"/>
        <v>0.5</v>
      </c>
      <c r="BG717" s="14">
        <f t="shared" si="4077"/>
        <v>0.5</v>
      </c>
      <c r="BH717" s="14">
        <f t="shared" si="4077"/>
        <v>0.5</v>
      </c>
      <c r="BI717" s="14">
        <f t="shared" si="4077"/>
        <v>0.5</v>
      </c>
      <c r="BJ717" s="14">
        <f t="shared" si="4077"/>
        <v>0</v>
      </c>
      <c r="BK717" s="14">
        <f t="shared" si="4077"/>
        <v>0</v>
      </c>
      <c r="BL717" s="14">
        <f t="shared" si="4077"/>
        <v>0</v>
      </c>
      <c r="BM717" s="412"/>
      <c r="BN717" s="14">
        <f t="shared" ref="BN717:CN717" si="4078">BN675/BN674</f>
        <v>0.1</v>
      </c>
      <c r="BO717" s="14">
        <f t="shared" si="4078"/>
        <v>0.1</v>
      </c>
      <c r="BP717" s="14">
        <f t="shared" si="4078"/>
        <v>0.1</v>
      </c>
      <c r="BQ717" s="14">
        <f t="shared" si="4078"/>
        <v>0.10000000000000002</v>
      </c>
      <c r="BR717" s="14">
        <f t="shared" si="4078"/>
        <v>0.10000000000000002</v>
      </c>
      <c r="BS717" s="14">
        <f t="shared" si="4078"/>
        <v>0.10000000000000002</v>
      </c>
      <c r="BT717" s="14">
        <f t="shared" si="4078"/>
        <v>9.9999999999999978E-2</v>
      </c>
      <c r="BU717" s="14">
        <f t="shared" si="4078"/>
        <v>9.9999999999999978E-2</v>
      </c>
      <c r="BV717" s="14">
        <f t="shared" si="4078"/>
        <v>9.9999999999999978E-2</v>
      </c>
      <c r="BW717" s="14">
        <f t="shared" si="4078"/>
        <v>0.10000000000000006</v>
      </c>
      <c r="BX717" s="14">
        <f t="shared" si="4078"/>
        <v>0.10000000000000006</v>
      </c>
      <c r="BY717" s="14">
        <f t="shared" si="4078"/>
        <v>0.10000000000000006</v>
      </c>
      <c r="BZ717" s="14">
        <f t="shared" si="4078"/>
        <v>0.5</v>
      </c>
      <c r="CA717" s="14">
        <f t="shared" si="4078"/>
        <v>0.5</v>
      </c>
      <c r="CB717" s="14">
        <f t="shared" si="4078"/>
        <v>0.5</v>
      </c>
      <c r="CC717" s="14">
        <f t="shared" si="4078"/>
        <v>1.5</v>
      </c>
      <c r="CD717" s="14">
        <f t="shared" si="4078"/>
        <v>1.5</v>
      </c>
      <c r="CE717" s="14">
        <f t="shared" si="4078"/>
        <v>1.5</v>
      </c>
      <c r="CF717" s="14">
        <f t="shared" si="4078"/>
        <v>1.5</v>
      </c>
      <c r="CG717" s="14">
        <f t="shared" si="4078"/>
        <v>1.5</v>
      </c>
      <c r="CH717" s="14">
        <f t="shared" si="4078"/>
        <v>1.5</v>
      </c>
      <c r="CI717" s="14">
        <f t="shared" si="4078"/>
        <v>1.5</v>
      </c>
      <c r="CJ717" s="14">
        <f t="shared" si="4078"/>
        <v>1.5</v>
      </c>
      <c r="CK717" s="14">
        <f t="shared" si="4078"/>
        <v>1.5</v>
      </c>
      <c r="CL717" s="14">
        <f t="shared" si="4078"/>
        <v>0</v>
      </c>
      <c r="CM717" s="14">
        <f t="shared" si="4078"/>
        <v>0</v>
      </c>
      <c r="CN717" s="14">
        <f t="shared" si="4078"/>
        <v>0</v>
      </c>
      <c r="CO717" s="412"/>
      <c r="CP717" s="14">
        <f t="shared" ref="CP717:DP717" si="4079">CP675/CP674</f>
        <v>0.1</v>
      </c>
      <c r="CQ717" s="14">
        <f t="shared" si="4079"/>
        <v>0.1</v>
      </c>
      <c r="CR717" s="14">
        <f t="shared" si="4079"/>
        <v>0.1</v>
      </c>
      <c r="CS717" s="14">
        <f t="shared" si="4079"/>
        <v>0.1</v>
      </c>
      <c r="CT717" s="14">
        <f t="shared" si="4079"/>
        <v>0.1</v>
      </c>
      <c r="CU717" s="14">
        <f t="shared" si="4079"/>
        <v>0.1</v>
      </c>
      <c r="CV717" s="14">
        <f t="shared" si="4079"/>
        <v>0.1</v>
      </c>
      <c r="CW717" s="14">
        <f t="shared" si="4079"/>
        <v>0.1</v>
      </c>
      <c r="CX717" s="14">
        <f t="shared" si="4079"/>
        <v>0.1</v>
      </c>
      <c r="CY717" s="14">
        <f t="shared" si="4079"/>
        <v>0.1</v>
      </c>
      <c r="CZ717" s="14">
        <f t="shared" si="4079"/>
        <v>0.1</v>
      </c>
      <c r="DA717" s="14">
        <f t="shared" si="4079"/>
        <v>0.10000000000000002</v>
      </c>
      <c r="DB717" s="14">
        <f t="shared" si="4079"/>
        <v>0.5</v>
      </c>
      <c r="DC717" s="14">
        <f t="shared" si="4079"/>
        <v>0.5</v>
      </c>
      <c r="DD717" s="14">
        <f t="shared" si="4079"/>
        <v>0.5</v>
      </c>
      <c r="DE717" s="14">
        <f t="shared" si="4079"/>
        <v>0.5</v>
      </c>
      <c r="DF717" s="14">
        <f t="shared" si="4079"/>
        <v>0.5</v>
      </c>
      <c r="DG717" s="14">
        <f t="shared" si="4079"/>
        <v>0.5</v>
      </c>
      <c r="DH717" s="14">
        <f t="shared" si="4079"/>
        <v>0.5</v>
      </c>
      <c r="DI717" s="14">
        <f t="shared" si="4079"/>
        <v>0.5</v>
      </c>
      <c r="DJ717" s="14">
        <f t="shared" si="4079"/>
        <v>0.5</v>
      </c>
      <c r="DK717" s="14">
        <f t="shared" si="4079"/>
        <v>0.5</v>
      </c>
      <c r="DL717" s="14">
        <f t="shared" si="4079"/>
        <v>0.5</v>
      </c>
      <c r="DM717" s="14">
        <f t="shared" si="4079"/>
        <v>0.5</v>
      </c>
      <c r="DN717" s="14">
        <f t="shared" si="4079"/>
        <v>0</v>
      </c>
      <c r="DO717" s="14">
        <f t="shared" si="4079"/>
        <v>0</v>
      </c>
      <c r="DP717" s="14">
        <f t="shared" si="4079"/>
        <v>0</v>
      </c>
      <c r="DQ717" s="14"/>
      <c r="DR717" s="14"/>
      <c r="DS717" s="14"/>
      <c r="DT717" s="14"/>
      <c r="DU717" s="14"/>
      <c r="DV717" s="14"/>
      <c r="DW717" s="14"/>
      <c r="DX717" s="14"/>
      <c r="DY717" s="14"/>
      <c r="DZ717" s="14"/>
      <c r="EA717" s="14">
        <f>EA675/EA674</f>
        <v>0.10000000000000002</v>
      </c>
      <c r="EB717" s="14">
        <f>EB675/EB674</f>
        <v>0.5</v>
      </c>
      <c r="EC717" s="14"/>
      <c r="ED717" s="429"/>
      <c r="EE717" s="14">
        <f>EE675/EE674</f>
        <v>0</v>
      </c>
      <c r="EF717" s="14">
        <f>EF675/EF674</f>
        <v>0</v>
      </c>
      <c r="EG717" s="14">
        <f>EG675/EG674</f>
        <v>0.5625</v>
      </c>
      <c r="EK717" s="24"/>
      <c r="EL717" s="47"/>
      <c r="EM717" s="47"/>
      <c r="EN717" s="47"/>
    </row>
    <row r="718" spans="1:149">
      <c r="A718" s="6" t="s">
        <v>23</v>
      </c>
      <c r="B718" s="2" t="s">
        <v>28</v>
      </c>
      <c r="C718" s="3" t="s">
        <v>78</v>
      </c>
      <c r="E718" s="3" t="str">
        <f>C680</f>
        <v>BColCash</v>
      </c>
      <c r="F718" s="4" t="s">
        <v>31</v>
      </c>
      <c r="G718" s="28" t="str">
        <f>C681</f>
        <v>BFSFunds</v>
      </c>
      <c r="H718" s="28"/>
      <c r="I718" s="28"/>
      <c r="J718" s="62" t="str">
        <f t="shared" ref="J718:AJ718" si="4080">IF(J681&lt;&gt;0,J680/J681,"")</f>
        <v/>
      </c>
      <c r="K718" s="62" t="str">
        <f t="shared" si="4080"/>
        <v/>
      </c>
      <c r="L718" s="62">
        <f t="shared" si="4080"/>
        <v>0.5</v>
      </c>
      <c r="M718" s="62">
        <f t="shared" si="4080"/>
        <v>0.5</v>
      </c>
      <c r="N718" s="62">
        <f t="shared" si="4080"/>
        <v>0.5</v>
      </c>
      <c r="O718" s="62">
        <f t="shared" si="4080"/>
        <v>0.5</v>
      </c>
      <c r="P718" s="62">
        <f t="shared" si="4080"/>
        <v>0.5</v>
      </c>
      <c r="Q718" s="62">
        <f t="shared" si="4080"/>
        <v>0.5</v>
      </c>
      <c r="R718" s="62">
        <f t="shared" si="4080"/>
        <v>0.5</v>
      </c>
      <c r="S718" s="62">
        <f t="shared" si="4080"/>
        <v>0.5</v>
      </c>
      <c r="T718" s="62">
        <f t="shared" si="4080"/>
        <v>0.5</v>
      </c>
      <c r="U718" s="62">
        <f t="shared" si="4080"/>
        <v>0.5</v>
      </c>
      <c r="V718" s="62" t="str">
        <f t="shared" si="4080"/>
        <v/>
      </c>
      <c r="W718" s="62" t="str">
        <f t="shared" si="4080"/>
        <v/>
      </c>
      <c r="X718" s="62" t="str">
        <f t="shared" si="4080"/>
        <v/>
      </c>
      <c r="Y718" s="62" t="str">
        <f t="shared" si="4080"/>
        <v/>
      </c>
      <c r="Z718" s="62" t="str">
        <f t="shared" si="4080"/>
        <v/>
      </c>
      <c r="AA718" s="62">
        <f t="shared" si="4080"/>
        <v>0.5</v>
      </c>
      <c r="AB718" s="62">
        <f t="shared" si="4080"/>
        <v>0.5</v>
      </c>
      <c r="AC718" s="62">
        <f t="shared" si="4080"/>
        <v>0.5</v>
      </c>
      <c r="AD718" s="62">
        <f t="shared" si="4080"/>
        <v>0.5</v>
      </c>
      <c r="AE718" s="62">
        <f t="shared" si="4080"/>
        <v>0.5</v>
      </c>
      <c r="AF718" s="62">
        <f t="shared" si="4080"/>
        <v>0.5</v>
      </c>
      <c r="AG718" s="62">
        <f t="shared" si="4080"/>
        <v>0.5</v>
      </c>
      <c r="AH718" s="62" t="str">
        <f t="shared" si="4080"/>
        <v/>
      </c>
      <c r="AI718" s="62" t="str">
        <f t="shared" si="4080"/>
        <v/>
      </c>
      <c r="AJ718" s="62" t="str">
        <f t="shared" si="4080"/>
        <v/>
      </c>
      <c r="AK718" s="412"/>
      <c r="AL718" s="14"/>
      <c r="AM718" s="14"/>
      <c r="AN718" s="14"/>
      <c r="AO718" s="14"/>
      <c r="AP718" s="14"/>
      <c r="AQ718" s="14"/>
      <c r="AR718" s="14"/>
      <c r="AS718" s="14"/>
      <c r="AT718" s="14"/>
      <c r="AU718" s="14"/>
      <c r="AV718" s="14"/>
      <c r="AW718" s="14"/>
      <c r="AX718" s="14"/>
      <c r="AY718" s="14"/>
      <c r="AZ718" s="14"/>
      <c r="BA718" s="14"/>
      <c r="BB718" s="14"/>
      <c r="BC718" s="14"/>
      <c r="BD718" s="14"/>
      <c r="BE718" s="14"/>
      <c r="BF718" s="14"/>
      <c r="BG718" s="14"/>
      <c r="BH718" s="14"/>
      <c r="BI718" s="14"/>
      <c r="BJ718" s="14"/>
      <c r="BK718" s="14"/>
      <c r="BL718" s="14"/>
      <c r="BM718" s="412"/>
      <c r="BN718" s="14"/>
      <c r="BO718" s="14"/>
      <c r="BP718" s="14"/>
      <c r="BQ718" s="14"/>
      <c r="BR718" s="14"/>
      <c r="BS718" s="14"/>
      <c r="BT718" s="14"/>
      <c r="BU718" s="14"/>
      <c r="BV718" s="14"/>
      <c r="BW718" s="14"/>
      <c r="BX718" s="14"/>
      <c r="BY718" s="14"/>
      <c r="BZ718" s="14"/>
      <c r="CA718" s="14"/>
      <c r="CB718" s="14"/>
      <c r="CC718" s="14"/>
      <c r="CD718" s="14"/>
      <c r="CE718" s="14"/>
      <c r="CF718" s="14"/>
      <c r="CG718" s="14"/>
      <c r="CH718" s="14"/>
      <c r="CI718" s="14"/>
      <c r="CJ718" s="14"/>
      <c r="CK718" s="14"/>
      <c r="CL718" s="14"/>
      <c r="CM718" s="14"/>
      <c r="CN718" s="14"/>
      <c r="CO718" s="412"/>
      <c r="CP718" s="14" t="str">
        <f t="shared" ref="CP718:DP718" si="4081">IF(CP681&lt;&gt;0,CP680/CP681,"")</f>
        <v/>
      </c>
      <c r="CQ718" s="14" t="str">
        <f t="shared" si="4081"/>
        <v/>
      </c>
      <c r="CR718" s="14">
        <f t="shared" si="4081"/>
        <v>0.5</v>
      </c>
      <c r="CS718" s="14">
        <f t="shared" si="4081"/>
        <v>0.5</v>
      </c>
      <c r="CT718" s="14">
        <f t="shared" si="4081"/>
        <v>0.5</v>
      </c>
      <c r="CU718" s="14">
        <f t="shared" si="4081"/>
        <v>0.5</v>
      </c>
      <c r="CV718" s="14">
        <f t="shared" si="4081"/>
        <v>0.5</v>
      </c>
      <c r="CW718" s="14">
        <f t="shared" si="4081"/>
        <v>0.5</v>
      </c>
      <c r="CX718" s="14">
        <f t="shared" si="4081"/>
        <v>0.5</v>
      </c>
      <c r="CY718" s="14">
        <f t="shared" si="4081"/>
        <v>0.5</v>
      </c>
      <c r="CZ718" s="14">
        <f t="shared" si="4081"/>
        <v>0.5</v>
      </c>
      <c r="DA718" s="14">
        <f t="shared" si="4081"/>
        <v>0.5</v>
      </c>
      <c r="DB718" s="14" t="str">
        <f t="shared" si="4081"/>
        <v/>
      </c>
      <c r="DC718" s="14" t="str">
        <f t="shared" si="4081"/>
        <v/>
      </c>
      <c r="DD718" s="14" t="str">
        <f t="shared" si="4081"/>
        <v/>
      </c>
      <c r="DE718" s="14" t="str">
        <f t="shared" si="4081"/>
        <v/>
      </c>
      <c r="DF718" s="14" t="str">
        <f t="shared" si="4081"/>
        <v/>
      </c>
      <c r="DG718" s="14">
        <f t="shared" si="4081"/>
        <v>0.5</v>
      </c>
      <c r="DH718" s="14">
        <f t="shared" si="4081"/>
        <v>0.5</v>
      </c>
      <c r="DI718" s="14">
        <f t="shared" si="4081"/>
        <v>0.5</v>
      </c>
      <c r="DJ718" s="14">
        <f t="shared" si="4081"/>
        <v>0.5</v>
      </c>
      <c r="DK718" s="14">
        <f t="shared" si="4081"/>
        <v>0.5</v>
      </c>
      <c r="DL718" s="14">
        <f t="shared" si="4081"/>
        <v>0.5</v>
      </c>
      <c r="DM718" s="14">
        <f t="shared" si="4081"/>
        <v>0.5</v>
      </c>
      <c r="DN718" s="14" t="str">
        <f t="shared" si="4081"/>
        <v/>
      </c>
      <c r="DO718" s="14" t="str">
        <f t="shared" si="4081"/>
        <v/>
      </c>
      <c r="DP718" s="14" t="str">
        <f t="shared" si="4081"/>
        <v/>
      </c>
      <c r="DQ718" s="14"/>
      <c r="DR718" s="14"/>
      <c r="DS718" s="14"/>
      <c r="DT718" s="14"/>
      <c r="DU718" s="14"/>
      <c r="DV718" s="14"/>
      <c r="DW718" s="14"/>
      <c r="DX718" s="14"/>
      <c r="DY718" s="14"/>
      <c r="DZ718" s="14"/>
      <c r="EA718" s="14">
        <f>IF(EA681&lt;&gt;0,EA680/EA681,"")</f>
        <v>0.5</v>
      </c>
      <c r="EB718" s="14">
        <f>IF(EB681&lt;&gt;0,EB680/EB681,"")</f>
        <v>0.5</v>
      </c>
      <c r="EC718" s="14"/>
      <c r="ED718" s="429"/>
      <c r="EE718" s="14"/>
      <c r="EF718" s="14"/>
      <c r="EG718" s="14">
        <f>IF(EG681&lt;&gt;0,EG680/EG681,"")</f>
        <v>0.5048209028459274</v>
      </c>
      <c r="EK718" s="24"/>
      <c r="EL718" s="65"/>
      <c r="EM718" s="65"/>
      <c r="EN718" s="47"/>
    </row>
    <row r="719" spans="1:149">
      <c r="A719" s="6" t="s">
        <v>29</v>
      </c>
      <c r="G719" s="28"/>
      <c r="H719" s="28"/>
      <c r="I719" s="28"/>
      <c r="J719" s="64"/>
      <c r="K719" s="64"/>
      <c r="L719" s="64"/>
      <c r="M719" s="64"/>
      <c r="N719" s="64"/>
      <c r="O719" s="64"/>
      <c r="P719" s="64"/>
      <c r="Q719" s="64"/>
      <c r="R719" s="64"/>
      <c r="S719" s="64"/>
      <c r="T719" s="64"/>
      <c r="U719" s="64"/>
      <c r="V719" s="64"/>
      <c r="W719" s="64"/>
      <c r="X719" s="64"/>
      <c r="Y719" s="64"/>
      <c r="Z719" s="64"/>
      <c r="AA719" s="64"/>
      <c r="AB719" s="64"/>
      <c r="AC719" s="64"/>
      <c r="AD719" s="64"/>
      <c r="AE719" s="64"/>
      <c r="AF719" s="64"/>
      <c r="AG719" s="64"/>
      <c r="AH719" s="64"/>
      <c r="AI719" s="64"/>
      <c r="AJ719" s="64"/>
      <c r="ED719" s="429"/>
      <c r="EE719" s="23"/>
      <c r="EF719" s="23"/>
      <c r="EG719" s="23"/>
      <c r="EH719" s="25"/>
      <c r="EI719" s="25"/>
      <c r="EJ719" s="25"/>
      <c r="EK719" s="23"/>
    </row>
    <row r="720" spans="1:149">
      <c r="A720" s="6" t="s">
        <v>23</v>
      </c>
      <c r="B720" s="2" t="s">
        <v>24</v>
      </c>
      <c r="C720" s="3" t="s">
        <v>83</v>
      </c>
      <c r="E720" s="4" t="str">
        <f>C693</f>
        <v>AInBusNew</v>
      </c>
      <c r="F720" s="4" t="s">
        <v>31</v>
      </c>
      <c r="G720" s="28" t="str">
        <f>C692</f>
        <v>AAllNew</v>
      </c>
      <c r="H720" s="28"/>
      <c r="I720" s="28"/>
      <c r="J720" s="62">
        <f t="shared" ref="J720:AJ720" si="4082">IF(J692&lt;&gt;0,J693/J692,"")</f>
        <v>0.2</v>
      </c>
      <c r="K720" s="62">
        <f t="shared" si="4082"/>
        <v>0.2857142857142857</v>
      </c>
      <c r="L720" s="62">
        <f t="shared" si="4082"/>
        <v>0.17647058823529413</v>
      </c>
      <c r="M720" s="62">
        <f t="shared" si="4082"/>
        <v>0.15789473684210525</v>
      </c>
      <c r="N720" s="62">
        <f t="shared" si="4082"/>
        <v>0.125</v>
      </c>
      <c r="O720" s="62">
        <f t="shared" si="4082"/>
        <v>0.17857142857142858</v>
      </c>
      <c r="P720" s="62">
        <f t="shared" si="4082"/>
        <v>0.22580645161290322</v>
      </c>
      <c r="Q720" s="62">
        <f t="shared" si="4082"/>
        <v>0.25</v>
      </c>
      <c r="R720" s="62">
        <f t="shared" si="4082"/>
        <v>0.22222222222222221</v>
      </c>
      <c r="S720" s="62">
        <f t="shared" si="4082"/>
        <v>0.2153846153846154</v>
      </c>
      <c r="T720" s="62">
        <f t="shared" si="4082"/>
        <v>0.22857142857142856</v>
      </c>
      <c r="U720" s="62">
        <f t="shared" si="4082"/>
        <v>0.27380952380952384</v>
      </c>
      <c r="V720" s="62">
        <f t="shared" si="4082"/>
        <v>0.15384615384615385</v>
      </c>
      <c r="W720" s="62">
        <f t="shared" si="4082"/>
        <v>0.21739130434782608</v>
      </c>
      <c r="X720" s="62">
        <f t="shared" si="4082"/>
        <v>0.27027027027027029</v>
      </c>
      <c r="Y720" s="62">
        <f t="shared" si="4082"/>
        <v>0.31914893617021278</v>
      </c>
      <c r="Z720" s="62">
        <f t="shared" si="4082"/>
        <v>0.2807017543859649</v>
      </c>
      <c r="AA720" s="62">
        <f t="shared" si="4082"/>
        <v>0.296875</v>
      </c>
      <c r="AB720" s="62">
        <f t="shared" si="4082"/>
        <v>0.30434782608695654</v>
      </c>
      <c r="AC720" s="62">
        <f t="shared" si="4082"/>
        <v>0.2857142857142857</v>
      </c>
      <c r="AD720" s="62">
        <f t="shared" si="4082"/>
        <v>0.29347826086956524</v>
      </c>
      <c r="AE720" s="62">
        <f t="shared" si="4082"/>
        <v>0.28865979381443296</v>
      </c>
      <c r="AF720" s="62">
        <f t="shared" si="4082"/>
        <v>0.29245283018867924</v>
      </c>
      <c r="AG720" s="62">
        <f t="shared" si="4082"/>
        <v>0.2767857142857143</v>
      </c>
      <c r="AH720" s="62">
        <f t="shared" si="4082"/>
        <v>0.125</v>
      </c>
      <c r="AI720" s="62">
        <f t="shared" si="4082"/>
        <v>0.23529411764705882</v>
      </c>
      <c r="AJ720" s="62" t="str">
        <f t="shared" si="4082"/>
        <v/>
      </c>
      <c r="AK720" s="412"/>
      <c r="AL720" s="14">
        <f t="shared" ref="AL720:BL720" si="4083">IF(AL692&lt;&gt;0,AL693/AL692,"")</f>
        <v>0.2</v>
      </c>
      <c r="AM720" s="14">
        <f t="shared" si="4083"/>
        <v>0.5</v>
      </c>
      <c r="AN720" s="14">
        <f t="shared" si="4083"/>
        <v>0.1</v>
      </c>
      <c r="AO720" s="14">
        <f t="shared" si="4083"/>
        <v>0</v>
      </c>
      <c r="AP720" s="14">
        <f t="shared" si="4083"/>
        <v>0</v>
      </c>
      <c r="AQ720" s="14">
        <f t="shared" si="4083"/>
        <v>0.5</v>
      </c>
      <c r="AR720" s="14">
        <f t="shared" si="4083"/>
        <v>0.66666666666666663</v>
      </c>
      <c r="AS720" s="14">
        <f t="shared" si="4083"/>
        <v>0.29411764705882354</v>
      </c>
      <c r="AT720" s="14">
        <f t="shared" si="4083"/>
        <v>0</v>
      </c>
      <c r="AU720" s="14">
        <f t="shared" si="4083"/>
        <v>0.18181818181818182</v>
      </c>
      <c r="AV720" s="14">
        <f t="shared" si="4083"/>
        <v>0.4</v>
      </c>
      <c r="AW720" s="14">
        <f t="shared" si="4083"/>
        <v>0.5</v>
      </c>
      <c r="AX720" s="14">
        <f t="shared" si="4083"/>
        <v>0.15384615384615385</v>
      </c>
      <c r="AY720" s="14">
        <f t="shared" si="4083"/>
        <v>0.3</v>
      </c>
      <c r="AZ720" s="14">
        <f t="shared" si="4083"/>
        <v>0.35714285714285715</v>
      </c>
      <c r="BA720" s="14">
        <f t="shared" si="4083"/>
        <v>0.5</v>
      </c>
      <c r="BB720" s="14">
        <f t="shared" si="4083"/>
        <v>0.1</v>
      </c>
      <c r="BC720" s="14">
        <f t="shared" si="4083"/>
        <v>0.42857142857142855</v>
      </c>
      <c r="BD720" s="14">
        <f t="shared" si="4083"/>
        <v>0.4</v>
      </c>
      <c r="BE720" s="14">
        <f t="shared" si="4083"/>
        <v>0.2</v>
      </c>
      <c r="BF720" s="14">
        <f t="shared" si="4083"/>
        <v>0.375</v>
      </c>
      <c r="BG720" s="14">
        <f t="shared" si="4083"/>
        <v>0.2</v>
      </c>
      <c r="BH720" s="14">
        <f t="shared" si="4083"/>
        <v>0.33333333333333331</v>
      </c>
      <c r="BI720" s="14">
        <f t="shared" si="4083"/>
        <v>0</v>
      </c>
      <c r="BJ720" s="14">
        <f t="shared" si="4083"/>
        <v>0.125</v>
      </c>
      <c r="BK720" s="14">
        <f t="shared" si="4083"/>
        <v>0.33333333333333331</v>
      </c>
      <c r="BL720" s="14" t="str">
        <f t="shared" si="4083"/>
        <v/>
      </c>
      <c r="BM720" s="412"/>
      <c r="BN720" s="14">
        <f t="shared" ref="BN720:CN720" si="4084">IF(BN692&lt;&gt;0,BN693/BN692,"")</f>
        <v>0.17647058823529413</v>
      </c>
      <c r="BO720" s="14">
        <f t="shared" si="4084"/>
        <v>0.17647058823529413</v>
      </c>
      <c r="BP720" s="14">
        <f t="shared" si="4084"/>
        <v>0.17647058823529413</v>
      </c>
      <c r="BQ720" s="14">
        <f t="shared" si="4084"/>
        <v>0.18181818181818182</v>
      </c>
      <c r="BR720" s="14">
        <f t="shared" si="4084"/>
        <v>0.18181818181818182</v>
      </c>
      <c r="BS720" s="14">
        <f t="shared" si="4084"/>
        <v>0.18181818181818182</v>
      </c>
      <c r="BT720" s="14">
        <f t="shared" si="4084"/>
        <v>0.26923076923076922</v>
      </c>
      <c r="BU720" s="14">
        <f t="shared" si="4084"/>
        <v>0.26923076923076922</v>
      </c>
      <c r="BV720" s="14">
        <f t="shared" si="4084"/>
        <v>0.26923076923076922</v>
      </c>
      <c r="BW720" s="14">
        <f t="shared" si="4084"/>
        <v>0.36666666666666664</v>
      </c>
      <c r="BX720" s="14">
        <f t="shared" si="4084"/>
        <v>0.36666666666666664</v>
      </c>
      <c r="BY720" s="14">
        <f t="shared" si="4084"/>
        <v>0.36666666666666664</v>
      </c>
      <c r="BZ720" s="14">
        <f t="shared" si="4084"/>
        <v>0.27027027027027029</v>
      </c>
      <c r="CA720" s="14">
        <f t="shared" si="4084"/>
        <v>0.27027027027027029</v>
      </c>
      <c r="CB720" s="14">
        <f t="shared" si="4084"/>
        <v>0.27027027027027029</v>
      </c>
      <c r="CC720" s="14">
        <f t="shared" si="4084"/>
        <v>0.33333333333333331</v>
      </c>
      <c r="CD720" s="14">
        <f t="shared" si="4084"/>
        <v>0.33333333333333331</v>
      </c>
      <c r="CE720" s="14">
        <f t="shared" si="4084"/>
        <v>0.33333333333333331</v>
      </c>
      <c r="CF720" s="14">
        <f t="shared" si="4084"/>
        <v>0.2857142857142857</v>
      </c>
      <c r="CG720" s="14">
        <f t="shared" si="4084"/>
        <v>0.2857142857142857</v>
      </c>
      <c r="CH720" s="14">
        <f t="shared" si="4084"/>
        <v>0.2857142857142857</v>
      </c>
      <c r="CI720" s="14">
        <f t="shared" si="4084"/>
        <v>0.2</v>
      </c>
      <c r="CJ720" s="14">
        <f t="shared" si="4084"/>
        <v>0.2</v>
      </c>
      <c r="CK720" s="14">
        <f t="shared" si="4084"/>
        <v>0.2</v>
      </c>
      <c r="CL720" s="14">
        <f t="shared" si="4084"/>
        <v>0.23529411764705882</v>
      </c>
      <c r="CM720" s="14">
        <f t="shared" si="4084"/>
        <v>0.23529411764705882</v>
      </c>
      <c r="CN720" s="14">
        <f t="shared" si="4084"/>
        <v>0.23529411764705882</v>
      </c>
      <c r="CO720" s="412"/>
      <c r="CP720" s="14">
        <f t="shared" ref="CP720:DP720" si="4085">IF(CP692&lt;&gt;0,CP693/CP692,"")</f>
        <v>0.2</v>
      </c>
      <c r="CQ720" s="14">
        <f t="shared" si="4085"/>
        <v>0.2857142857142857</v>
      </c>
      <c r="CR720" s="14">
        <f t="shared" si="4085"/>
        <v>0.17647058823529413</v>
      </c>
      <c r="CS720" s="14">
        <f t="shared" si="4085"/>
        <v>0.15789473684210525</v>
      </c>
      <c r="CT720" s="14">
        <f t="shared" si="4085"/>
        <v>0.125</v>
      </c>
      <c r="CU720" s="14">
        <f t="shared" si="4085"/>
        <v>0.17857142857142858</v>
      </c>
      <c r="CV720" s="14">
        <f t="shared" si="4085"/>
        <v>0.22580645161290322</v>
      </c>
      <c r="CW720" s="14">
        <f t="shared" si="4085"/>
        <v>0.25</v>
      </c>
      <c r="CX720" s="14">
        <f t="shared" si="4085"/>
        <v>0.22222222222222221</v>
      </c>
      <c r="CY720" s="14">
        <f t="shared" si="4085"/>
        <v>0.2153846153846154</v>
      </c>
      <c r="CZ720" s="14">
        <f t="shared" si="4085"/>
        <v>0.22857142857142856</v>
      </c>
      <c r="DA720" s="14">
        <f t="shared" si="4085"/>
        <v>0.27380952380952384</v>
      </c>
      <c r="DB720" s="14">
        <f t="shared" si="4085"/>
        <v>0.15384615384615385</v>
      </c>
      <c r="DC720" s="14">
        <f t="shared" si="4085"/>
        <v>0.21739130434782608</v>
      </c>
      <c r="DD720" s="14">
        <f t="shared" si="4085"/>
        <v>0.27027027027027029</v>
      </c>
      <c r="DE720" s="14">
        <f t="shared" si="4085"/>
        <v>0.31914893617021278</v>
      </c>
      <c r="DF720" s="14">
        <f t="shared" si="4085"/>
        <v>0.2807017543859649</v>
      </c>
      <c r="DG720" s="14">
        <f t="shared" si="4085"/>
        <v>0.296875</v>
      </c>
      <c r="DH720" s="14">
        <f t="shared" si="4085"/>
        <v>0.30434782608695654</v>
      </c>
      <c r="DI720" s="14">
        <f t="shared" si="4085"/>
        <v>0.2857142857142857</v>
      </c>
      <c r="DJ720" s="14">
        <f t="shared" si="4085"/>
        <v>0.29347826086956524</v>
      </c>
      <c r="DK720" s="14">
        <f t="shared" si="4085"/>
        <v>0.28865979381443296</v>
      </c>
      <c r="DL720" s="14">
        <f t="shared" si="4085"/>
        <v>0.29245283018867924</v>
      </c>
      <c r="DM720" s="14">
        <f t="shared" si="4085"/>
        <v>0.2767857142857143</v>
      </c>
      <c r="DN720" s="14">
        <f t="shared" si="4085"/>
        <v>0.125</v>
      </c>
      <c r="DO720" s="14">
        <f t="shared" si="4085"/>
        <v>0.23529411764705882</v>
      </c>
      <c r="DP720" s="14">
        <f t="shared" si="4085"/>
        <v>0.23529411764705882</v>
      </c>
      <c r="DQ720" s="14"/>
      <c r="DR720" s="14"/>
      <c r="DS720" s="14"/>
      <c r="DT720" s="14"/>
      <c r="DU720" s="14"/>
      <c r="DV720" s="14"/>
      <c r="DW720" s="14"/>
      <c r="DX720" s="14"/>
      <c r="DY720" s="14"/>
      <c r="ED720" s="429"/>
      <c r="EE720" s="23"/>
      <c r="EF720" s="23"/>
      <c r="EG720" s="23"/>
      <c r="EH720" s="14">
        <f>IF(EH692&lt;&gt;0,EH693/EH692,"")</f>
        <v>0.33333333333333331</v>
      </c>
      <c r="EI720" s="109">
        <f>IF(EI692&lt;&gt;0,EI693/EI692,"0%")</f>
        <v>0.23529411764705882</v>
      </c>
      <c r="EJ720" s="14">
        <f>IF(EJ692&lt;&gt;0,EJ693/EJ692,"")</f>
        <v>0.23529411764705882</v>
      </c>
      <c r="EK720" s="24"/>
      <c r="EL720" s="47">
        <f t="shared" ref="EL720:EN724" si="4086">+EH720-EE713</f>
        <v>8.0000000000000016E-2</v>
      </c>
      <c r="EM720" s="47">
        <f t="shared" si="4086"/>
        <v>-1.8039215686274535E-2</v>
      </c>
      <c r="EN720" s="47">
        <f t="shared" si="4086"/>
        <v>-1.8039215686274535E-2</v>
      </c>
      <c r="EO720" s="46" t="str">
        <f>IF(EH720&lt;0,,IF(EH720&lt;EE713,"È",IF(EH720=EE713,"Æ","Ç")))</f>
        <v>Ç</v>
      </c>
      <c r="EP720" s="46" t="str">
        <f t="shared" ref="EO720:EP724" si="4087">IF(EI720&lt;0,,IF(EI720&lt;EF713,"È",IF(EI720=EF713,"Æ","Ç")))</f>
        <v>È</v>
      </c>
      <c r="EQ720" s="2">
        <f t="shared" ref="EQ720:ES724" si="4088">IF(EH720/EE713&gt;=0.9,1,IF(EH720/EE713&lt;0.75,3,2))</f>
        <v>1</v>
      </c>
      <c r="ER720" s="2">
        <f t="shared" si="4088"/>
        <v>1</v>
      </c>
      <c r="ES720" s="2">
        <f t="shared" si="4088"/>
        <v>1</v>
      </c>
    </row>
    <row r="721" spans="1:149">
      <c r="A721" s="6" t="s">
        <v>23</v>
      </c>
      <c r="B721" s="2" t="s">
        <v>25</v>
      </c>
      <c r="C721" s="3" t="s">
        <v>79</v>
      </c>
      <c r="E721" s="4" t="str">
        <f>C708</f>
        <v>ASEE</v>
      </c>
      <c r="F721" s="4" t="s">
        <v>31</v>
      </c>
      <c r="G721" s="28" t="str">
        <f>C707</f>
        <v>ASUniq</v>
      </c>
      <c r="H721" s="28"/>
      <c r="I721" s="28"/>
      <c r="J721" s="62">
        <f>IF(J707&lt;&gt;0,J708/J707,"")</f>
        <v>0.125</v>
      </c>
      <c r="K721" s="62">
        <f>IF(K707&lt;&gt;0,K708/K707,"")</f>
        <v>0.5</v>
      </c>
      <c r="L721" s="62">
        <f>IF(L707&lt;&gt;0,L708/L707,"")</f>
        <v>0.1</v>
      </c>
      <c r="M721" s="62">
        <f>IF(M707&lt;&gt;0,M708/M707,"")</f>
        <v>0</v>
      </c>
      <c r="N721" s="62">
        <f>IF(N707&lt;&gt;0,N708/N707,"")</f>
        <v>0.2</v>
      </c>
      <c r="O721" s="62">
        <f>IF(O707&lt;&gt;"",O708/O707,"")</f>
        <v>0.2</v>
      </c>
      <c r="P721" s="62">
        <f t="shared" ref="P721:AJ721" si="4089">IF(P707&lt;&gt;"",P708/P707,"")</f>
        <v>0</v>
      </c>
      <c r="Q721" s="62">
        <f t="shared" si="4089"/>
        <v>5.5555555555555552E-2</v>
      </c>
      <c r="R721" s="62">
        <f t="shared" si="4089"/>
        <v>0.125</v>
      </c>
      <c r="S721" s="62">
        <f t="shared" si="4089"/>
        <v>0.2</v>
      </c>
      <c r="T721" s="62">
        <f t="shared" si="4089"/>
        <v>0.2</v>
      </c>
      <c r="U721" s="62">
        <f t="shared" si="4089"/>
        <v>0</v>
      </c>
      <c r="V721" s="62">
        <f t="shared" si="4089"/>
        <v>0</v>
      </c>
      <c r="W721" s="62">
        <f t="shared" si="4089"/>
        <v>7.6923076923076927E-2</v>
      </c>
      <c r="X721" s="62">
        <f t="shared" si="4089"/>
        <v>6.25E-2</v>
      </c>
      <c r="Y721" s="62">
        <f t="shared" si="4089"/>
        <v>7.6923076923076927E-2</v>
      </c>
      <c r="Z721" s="62">
        <f t="shared" si="4089"/>
        <v>9.0909090909090912E-2</v>
      </c>
      <c r="AA721" s="62">
        <f t="shared" si="4089"/>
        <v>0.23076923076923078</v>
      </c>
      <c r="AB721" s="62">
        <f t="shared" si="4089"/>
        <v>0</v>
      </c>
      <c r="AC721" s="62">
        <f t="shared" si="4089"/>
        <v>6.25E-2</v>
      </c>
      <c r="AD721" s="62">
        <f t="shared" si="4089"/>
        <v>0.22222222222222221</v>
      </c>
      <c r="AE721" s="62">
        <f t="shared" si="4089"/>
        <v>0.2857142857142857</v>
      </c>
      <c r="AF721" s="62">
        <f t="shared" si="4089"/>
        <v>0</v>
      </c>
      <c r="AG721" s="62">
        <f t="shared" si="4089"/>
        <v>0.16666666666666666</v>
      </c>
      <c r="AH721" s="62">
        <f t="shared" si="4089"/>
        <v>0</v>
      </c>
      <c r="AI721" s="62">
        <f t="shared" si="4089"/>
        <v>0.16666666666666666</v>
      </c>
      <c r="AJ721" s="62" t="str">
        <f t="shared" si="4089"/>
        <v/>
      </c>
      <c r="AK721" s="412"/>
      <c r="AL721" s="14">
        <f t="shared" ref="AL721:BL721" si="4090">IF(AL707&lt;&gt;0,AL708/AL707,"")</f>
        <v>0.125</v>
      </c>
      <c r="AM721" s="14">
        <f t="shared" si="4090"/>
        <v>0.5</v>
      </c>
      <c r="AN721" s="14">
        <f t="shared" si="4090"/>
        <v>0.1</v>
      </c>
      <c r="AO721" s="14">
        <f t="shared" si="4090"/>
        <v>0</v>
      </c>
      <c r="AP721" s="14">
        <f t="shared" si="4090"/>
        <v>0.2</v>
      </c>
      <c r="AQ721" s="14">
        <f t="shared" si="4090"/>
        <v>0.2</v>
      </c>
      <c r="AR721" s="14">
        <f t="shared" si="4090"/>
        <v>0</v>
      </c>
      <c r="AS721" s="14">
        <f t="shared" si="4090"/>
        <v>5.5555555555555552E-2</v>
      </c>
      <c r="AT721" s="14">
        <f t="shared" si="4090"/>
        <v>0.125</v>
      </c>
      <c r="AU721" s="14">
        <f t="shared" si="4090"/>
        <v>0.2</v>
      </c>
      <c r="AV721" s="14">
        <f t="shared" si="4090"/>
        <v>0.2</v>
      </c>
      <c r="AW721" s="14">
        <f t="shared" si="4090"/>
        <v>0</v>
      </c>
      <c r="AX721" s="14">
        <f t="shared" si="4090"/>
        <v>0</v>
      </c>
      <c r="AY721" s="14">
        <f t="shared" si="4090"/>
        <v>7.6923076923076927E-2</v>
      </c>
      <c r="AZ721" s="14">
        <f t="shared" si="4090"/>
        <v>6.25E-2</v>
      </c>
      <c r="BA721" s="14">
        <f t="shared" si="4090"/>
        <v>7.6923076923076927E-2</v>
      </c>
      <c r="BB721" s="14">
        <f t="shared" si="4090"/>
        <v>9.0909090909090912E-2</v>
      </c>
      <c r="BC721" s="14">
        <f t="shared" si="4090"/>
        <v>0.23076923076923078</v>
      </c>
      <c r="BD721" s="14">
        <f t="shared" si="4090"/>
        <v>0</v>
      </c>
      <c r="BE721" s="14">
        <f t="shared" si="4090"/>
        <v>6.25E-2</v>
      </c>
      <c r="BF721" s="14">
        <f t="shared" si="4090"/>
        <v>0.22222222222222221</v>
      </c>
      <c r="BG721" s="14">
        <f t="shared" si="4090"/>
        <v>0.2857142857142857</v>
      </c>
      <c r="BH721" s="14">
        <f t="shared" si="4090"/>
        <v>0</v>
      </c>
      <c r="BI721" s="14">
        <f t="shared" si="4090"/>
        <v>0.16666666666666666</v>
      </c>
      <c r="BJ721" s="14">
        <f t="shared" si="4090"/>
        <v>0</v>
      </c>
      <c r="BK721" s="14">
        <f t="shared" si="4090"/>
        <v>0.16666666666666666</v>
      </c>
      <c r="BL721" s="14" t="e">
        <f t="shared" si="4090"/>
        <v>#VALUE!</v>
      </c>
      <c r="BM721" s="412"/>
      <c r="BN721" s="14">
        <f t="shared" ref="BN721:CN721" si="4091">IF(BN707&lt;&gt;0,BN708/BN707,"")</f>
        <v>0.125</v>
      </c>
      <c r="BO721" s="14">
        <f t="shared" si="4091"/>
        <v>0.25</v>
      </c>
      <c r="BP721" s="14">
        <f t="shared" si="4091"/>
        <v>0.18181818181818182</v>
      </c>
      <c r="BQ721" s="14">
        <f t="shared" si="4091"/>
        <v>0</v>
      </c>
      <c r="BR721" s="14">
        <f t="shared" si="4091"/>
        <v>0.14285714285714285</v>
      </c>
      <c r="BS721" s="14">
        <f t="shared" si="4091"/>
        <v>0.16666666666666666</v>
      </c>
      <c r="BT721" s="14">
        <f t="shared" si="4091"/>
        <v>0</v>
      </c>
      <c r="BU721" s="14">
        <f t="shared" si="4091"/>
        <v>4.7619047619047616E-2</v>
      </c>
      <c r="BV721" s="14">
        <f t="shared" si="4091"/>
        <v>6.8965517241379309E-2</v>
      </c>
      <c r="BW721" s="14">
        <f t="shared" si="4091"/>
        <v>0.2</v>
      </c>
      <c r="BX721" s="14">
        <f t="shared" si="4091"/>
        <v>0.2</v>
      </c>
      <c r="BY721" s="14">
        <f t="shared" si="4091"/>
        <v>0.11428571428571428</v>
      </c>
      <c r="BZ721" s="14">
        <f t="shared" si="4091"/>
        <v>0</v>
      </c>
      <c r="CA721" s="14">
        <f t="shared" si="4091"/>
        <v>3.8461538461538464E-2</v>
      </c>
      <c r="CB721" s="14">
        <f t="shared" si="4091"/>
        <v>4.7619047619047616E-2</v>
      </c>
      <c r="CC721" s="14">
        <f t="shared" si="4091"/>
        <v>7.6923076923076927E-2</v>
      </c>
      <c r="CD721" s="14">
        <f t="shared" si="4091"/>
        <v>8.3333333333333329E-2</v>
      </c>
      <c r="CE721" s="14">
        <f t="shared" si="4091"/>
        <v>0.13513513513513514</v>
      </c>
      <c r="CF721" s="14">
        <f t="shared" si="4091"/>
        <v>0</v>
      </c>
      <c r="CG721" s="14">
        <f t="shared" si="4091"/>
        <v>4.5454545454545456E-2</v>
      </c>
      <c r="CH721" s="14">
        <f t="shared" si="4091"/>
        <v>9.6774193548387094E-2</v>
      </c>
      <c r="CI721" s="14">
        <f t="shared" si="4091"/>
        <v>0.2857142857142857</v>
      </c>
      <c r="CJ721" s="14">
        <f t="shared" si="4091"/>
        <v>0.125</v>
      </c>
      <c r="CK721" s="14">
        <f t="shared" si="4091"/>
        <v>0.13636363636363635</v>
      </c>
      <c r="CL721" s="14">
        <f t="shared" si="4091"/>
        <v>0</v>
      </c>
      <c r="CM721" s="14">
        <f t="shared" si="4091"/>
        <v>0.1</v>
      </c>
      <c r="CN721" s="14" t="e">
        <f t="shared" si="4091"/>
        <v>#VALUE!</v>
      </c>
      <c r="CO721" s="412"/>
      <c r="CP721" s="14">
        <f t="shared" ref="CP721:DP721" si="4092">IF(CP707&lt;&gt;0,CP708/CP707,"")</f>
        <v>0.125</v>
      </c>
      <c r="CQ721" s="14">
        <f t="shared" si="4092"/>
        <v>0.25</v>
      </c>
      <c r="CR721" s="14">
        <f t="shared" si="4092"/>
        <v>0.18181818181818182</v>
      </c>
      <c r="CS721" s="14">
        <f t="shared" si="4092"/>
        <v>0.16666666666666666</v>
      </c>
      <c r="CT721" s="14">
        <f t="shared" si="4092"/>
        <v>0.17241379310344829</v>
      </c>
      <c r="CU721" s="14">
        <f t="shared" si="4092"/>
        <v>0.17647058823529413</v>
      </c>
      <c r="CV721" s="14">
        <f t="shared" si="4092"/>
        <v>0.16216216216216217</v>
      </c>
      <c r="CW721" s="14">
        <f t="shared" si="4092"/>
        <v>0.12727272727272726</v>
      </c>
      <c r="CX721" s="14">
        <f t="shared" si="4092"/>
        <v>0.12698412698412698</v>
      </c>
      <c r="CY721" s="14">
        <f t="shared" si="4092"/>
        <v>0.14102564102564102</v>
      </c>
      <c r="CZ721" s="14">
        <f t="shared" si="4092"/>
        <v>0.14457831325301204</v>
      </c>
      <c r="DA721" s="14">
        <f t="shared" si="4092"/>
        <v>0.12244897959183673</v>
      </c>
      <c r="DB721" s="14">
        <f t="shared" si="4092"/>
        <v>0</v>
      </c>
      <c r="DC721" s="14">
        <f t="shared" si="4092"/>
        <v>3.8461538461538464E-2</v>
      </c>
      <c r="DD721" s="14">
        <f t="shared" si="4092"/>
        <v>4.7619047619047616E-2</v>
      </c>
      <c r="DE721" s="14">
        <f t="shared" si="4092"/>
        <v>5.4545454545454543E-2</v>
      </c>
      <c r="DF721" s="14">
        <f t="shared" si="4092"/>
        <v>6.0606060606060608E-2</v>
      </c>
      <c r="DG721" s="14">
        <f t="shared" si="4092"/>
        <v>8.8607594936708861E-2</v>
      </c>
      <c r="DH721" s="14">
        <f t="shared" si="4092"/>
        <v>8.2352941176470587E-2</v>
      </c>
      <c r="DI721" s="14">
        <f t="shared" si="4092"/>
        <v>7.9207920792079209E-2</v>
      </c>
      <c r="DJ721" s="14">
        <f t="shared" si="4092"/>
        <v>9.0909090909090912E-2</v>
      </c>
      <c r="DK721" s="14">
        <f t="shared" si="4092"/>
        <v>0.10256410256410256</v>
      </c>
      <c r="DL721" s="14">
        <f t="shared" si="4092"/>
        <v>9.5238095238095233E-2</v>
      </c>
      <c r="DM721" s="14">
        <f t="shared" si="4092"/>
        <v>9.8484848484848481E-2</v>
      </c>
      <c r="DN721" s="14">
        <f t="shared" si="4092"/>
        <v>0</v>
      </c>
      <c r="DO721" s="14">
        <f t="shared" si="4092"/>
        <v>0.1</v>
      </c>
      <c r="DP721" s="14" t="e">
        <f t="shared" si="4092"/>
        <v>#VALUE!</v>
      </c>
      <c r="DQ721" s="14"/>
      <c r="DR721" s="14"/>
      <c r="DS721" s="14"/>
      <c r="DT721" s="14"/>
      <c r="DU721" s="14"/>
      <c r="DV721" s="14"/>
      <c r="DW721" s="14"/>
      <c r="DX721" s="14"/>
      <c r="DY721" s="14"/>
      <c r="ED721" s="429"/>
      <c r="EE721" s="23"/>
      <c r="EF721" s="23"/>
      <c r="EG721" s="23"/>
      <c r="EH721" s="14">
        <f>IF(EH707&lt;&gt;0,EH708/EH707,"")</f>
        <v>0.16666666666666666</v>
      </c>
      <c r="EI721" s="109">
        <f>IF(EI694&lt;&gt;0,EI695/EI694,"0%")</f>
        <v>0.1</v>
      </c>
      <c r="EJ721" s="14">
        <f>IF(EJ707&lt;&gt;0,EJ708/EJ707,"")</f>
        <v>0.1</v>
      </c>
      <c r="EK721" s="24"/>
      <c r="EL721" s="47">
        <f t="shared" si="4086"/>
        <v>6.6666666666666652E-2</v>
      </c>
      <c r="EM721" s="47">
        <f t="shared" si="4086"/>
        <v>0</v>
      </c>
      <c r="EN721" s="47">
        <f t="shared" si="4086"/>
        <v>0</v>
      </c>
      <c r="EO721" s="46" t="str">
        <f t="shared" si="4087"/>
        <v>Ç</v>
      </c>
      <c r="EP721" s="46" t="str">
        <f t="shared" si="4087"/>
        <v>Æ</v>
      </c>
      <c r="EQ721" s="2">
        <f t="shared" si="4088"/>
        <v>1</v>
      </c>
      <c r="ER721" s="2">
        <f t="shared" si="4088"/>
        <v>1</v>
      </c>
      <c r="ES721" s="2">
        <f t="shared" si="4088"/>
        <v>1</v>
      </c>
    </row>
    <row r="722" spans="1:149">
      <c r="A722" s="6" t="s">
        <v>23</v>
      </c>
      <c r="B722" s="2" t="s">
        <v>160</v>
      </c>
      <c r="C722" s="3" t="s">
        <v>80</v>
      </c>
      <c r="E722" s="3" t="str">
        <f>C697</f>
        <v>ASatRate</v>
      </c>
      <c r="F722" s="3" t="s">
        <v>32</v>
      </c>
      <c r="G722" s="28" t="str">
        <f>C692</f>
        <v>AAllNew</v>
      </c>
      <c r="H722" s="63" t="s">
        <v>31</v>
      </c>
      <c r="I722" s="28" t="str">
        <f>C696</f>
        <v>ASatResp</v>
      </c>
      <c r="J722" s="62">
        <f t="shared" ref="J722:AJ722" si="4093">IF(J692&lt;&gt;0,J697*J696/J692,"")</f>
        <v>0.4</v>
      </c>
      <c r="K722" s="62">
        <f t="shared" si="4093"/>
        <v>0.2857142857142857</v>
      </c>
      <c r="L722" s="62">
        <f t="shared" si="4093"/>
        <v>5.8823529411764705E-2</v>
      </c>
      <c r="M722" s="62">
        <f t="shared" si="4093"/>
        <v>0</v>
      </c>
      <c r="N722" s="62">
        <f t="shared" si="4093"/>
        <v>0</v>
      </c>
      <c r="O722" s="62">
        <f t="shared" si="4093"/>
        <v>0</v>
      </c>
      <c r="P722" s="62">
        <f t="shared" si="4093"/>
        <v>3.2258064516129031E-2</v>
      </c>
      <c r="Q722" s="62">
        <f t="shared" si="4093"/>
        <v>2.0833333333333332E-2</v>
      </c>
      <c r="R722" s="62">
        <f t="shared" si="4093"/>
        <v>9.2592592592592587E-2</v>
      </c>
      <c r="S722" s="62">
        <f t="shared" si="4093"/>
        <v>0</v>
      </c>
      <c r="T722" s="62">
        <f t="shared" si="4093"/>
        <v>1.4285714285714285E-2</v>
      </c>
      <c r="U722" s="62">
        <f t="shared" si="4093"/>
        <v>1.1904761904761904E-2</v>
      </c>
      <c r="V722" s="62">
        <f t="shared" si="4093"/>
        <v>0.29230769230769227</v>
      </c>
      <c r="W722" s="62">
        <f t="shared" si="4093"/>
        <v>0.13043478260869565</v>
      </c>
      <c r="X722" s="62">
        <f t="shared" si="4093"/>
        <v>0</v>
      </c>
      <c r="Y722" s="62">
        <f t="shared" si="4093"/>
        <v>2.1276595744680851E-2</v>
      </c>
      <c r="Z722" s="62">
        <f t="shared" si="4093"/>
        <v>1.7543859649122806E-2</v>
      </c>
      <c r="AA722" s="62">
        <f t="shared" si="4093"/>
        <v>0</v>
      </c>
      <c r="AB722" s="62">
        <f t="shared" si="4093"/>
        <v>0</v>
      </c>
      <c r="AC722" s="62">
        <f t="shared" si="4093"/>
        <v>0</v>
      </c>
      <c r="AD722" s="62">
        <f t="shared" si="4093"/>
        <v>0</v>
      </c>
      <c r="AE722" s="62">
        <f t="shared" si="4093"/>
        <v>0</v>
      </c>
      <c r="AF722" s="62">
        <f t="shared" si="4093"/>
        <v>1.8867924528301886E-2</v>
      </c>
      <c r="AG722" s="62">
        <f t="shared" si="4093"/>
        <v>8.9285714285714281E-3</v>
      </c>
      <c r="AH722" s="62">
        <f t="shared" si="4093"/>
        <v>0</v>
      </c>
      <c r="AI722" s="62">
        <f t="shared" si="4093"/>
        <v>0.11764705882352941</v>
      </c>
      <c r="AJ722" s="62" t="str">
        <f t="shared" si="4093"/>
        <v/>
      </c>
      <c r="AK722" s="412"/>
      <c r="AL722" s="14">
        <f t="shared" ref="AL722:BL722" si="4094">IF(AL692&lt;&gt;0,AL697*AL696/AL692,"")</f>
        <v>0.4</v>
      </c>
      <c r="AM722" s="14">
        <f t="shared" si="4094"/>
        <v>1</v>
      </c>
      <c r="AN722" s="14">
        <f t="shared" si="4094"/>
        <v>0.1</v>
      </c>
      <c r="AO722" s="14">
        <f t="shared" si="4094"/>
        <v>0</v>
      </c>
      <c r="AP722" s="14">
        <f t="shared" si="4094"/>
        <v>0</v>
      </c>
      <c r="AQ722" s="14">
        <f t="shared" si="4094"/>
        <v>0</v>
      </c>
      <c r="AR722" s="14">
        <f t="shared" si="4094"/>
        <v>0.33333333333333331</v>
      </c>
      <c r="AS722" s="14">
        <f t="shared" si="4094"/>
        <v>5.8823529411764705E-2</v>
      </c>
      <c r="AT722" s="14">
        <f t="shared" si="4094"/>
        <v>0.83333333333333337</v>
      </c>
      <c r="AU722" s="14">
        <f t="shared" si="4094"/>
        <v>0</v>
      </c>
      <c r="AV722" s="14">
        <f t="shared" si="4094"/>
        <v>0.2</v>
      </c>
      <c r="AW722" s="14">
        <f t="shared" si="4094"/>
        <v>7.1428571428571425E-2</v>
      </c>
      <c r="AX722" s="14">
        <f t="shared" si="4094"/>
        <v>0.29230769230769227</v>
      </c>
      <c r="AY722" s="14">
        <f t="shared" si="4094"/>
        <v>0.3</v>
      </c>
      <c r="AZ722" s="14">
        <f t="shared" si="4094"/>
        <v>0</v>
      </c>
      <c r="BA722" s="14">
        <f t="shared" si="4094"/>
        <v>0.1</v>
      </c>
      <c r="BB722" s="14">
        <f t="shared" si="4094"/>
        <v>0.1</v>
      </c>
      <c r="BC722" s="14">
        <f t="shared" si="4094"/>
        <v>0</v>
      </c>
      <c r="BD722" s="14">
        <f t="shared" si="4094"/>
        <v>0</v>
      </c>
      <c r="BE722" s="14">
        <f t="shared" si="4094"/>
        <v>0</v>
      </c>
      <c r="BF722" s="14">
        <f t="shared" si="4094"/>
        <v>0</v>
      </c>
      <c r="BG722" s="14">
        <f t="shared" si="4094"/>
        <v>0</v>
      </c>
      <c r="BH722" s="14">
        <f t="shared" si="4094"/>
        <v>0.22222222222222221</v>
      </c>
      <c r="BI722" s="14">
        <f t="shared" si="4094"/>
        <v>0</v>
      </c>
      <c r="BJ722" s="14">
        <f t="shared" si="4094"/>
        <v>0</v>
      </c>
      <c r="BK722" s="14">
        <f t="shared" si="4094"/>
        <v>0.22222222222222221</v>
      </c>
      <c r="BL722" s="14" t="str">
        <f t="shared" si="4094"/>
        <v/>
      </c>
      <c r="BM722" s="412"/>
      <c r="BN722" s="14">
        <f t="shared" ref="BN722:CN722" si="4095">IF(BN692&lt;&gt;0,BN697*BN696/BN692,"")</f>
        <v>0.29411764705882354</v>
      </c>
      <c r="BO722" s="14">
        <f t="shared" si="4095"/>
        <v>0.29411764705882354</v>
      </c>
      <c r="BP722" s="14">
        <f t="shared" si="4095"/>
        <v>0.29411764705882354</v>
      </c>
      <c r="BQ722" s="14" t="e">
        <f t="shared" si="4095"/>
        <v>#DIV/0!</v>
      </c>
      <c r="BR722" s="14" t="e">
        <f t="shared" si="4095"/>
        <v>#DIV/0!</v>
      </c>
      <c r="BS722" s="14" t="e">
        <f t="shared" si="4095"/>
        <v>#DIV/0!</v>
      </c>
      <c r="BT722" s="14">
        <f t="shared" si="4095"/>
        <v>0.26923076923076922</v>
      </c>
      <c r="BU722" s="14">
        <f t="shared" si="4095"/>
        <v>0.26923076923076922</v>
      </c>
      <c r="BV722" s="14">
        <f t="shared" si="4095"/>
        <v>0.26923076923076922</v>
      </c>
      <c r="BW722" s="14">
        <f t="shared" si="4095"/>
        <v>6.6666666666666666E-2</v>
      </c>
      <c r="BX722" s="14">
        <f t="shared" si="4095"/>
        <v>6.6666666666666666E-2</v>
      </c>
      <c r="BY722" s="14">
        <f t="shared" si="4095"/>
        <v>6.6666666666666666E-2</v>
      </c>
      <c r="BZ722" s="14">
        <f t="shared" si="4095"/>
        <v>0.18378378378378377</v>
      </c>
      <c r="CA722" s="14">
        <f t="shared" si="4095"/>
        <v>0.18378378378378377</v>
      </c>
      <c r="CB722" s="14">
        <f t="shared" si="4095"/>
        <v>0.18378378378378377</v>
      </c>
      <c r="CC722" s="14">
        <f t="shared" si="4095"/>
        <v>7.407407407407407E-2</v>
      </c>
      <c r="CD722" s="14">
        <f t="shared" si="4095"/>
        <v>7.407407407407407E-2</v>
      </c>
      <c r="CE722" s="14">
        <f t="shared" si="4095"/>
        <v>7.407407407407407E-2</v>
      </c>
      <c r="CF722" s="14">
        <f t="shared" si="4095"/>
        <v>0</v>
      </c>
      <c r="CG722" s="14">
        <f t="shared" si="4095"/>
        <v>0</v>
      </c>
      <c r="CH722" s="14">
        <f t="shared" si="4095"/>
        <v>0</v>
      </c>
      <c r="CI722" s="14">
        <f t="shared" si="4095"/>
        <v>1.5000000000000002E-5</v>
      </c>
      <c r="CJ722" s="14">
        <f t="shared" si="4095"/>
        <v>0.1</v>
      </c>
      <c r="CK722" s="14">
        <f t="shared" si="4095"/>
        <v>0.1</v>
      </c>
      <c r="CL722" s="14">
        <f t="shared" si="4095"/>
        <v>0</v>
      </c>
      <c r="CM722" s="14">
        <f t="shared" si="4095"/>
        <v>0.11764705882352941</v>
      </c>
      <c r="CN722" s="14">
        <f t="shared" si="4095"/>
        <v>0.11764705882352941</v>
      </c>
      <c r="CO722" s="412"/>
      <c r="CP722" s="14">
        <f t="shared" ref="CP722:DP722" si="4096">IF(CP692&lt;&gt;0,CP697*CP696/CP692,"")</f>
        <v>0.4</v>
      </c>
      <c r="CQ722" s="14">
        <f t="shared" si="4096"/>
        <v>0.5714285714285714</v>
      </c>
      <c r="CR722" s="14">
        <f t="shared" si="4096"/>
        <v>0.29411764705882354</v>
      </c>
      <c r="CS722" s="14">
        <f t="shared" si="4096"/>
        <v>0.26315789473684209</v>
      </c>
      <c r="CT722" s="14">
        <f t="shared" si="4096"/>
        <v>0.20833333333333334</v>
      </c>
      <c r="CU722" s="14">
        <f t="shared" si="4096"/>
        <v>0.17857142857142858</v>
      </c>
      <c r="CV722" s="14">
        <f t="shared" si="4096"/>
        <v>0.19354838709677419</v>
      </c>
      <c r="CW722" s="14">
        <f t="shared" si="4096"/>
        <v>0.14583333333333334</v>
      </c>
      <c r="CX722" s="14">
        <f t="shared" si="4096"/>
        <v>0.22222222222222221</v>
      </c>
      <c r="CY722" s="14">
        <f t="shared" si="4096"/>
        <v>0.18461538461538463</v>
      </c>
      <c r="CZ722" s="14">
        <f t="shared" si="4096"/>
        <v>0.18571428571428572</v>
      </c>
      <c r="DA722" s="14">
        <f t="shared" si="4096"/>
        <v>0.16666666666666666</v>
      </c>
      <c r="DB722" s="14">
        <f t="shared" si="4096"/>
        <v>0.29230769230769227</v>
      </c>
      <c r="DC722" s="14">
        <f t="shared" si="4096"/>
        <v>0.29565217391304349</v>
      </c>
      <c r="DD722" s="14">
        <f t="shared" si="4096"/>
        <v>0.18378378378378377</v>
      </c>
      <c r="DE722" s="14">
        <f t="shared" si="4096"/>
        <v>0.16595744680851063</v>
      </c>
      <c r="DF722" s="14">
        <f t="shared" si="4096"/>
        <v>0.15438596491228071</v>
      </c>
      <c r="DG722" s="14">
        <f t="shared" si="4096"/>
        <v>0.13750000000000001</v>
      </c>
      <c r="DH722" s="14">
        <f t="shared" si="4096"/>
        <v>0.12753623188405799</v>
      </c>
      <c r="DI722" s="14">
        <f t="shared" si="4096"/>
        <v>0.10476190476190476</v>
      </c>
      <c r="DJ722" s="14">
        <f t="shared" si="4096"/>
        <v>9.5652173913043481E-2</v>
      </c>
      <c r="DK722" s="14">
        <f t="shared" si="4096"/>
        <v>9.0721649484536093E-2</v>
      </c>
      <c r="DL722" s="14">
        <f t="shared" si="4096"/>
        <v>0.10188679245283019</v>
      </c>
      <c r="DM722" s="14">
        <f t="shared" si="4096"/>
        <v>0.10535714285714286</v>
      </c>
      <c r="DN722" s="14">
        <f t="shared" si="4096"/>
        <v>0</v>
      </c>
      <c r="DO722" s="14">
        <f t="shared" si="4096"/>
        <v>0.11764705882352941</v>
      </c>
      <c r="DP722" s="14">
        <f t="shared" si="4096"/>
        <v>0.11764705882352941</v>
      </c>
      <c r="DQ722" s="14"/>
      <c r="DR722" s="14"/>
      <c r="DS722" s="14"/>
      <c r="DT722" s="14"/>
      <c r="DU722" s="14"/>
      <c r="DV722" s="14"/>
      <c r="DW722" s="14"/>
      <c r="DX722" s="14"/>
      <c r="DY722" s="14"/>
      <c r="ED722" s="429"/>
      <c r="EE722" s="23"/>
      <c r="EF722" s="23"/>
      <c r="EG722" s="23"/>
      <c r="EH722" s="14">
        <f>IF(EH696&lt;&gt;0,EH697*EH696/EH696,"")</f>
        <v>1</v>
      </c>
      <c r="EI722" s="109">
        <f>IF(EI696&lt;&gt;0,EI697*EI696/EI696,"0%")</f>
        <v>1</v>
      </c>
      <c r="EJ722" s="14">
        <f>IF(EJ696&lt;&gt;0,EJ697*EJ696/EJ696,"")</f>
        <v>1</v>
      </c>
      <c r="EK722" s="24"/>
      <c r="EL722" s="47" t="e">
        <f t="shared" si="4086"/>
        <v>#DIV/0!</v>
      </c>
      <c r="EM722" s="47" t="e">
        <f t="shared" si="4086"/>
        <v>#DIV/0!</v>
      </c>
      <c r="EN722" s="47">
        <f t="shared" si="4086"/>
        <v>5.0000000000000155E-2</v>
      </c>
      <c r="EO722" s="46" t="e">
        <f t="shared" si="4087"/>
        <v>#DIV/0!</v>
      </c>
      <c r="EP722" s="46" t="e">
        <f t="shared" si="4087"/>
        <v>#DIV/0!</v>
      </c>
      <c r="EQ722" s="2" t="e">
        <f t="shared" si="4088"/>
        <v>#DIV/0!</v>
      </c>
      <c r="ER722" s="2" t="e">
        <f t="shared" si="4088"/>
        <v>#DIV/0!</v>
      </c>
      <c r="ES722" s="2">
        <f t="shared" si="4088"/>
        <v>1</v>
      </c>
    </row>
    <row r="723" spans="1:149">
      <c r="A723" s="6" t="s">
        <v>23</v>
      </c>
      <c r="B723" s="2" t="s">
        <v>26</v>
      </c>
      <c r="C723" s="3" t="s">
        <v>85</v>
      </c>
      <c r="E723" s="3" t="str">
        <f>C698</f>
        <v>ASpec1</v>
      </c>
      <c r="F723" s="4" t="s">
        <v>31</v>
      </c>
      <c r="G723" s="28" t="str">
        <f>C707</f>
        <v>ASUniq</v>
      </c>
      <c r="H723" s="28"/>
      <c r="I723" s="28"/>
      <c r="J723" s="62">
        <f>IF(J707&lt;&gt;0,J698/J707,"")</f>
        <v>0</v>
      </c>
      <c r="K723" s="62">
        <f>IF(K707&lt;&gt;0,K698/K707,"")</f>
        <v>0</v>
      </c>
      <c r="L723" s="62">
        <f>IF(L707&lt;&gt;0,L698/L707,"")</f>
        <v>0</v>
      </c>
      <c r="M723" s="62">
        <f>IF(M707&lt;&gt;0,M698/M707,"")</f>
        <v>0</v>
      </c>
      <c r="N723" s="62">
        <f>IF(N707&lt;&gt;0,N698/N707,"")</f>
        <v>0</v>
      </c>
      <c r="O723" s="62">
        <f>IF(O707&lt;&gt;"",O698/O707,"")</f>
        <v>0</v>
      </c>
      <c r="P723" s="62">
        <f t="shared" ref="P723:AJ723" si="4097">IF(P707&lt;&gt;"",P698/P707,"")</f>
        <v>0</v>
      </c>
      <c r="Q723" s="62">
        <f t="shared" si="4097"/>
        <v>0</v>
      </c>
      <c r="R723" s="62">
        <f t="shared" si="4097"/>
        <v>0.5</v>
      </c>
      <c r="S723" s="62">
        <f t="shared" si="4097"/>
        <v>0.26666666666666666</v>
      </c>
      <c r="T723" s="62">
        <f t="shared" si="4097"/>
        <v>0.8</v>
      </c>
      <c r="U723" s="62">
        <f t="shared" si="4097"/>
        <v>0.26666666666666666</v>
      </c>
      <c r="V723" s="62">
        <f t="shared" si="4097"/>
        <v>0</v>
      </c>
      <c r="W723" s="62">
        <f t="shared" si="4097"/>
        <v>0</v>
      </c>
      <c r="X723" s="62">
        <f t="shared" si="4097"/>
        <v>0</v>
      </c>
      <c r="Y723" s="62">
        <f t="shared" si="4097"/>
        <v>0</v>
      </c>
      <c r="Z723" s="62">
        <f t="shared" si="4097"/>
        <v>0</v>
      </c>
      <c r="AA723" s="62">
        <f t="shared" si="4097"/>
        <v>0</v>
      </c>
      <c r="AB723" s="62">
        <f t="shared" si="4097"/>
        <v>0</v>
      </c>
      <c r="AC723" s="62">
        <f t="shared" si="4097"/>
        <v>0</v>
      </c>
      <c r="AD723" s="62">
        <f t="shared" si="4097"/>
        <v>0</v>
      </c>
      <c r="AE723" s="62">
        <f t="shared" si="4097"/>
        <v>0</v>
      </c>
      <c r="AF723" s="62">
        <f t="shared" si="4097"/>
        <v>0</v>
      </c>
      <c r="AG723" s="62">
        <f t="shared" si="4097"/>
        <v>0</v>
      </c>
      <c r="AH723" s="62">
        <f t="shared" si="4097"/>
        <v>0</v>
      </c>
      <c r="AI723" s="62">
        <f t="shared" si="4097"/>
        <v>0</v>
      </c>
      <c r="AJ723" s="62" t="str">
        <f t="shared" si="4097"/>
        <v/>
      </c>
      <c r="AK723" s="412"/>
      <c r="AL723" s="14">
        <f t="shared" ref="AL723:BL723" si="4098">IF(AL707&lt;&gt;0,AL698/AL707,"")</f>
        <v>0</v>
      </c>
      <c r="AM723" s="14">
        <f t="shared" si="4098"/>
        <v>0</v>
      </c>
      <c r="AN723" s="14">
        <f t="shared" si="4098"/>
        <v>0</v>
      </c>
      <c r="AO723" s="14">
        <f t="shared" si="4098"/>
        <v>0</v>
      </c>
      <c r="AP723" s="14">
        <f t="shared" si="4098"/>
        <v>0</v>
      </c>
      <c r="AQ723" s="14">
        <f t="shared" si="4098"/>
        <v>0</v>
      </c>
      <c r="AR723" s="14">
        <f t="shared" si="4098"/>
        <v>0</v>
      </c>
      <c r="AS723" s="14">
        <f t="shared" si="4098"/>
        <v>0</v>
      </c>
      <c r="AT723" s="14">
        <f t="shared" si="4098"/>
        <v>0.5</v>
      </c>
      <c r="AU723" s="14">
        <f t="shared" si="4098"/>
        <v>0</v>
      </c>
      <c r="AV723" s="14">
        <f t="shared" si="4098"/>
        <v>0</v>
      </c>
      <c r="AW723" s="14">
        <f t="shared" si="4098"/>
        <v>0</v>
      </c>
      <c r="AX723" s="14">
        <f t="shared" si="4098"/>
        <v>0</v>
      </c>
      <c r="AY723" s="14">
        <f t="shared" si="4098"/>
        <v>0</v>
      </c>
      <c r="AZ723" s="14">
        <f t="shared" si="4098"/>
        <v>0</v>
      </c>
      <c r="BA723" s="14">
        <f t="shared" si="4098"/>
        <v>0</v>
      </c>
      <c r="BB723" s="14">
        <f t="shared" si="4098"/>
        <v>0</v>
      </c>
      <c r="BC723" s="14">
        <f t="shared" si="4098"/>
        <v>0</v>
      </c>
      <c r="BD723" s="14">
        <f t="shared" si="4098"/>
        <v>0</v>
      </c>
      <c r="BE723" s="14">
        <f t="shared" si="4098"/>
        <v>0</v>
      </c>
      <c r="BF723" s="14">
        <f t="shared" si="4098"/>
        <v>0</v>
      </c>
      <c r="BG723" s="14">
        <f t="shared" si="4098"/>
        <v>0</v>
      </c>
      <c r="BH723" s="14">
        <f t="shared" si="4098"/>
        <v>0</v>
      </c>
      <c r="BI723" s="14">
        <f t="shared" si="4098"/>
        <v>0</v>
      </c>
      <c r="BJ723" s="14">
        <f t="shared" si="4098"/>
        <v>0</v>
      </c>
      <c r="BK723" s="14">
        <f t="shared" si="4098"/>
        <v>0</v>
      </c>
      <c r="BL723" s="14" t="e">
        <f t="shared" si="4098"/>
        <v>#VALUE!</v>
      </c>
      <c r="BM723" s="412"/>
      <c r="BN723" s="14">
        <f t="shared" ref="BN723:CN723" si="4099">IF(BN707&lt;&gt;0,BN698/BN707,"")</f>
        <v>0</v>
      </c>
      <c r="BO723" s="14">
        <f t="shared" si="4099"/>
        <v>0</v>
      </c>
      <c r="BP723" s="14">
        <f t="shared" si="4099"/>
        <v>0</v>
      </c>
      <c r="BQ723" s="14">
        <f t="shared" si="4099"/>
        <v>0</v>
      </c>
      <c r="BR723" s="14">
        <f t="shared" si="4099"/>
        <v>0</v>
      </c>
      <c r="BS723" s="14">
        <f t="shared" si="4099"/>
        <v>0</v>
      </c>
      <c r="BT723" s="14">
        <f t="shared" si="4099"/>
        <v>1.3333333333333333</v>
      </c>
      <c r="BU723" s="14">
        <f t="shared" si="4099"/>
        <v>0.19047619047619047</v>
      </c>
      <c r="BV723" s="14">
        <f t="shared" si="4099"/>
        <v>0.13793103448275862</v>
      </c>
      <c r="BW723" s="14">
        <f t="shared" si="4099"/>
        <v>0</v>
      </c>
      <c r="BX723" s="14">
        <f t="shared" si="4099"/>
        <v>0</v>
      </c>
      <c r="BY723" s="14">
        <f t="shared" si="4099"/>
        <v>0</v>
      </c>
      <c r="BZ723" s="14">
        <f t="shared" si="4099"/>
        <v>0</v>
      </c>
      <c r="CA723" s="14">
        <f t="shared" si="4099"/>
        <v>0</v>
      </c>
      <c r="CB723" s="14">
        <f t="shared" si="4099"/>
        <v>0</v>
      </c>
      <c r="CC723" s="14">
        <f t="shared" si="4099"/>
        <v>0</v>
      </c>
      <c r="CD723" s="14">
        <f t="shared" si="4099"/>
        <v>0</v>
      </c>
      <c r="CE723" s="14">
        <f t="shared" si="4099"/>
        <v>0</v>
      </c>
      <c r="CF723" s="14">
        <f t="shared" si="4099"/>
        <v>0</v>
      </c>
      <c r="CG723" s="14">
        <f t="shared" si="4099"/>
        <v>0</v>
      </c>
      <c r="CH723" s="14">
        <f t="shared" si="4099"/>
        <v>0</v>
      </c>
      <c r="CI723" s="14">
        <f t="shared" si="4099"/>
        <v>0</v>
      </c>
      <c r="CJ723" s="14">
        <f t="shared" si="4099"/>
        <v>0</v>
      </c>
      <c r="CK723" s="14">
        <f t="shared" si="4099"/>
        <v>0</v>
      </c>
      <c r="CL723" s="14">
        <f t="shared" si="4099"/>
        <v>0</v>
      </c>
      <c r="CM723" s="14">
        <f t="shared" si="4099"/>
        <v>0</v>
      </c>
      <c r="CN723" s="14" t="e">
        <f t="shared" si="4099"/>
        <v>#VALUE!</v>
      </c>
      <c r="CO723" s="412"/>
      <c r="CP723" s="14">
        <f t="shared" ref="CP723:DP723" si="4100">IF(CP707&lt;&gt;0,CP698/CP707,"")</f>
        <v>0</v>
      </c>
      <c r="CQ723" s="14">
        <f t="shared" si="4100"/>
        <v>0</v>
      </c>
      <c r="CR723" s="14">
        <f t="shared" si="4100"/>
        <v>0</v>
      </c>
      <c r="CS723" s="14">
        <f t="shared" si="4100"/>
        <v>0</v>
      </c>
      <c r="CT723" s="14">
        <f t="shared" si="4100"/>
        <v>0</v>
      </c>
      <c r="CU723" s="14">
        <f t="shared" si="4100"/>
        <v>0</v>
      </c>
      <c r="CV723" s="14">
        <f t="shared" si="4100"/>
        <v>0</v>
      </c>
      <c r="CW723" s="14">
        <f t="shared" si="4100"/>
        <v>0</v>
      </c>
      <c r="CX723" s="14">
        <f t="shared" si="4100"/>
        <v>6.3492063492063489E-2</v>
      </c>
      <c r="CY723" s="14">
        <f t="shared" si="4100"/>
        <v>5.128205128205128E-2</v>
      </c>
      <c r="CZ723" s="14">
        <f t="shared" si="4100"/>
        <v>4.8192771084337352E-2</v>
      </c>
      <c r="DA723" s="14">
        <f t="shared" si="4100"/>
        <v>4.0816326530612242E-2</v>
      </c>
      <c r="DB723" s="14">
        <f t="shared" si="4100"/>
        <v>0</v>
      </c>
      <c r="DC723" s="14">
        <f t="shared" si="4100"/>
        <v>0</v>
      </c>
      <c r="DD723" s="14">
        <f t="shared" si="4100"/>
        <v>0</v>
      </c>
      <c r="DE723" s="14">
        <f t="shared" si="4100"/>
        <v>0</v>
      </c>
      <c r="DF723" s="14">
        <f t="shared" si="4100"/>
        <v>0</v>
      </c>
      <c r="DG723" s="14">
        <f t="shared" si="4100"/>
        <v>0</v>
      </c>
      <c r="DH723" s="14">
        <f t="shared" si="4100"/>
        <v>0</v>
      </c>
      <c r="DI723" s="14">
        <f t="shared" si="4100"/>
        <v>0</v>
      </c>
      <c r="DJ723" s="14">
        <f t="shared" si="4100"/>
        <v>0</v>
      </c>
      <c r="DK723" s="14">
        <f t="shared" si="4100"/>
        <v>0</v>
      </c>
      <c r="DL723" s="14">
        <f t="shared" si="4100"/>
        <v>0</v>
      </c>
      <c r="DM723" s="14">
        <f t="shared" si="4100"/>
        <v>0</v>
      </c>
      <c r="DN723" s="14">
        <f t="shared" si="4100"/>
        <v>0</v>
      </c>
      <c r="DO723" s="14">
        <f t="shared" si="4100"/>
        <v>0</v>
      </c>
      <c r="DP723" s="14" t="e">
        <f t="shared" si="4100"/>
        <v>#VALUE!</v>
      </c>
      <c r="DQ723" s="14"/>
      <c r="DR723" s="14"/>
      <c r="DS723" s="14"/>
      <c r="DT723" s="14"/>
      <c r="DU723" s="14"/>
      <c r="DV723" s="14"/>
      <c r="DW723" s="14"/>
      <c r="DX723" s="14"/>
      <c r="DY723" s="14"/>
      <c r="ED723" s="429"/>
      <c r="EE723" s="23"/>
      <c r="EF723" s="23"/>
      <c r="EG723" s="23"/>
      <c r="EH723" s="14">
        <f>IF(EH694&lt;&gt;0,EH698/EH694,"0%")</f>
        <v>0</v>
      </c>
      <c r="EI723" s="14">
        <f>IF(EI694&lt;&gt;0,EI698/EI694,"0%")</f>
        <v>0</v>
      </c>
      <c r="EJ723" s="14">
        <f>IF(EJ694&lt;&gt;0,EJ698/EJ694,"0%")</f>
        <v>0</v>
      </c>
      <c r="EK723" s="24"/>
      <c r="EL723" s="47">
        <f t="shared" si="4086"/>
        <v>0</v>
      </c>
      <c r="EM723" s="47">
        <f t="shared" si="4086"/>
        <v>0</v>
      </c>
      <c r="EN723" s="47">
        <f t="shared" si="4086"/>
        <v>-8.3333027777777777E-2</v>
      </c>
      <c r="EO723" s="46" t="str">
        <f t="shared" si="4087"/>
        <v>Æ</v>
      </c>
      <c r="EP723" s="46" t="str">
        <f t="shared" si="4087"/>
        <v>Æ</v>
      </c>
      <c r="EQ723" s="2" t="e">
        <f t="shared" si="4088"/>
        <v>#DIV/0!</v>
      </c>
      <c r="ER723" s="2" t="e">
        <f t="shared" si="4088"/>
        <v>#DIV/0!</v>
      </c>
      <c r="ES723" s="2">
        <f t="shared" si="4088"/>
        <v>3</v>
      </c>
    </row>
    <row r="724" spans="1:149">
      <c r="A724" s="6" t="s">
        <v>23</v>
      </c>
      <c r="B724" s="2" t="s">
        <v>27</v>
      </c>
      <c r="C724" s="3" t="s">
        <v>81</v>
      </c>
      <c r="E724" s="3" t="str">
        <f>C700</f>
        <v>AOnlHrs</v>
      </c>
      <c r="F724" s="4" t="s">
        <v>31</v>
      </c>
      <c r="G724" s="28" t="str">
        <f>C699</f>
        <v>ATotHrs</v>
      </c>
      <c r="H724" s="28"/>
      <c r="I724" s="28"/>
      <c r="J724" s="62">
        <f t="shared" ref="J724:AJ724" si="4101">IF(J699&lt;&gt;0,J700/J699,"")</f>
        <v>6.6666666666666666E-2</v>
      </c>
      <c r="K724" s="62">
        <f t="shared" si="4101"/>
        <v>0.1368421052631579</v>
      </c>
      <c r="L724" s="62">
        <f t="shared" si="4101"/>
        <v>0.14691943127962084</v>
      </c>
      <c r="M724" s="62">
        <f t="shared" si="4101"/>
        <v>0.17012448132780084</v>
      </c>
      <c r="N724" s="62">
        <f t="shared" si="4101"/>
        <v>0.15614617940199335</v>
      </c>
      <c r="O724" s="62">
        <f t="shared" si="4101"/>
        <v>0.15850144092219021</v>
      </c>
      <c r="P724" s="62">
        <f t="shared" si="4101"/>
        <v>0.16455696202531644</v>
      </c>
      <c r="Q724" s="62">
        <f t="shared" si="4101"/>
        <v>0.17547100110823791</v>
      </c>
      <c r="R724" s="62">
        <f t="shared" si="4101"/>
        <v>0.24288840262582059</v>
      </c>
      <c r="S724" s="62">
        <f t="shared" si="4101"/>
        <v>0.29526248399487837</v>
      </c>
      <c r="T724" s="62">
        <f t="shared" si="4101"/>
        <v>0.29847596717467761</v>
      </c>
      <c r="U724" s="62">
        <f t="shared" si="4101"/>
        <v>0.3497477295660949</v>
      </c>
      <c r="V724" s="62">
        <f t="shared" si="4101"/>
        <v>0.56611570247933884</v>
      </c>
      <c r="W724" s="62">
        <f t="shared" si="4101"/>
        <v>0.57330415754923414</v>
      </c>
      <c r="X724" s="62">
        <f t="shared" si="4101"/>
        <v>0.5502248875562219</v>
      </c>
      <c r="Y724" s="62">
        <f t="shared" si="4101"/>
        <v>0.63360881542699721</v>
      </c>
      <c r="Z724" s="62">
        <f t="shared" si="4101"/>
        <v>0.59310344827586203</v>
      </c>
      <c r="AA724" s="62">
        <f t="shared" si="4101"/>
        <v>0.6516994075459932</v>
      </c>
      <c r="AB724" s="62">
        <f t="shared" si="4101"/>
        <v>0.65524372230428363</v>
      </c>
      <c r="AC724" s="62">
        <f t="shared" si="4101"/>
        <v>0.61932245922208284</v>
      </c>
      <c r="AD724" s="62">
        <f t="shared" si="4101"/>
        <v>0.6166481687014429</v>
      </c>
      <c r="AE724" s="62">
        <f t="shared" si="4101"/>
        <v>0.57294228949858095</v>
      </c>
      <c r="AF724" s="62">
        <f t="shared" si="4101"/>
        <v>0.56543422184006886</v>
      </c>
      <c r="AG724" s="62">
        <f t="shared" si="4101"/>
        <v>0.57675889328063246</v>
      </c>
      <c r="AH724" s="62">
        <f t="shared" si="4101"/>
        <v>0.54761904761904767</v>
      </c>
      <c r="AI724" s="62">
        <f t="shared" si="4101"/>
        <v>0.38775510204081631</v>
      </c>
      <c r="AJ724" s="62" t="str">
        <f t="shared" si="4101"/>
        <v/>
      </c>
      <c r="AK724" s="412"/>
      <c r="AL724" s="14">
        <f t="shared" ref="AL724:BL724" si="4102">IF(AL699&lt;&gt;0,AL700/AL699,"")</f>
        <v>6.6666666666666666E-2</v>
      </c>
      <c r="AM724" s="14">
        <f t="shared" si="4102"/>
        <v>0.25714285714285712</v>
      </c>
      <c r="AN724" s="14">
        <f t="shared" si="4102"/>
        <v>0.15517241379310345</v>
      </c>
      <c r="AO724" s="14">
        <f t="shared" si="4102"/>
        <v>0.33333333333333331</v>
      </c>
      <c r="AP724" s="14">
        <f t="shared" si="4102"/>
        <v>0.1</v>
      </c>
      <c r="AQ724" s="14">
        <f t="shared" si="4102"/>
        <v>0.17391304347826086</v>
      </c>
      <c r="AR724" s="14">
        <f t="shared" si="4102"/>
        <v>0.20833333333333334</v>
      </c>
      <c r="AS724" s="14">
        <f t="shared" si="4102"/>
        <v>0.20491803278688528</v>
      </c>
      <c r="AT724" s="14">
        <f t="shared" si="4102"/>
        <v>0.61382113821138229</v>
      </c>
      <c r="AU724" s="14">
        <f t="shared" si="4102"/>
        <v>0.53257790368271929</v>
      </c>
      <c r="AV724" s="14">
        <f t="shared" si="4102"/>
        <v>0.33333333333333331</v>
      </c>
      <c r="AW724" s="14">
        <f t="shared" si="4102"/>
        <v>0.66666666666666685</v>
      </c>
      <c r="AX724" s="14">
        <f t="shared" si="4102"/>
        <v>0.56611570247933884</v>
      </c>
      <c r="AY724" s="14">
        <f t="shared" si="4102"/>
        <v>0.58139534883720922</v>
      </c>
      <c r="AZ724" s="14">
        <f t="shared" si="4102"/>
        <v>0.50000000000000022</v>
      </c>
      <c r="BA724" s="14">
        <f t="shared" si="4102"/>
        <v>0.8648648648648648</v>
      </c>
      <c r="BB724" s="14">
        <f t="shared" si="4102"/>
        <v>0.3888888888888889</v>
      </c>
      <c r="BC724" s="14">
        <f t="shared" si="4102"/>
        <v>0.77519379844961245</v>
      </c>
      <c r="BD724" s="14">
        <f t="shared" si="4102"/>
        <v>0.71910112359550582</v>
      </c>
      <c r="BE724" s="14">
        <f t="shared" si="4102"/>
        <v>0.41666666666666669</v>
      </c>
      <c r="BF724" s="14">
        <f t="shared" si="4102"/>
        <v>0.59615384615384615</v>
      </c>
      <c r="BG724" s="14">
        <f t="shared" si="4102"/>
        <v>0.32051282051282054</v>
      </c>
      <c r="BH724" s="14">
        <f t="shared" si="4102"/>
        <v>0.49056603773584906</v>
      </c>
      <c r="BI724" s="14">
        <f t="shared" si="4102"/>
        <v>0.70588235294117652</v>
      </c>
      <c r="BJ724" s="14">
        <f t="shared" si="4102"/>
        <v>0.54761904761904767</v>
      </c>
      <c r="BK724" s="14">
        <f t="shared" si="4102"/>
        <v>0.26785714285714285</v>
      </c>
      <c r="BL724" s="14" t="str">
        <f t="shared" si="4102"/>
        <v/>
      </c>
      <c r="BM724" s="412"/>
      <c r="BN724" s="14">
        <f t="shared" ref="BN724:CN724" si="4103">IF(BN699&lt;&gt;0,BN700/BN699,"")</f>
        <v>0.14691943127962084</v>
      </c>
      <c r="BO724" s="14">
        <f t="shared" si="4103"/>
        <v>0.14691943127962084</v>
      </c>
      <c r="BP724" s="14">
        <f t="shared" si="4103"/>
        <v>0.14691943127962084</v>
      </c>
      <c r="BQ724" s="14">
        <f t="shared" si="4103"/>
        <v>0.17647058823529413</v>
      </c>
      <c r="BR724" s="14">
        <f t="shared" si="4103"/>
        <v>0.17647058823529413</v>
      </c>
      <c r="BS724" s="14">
        <f t="shared" si="4103"/>
        <v>0.17647058823529413</v>
      </c>
      <c r="BT724" s="14">
        <f t="shared" si="4103"/>
        <v>0.34289617486338803</v>
      </c>
      <c r="BU724" s="14">
        <f t="shared" si="4103"/>
        <v>0.34289617486338803</v>
      </c>
      <c r="BV724" s="14">
        <f t="shared" si="4103"/>
        <v>0.34289617486338803</v>
      </c>
      <c r="BW724" s="14">
        <f t="shared" si="4103"/>
        <v>0.54441913439635536</v>
      </c>
      <c r="BX724" s="14">
        <f t="shared" si="4103"/>
        <v>0.54441913439635536</v>
      </c>
      <c r="BY724" s="14">
        <f t="shared" si="4103"/>
        <v>0.54441913439635536</v>
      </c>
      <c r="BZ724" s="14">
        <f t="shared" si="4103"/>
        <v>0.5502248875562219</v>
      </c>
      <c r="CA724" s="14">
        <f t="shared" si="4103"/>
        <v>0.5502248875562219</v>
      </c>
      <c r="CB724" s="14">
        <f t="shared" si="4103"/>
        <v>0.5502248875562219</v>
      </c>
      <c r="CC724" s="14">
        <f t="shared" si="4103"/>
        <v>0.7239722370528564</v>
      </c>
      <c r="CD724" s="14">
        <f t="shared" si="4103"/>
        <v>0.7239722370528564</v>
      </c>
      <c r="CE724" s="14">
        <f t="shared" si="4103"/>
        <v>0.7239722370528564</v>
      </c>
      <c r="CF724" s="14">
        <f t="shared" si="4103"/>
        <v>0.53004622496147924</v>
      </c>
      <c r="CG724" s="14">
        <f t="shared" si="4103"/>
        <v>0.53004622496147924</v>
      </c>
      <c r="CH724" s="14">
        <f t="shared" si="4103"/>
        <v>0.53004622496147924</v>
      </c>
      <c r="CI724" s="14">
        <f t="shared" si="4103"/>
        <v>0.47802197802197804</v>
      </c>
      <c r="CJ724" s="14">
        <f t="shared" si="4103"/>
        <v>0.47802197802197804</v>
      </c>
      <c r="CK724" s="14">
        <f t="shared" si="4103"/>
        <v>0.47802197802197804</v>
      </c>
      <c r="CL724" s="14">
        <f t="shared" si="4103"/>
        <v>0.38775510204081631</v>
      </c>
      <c r="CM724" s="14">
        <f t="shared" si="4103"/>
        <v>0.38775510204081631</v>
      </c>
      <c r="CN724" s="14">
        <f t="shared" si="4103"/>
        <v>0.38775510204081631</v>
      </c>
      <c r="CO724" s="412"/>
      <c r="CP724" s="14">
        <f t="shared" ref="CP724:DP724" si="4104">IF(CP699&lt;&gt;0,CP700/CP699,"")</f>
        <v>6.6666666666666666E-2</v>
      </c>
      <c r="CQ724" s="14">
        <f t="shared" si="4104"/>
        <v>0.1368421052631579</v>
      </c>
      <c r="CR724" s="14">
        <f t="shared" si="4104"/>
        <v>0.14691943127962084</v>
      </c>
      <c r="CS724" s="14">
        <f t="shared" si="4104"/>
        <v>0.17012448132780084</v>
      </c>
      <c r="CT724" s="14">
        <f t="shared" si="4104"/>
        <v>0.15614617940199335</v>
      </c>
      <c r="CU724" s="14">
        <f t="shared" si="4104"/>
        <v>0.15850144092219021</v>
      </c>
      <c r="CV724" s="14">
        <f t="shared" si="4104"/>
        <v>0.16455696202531644</v>
      </c>
      <c r="CW724" s="14">
        <f t="shared" si="4104"/>
        <v>0.17547100110823791</v>
      </c>
      <c r="CX724" s="14">
        <f t="shared" si="4104"/>
        <v>0.24288840262582059</v>
      </c>
      <c r="CY724" s="14">
        <f t="shared" si="4104"/>
        <v>0.29526248399487837</v>
      </c>
      <c r="CZ724" s="14">
        <f t="shared" si="4104"/>
        <v>0.29847596717467761</v>
      </c>
      <c r="DA724" s="14">
        <f t="shared" si="4104"/>
        <v>0.3497477295660949</v>
      </c>
      <c r="DB724" s="14">
        <f t="shared" si="4104"/>
        <v>0.56611570247933884</v>
      </c>
      <c r="DC724" s="14">
        <f t="shared" si="4104"/>
        <v>0.57330415754923414</v>
      </c>
      <c r="DD724" s="14">
        <f t="shared" si="4104"/>
        <v>0.5502248875562219</v>
      </c>
      <c r="DE724" s="14">
        <f t="shared" si="4104"/>
        <v>0.63360881542699721</v>
      </c>
      <c r="DF724" s="14">
        <f t="shared" si="4104"/>
        <v>0.59310344827586203</v>
      </c>
      <c r="DG724" s="14">
        <f t="shared" si="4104"/>
        <v>0.6516994075459932</v>
      </c>
      <c r="DH724" s="14">
        <f t="shared" si="4104"/>
        <v>0.65524372230428363</v>
      </c>
      <c r="DI724" s="14">
        <f t="shared" si="4104"/>
        <v>0.61932245922208284</v>
      </c>
      <c r="DJ724" s="14">
        <f t="shared" si="4104"/>
        <v>0.6166481687014429</v>
      </c>
      <c r="DK724" s="14">
        <f t="shared" si="4104"/>
        <v>0.57294228949858095</v>
      </c>
      <c r="DL724" s="14">
        <f t="shared" si="4104"/>
        <v>0.56543422184006886</v>
      </c>
      <c r="DM724" s="14">
        <f t="shared" si="4104"/>
        <v>0.57675889328063246</v>
      </c>
      <c r="DN724" s="14">
        <f t="shared" si="4104"/>
        <v>0.54761904761904767</v>
      </c>
      <c r="DO724" s="14">
        <f t="shared" si="4104"/>
        <v>0.38775510204081631</v>
      </c>
      <c r="DP724" s="14">
        <f t="shared" si="4104"/>
        <v>0.38775510204081631</v>
      </c>
      <c r="DQ724" s="14"/>
      <c r="DR724" s="14"/>
      <c r="DS724" s="14"/>
      <c r="DT724" s="14"/>
      <c r="DU724" s="14"/>
      <c r="DV724" s="14"/>
      <c r="DW724" s="14"/>
      <c r="DX724" s="14"/>
      <c r="DY724" s="14"/>
      <c r="ED724" s="429"/>
      <c r="EE724" s="23"/>
      <c r="EF724" s="23"/>
      <c r="EG724" s="23"/>
      <c r="EH724" s="14">
        <f>IF(EH699&lt;&gt;0,EH700/EH699,"")</f>
        <v>0.26785714285714285</v>
      </c>
      <c r="EI724" s="109">
        <f>IF(EI699&lt;&gt;0,EI700/EI699,"0%")</f>
        <v>0.38775510204081631</v>
      </c>
      <c r="EJ724" s="14">
        <f>IF(EJ699&lt;&gt;0,EJ700/EJ699,"")</f>
        <v>0.38775510204081631</v>
      </c>
      <c r="EK724" s="24"/>
      <c r="EL724" s="47">
        <f t="shared" si="4086"/>
        <v>0.26785714285714285</v>
      </c>
      <c r="EM724" s="47">
        <f t="shared" si="4086"/>
        <v>0.38775510204081631</v>
      </c>
      <c r="EN724" s="47">
        <f t="shared" si="4086"/>
        <v>-0.17474489795918369</v>
      </c>
      <c r="EO724" s="46" t="str">
        <f t="shared" si="4087"/>
        <v>Ç</v>
      </c>
      <c r="EP724" s="46" t="str">
        <f t="shared" si="4087"/>
        <v>Ç</v>
      </c>
      <c r="EQ724" s="2" t="e">
        <f t="shared" si="4088"/>
        <v>#DIV/0!</v>
      </c>
      <c r="ER724" s="2" t="e">
        <f t="shared" si="4088"/>
        <v>#DIV/0!</v>
      </c>
      <c r="ES724" s="2">
        <f t="shared" si="4088"/>
        <v>3</v>
      </c>
    </row>
    <row r="725" spans="1:149">
      <c r="A725" s="6" t="s">
        <v>23</v>
      </c>
      <c r="B725" s="2" t="s">
        <v>28</v>
      </c>
      <c r="C725" s="3" t="s">
        <v>82</v>
      </c>
      <c r="E725" s="3" t="str">
        <f>C705</f>
        <v>AColCash</v>
      </c>
      <c r="F725" s="4" t="s">
        <v>31</v>
      </c>
      <c r="G725" s="28" t="str">
        <f>C706</f>
        <v>AFSFunds</v>
      </c>
      <c r="H725" s="28"/>
      <c r="I725" s="28"/>
      <c r="J725" s="62" t="str">
        <f t="shared" ref="J725:AJ725" si="4105">IF(J706&lt;&gt;0,J705/J706,"")</f>
        <v/>
      </c>
      <c r="K725" s="62" t="str">
        <f t="shared" si="4105"/>
        <v/>
      </c>
      <c r="L725" s="62">
        <f t="shared" si="4105"/>
        <v>0.59197207678883068</v>
      </c>
      <c r="M725" s="62">
        <f t="shared" si="4105"/>
        <v>0.59197207678883068</v>
      </c>
      <c r="N725" s="62">
        <f t="shared" si="4105"/>
        <v>0.59197207678883068</v>
      </c>
      <c r="O725" s="62">
        <f t="shared" si="4105"/>
        <v>0.59201090437553783</v>
      </c>
      <c r="P725" s="62">
        <f t="shared" si="4105"/>
        <v>0.67092056920515897</v>
      </c>
      <c r="Q725" s="62">
        <f t="shared" si="4105"/>
        <v>0.67092056920515897</v>
      </c>
      <c r="R725" s="62">
        <f t="shared" si="4105"/>
        <v>0.67092056920515897</v>
      </c>
      <c r="S725" s="62">
        <f t="shared" si="4105"/>
        <v>0.67092563654747683</v>
      </c>
      <c r="T725" s="62">
        <f t="shared" si="4105"/>
        <v>0.67092563654747683</v>
      </c>
      <c r="U725" s="62">
        <f t="shared" si="4105"/>
        <v>0.67092563654747683</v>
      </c>
      <c r="V725" s="62" t="str">
        <f t="shared" si="4105"/>
        <v/>
      </c>
      <c r="W725" s="62" t="str">
        <f t="shared" si="4105"/>
        <v/>
      </c>
      <c r="X725" s="62" t="str">
        <f t="shared" si="4105"/>
        <v/>
      </c>
      <c r="Y725" s="62" t="str">
        <f t="shared" si="4105"/>
        <v/>
      </c>
      <c r="Z725" s="62" t="str">
        <f t="shared" si="4105"/>
        <v/>
      </c>
      <c r="AA725" s="62" t="str">
        <f t="shared" si="4105"/>
        <v/>
      </c>
      <c r="AB725" s="62">
        <f t="shared" si="4105"/>
        <v>0.51310541210326577</v>
      </c>
      <c r="AC725" s="62" t="str">
        <f t="shared" si="4105"/>
        <v/>
      </c>
      <c r="AD725" s="62" t="str">
        <f t="shared" si="4105"/>
        <v/>
      </c>
      <c r="AE725" s="62" t="str">
        <f t="shared" si="4105"/>
        <v/>
      </c>
      <c r="AF725" s="62" t="str">
        <f t="shared" si="4105"/>
        <v/>
      </c>
      <c r="AG725" s="62" t="str">
        <f t="shared" si="4105"/>
        <v/>
      </c>
      <c r="AH725" s="62">
        <f t="shared" si="4105"/>
        <v>0.87121980007350996</v>
      </c>
      <c r="AI725" s="62" t="str">
        <f t="shared" si="4105"/>
        <v/>
      </c>
      <c r="AJ725" s="62" t="str">
        <f t="shared" si="4105"/>
        <v/>
      </c>
      <c r="AK725" s="412"/>
      <c r="AL725" s="14"/>
      <c r="AM725" s="14"/>
      <c r="AN725" s="14"/>
      <c r="AO725" s="14"/>
      <c r="AP725" s="14"/>
      <c r="AQ725" s="14"/>
      <c r="AR725" s="14"/>
      <c r="AS725" s="14"/>
      <c r="AT725" s="14"/>
      <c r="AU725" s="14"/>
      <c r="AV725" s="14"/>
      <c r="AW725" s="14"/>
      <c r="AX725" s="14"/>
      <c r="AY725" s="14"/>
      <c r="AZ725" s="14"/>
      <c r="BA725" s="14"/>
      <c r="BB725" s="14"/>
      <c r="BC725" s="14"/>
      <c r="BD725" s="14"/>
      <c r="BE725" s="14"/>
      <c r="BF725" s="14"/>
      <c r="BG725" s="14"/>
      <c r="BH725" s="14"/>
      <c r="BI725" s="14"/>
      <c r="BJ725" s="14"/>
      <c r="BK725" s="14"/>
      <c r="BL725" s="14"/>
      <c r="BM725" s="412"/>
      <c r="BN725" s="14"/>
      <c r="BO725" s="14"/>
      <c r="BP725" s="14"/>
      <c r="BQ725" s="14"/>
      <c r="BR725" s="14"/>
      <c r="BS725" s="14"/>
      <c r="BT725" s="14"/>
      <c r="BU725" s="14"/>
      <c r="BV725" s="14"/>
      <c r="BW725" s="14"/>
      <c r="BX725" s="14"/>
      <c r="BY725" s="14"/>
      <c r="BZ725" s="14"/>
      <c r="CA725" s="14"/>
      <c r="CB725" s="14"/>
      <c r="CC725" s="14"/>
      <c r="CD725" s="14"/>
      <c r="CE725" s="14"/>
      <c r="CF725" s="14"/>
      <c r="CG725" s="14"/>
      <c r="CH725" s="14"/>
      <c r="CI725" s="14"/>
      <c r="CJ725" s="14"/>
      <c r="CK725" s="14"/>
      <c r="CL725" s="14"/>
      <c r="CM725" s="14"/>
      <c r="CN725" s="14"/>
      <c r="CO725" s="412"/>
      <c r="CP725" s="14" t="str">
        <f t="shared" ref="CP725:DP725" si="4106">IF(CP706&lt;&gt;0,CP705/CP706,"")</f>
        <v/>
      </c>
      <c r="CQ725" s="14" t="str">
        <f t="shared" si="4106"/>
        <v/>
      </c>
      <c r="CR725" s="14">
        <f t="shared" si="4106"/>
        <v>0.59197207678883068</v>
      </c>
      <c r="CS725" s="14">
        <f t="shared" si="4106"/>
        <v>0.59197207678883068</v>
      </c>
      <c r="CT725" s="14">
        <f t="shared" si="4106"/>
        <v>0.59197207678883068</v>
      </c>
      <c r="CU725" s="14">
        <f t="shared" si="4106"/>
        <v>0.59201090437553783</v>
      </c>
      <c r="CV725" s="14">
        <f t="shared" si="4106"/>
        <v>0.67092056920515897</v>
      </c>
      <c r="CW725" s="14">
        <f t="shared" si="4106"/>
        <v>0.67092056920515897</v>
      </c>
      <c r="CX725" s="14">
        <f t="shared" si="4106"/>
        <v>0.67092056920515897</v>
      </c>
      <c r="CY725" s="14">
        <f t="shared" si="4106"/>
        <v>0.67092563654747683</v>
      </c>
      <c r="CZ725" s="14">
        <f t="shared" si="4106"/>
        <v>0.67092563654747683</v>
      </c>
      <c r="DA725" s="14">
        <f t="shared" si="4106"/>
        <v>0.67092563654747683</v>
      </c>
      <c r="DB725" s="14" t="str">
        <f t="shared" si="4106"/>
        <v/>
      </c>
      <c r="DC725" s="14" t="str">
        <f t="shared" si="4106"/>
        <v/>
      </c>
      <c r="DD725" s="14" t="str">
        <f t="shared" si="4106"/>
        <v/>
      </c>
      <c r="DE725" s="14" t="str">
        <f t="shared" si="4106"/>
        <v/>
      </c>
      <c r="DF725" s="14" t="str">
        <f t="shared" si="4106"/>
        <v/>
      </c>
      <c r="DG725" s="14" t="str">
        <f t="shared" si="4106"/>
        <v/>
      </c>
      <c r="DH725" s="14">
        <f t="shared" si="4106"/>
        <v>0.51310541210326577</v>
      </c>
      <c r="DI725" s="14" t="str">
        <f t="shared" si="4106"/>
        <v/>
      </c>
      <c r="DJ725" s="14" t="str">
        <f t="shared" si="4106"/>
        <v/>
      </c>
      <c r="DK725" s="14" t="str">
        <f t="shared" si="4106"/>
        <v/>
      </c>
      <c r="DL725" s="14" t="str">
        <f t="shared" si="4106"/>
        <v/>
      </c>
      <c r="DM725" s="14" t="str">
        <f t="shared" si="4106"/>
        <v/>
      </c>
      <c r="DN725" s="14">
        <f t="shared" si="4106"/>
        <v>0.87121980007350996</v>
      </c>
      <c r="DO725" s="14" t="str">
        <f t="shared" si="4106"/>
        <v/>
      </c>
      <c r="DP725" s="14" t="str">
        <f t="shared" si="4106"/>
        <v/>
      </c>
      <c r="DQ725" s="14"/>
      <c r="DR725" s="14"/>
      <c r="DS725" s="14"/>
      <c r="DT725" s="14"/>
      <c r="DU725" s="14"/>
      <c r="DV725" s="14"/>
      <c r="DW725" s="14"/>
      <c r="DX725" s="14"/>
      <c r="DY725" s="14"/>
      <c r="ED725" s="429"/>
      <c r="EE725" s="23"/>
      <c r="EF725" s="23"/>
      <c r="EG725" s="23"/>
      <c r="EH725" s="24" t="s">
        <v>97</v>
      </c>
      <c r="EI725" s="24" t="s">
        <v>97</v>
      </c>
      <c r="EJ725" s="14" t="str">
        <f>IF(EJ706&lt;&gt;0,EJ705/EJ706,"")</f>
        <v/>
      </c>
      <c r="EK725" s="24"/>
      <c r="EL725" s="24" t="s">
        <v>97</v>
      </c>
      <c r="EM725" s="24" t="s">
        <v>97</v>
      </c>
      <c r="EN725" s="47" t="str">
        <f>IF(EJ725="","",+EJ725-EG718)</f>
        <v/>
      </c>
      <c r="EO725" s="100" t="s">
        <v>97</v>
      </c>
      <c r="EP725" s="100" t="s">
        <v>97</v>
      </c>
      <c r="EQ725" s="24" t="s">
        <v>97</v>
      </c>
      <c r="ER725" s="24" t="s">
        <v>97</v>
      </c>
      <c r="ES725" s="2" t="e">
        <f>IF(EJ725/EG718&gt;=0.9,1,IF(EJ725/EG718&lt;0.75,3,2))</f>
        <v>#VALUE!</v>
      </c>
    </row>
    <row r="726" spans="1:149">
      <c r="ED726" s="429"/>
      <c r="EE726" s="23"/>
      <c r="EF726" s="23"/>
      <c r="EG726" s="23"/>
      <c r="EH726" s="23"/>
      <c r="EI726" s="23"/>
      <c r="EJ726" s="23"/>
      <c r="EK726" s="23"/>
    </row>
    <row r="727" spans="1:149" ht="13.5" thickBot="1">
      <c r="A727" s="6" t="s">
        <v>184</v>
      </c>
      <c r="C727" s="3" t="s">
        <v>185</v>
      </c>
      <c r="E727" s="107">
        <f>I727</f>
        <v>40391</v>
      </c>
      <c r="G727" s="132" t="s">
        <v>161</v>
      </c>
      <c r="I727" s="107">
        <f>$I$1</f>
        <v>40391</v>
      </c>
      <c r="J727" s="669" t="s">
        <v>95</v>
      </c>
      <c r="K727" s="669"/>
      <c r="L727" s="669"/>
      <c r="M727" s="669"/>
      <c r="N727" s="669"/>
      <c r="O727" s="669"/>
      <c r="P727" s="669"/>
      <c r="Q727" s="669"/>
      <c r="R727" s="669"/>
      <c r="S727" s="669"/>
      <c r="T727" s="669"/>
      <c r="U727" s="669"/>
      <c r="V727" s="669"/>
      <c r="W727" s="669"/>
      <c r="X727" s="669"/>
      <c r="Y727" s="669"/>
      <c r="Z727" s="669"/>
      <c r="AA727" s="669"/>
      <c r="AB727" s="669"/>
      <c r="AC727" s="669"/>
      <c r="AD727" s="669"/>
      <c r="AE727" s="669"/>
      <c r="AF727" s="669"/>
      <c r="AG727" s="669"/>
      <c r="AH727" s="669"/>
      <c r="AI727" s="669"/>
      <c r="AJ727" s="669"/>
      <c r="AL727" s="669" t="s">
        <v>115</v>
      </c>
      <c r="AM727" s="669"/>
      <c r="AN727" s="669"/>
      <c r="AO727" s="669"/>
      <c r="AP727" s="669"/>
      <c r="AQ727" s="669"/>
      <c r="AR727" s="669"/>
      <c r="AS727" s="669"/>
      <c r="AT727" s="669"/>
      <c r="AU727" s="669"/>
      <c r="AV727" s="669"/>
      <c r="AW727" s="669"/>
      <c r="AX727" s="669"/>
      <c r="AY727" s="669"/>
      <c r="AZ727" s="669"/>
      <c r="BA727" s="669"/>
      <c r="BB727" s="669"/>
      <c r="BC727" s="669"/>
      <c r="BD727" s="669"/>
      <c r="BE727" s="669"/>
      <c r="BF727" s="669"/>
      <c r="BG727" s="669"/>
      <c r="BH727" s="669"/>
      <c r="BI727" s="669"/>
      <c r="BJ727" s="669"/>
      <c r="BK727" s="669"/>
      <c r="BL727" s="669"/>
      <c r="BN727" s="669" t="s">
        <v>116</v>
      </c>
      <c r="BO727" s="669"/>
      <c r="BP727" s="669"/>
      <c r="BQ727" s="669"/>
      <c r="BR727" s="669"/>
      <c r="BS727" s="669"/>
      <c r="BT727" s="669"/>
      <c r="BU727" s="669"/>
      <c r="BV727" s="669"/>
      <c r="BW727" s="669"/>
      <c r="BX727" s="669"/>
      <c r="BY727" s="669"/>
      <c r="BZ727" s="669"/>
      <c r="CA727" s="669"/>
      <c r="CB727" s="669"/>
      <c r="CC727" s="669"/>
      <c r="CD727" s="669"/>
      <c r="CE727" s="669"/>
      <c r="CF727" s="669"/>
      <c r="CG727" s="669"/>
      <c r="CH727" s="669"/>
      <c r="CI727" s="669"/>
      <c r="CJ727" s="669"/>
      <c r="CK727" s="669"/>
      <c r="CL727" s="669"/>
      <c r="CM727" s="669"/>
      <c r="CN727" s="669"/>
      <c r="CP727" s="669" t="s">
        <v>117</v>
      </c>
      <c r="CQ727" s="669"/>
      <c r="CR727" s="669"/>
      <c r="CS727" s="669"/>
      <c r="CT727" s="669"/>
      <c r="CU727" s="669"/>
      <c r="CV727" s="669"/>
      <c r="CW727" s="669"/>
      <c r="CX727" s="669"/>
      <c r="CY727" s="669"/>
      <c r="CZ727" s="669"/>
      <c r="DA727" s="669"/>
      <c r="DB727" s="669"/>
      <c r="DC727" s="669"/>
      <c r="DD727" s="669"/>
      <c r="DE727" s="669"/>
      <c r="DF727" s="669"/>
      <c r="DG727" s="669"/>
      <c r="DH727" s="669"/>
      <c r="DI727" s="669"/>
      <c r="DJ727" s="669"/>
      <c r="DK727" s="669"/>
      <c r="DL727" s="669"/>
      <c r="DM727" s="669"/>
      <c r="DN727" s="669"/>
      <c r="DO727" s="669"/>
      <c r="DP727" s="669"/>
      <c r="DQ727" s="578"/>
      <c r="DR727" s="578"/>
      <c r="DS727" s="578"/>
      <c r="DT727" s="578"/>
      <c r="DU727" s="578"/>
      <c r="DV727" s="578"/>
      <c r="DW727" s="578"/>
      <c r="DX727" s="578"/>
      <c r="DY727" s="578"/>
      <c r="DZ727" s="670" t="s">
        <v>118</v>
      </c>
      <c r="EA727" s="671"/>
      <c r="EB727" s="672"/>
      <c r="EC727" s="579"/>
      <c r="ED727" s="427"/>
      <c r="EE727" s="669" t="s">
        <v>112</v>
      </c>
      <c r="EF727" s="669"/>
      <c r="EG727" s="669"/>
      <c r="EH727" s="669" t="s">
        <v>111</v>
      </c>
      <c r="EI727" s="669"/>
      <c r="EJ727" s="669"/>
      <c r="EK727" s="45">
        <f>IF(MONTH(I727)&gt;9,MONTH(I727)-9,MONTH(I727)+3)</f>
        <v>11</v>
      </c>
      <c r="EL727" s="673" t="s">
        <v>119</v>
      </c>
      <c r="EM727" s="674"/>
      <c r="EN727" s="674"/>
      <c r="EO727" s="674"/>
      <c r="EP727" s="674"/>
      <c r="EQ727" s="674"/>
      <c r="ER727" s="674"/>
      <c r="ES727" s="674"/>
    </row>
    <row r="728" spans="1:149" ht="26.25" thickBot="1">
      <c r="A728" s="665" t="s">
        <v>19</v>
      </c>
      <c r="B728" s="665"/>
      <c r="C728" s="8" t="s">
        <v>34</v>
      </c>
      <c r="D728" s="9"/>
      <c r="E728" s="10" t="s">
        <v>93</v>
      </c>
      <c r="F728" s="1"/>
      <c r="G728" s="17" t="s">
        <v>90</v>
      </c>
      <c r="H728" s="1"/>
      <c r="I728" s="1" t="s">
        <v>96</v>
      </c>
      <c r="J728" s="13">
        <v>39630</v>
      </c>
      <c r="K728" s="13">
        <v>39661</v>
      </c>
      <c r="L728" s="13">
        <v>39692</v>
      </c>
      <c r="M728" s="13">
        <v>39722</v>
      </c>
      <c r="N728" s="13">
        <v>39753</v>
      </c>
      <c r="O728" s="13">
        <v>39783</v>
      </c>
      <c r="P728" s="13">
        <v>39814</v>
      </c>
      <c r="Q728" s="13">
        <v>39845</v>
      </c>
      <c r="R728" s="13">
        <v>39873</v>
      </c>
      <c r="S728" s="13">
        <v>39904</v>
      </c>
      <c r="T728" s="13">
        <v>39934</v>
      </c>
      <c r="U728" s="13">
        <v>39965</v>
      </c>
      <c r="V728" s="13">
        <v>39995</v>
      </c>
      <c r="W728" s="13">
        <v>40026</v>
      </c>
      <c r="X728" s="13">
        <v>40057</v>
      </c>
      <c r="Y728" s="13">
        <v>40087</v>
      </c>
      <c r="Z728" s="13">
        <v>40118</v>
      </c>
      <c r="AA728" s="13">
        <v>40148</v>
      </c>
      <c r="AB728" s="13">
        <v>40179</v>
      </c>
      <c r="AC728" s="13">
        <v>40210</v>
      </c>
      <c r="AD728" s="13">
        <v>40238</v>
      </c>
      <c r="AE728" s="13">
        <v>40269</v>
      </c>
      <c r="AF728" s="13">
        <v>40299</v>
      </c>
      <c r="AG728" s="13">
        <v>40330</v>
      </c>
      <c r="AH728" s="13">
        <v>40360</v>
      </c>
      <c r="AI728" s="13">
        <v>40391</v>
      </c>
      <c r="AJ728" s="13">
        <v>40422</v>
      </c>
      <c r="AK728" s="406"/>
      <c r="AL728" s="13">
        <v>39630</v>
      </c>
      <c r="AM728" s="13">
        <v>39661</v>
      </c>
      <c r="AN728" s="13">
        <v>39692</v>
      </c>
      <c r="AO728" s="13">
        <v>39722</v>
      </c>
      <c r="AP728" s="13">
        <v>39753</v>
      </c>
      <c r="AQ728" s="13">
        <v>39783</v>
      </c>
      <c r="AR728" s="13">
        <v>39814</v>
      </c>
      <c r="AS728" s="13">
        <v>39845</v>
      </c>
      <c r="AT728" s="13">
        <v>39873</v>
      </c>
      <c r="AU728" s="13">
        <v>39904</v>
      </c>
      <c r="AV728" s="13">
        <v>39934</v>
      </c>
      <c r="AW728" s="13">
        <v>39965</v>
      </c>
      <c r="AX728" s="13">
        <v>39995</v>
      </c>
      <c r="AY728" s="13">
        <v>40026</v>
      </c>
      <c r="AZ728" s="13">
        <v>40057</v>
      </c>
      <c r="BA728" s="13">
        <v>40087</v>
      </c>
      <c r="BB728" s="13">
        <v>40118</v>
      </c>
      <c r="BC728" s="13">
        <v>40148</v>
      </c>
      <c r="BD728" s="13">
        <v>40179</v>
      </c>
      <c r="BE728" s="13">
        <v>40210</v>
      </c>
      <c r="BF728" s="13">
        <v>40238</v>
      </c>
      <c r="BG728" s="13">
        <v>40269</v>
      </c>
      <c r="BH728" s="13">
        <v>40299</v>
      </c>
      <c r="BI728" s="13">
        <v>40330</v>
      </c>
      <c r="BJ728" s="13">
        <v>40360</v>
      </c>
      <c r="BK728" s="13">
        <v>40391</v>
      </c>
      <c r="BL728" s="13">
        <v>40422</v>
      </c>
      <c r="BM728" s="406"/>
      <c r="BN728" s="13">
        <v>39630</v>
      </c>
      <c r="BO728" s="13">
        <v>39661</v>
      </c>
      <c r="BP728" s="13">
        <v>39692</v>
      </c>
      <c r="BQ728" s="13">
        <v>39722</v>
      </c>
      <c r="BR728" s="13">
        <v>39753</v>
      </c>
      <c r="BS728" s="13">
        <v>39783</v>
      </c>
      <c r="BT728" s="13">
        <v>39814</v>
      </c>
      <c r="BU728" s="13">
        <v>39845</v>
      </c>
      <c r="BV728" s="13">
        <v>39873</v>
      </c>
      <c r="BW728" s="13">
        <v>39904</v>
      </c>
      <c r="BX728" s="13">
        <v>39934</v>
      </c>
      <c r="BY728" s="13">
        <v>39965</v>
      </c>
      <c r="BZ728" s="13">
        <v>39995</v>
      </c>
      <c r="CA728" s="13">
        <v>40026</v>
      </c>
      <c r="CB728" s="13">
        <v>40057</v>
      </c>
      <c r="CC728" s="13">
        <v>40087</v>
      </c>
      <c r="CD728" s="13">
        <v>40118</v>
      </c>
      <c r="CE728" s="13">
        <v>40148</v>
      </c>
      <c r="CF728" s="13">
        <v>40179</v>
      </c>
      <c r="CG728" s="13">
        <v>40210</v>
      </c>
      <c r="CH728" s="13">
        <v>40238</v>
      </c>
      <c r="CI728" s="13">
        <v>40269</v>
      </c>
      <c r="CJ728" s="13">
        <v>40299</v>
      </c>
      <c r="CK728" s="13">
        <v>40330</v>
      </c>
      <c r="CL728" s="13">
        <v>40360</v>
      </c>
      <c r="CM728" s="13">
        <v>40391</v>
      </c>
      <c r="CN728" s="13">
        <v>40422</v>
      </c>
      <c r="CO728" s="420"/>
      <c r="CP728" s="13">
        <v>39630</v>
      </c>
      <c r="CQ728" s="13">
        <v>39661</v>
      </c>
      <c r="CR728" s="13">
        <v>39692</v>
      </c>
      <c r="CS728" s="13">
        <v>39722</v>
      </c>
      <c r="CT728" s="13">
        <v>39753</v>
      </c>
      <c r="CU728" s="13">
        <v>39783</v>
      </c>
      <c r="CV728" s="13">
        <v>39814</v>
      </c>
      <c r="CW728" s="13">
        <v>39845</v>
      </c>
      <c r="CX728" s="13">
        <v>39873</v>
      </c>
      <c r="CY728" s="13">
        <v>39904</v>
      </c>
      <c r="CZ728" s="13">
        <v>39934</v>
      </c>
      <c r="DA728" s="13">
        <v>39965</v>
      </c>
      <c r="DB728" s="13">
        <v>39995</v>
      </c>
      <c r="DC728" s="13">
        <v>40026</v>
      </c>
      <c r="DD728" s="13">
        <v>40057</v>
      </c>
      <c r="DE728" s="13">
        <v>40087</v>
      </c>
      <c r="DF728" s="13">
        <v>40118</v>
      </c>
      <c r="DG728" s="13">
        <v>40148</v>
      </c>
      <c r="DH728" s="13">
        <v>40179</v>
      </c>
      <c r="DI728" s="13">
        <v>40210</v>
      </c>
      <c r="DJ728" s="13">
        <v>40238</v>
      </c>
      <c r="DK728" s="13">
        <v>40269</v>
      </c>
      <c r="DL728" s="13">
        <v>40299</v>
      </c>
      <c r="DM728" s="13">
        <v>40330</v>
      </c>
      <c r="DN728" s="13">
        <v>40360</v>
      </c>
      <c r="DO728" s="13">
        <v>40391</v>
      </c>
      <c r="DP728" s="13">
        <v>40422</v>
      </c>
      <c r="DQ728" s="580"/>
      <c r="DR728" s="580"/>
      <c r="DS728" s="580"/>
      <c r="DT728" s="580"/>
      <c r="DU728" s="580"/>
      <c r="DV728" s="580"/>
      <c r="DW728" s="580"/>
      <c r="DX728" s="580"/>
      <c r="DY728" s="580"/>
      <c r="DZ728" s="1">
        <v>2008</v>
      </c>
      <c r="EA728" s="135">
        <v>2009</v>
      </c>
      <c r="EB728" s="135">
        <v>2010</v>
      </c>
      <c r="EC728" s="577"/>
      <c r="ED728" s="428"/>
      <c r="EE728" s="115" t="s">
        <v>89</v>
      </c>
      <c r="EF728" s="115" t="s">
        <v>110</v>
      </c>
      <c r="EG728" s="115" t="s">
        <v>128</v>
      </c>
      <c r="EH728" s="115" t="s">
        <v>89</v>
      </c>
      <c r="EI728" s="115" t="s">
        <v>110</v>
      </c>
      <c r="EJ728" s="115" t="s">
        <v>91</v>
      </c>
      <c r="EK728" s="45">
        <f>IF(MONTH(I727)&gt;6,MONTH(I727)-6,MONTH(I727)+6)</f>
        <v>2</v>
      </c>
      <c r="EL728" s="115" t="s">
        <v>124</v>
      </c>
      <c r="EM728" s="115" t="s">
        <v>125</v>
      </c>
      <c r="EN728" s="115" t="s">
        <v>126</v>
      </c>
      <c r="EO728" s="115" t="s">
        <v>122</v>
      </c>
      <c r="EP728" s="115" t="s">
        <v>123</v>
      </c>
      <c r="EQ728" s="115" t="s">
        <v>120</v>
      </c>
      <c r="ER728" s="115" t="s">
        <v>127</v>
      </c>
      <c r="ES728" s="115" t="s">
        <v>121</v>
      </c>
    </row>
    <row r="729" spans="1:149">
      <c r="A729" s="36" t="s">
        <v>20</v>
      </c>
      <c r="B729" s="36"/>
      <c r="C729" s="37"/>
      <c r="D729" s="37"/>
      <c r="E729" s="37"/>
      <c r="F729" s="37"/>
      <c r="G729" s="37"/>
      <c r="H729" s="37"/>
      <c r="I729" s="49"/>
      <c r="J729" s="38"/>
      <c r="K729" s="38"/>
      <c r="L729" s="10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407"/>
      <c r="AL729" s="38"/>
      <c r="AM729" s="38"/>
      <c r="AN729" s="38"/>
      <c r="AO729" s="38"/>
      <c r="AP729" s="38"/>
      <c r="AQ729" s="38"/>
      <c r="AR729" s="38"/>
      <c r="AS729" s="38"/>
      <c r="AT729" s="38"/>
      <c r="AU729" s="38"/>
      <c r="AV729" s="38"/>
      <c r="AW729" s="38"/>
      <c r="AX729" s="38"/>
      <c r="AY729" s="38"/>
      <c r="AZ729" s="38"/>
      <c r="BA729" s="38"/>
      <c r="BB729" s="38"/>
      <c r="BC729" s="38"/>
      <c r="BD729" s="38"/>
      <c r="BE729" s="38"/>
      <c r="BF729" s="38"/>
      <c r="BG729" s="38"/>
      <c r="BH729" s="38"/>
      <c r="BI729" s="38"/>
      <c r="BJ729" s="38"/>
      <c r="BK729" s="38"/>
      <c r="BL729" s="38"/>
      <c r="BM729" s="407"/>
      <c r="BN729" s="39"/>
      <c r="BO729" s="39"/>
      <c r="BP729" s="39"/>
      <c r="BQ729" s="39"/>
      <c r="BR729" s="39"/>
      <c r="BS729" s="39"/>
      <c r="BT729" s="39"/>
      <c r="BU729" s="39"/>
      <c r="BV729" s="39"/>
      <c r="BW729" s="39"/>
      <c r="BX729" s="39"/>
      <c r="BY729" s="39"/>
      <c r="BZ729" s="39"/>
      <c r="CA729" s="39"/>
      <c r="CB729" s="39"/>
      <c r="CC729" s="39"/>
      <c r="CD729" s="39"/>
      <c r="CE729" s="39"/>
      <c r="CF729" s="39"/>
      <c r="CG729" s="39"/>
      <c r="CH729" s="39"/>
      <c r="CI729" s="39"/>
      <c r="CJ729" s="39"/>
      <c r="CK729" s="39"/>
      <c r="CL729" s="39"/>
      <c r="CM729" s="39"/>
      <c r="CN729" s="39"/>
      <c r="CO729" s="407"/>
      <c r="CP729" s="38"/>
      <c r="CQ729" s="38"/>
      <c r="CR729" s="38"/>
      <c r="CS729" s="38"/>
      <c r="CT729" s="38"/>
      <c r="CU729" s="38"/>
      <c r="CV729" s="38"/>
      <c r="CW729" s="38"/>
      <c r="CX729" s="38"/>
      <c r="CY729" s="38"/>
      <c r="CZ729" s="38"/>
      <c r="DA729" s="38"/>
      <c r="DB729" s="38"/>
      <c r="DC729" s="38"/>
      <c r="DD729" s="38"/>
      <c r="DE729" s="38"/>
      <c r="DF729" s="38"/>
      <c r="DG729" s="38"/>
      <c r="DH729" s="38"/>
      <c r="DI729" s="38"/>
      <c r="DJ729" s="38"/>
      <c r="DK729" s="38"/>
      <c r="DL729" s="38"/>
      <c r="DM729" s="38"/>
      <c r="DN729" s="38"/>
      <c r="DO729" s="38"/>
      <c r="DP729" s="38"/>
      <c r="DQ729" s="38"/>
      <c r="DR729" s="38"/>
      <c r="DS729" s="38"/>
      <c r="DT729" s="38"/>
      <c r="DU729" s="38"/>
      <c r="DV729" s="38"/>
      <c r="DW729" s="38"/>
      <c r="DX729" s="38"/>
      <c r="DY729" s="38"/>
      <c r="DZ729" s="37"/>
      <c r="EA729" s="37"/>
      <c r="EB729" s="37"/>
      <c r="EC729" s="37"/>
      <c r="ED729" s="408"/>
      <c r="EE729" s="40"/>
      <c r="EF729" s="37"/>
      <c r="EG729" s="37"/>
      <c r="EH729" s="37"/>
      <c r="EI729" s="110" t="s">
        <v>155</v>
      </c>
      <c r="EJ729" s="110">
        <f>IF(I727&lt;M728,2008,IF(AND(I727&gt;=M728,I727&lt;=X728),2009,2010))</f>
        <v>2010</v>
      </c>
      <c r="EK729" s="40"/>
      <c r="EL729" s="37"/>
      <c r="EM729" s="37"/>
      <c r="EN729" s="37"/>
      <c r="EO729" s="37"/>
      <c r="EP729" s="37"/>
      <c r="EQ729" s="37"/>
      <c r="ER729" s="37"/>
      <c r="ES729" s="37"/>
    </row>
    <row r="730" spans="1:149">
      <c r="A730" s="134" t="s">
        <v>22</v>
      </c>
      <c r="B730" s="2" t="s">
        <v>0</v>
      </c>
      <c r="C730" s="3" t="s">
        <v>35</v>
      </c>
      <c r="E730" s="3" t="s">
        <v>16</v>
      </c>
      <c r="F730" s="1"/>
      <c r="G730" s="137" t="s">
        <v>91</v>
      </c>
      <c r="H730" s="137"/>
      <c r="I730" s="138">
        <f>I4+I70+I136+I202+I268+I334+I400+I466+I532+I598+I664</f>
        <v>1184.03</v>
      </c>
      <c r="J730" s="139">
        <f t="shared" ref="J730:AJ730" si="4107">IF(J4="","",J4+J70+J136+J202+J268+J334+J400+J466+J532+J598+J664)</f>
        <v>1315.0667000000001</v>
      </c>
      <c r="K730" s="139">
        <f t="shared" si="4107"/>
        <v>1446.5734000000002</v>
      </c>
      <c r="L730" s="139">
        <f t="shared" si="4107"/>
        <v>1578.0801000000001</v>
      </c>
      <c r="M730" s="140">
        <f t="shared" si="4107"/>
        <v>176.41666333333333</v>
      </c>
      <c r="N730" s="139">
        <f t="shared" si="4107"/>
        <v>359.24333006333336</v>
      </c>
      <c r="O730" s="139">
        <f t="shared" si="4107"/>
        <v>542.0699967933333</v>
      </c>
      <c r="P730" s="139">
        <f t="shared" si="4107"/>
        <v>724.89666352333336</v>
      </c>
      <c r="Q730" s="139">
        <f t="shared" si="4107"/>
        <v>907.7233302533333</v>
      </c>
      <c r="R730" s="139">
        <f t="shared" si="4107"/>
        <v>1090.5499969833334</v>
      </c>
      <c r="S730" s="139">
        <f t="shared" si="4107"/>
        <v>1273.3766637133333</v>
      </c>
      <c r="T730" s="139">
        <f t="shared" si="4107"/>
        <v>1456.2033304433335</v>
      </c>
      <c r="U730" s="139">
        <f t="shared" si="4107"/>
        <v>1639.0299971733332</v>
      </c>
      <c r="V730" s="139">
        <f t="shared" si="4107"/>
        <v>1821.8566639033336</v>
      </c>
      <c r="W730" s="139">
        <f t="shared" si="4107"/>
        <v>2004.6833306333333</v>
      </c>
      <c r="X730" s="139">
        <f t="shared" si="4107"/>
        <v>2187.5099973633332</v>
      </c>
      <c r="Y730" s="441">
        <f t="shared" si="4107"/>
        <v>199.58199999999999</v>
      </c>
      <c r="Z730" s="440">
        <f t="shared" si="4107"/>
        <v>397.16399999999999</v>
      </c>
      <c r="AA730" s="139">
        <f t="shared" si="4107"/>
        <v>596.74600000000009</v>
      </c>
      <c r="AB730" s="139">
        <f t="shared" si="4107"/>
        <v>796.32799999999997</v>
      </c>
      <c r="AC730" s="139">
        <f t="shared" si="4107"/>
        <v>995.90999999999985</v>
      </c>
      <c r="AD730" s="139">
        <f t="shared" si="4107"/>
        <v>1195.4920000000002</v>
      </c>
      <c r="AE730" s="139">
        <f t="shared" si="4107"/>
        <v>1395.0740000000001</v>
      </c>
      <c r="AF730" s="139">
        <f t="shared" si="4107"/>
        <v>1594.6559999999999</v>
      </c>
      <c r="AG730" s="139">
        <f t="shared" si="4107"/>
        <v>1794.2380000000001</v>
      </c>
      <c r="AH730" s="139">
        <f t="shared" si="4107"/>
        <v>1993.8199999999997</v>
      </c>
      <c r="AI730" s="139">
        <f t="shared" si="4107"/>
        <v>2193.402</v>
      </c>
      <c r="AJ730" s="139">
        <f t="shared" si="4107"/>
        <v>2392.9840000000004</v>
      </c>
      <c r="AK730" s="408"/>
      <c r="AL730" s="48">
        <f>J730-I730</f>
        <v>131.03670000000011</v>
      </c>
      <c r="AM730" s="48">
        <f t="shared" ref="AM730:AM736" si="4108">K730-J730</f>
        <v>131.50670000000014</v>
      </c>
      <c r="AN730" s="48">
        <f t="shared" ref="AN730:AN736" si="4109">L730-K730</f>
        <v>131.50669999999991</v>
      </c>
      <c r="AO730" s="48">
        <f>M730</f>
        <v>176.41666333333333</v>
      </c>
      <c r="AP730" s="48">
        <f t="shared" ref="AP730:AP736" si="4110">N730-M730</f>
        <v>182.82666673000003</v>
      </c>
      <c r="AQ730" s="48">
        <f t="shared" ref="AQ730:AQ736" si="4111">O730-N730</f>
        <v>182.82666672999994</v>
      </c>
      <c r="AR730" s="48">
        <f t="shared" ref="AR730:AR736" si="4112">P730-O730</f>
        <v>182.82666673000006</v>
      </c>
      <c r="AS730" s="48">
        <f t="shared" ref="AS730:AS736" si="4113">Q730-P730</f>
        <v>182.82666672999994</v>
      </c>
      <c r="AT730" s="48">
        <f t="shared" ref="AT730:AT736" si="4114">R730-Q730</f>
        <v>182.82666673000006</v>
      </c>
      <c r="AU730" s="48">
        <f t="shared" ref="AU730:AU736" si="4115">S730-R730</f>
        <v>182.82666672999994</v>
      </c>
      <c r="AV730" s="48">
        <f t="shared" ref="AV730:AV736" si="4116">T730-S730</f>
        <v>182.82666673000017</v>
      </c>
      <c r="AW730" s="48">
        <f t="shared" ref="AW730:AW736" si="4117">U730-T730</f>
        <v>182.82666672999972</v>
      </c>
      <c r="AX730" s="48">
        <f>V730-U730</f>
        <v>182.8266667300004</v>
      </c>
      <c r="AY730" s="48">
        <f t="shared" ref="AY730:AY736" si="4118">W730-V730</f>
        <v>182.82666672999972</v>
      </c>
      <c r="AZ730" s="48">
        <f t="shared" ref="AZ730:AZ737" si="4119">X730-W730</f>
        <v>182.82666672999994</v>
      </c>
      <c r="BA730" s="48">
        <f>Y730</f>
        <v>199.58199999999999</v>
      </c>
      <c r="BB730" s="395">
        <f t="shared" ref="BB730:BB737" si="4120">Z730-Y730</f>
        <v>197.58199999999999</v>
      </c>
      <c r="BC730" s="48">
        <f t="shared" ref="BC730:BC737" si="4121">AA730-Z730</f>
        <v>199.58200000000011</v>
      </c>
      <c r="BD730" s="48">
        <f t="shared" ref="BD730:BD737" si="4122">AB730-AA730</f>
        <v>199.58199999999988</v>
      </c>
      <c r="BE730" s="48">
        <f t="shared" ref="BE730:BE737" si="4123">AC730-AB730</f>
        <v>199.58199999999988</v>
      </c>
      <c r="BF730" s="48">
        <f t="shared" ref="BF730:BF737" si="4124">AD730-AC730</f>
        <v>199.58200000000033</v>
      </c>
      <c r="BG730" s="48">
        <f t="shared" ref="BG730:BG737" si="4125">AE730-AD730</f>
        <v>199.58199999999988</v>
      </c>
      <c r="BH730" s="48">
        <f t="shared" ref="BH730:BH737" si="4126">AF730-AE730</f>
        <v>199.58199999999988</v>
      </c>
      <c r="BI730" s="48">
        <f t="shared" ref="BI730:BI737" si="4127">AG730-AF730</f>
        <v>199.58200000000011</v>
      </c>
      <c r="BJ730" s="48">
        <f t="shared" ref="BJ730:BL734" si="4128">AH730-AG730</f>
        <v>199.58199999999965</v>
      </c>
      <c r="BK730" s="48">
        <f t="shared" si="4128"/>
        <v>199.58200000000033</v>
      </c>
      <c r="BL730" s="48">
        <f t="shared" si="4128"/>
        <v>199.58200000000033</v>
      </c>
      <c r="BM730" s="408"/>
      <c r="BN730" s="48">
        <f>BP730</f>
        <v>394.05010000000016</v>
      </c>
      <c r="BO730" s="48">
        <f>BP730</f>
        <v>394.05010000000016</v>
      </c>
      <c r="BP730" s="48">
        <f>SUM(AL730:AN730)</f>
        <v>394.05010000000016</v>
      </c>
      <c r="BQ730" s="48">
        <f>BS730</f>
        <v>542.0699967933333</v>
      </c>
      <c r="BR730" s="48">
        <f>BS730</f>
        <v>542.0699967933333</v>
      </c>
      <c r="BS730" s="48">
        <f>SUM(AO730:AQ730)</f>
        <v>542.0699967933333</v>
      </c>
      <c r="BT730" s="48">
        <f>BV730</f>
        <v>548.48000019000006</v>
      </c>
      <c r="BU730" s="48">
        <f>BV730</f>
        <v>548.48000019000006</v>
      </c>
      <c r="BV730" s="48">
        <f>SUM(AR730:AT730)</f>
        <v>548.48000019000006</v>
      </c>
      <c r="BW730" s="48">
        <f>BY730</f>
        <v>548.48000018999983</v>
      </c>
      <c r="BX730" s="48">
        <f>BY730</f>
        <v>548.48000018999983</v>
      </c>
      <c r="BY730" s="48">
        <f>SUM(AU730:AW730)</f>
        <v>548.48000018999983</v>
      </c>
      <c r="BZ730" s="48">
        <f>CB730</f>
        <v>548.48000019000006</v>
      </c>
      <c r="CA730" s="48">
        <f>CB730</f>
        <v>548.48000019000006</v>
      </c>
      <c r="CB730" s="48">
        <f>SUM(AX730:AZ730)</f>
        <v>548.48000019000006</v>
      </c>
      <c r="CC730" s="48">
        <f>CE730</f>
        <v>596.74600000000009</v>
      </c>
      <c r="CD730" s="48">
        <f>CE730</f>
        <v>596.74600000000009</v>
      </c>
      <c r="CE730" s="48">
        <f>SUM(BA730:BC730)</f>
        <v>596.74600000000009</v>
      </c>
      <c r="CF730" s="48">
        <f>CH730</f>
        <v>598.74600000000009</v>
      </c>
      <c r="CG730" s="48">
        <f>CH730</f>
        <v>598.74600000000009</v>
      </c>
      <c r="CH730" s="48">
        <f>SUM(BD730:BF730)</f>
        <v>598.74600000000009</v>
      </c>
      <c r="CI730" s="48">
        <f>CK730</f>
        <v>598.74599999999987</v>
      </c>
      <c r="CJ730" s="48">
        <f>CK730</f>
        <v>598.74599999999987</v>
      </c>
      <c r="CK730" s="48">
        <f>SUM(BG730:BI730)</f>
        <v>598.74599999999987</v>
      </c>
      <c r="CL730" s="48">
        <f>CN730</f>
        <v>598.74600000000032</v>
      </c>
      <c r="CM730" s="48">
        <f>CN730</f>
        <v>598.74600000000032</v>
      </c>
      <c r="CN730" s="48">
        <f t="shared" ref="CN730:CN737" si="4129">SUM(BJ730:BL730)</f>
        <v>598.74600000000032</v>
      </c>
      <c r="CO730" s="406"/>
      <c r="CP730" s="48">
        <f t="shared" ref="CP730:CR734" si="4130">I730+AL730</f>
        <v>1315.0667000000001</v>
      </c>
      <c r="CQ730" s="48">
        <f t="shared" si="4130"/>
        <v>1446.5734000000002</v>
      </c>
      <c r="CR730" s="48">
        <f t="shared" si="4130"/>
        <v>1578.0801000000001</v>
      </c>
      <c r="CS730" s="48">
        <f>AO730</f>
        <v>176.41666333333333</v>
      </c>
      <c r="CT730" s="48">
        <f t="shared" ref="CT730:DD734" si="4131">M730+AP730</f>
        <v>359.24333006333336</v>
      </c>
      <c r="CU730" s="48">
        <f t="shared" si="4131"/>
        <v>542.0699967933333</v>
      </c>
      <c r="CV730" s="48">
        <f t="shared" si="4131"/>
        <v>724.89666352333336</v>
      </c>
      <c r="CW730" s="48">
        <f t="shared" si="4131"/>
        <v>907.7233302533333</v>
      </c>
      <c r="CX730" s="48">
        <f t="shared" si="4131"/>
        <v>1090.5499969833334</v>
      </c>
      <c r="CY730" s="48">
        <f t="shared" si="4131"/>
        <v>1273.3766637133333</v>
      </c>
      <c r="CZ730" s="48">
        <f t="shared" si="4131"/>
        <v>1456.2033304433335</v>
      </c>
      <c r="DA730" s="48">
        <f t="shared" si="4131"/>
        <v>1639.0299971733332</v>
      </c>
      <c r="DB730" s="48">
        <f t="shared" si="4131"/>
        <v>1821.8566639033336</v>
      </c>
      <c r="DC730" s="48">
        <f t="shared" si="4131"/>
        <v>2004.6833306333333</v>
      </c>
      <c r="DD730" s="48">
        <f t="shared" si="4131"/>
        <v>2187.5099973633332</v>
      </c>
      <c r="DE730" s="48">
        <f>+BA730</f>
        <v>199.58199999999999</v>
      </c>
      <c r="DF730" s="48">
        <f t="shared" ref="DF730:DP734" si="4132">Y730+BB730</f>
        <v>397.16399999999999</v>
      </c>
      <c r="DG730" s="48">
        <f t="shared" si="4132"/>
        <v>596.74600000000009</v>
      </c>
      <c r="DH730" s="48">
        <f t="shared" si="4132"/>
        <v>796.32799999999997</v>
      </c>
      <c r="DI730" s="48">
        <f t="shared" si="4132"/>
        <v>995.90999999999985</v>
      </c>
      <c r="DJ730" s="48">
        <f t="shared" si="4132"/>
        <v>1195.4920000000002</v>
      </c>
      <c r="DK730" s="48">
        <f t="shared" si="4132"/>
        <v>1395.0740000000001</v>
      </c>
      <c r="DL730" s="48">
        <f t="shared" si="4132"/>
        <v>1594.6559999999999</v>
      </c>
      <c r="DM730" s="48">
        <f t="shared" si="4132"/>
        <v>1794.2380000000001</v>
      </c>
      <c r="DN730" s="48">
        <f t="shared" si="4132"/>
        <v>1993.8199999999997</v>
      </c>
      <c r="DO730" s="48">
        <f t="shared" si="4132"/>
        <v>2193.402</v>
      </c>
      <c r="DP730" s="48">
        <f t="shared" si="4132"/>
        <v>2392.9840000000004</v>
      </c>
      <c r="DQ730" s="48"/>
      <c r="DR730" s="48"/>
      <c r="DS730" s="48"/>
      <c r="DT730" s="48"/>
      <c r="DU730" s="48"/>
      <c r="DV730" s="48"/>
      <c r="DW730" s="48"/>
      <c r="DX730" s="48"/>
      <c r="DY730" s="48"/>
      <c r="DZ730" s="1">
        <f>'Input &amp; Calc'!L730</f>
        <v>1578.0801000000001</v>
      </c>
      <c r="EA730" s="49">
        <f>DD730</f>
        <v>2187.5099973633332</v>
      </c>
      <c r="EB730" s="50">
        <f>DP730</f>
        <v>2392.9840000000004</v>
      </c>
      <c r="EC730" s="50"/>
      <c r="ED730" s="408"/>
      <c r="EE730" s="51">
        <f t="shared" ref="EE730:EE745" si="4133">HLOOKUP($I$1,Month,ROW()-1)</f>
        <v>199.58200000000033</v>
      </c>
      <c r="EF730" s="51">
        <f t="shared" ref="EF730:EF745" si="4134">HLOOKUP($I$1,Qtr,ROW()-1)</f>
        <v>598.74600000000032</v>
      </c>
      <c r="EG730" s="51">
        <f>HLOOKUP($EJ$3,Budget,ROW()-1)</f>
        <v>2392.9840000000004</v>
      </c>
      <c r="EH730" s="40"/>
      <c r="EI730" s="110" t="s">
        <v>154</v>
      </c>
      <c r="EJ730" s="110">
        <f>IF(AND(I727&gt;=J728,I727&lt;=U728),2009,2010)</f>
        <v>2010</v>
      </c>
      <c r="EK730" s="675" t="s">
        <v>129</v>
      </c>
      <c r="EL730" s="37"/>
      <c r="EM730" s="37"/>
      <c r="EN730" s="37"/>
      <c r="EO730" s="49"/>
      <c r="EP730" s="49"/>
      <c r="EQ730" s="49"/>
      <c r="ER730" s="1"/>
      <c r="ES730" s="1"/>
    </row>
    <row r="731" spans="1:149">
      <c r="A731" s="134" t="s">
        <v>22</v>
      </c>
      <c r="B731" s="2" t="s">
        <v>1</v>
      </c>
      <c r="C731" s="3" t="s">
        <v>36</v>
      </c>
      <c r="E731" s="3" t="s">
        <v>16</v>
      </c>
      <c r="F731" s="1"/>
      <c r="G731" s="137" t="s">
        <v>91</v>
      </c>
      <c r="H731" s="137"/>
      <c r="I731" s="138">
        <f>I5+I71+I137+I203+I269+I335+I401+I467+I533+I599+I665</f>
        <v>215.78</v>
      </c>
      <c r="J731" s="30">
        <f t="shared" ref="J731:AJ731" si="4135">IF(J5="","",J5+J71+J137+J203+J269+J335+J401+J467+J533+J599+J665)</f>
        <v>239.86334000000002</v>
      </c>
      <c r="K731" s="30">
        <f t="shared" si="4135"/>
        <v>263.94668000000001</v>
      </c>
      <c r="L731" s="30">
        <f t="shared" si="4135"/>
        <v>288.03001999999998</v>
      </c>
      <c r="M731" s="140">
        <f t="shared" si="4135"/>
        <v>45.86999966666334</v>
      </c>
      <c r="N731" s="139">
        <f t="shared" si="4135"/>
        <v>91.699993329993333</v>
      </c>
      <c r="O731" s="139">
        <f t="shared" si="4135"/>
        <v>137.52999999332332</v>
      </c>
      <c r="P731" s="139">
        <f t="shared" si="4135"/>
        <v>183.35996665665334</v>
      </c>
      <c r="Q731" s="139">
        <f t="shared" si="4135"/>
        <v>229.19033331998332</v>
      </c>
      <c r="R731" s="139">
        <f t="shared" si="4135"/>
        <v>275.01999998331331</v>
      </c>
      <c r="S731" s="139">
        <f t="shared" si="4135"/>
        <v>320.8499666466434</v>
      </c>
      <c r="T731" s="139">
        <f t="shared" si="4135"/>
        <v>366.68000330997336</v>
      </c>
      <c r="U731" s="139">
        <f t="shared" si="4135"/>
        <v>412.50999997330337</v>
      </c>
      <c r="V731" s="139">
        <f t="shared" si="4135"/>
        <v>458.33996663663333</v>
      </c>
      <c r="W731" s="139">
        <f t="shared" si="4135"/>
        <v>504.17003329996334</v>
      </c>
      <c r="X731" s="139">
        <f t="shared" si="4135"/>
        <v>549.99999996329336</v>
      </c>
      <c r="Y731" s="141">
        <f t="shared" si="4135"/>
        <v>56.828866666666663</v>
      </c>
      <c r="Z731" s="139">
        <f t="shared" si="4135"/>
        <v>113.65773666666666</v>
      </c>
      <c r="AA731" s="139">
        <f t="shared" si="4135"/>
        <v>170.48660666666669</v>
      </c>
      <c r="AB731" s="139">
        <f t="shared" si="4135"/>
        <v>227.31547666666665</v>
      </c>
      <c r="AC731" s="139">
        <f t="shared" si="4135"/>
        <v>284.14434666666665</v>
      </c>
      <c r="AD731" s="139">
        <f t="shared" si="4135"/>
        <v>340.9732166666667</v>
      </c>
      <c r="AE731" s="139">
        <f t="shared" si="4135"/>
        <v>397.8020866666667</v>
      </c>
      <c r="AF731" s="139">
        <f t="shared" si="4135"/>
        <v>454.63095666666663</v>
      </c>
      <c r="AG731" s="139">
        <f t="shared" si="4135"/>
        <v>511.45982666666663</v>
      </c>
      <c r="AH731" s="139">
        <f t="shared" si="4135"/>
        <v>568.28869666666674</v>
      </c>
      <c r="AI731" s="139">
        <f t="shared" si="4135"/>
        <v>625.11756666666656</v>
      </c>
      <c r="AJ731" s="139">
        <f t="shared" si="4135"/>
        <v>681.94643666666673</v>
      </c>
      <c r="AK731" s="408"/>
      <c r="AL731" s="48">
        <f>J731-I731</f>
        <v>24.083340000000021</v>
      </c>
      <c r="AM731" s="48">
        <f t="shared" si="4108"/>
        <v>24.083339999999993</v>
      </c>
      <c r="AN731" s="48">
        <f t="shared" si="4109"/>
        <v>24.083339999999964</v>
      </c>
      <c r="AO731" s="48">
        <f>M731</f>
        <v>45.86999966666334</v>
      </c>
      <c r="AP731" s="48">
        <f t="shared" si="4110"/>
        <v>45.829993663329994</v>
      </c>
      <c r="AQ731" s="48">
        <f t="shared" si="4111"/>
        <v>45.830006663329982</v>
      </c>
      <c r="AR731" s="48">
        <f t="shared" si="4112"/>
        <v>45.829966663330026</v>
      </c>
      <c r="AS731" s="48">
        <f t="shared" si="4113"/>
        <v>45.830366663329983</v>
      </c>
      <c r="AT731" s="48">
        <f t="shared" si="4114"/>
        <v>45.829666663329988</v>
      </c>
      <c r="AU731" s="48">
        <f t="shared" si="4115"/>
        <v>45.829966663330083</v>
      </c>
      <c r="AV731" s="48">
        <f t="shared" si="4116"/>
        <v>45.830036663329963</v>
      </c>
      <c r="AW731" s="48">
        <f t="shared" si="4117"/>
        <v>45.829996663330007</v>
      </c>
      <c r="AX731" s="48">
        <f>V731-U731</f>
        <v>45.829966663329969</v>
      </c>
      <c r="AY731" s="48">
        <f t="shared" si="4118"/>
        <v>45.830066663330001</v>
      </c>
      <c r="AZ731" s="48">
        <f t="shared" si="4119"/>
        <v>45.829966663330026</v>
      </c>
      <c r="BA731" s="48">
        <f>Y731</f>
        <v>56.828866666666663</v>
      </c>
      <c r="BB731" s="48">
        <f t="shared" si="4120"/>
        <v>56.828870000000002</v>
      </c>
      <c r="BC731" s="48">
        <f t="shared" si="4121"/>
        <v>56.828870000000023</v>
      </c>
      <c r="BD731" s="48">
        <f t="shared" si="4122"/>
        <v>56.828869999999966</v>
      </c>
      <c r="BE731" s="48">
        <f t="shared" si="4123"/>
        <v>56.828869999999995</v>
      </c>
      <c r="BF731" s="48">
        <f t="shared" si="4124"/>
        <v>56.828870000000052</v>
      </c>
      <c r="BG731" s="48">
        <f t="shared" si="4125"/>
        <v>56.828869999999995</v>
      </c>
      <c r="BH731" s="48">
        <f t="shared" si="4126"/>
        <v>56.828869999999938</v>
      </c>
      <c r="BI731" s="48">
        <f t="shared" si="4127"/>
        <v>56.828869999999995</v>
      </c>
      <c r="BJ731" s="48">
        <f t="shared" si="4128"/>
        <v>56.828870000000109</v>
      </c>
      <c r="BK731" s="48">
        <f t="shared" si="4128"/>
        <v>56.828869999999824</v>
      </c>
      <c r="BL731" s="48">
        <f t="shared" si="4128"/>
        <v>56.828870000000165</v>
      </c>
      <c r="BM731" s="408"/>
      <c r="BN731" s="48">
        <f t="shared" ref="BN731:BN745" si="4136">BP731</f>
        <v>72.250019999999978</v>
      </c>
      <c r="BO731" s="48">
        <f t="shared" ref="BO731:BO745" si="4137">BP731</f>
        <v>72.250019999999978</v>
      </c>
      <c r="BP731" s="48">
        <f t="shared" ref="BP731:BP737" si="4138">SUM(AL731:AN731)</f>
        <v>72.250019999999978</v>
      </c>
      <c r="BQ731" s="48">
        <f t="shared" ref="BQ731:BQ745" si="4139">BS731</f>
        <v>137.52999999332332</v>
      </c>
      <c r="BR731" s="48">
        <f t="shared" ref="BR731:BR745" si="4140">BS731</f>
        <v>137.52999999332332</v>
      </c>
      <c r="BS731" s="48">
        <f t="shared" ref="BS731:BS737" si="4141">SUM(AO731:AQ731)</f>
        <v>137.52999999332332</v>
      </c>
      <c r="BT731" s="48">
        <f t="shared" ref="BT731:BT745" si="4142">BV731</f>
        <v>137.48999998999</v>
      </c>
      <c r="BU731" s="48">
        <f t="shared" ref="BU731:BU745" si="4143">BV731</f>
        <v>137.48999998999</v>
      </c>
      <c r="BV731" s="48">
        <f t="shared" ref="BV731:BV737" si="4144">SUM(AR731:AT731)</f>
        <v>137.48999998999</v>
      </c>
      <c r="BW731" s="48">
        <f t="shared" ref="BW731:BW745" si="4145">BY731</f>
        <v>137.48999998999005</v>
      </c>
      <c r="BX731" s="48">
        <f t="shared" ref="BX731:BX745" si="4146">BY731</f>
        <v>137.48999998999005</v>
      </c>
      <c r="BY731" s="48">
        <f t="shared" ref="BY731:BY737" si="4147">SUM(AU731:AW731)</f>
        <v>137.48999998999005</v>
      </c>
      <c r="BZ731" s="48">
        <f t="shared" ref="BZ731:BZ745" si="4148">CB731</f>
        <v>137.48999998999</v>
      </c>
      <c r="CA731" s="48">
        <f t="shared" ref="CA731:CA745" si="4149">CB731</f>
        <v>137.48999998999</v>
      </c>
      <c r="CB731" s="48">
        <f>SUM(AX731:AZ731)</f>
        <v>137.48999998999</v>
      </c>
      <c r="CC731" s="48">
        <f t="shared" ref="CC731:CC745" si="4150">CE731</f>
        <v>170.48660666666669</v>
      </c>
      <c r="CD731" s="48">
        <f t="shared" ref="CD731:CD745" si="4151">CE731</f>
        <v>170.48660666666669</v>
      </c>
      <c r="CE731" s="48">
        <f t="shared" ref="CE731:CE736" si="4152">SUM(BA731:BC731)</f>
        <v>170.48660666666669</v>
      </c>
      <c r="CF731" s="48">
        <f t="shared" ref="CF731:CF741" si="4153">CH731</f>
        <v>170.48661000000001</v>
      </c>
      <c r="CG731" s="48">
        <f t="shared" ref="CG731:CG741" si="4154">CH731</f>
        <v>170.48661000000001</v>
      </c>
      <c r="CH731" s="48">
        <f t="shared" ref="CH731:CH736" si="4155">SUM(BD731:BF731)</f>
        <v>170.48661000000001</v>
      </c>
      <c r="CI731" s="48">
        <f t="shared" ref="CI731:CI741" si="4156">CK731</f>
        <v>170.48660999999993</v>
      </c>
      <c r="CJ731" s="48">
        <f t="shared" ref="CJ731:CJ741" si="4157">CK731</f>
        <v>170.48660999999993</v>
      </c>
      <c r="CK731" s="48">
        <f t="shared" ref="CK731:CK736" si="4158">SUM(BG731:BI731)</f>
        <v>170.48660999999993</v>
      </c>
      <c r="CL731" s="48">
        <f t="shared" ref="CL731:CL741" si="4159">CN731</f>
        <v>170.4866100000001</v>
      </c>
      <c r="CM731" s="48">
        <f t="shared" ref="CM731:CM741" si="4160">CN731</f>
        <v>170.4866100000001</v>
      </c>
      <c r="CN731" s="48">
        <f t="shared" si="4129"/>
        <v>170.4866100000001</v>
      </c>
      <c r="CO731" s="406"/>
      <c r="CP731" s="48">
        <f t="shared" si="4130"/>
        <v>239.86334000000002</v>
      </c>
      <c r="CQ731" s="48">
        <f t="shared" si="4130"/>
        <v>263.94668000000001</v>
      </c>
      <c r="CR731" s="48">
        <f t="shared" si="4130"/>
        <v>288.03001999999998</v>
      </c>
      <c r="CS731" s="48">
        <f>AO731</f>
        <v>45.86999966666334</v>
      </c>
      <c r="CT731" s="48">
        <f t="shared" si="4131"/>
        <v>91.699993329993333</v>
      </c>
      <c r="CU731" s="48">
        <f t="shared" si="4131"/>
        <v>137.52999999332332</v>
      </c>
      <c r="CV731" s="48">
        <f t="shared" si="4131"/>
        <v>183.35996665665334</v>
      </c>
      <c r="CW731" s="48">
        <f t="shared" si="4131"/>
        <v>229.19033331998332</v>
      </c>
      <c r="CX731" s="48">
        <f t="shared" si="4131"/>
        <v>275.01999998331331</v>
      </c>
      <c r="CY731" s="48">
        <f t="shared" si="4131"/>
        <v>320.8499666466434</v>
      </c>
      <c r="CZ731" s="48">
        <f t="shared" si="4131"/>
        <v>366.68000330997336</v>
      </c>
      <c r="DA731" s="48">
        <f t="shared" si="4131"/>
        <v>412.50999997330337</v>
      </c>
      <c r="DB731" s="48">
        <f t="shared" si="4131"/>
        <v>458.33996663663333</v>
      </c>
      <c r="DC731" s="48">
        <f t="shared" si="4131"/>
        <v>504.17003329996334</v>
      </c>
      <c r="DD731" s="48">
        <f t="shared" si="4131"/>
        <v>549.99999996329336</v>
      </c>
      <c r="DE731" s="48">
        <f>+BA731</f>
        <v>56.828866666666663</v>
      </c>
      <c r="DF731" s="48">
        <f t="shared" si="4132"/>
        <v>113.65773666666666</v>
      </c>
      <c r="DG731" s="48">
        <f t="shared" si="4132"/>
        <v>170.48660666666669</v>
      </c>
      <c r="DH731" s="48">
        <f t="shared" si="4132"/>
        <v>227.31547666666665</v>
      </c>
      <c r="DI731" s="48">
        <f t="shared" si="4132"/>
        <v>284.14434666666665</v>
      </c>
      <c r="DJ731" s="48">
        <f t="shared" si="4132"/>
        <v>340.9732166666667</v>
      </c>
      <c r="DK731" s="48">
        <f t="shared" si="4132"/>
        <v>397.8020866666667</v>
      </c>
      <c r="DL731" s="48">
        <f t="shared" si="4132"/>
        <v>454.63095666666663</v>
      </c>
      <c r="DM731" s="48">
        <f t="shared" si="4132"/>
        <v>511.45982666666663</v>
      </c>
      <c r="DN731" s="48">
        <f t="shared" si="4132"/>
        <v>568.28869666666674</v>
      </c>
      <c r="DO731" s="48">
        <f t="shared" si="4132"/>
        <v>625.11756666666656</v>
      </c>
      <c r="DP731" s="48">
        <f t="shared" si="4132"/>
        <v>681.94643666666673</v>
      </c>
      <c r="DQ731" s="48"/>
      <c r="DR731" s="48"/>
      <c r="DS731" s="48"/>
      <c r="DT731" s="48"/>
      <c r="DU731" s="48"/>
      <c r="DV731" s="48"/>
      <c r="DW731" s="48"/>
      <c r="DX731" s="48"/>
      <c r="DY731" s="48"/>
      <c r="DZ731" s="1">
        <f>'Input &amp; Calc'!L731</f>
        <v>288.03001999999998</v>
      </c>
      <c r="EA731" s="49">
        <f>DD731</f>
        <v>549.99999996329336</v>
      </c>
      <c r="EB731" s="50">
        <f>DP731</f>
        <v>681.94643666666673</v>
      </c>
      <c r="EC731" s="50"/>
      <c r="ED731" s="408"/>
      <c r="EE731" s="51">
        <f t="shared" si="4133"/>
        <v>56.828869999999824</v>
      </c>
      <c r="EF731" s="51">
        <f t="shared" si="4134"/>
        <v>170.4866100000001</v>
      </c>
      <c r="EG731" s="51">
        <f>HLOOKUP($EJ$3,Budget,ROW()-1)</f>
        <v>681.94643666666673</v>
      </c>
      <c r="EH731" s="40"/>
      <c r="EI731" s="111" t="s">
        <v>157</v>
      </c>
      <c r="EJ731" s="113">
        <f>HLOOKUP($I$1,YTD,47)</f>
        <v>70</v>
      </c>
      <c r="EK731" s="675"/>
      <c r="EL731" s="37"/>
      <c r="EM731" s="37"/>
      <c r="EN731" s="37"/>
      <c r="EO731" s="49"/>
      <c r="EP731" s="49"/>
      <c r="EQ731" s="49"/>
      <c r="ER731" s="1"/>
      <c r="ES731" s="1"/>
    </row>
    <row r="732" spans="1:149">
      <c r="A732" s="134" t="s">
        <v>22</v>
      </c>
      <c r="B732" s="2" t="s">
        <v>2</v>
      </c>
      <c r="C732" s="3" t="s">
        <v>37</v>
      </c>
      <c r="E732" s="3" t="s">
        <v>16</v>
      </c>
      <c r="F732" s="1"/>
      <c r="G732" s="137" t="s">
        <v>91</v>
      </c>
      <c r="H732" s="137"/>
      <c r="I732" s="138">
        <f>I6+I72+I138+I204+I270+I336+I402+I468+I534+I600+I666</f>
        <v>326.35000000000002</v>
      </c>
      <c r="J732" s="30">
        <f t="shared" ref="J732:AJ732" si="4161">IF(J6="","",J6+J72+J138+J204+J270+J336+J402+J468+J534+J600+J666)</f>
        <v>362.83667000000003</v>
      </c>
      <c r="K732" s="30">
        <f t="shared" si="4161"/>
        <v>399.32334000000003</v>
      </c>
      <c r="L732" s="30">
        <f t="shared" si="4161"/>
        <v>435.81000999999992</v>
      </c>
      <c r="M732" s="140">
        <f t="shared" si="4161"/>
        <v>42.666666333333332</v>
      </c>
      <c r="N732" s="139">
        <f t="shared" si="4161"/>
        <v>85.333365993333331</v>
      </c>
      <c r="O732" s="139">
        <f t="shared" si="4161"/>
        <v>128.00006565333334</v>
      </c>
      <c r="P732" s="139">
        <f t="shared" si="4161"/>
        <v>170.66676531333334</v>
      </c>
      <c r="Q732" s="139">
        <f t="shared" si="4161"/>
        <v>213.33346497333332</v>
      </c>
      <c r="R732" s="139">
        <f t="shared" si="4161"/>
        <v>256.00016463333333</v>
      </c>
      <c r="S732" s="139">
        <f t="shared" si="4161"/>
        <v>298.66686429333333</v>
      </c>
      <c r="T732" s="139">
        <f t="shared" si="4161"/>
        <v>341.33356395333328</v>
      </c>
      <c r="U732" s="139">
        <f t="shared" si="4161"/>
        <v>384.00026361333329</v>
      </c>
      <c r="V732" s="139">
        <f t="shared" si="4161"/>
        <v>426.66696327333335</v>
      </c>
      <c r="W732" s="139">
        <f t="shared" si="4161"/>
        <v>469.3336629333333</v>
      </c>
      <c r="X732" s="139">
        <f t="shared" si="4161"/>
        <v>512.00036259333331</v>
      </c>
      <c r="Y732" s="141">
        <f t="shared" si="4161"/>
        <v>44.333333333333336</v>
      </c>
      <c r="Z732" s="139">
        <f t="shared" si="4161"/>
        <v>85.666663333333332</v>
      </c>
      <c r="AA732" s="139">
        <f t="shared" si="4161"/>
        <v>136.99999333333332</v>
      </c>
      <c r="AB732" s="139">
        <f t="shared" si="4161"/>
        <v>188.33332333333334</v>
      </c>
      <c r="AC732" s="139">
        <f t="shared" si="4161"/>
        <v>239.66665333333333</v>
      </c>
      <c r="AD732" s="139">
        <f t="shared" si="4161"/>
        <v>290.99998333333332</v>
      </c>
      <c r="AE732" s="139">
        <f t="shared" si="4161"/>
        <v>342.33331333333331</v>
      </c>
      <c r="AF732" s="139">
        <f t="shared" si="4161"/>
        <v>393.66664333333335</v>
      </c>
      <c r="AG732" s="139">
        <f t="shared" si="4161"/>
        <v>444.99997333333334</v>
      </c>
      <c r="AH732" s="139">
        <f t="shared" si="4161"/>
        <v>496.33330333333333</v>
      </c>
      <c r="AI732" s="139">
        <f t="shared" si="4161"/>
        <v>547.66663333333338</v>
      </c>
      <c r="AJ732" s="139">
        <f t="shared" si="4161"/>
        <v>598.99996333333331</v>
      </c>
      <c r="AK732" s="408"/>
      <c r="AL732" s="48">
        <f>J732-I732</f>
        <v>36.486670000000004</v>
      </c>
      <c r="AM732" s="48">
        <f t="shared" si="4108"/>
        <v>36.486670000000004</v>
      </c>
      <c r="AN732" s="48">
        <f t="shared" si="4109"/>
        <v>36.48666999999989</v>
      </c>
      <c r="AO732" s="48">
        <f>M732</f>
        <v>42.666666333333332</v>
      </c>
      <c r="AP732" s="48">
        <f t="shared" si="4110"/>
        <v>42.666699659999999</v>
      </c>
      <c r="AQ732" s="48">
        <f t="shared" si="4111"/>
        <v>42.666699660000006</v>
      </c>
      <c r="AR732" s="48">
        <f t="shared" si="4112"/>
        <v>42.666699660000006</v>
      </c>
      <c r="AS732" s="48">
        <f t="shared" si="4113"/>
        <v>42.666699659999978</v>
      </c>
      <c r="AT732" s="48">
        <f t="shared" si="4114"/>
        <v>42.666699660000006</v>
      </c>
      <c r="AU732" s="48">
        <f t="shared" si="4115"/>
        <v>42.666699660000006</v>
      </c>
      <c r="AV732" s="48">
        <f t="shared" si="4116"/>
        <v>42.666699659999949</v>
      </c>
      <c r="AW732" s="48">
        <f t="shared" si="4117"/>
        <v>42.666699660000006</v>
      </c>
      <c r="AX732" s="48">
        <f>V732-U732</f>
        <v>42.666699660000063</v>
      </c>
      <c r="AY732" s="48">
        <f t="shared" si="4118"/>
        <v>42.666699659999949</v>
      </c>
      <c r="AZ732" s="48">
        <f t="shared" si="4119"/>
        <v>42.666699660000006</v>
      </c>
      <c r="BA732" s="48">
        <f>Y732</f>
        <v>44.333333333333336</v>
      </c>
      <c r="BB732" s="48">
        <f t="shared" si="4120"/>
        <v>41.333329999999997</v>
      </c>
      <c r="BC732" s="48">
        <f t="shared" si="4121"/>
        <v>51.333329999999989</v>
      </c>
      <c r="BD732" s="48">
        <f t="shared" si="4122"/>
        <v>51.333330000000018</v>
      </c>
      <c r="BE732" s="48">
        <f t="shared" si="4123"/>
        <v>51.333329999999989</v>
      </c>
      <c r="BF732" s="48">
        <f t="shared" si="4124"/>
        <v>51.333329999999989</v>
      </c>
      <c r="BG732" s="48">
        <f t="shared" si="4125"/>
        <v>51.333329999999989</v>
      </c>
      <c r="BH732" s="48">
        <f t="shared" si="4126"/>
        <v>51.333330000000046</v>
      </c>
      <c r="BI732" s="48">
        <f t="shared" si="4127"/>
        <v>51.333329999999989</v>
      </c>
      <c r="BJ732" s="48">
        <f t="shared" si="4128"/>
        <v>51.333329999999989</v>
      </c>
      <c r="BK732" s="48">
        <f t="shared" si="4128"/>
        <v>51.333330000000046</v>
      </c>
      <c r="BL732" s="48">
        <f t="shared" si="4128"/>
        <v>51.333329999999933</v>
      </c>
      <c r="BM732" s="408"/>
      <c r="BN732" s="48">
        <f t="shared" si="4136"/>
        <v>109.4600099999999</v>
      </c>
      <c r="BO732" s="48">
        <f t="shared" si="4137"/>
        <v>109.4600099999999</v>
      </c>
      <c r="BP732" s="48">
        <f t="shared" si="4138"/>
        <v>109.4600099999999</v>
      </c>
      <c r="BQ732" s="48">
        <f t="shared" si="4139"/>
        <v>128.00006565333334</v>
      </c>
      <c r="BR732" s="48">
        <f t="shared" si="4140"/>
        <v>128.00006565333334</v>
      </c>
      <c r="BS732" s="48">
        <f t="shared" si="4141"/>
        <v>128.00006565333334</v>
      </c>
      <c r="BT732" s="48">
        <f t="shared" si="4142"/>
        <v>128.00009897999999</v>
      </c>
      <c r="BU732" s="48">
        <f t="shared" si="4143"/>
        <v>128.00009897999999</v>
      </c>
      <c r="BV732" s="48">
        <f t="shared" si="4144"/>
        <v>128.00009897999999</v>
      </c>
      <c r="BW732" s="48">
        <f t="shared" si="4145"/>
        <v>128.00009897999996</v>
      </c>
      <c r="BX732" s="48">
        <f t="shared" si="4146"/>
        <v>128.00009897999996</v>
      </c>
      <c r="BY732" s="48">
        <f t="shared" si="4147"/>
        <v>128.00009897999996</v>
      </c>
      <c r="BZ732" s="48">
        <f t="shared" si="4148"/>
        <v>128.00009898000002</v>
      </c>
      <c r="CA732" s="48">
        <f t="shared" si="4149"/>
        <v>128.00009898000002</v>
      </c>
      <c r="CB732" s="48">
        <f>SUM(AX732:AZ732)</f>
        <v>128.00009898000002</v>
      </c>
      <c r="CC732" s="48">
        <f t="shared" si="4150"/>
        <v>136.99999333333332</v>
      </c>
      <c r="CD732" s="48">
        <f t="shared" si="4151"/>
        <v>136.99999333333332</v>
      </c>
      <c r="CE732" s="48">
        <f t="shared" si="4152"/>
        <v>136.99999333333332</v>
      </c>
      <c r="CF732" s="48">
        <f t="shared" si="4153"/>
        <v>153.99999</v>
      </c>
      <c r="CG732" s="48">
        <f t="shared" si="4154"/>
        <v>153.99999</v>
      </c>
      <c r="CH732" s="48">
        <f t="shared" si="4155"/>
        <v>153.99999</v>
      </c>
      <c r="CI732" s="48">
        <f t="shared" si="4156"/>
        <v>153.99999000000003</v>
      </c>
      <c r="CJ732" s="48">
        <f t="shared" si="4157"/>
        <v>153.99999000000003</v>
      </c>
      <c r="CK732" s="48">
        <f t="shared" si="4158"/>
        <v>153.99999000000003</v>
      </c>
      <c r="CL732" s="48">
        <f t="shared" si="4159"/>
        <v>153.99998999999997</v>
      </c>
      <c r="CM732" s="48">
        <f t="shared" si="4160"/>
        <v>153.99998999999997</v>
      </c>
      <c r="CN732" s="48">
        <f t="shared" si="4129"/>
        <v>153.99998999999997</v>
      </c>
      <c r="CO732" s="406"/>
      <c r="CP732" s="48">
        <f t="shared" si="4130"/>
        <v>362.83667000000003</v>
      </c>
      <c r="CQ732" s="48">
        <f t="shared" si="4130"/>
        <v>399.32334000000003</v>
      </c>
      <c r="CR732" s="48">
        <f t="shared" si="4130"/>
        <v>435.81000999999992</v>
      </c>
      <c r="CS732" s="48">
        <f>AO732</f>
        <v>42.666666333333332</v>
      </c>
      <c r="CT732" s="48">
        <f t="shared" si="4131"/>
        <v>85.333365993333331</v>
      </c>
      <c r="CU732" s="48">
        <f t="shared" si="4131"/>
        <v>128.00006565333334</v>
      </c>
      <c r="CV732" s="48">
        <f t="shared" si="4131"/>
        <v>170.66676531333334</v>
      </c>
      <c r="CW732" s="48">
        <f t="shared" si="4131"/>
        <v>213.33346497333332</v>
      </c>
      <c r="CX732" s="48">
        <f t="shared" si="4131"/>
        <v>256.00016463333333</v>
      </c>
      <c r="CY732" s="48">
        <f t="shared" si="4131"/>
        <v>298.66686429333333</v>
      </c>
      <c r="CZ732" s="48">
        <f t="shared" si="4131"/>
        <v>341.33356395333328</v>
      </c>
      <c r="DA732" s="48">
        <f t="shared" si="4131"/>
        <v>384.00026361333329</v>
      </c>
      <c r="DB732" s="48">
        <f t="shared" si="4131"/>
        <v>426.66696327333335</v>
      </c>
      <c r="DC732" s="48">
        <f t="shared" si="4131"/>
        <v>469.3336629333333</v>
      </c>
      <c r="DD732" s="48">
        <f t="shared" si="4131"/>
        <v>512.00036259333331</v>
      </c>
      <c r="DE732" s="48">
        <f>+BA732</f>
        <v>44.333333333333336</v>
      </c>
      <c r="DF732" s="48">
        <f t="shared" si="4132"/>
        <v>85.666663333333332</v>
      </c>
      <c r="DG732" s="48">
        <f t="shared" si="4132"/>
        <v>136.99999333333332</v>
      </c>
      <c r="DH732" s="48">
        <f t="shared" si="4132"/>
        <v>188.33332333333334</v>
      </c>
      <c r="DI732" s="48">
        <f t="shared" si="4132"/>
        <v>239.66665333333333</v>
      </c>
      <c r="DJ732" s="48">
        <f t="shared" si="4132"/>
        <v>290.99998333333332</v>
      </c>
      <c r="DK732" s="48">
        <f t="shared" si="4132"/>
        <v>342.33331333333331</v>
      </c>
      <c r="DL732" s="48">
        <f t="shared" si="4132"/>
        <v>393.66664333333335</v>
      </c>
      <c r="DM732" s="48">
        <f t="shared" si="4132"/>
        <v>444.99997333333334</v>
      </c>
      <c r="DN732" s="48">
        <f t="shared" si="4132"/>
        <v>496.33330333333333</v>
      </c>
      <c r="DO732" s="48">
        <f t="shared" si="4132"/>
        <v>547.66663333333338</v>
      </c>
      <c r="DP732" s="48">
        <f t="shared" si="4132"/>
        <v>598.99996333333331</v>
      </c>
      <c r="DQ732" s="48"/>
      <c r="DR732" s="48"/>
      <c r="DS732" s="48"/>
      <c r="DT732" s="48"/>
      <c r="DU732" s="48"/>
      <c r="DV732" s="48"/>
      <c r="DW732" s="48"/>
      <c r="DX732" s="48"/>
      <c r="DY732" s="48"/>
      <c r="DZ732" s="1">
        <f>'Input &amp; Calc'!L732</f>
        <v>435.81000999999992</v>
      </c>
      <c r="EA732" s="49">
        <f>DD732</f>
        <v>512.00036259333331</v>
      </c>
      <c r="EB732" s="50">
        <f>DP732</f>
        <v>598.99996333333331</v>
      </c>
      <c r="EC732" s="50"/>
      <c r="ED732" s="408"/>
      <c r="EE732" s="51">
        <f t="shared" si="4133"/>
        <v>51.333330000000046</v>
      </c>
      <c r="EF732" s="51">
        <f t="shared" si="4134"/>
        <v>153.99998999999997</v>
      </c>
      <c r="EG732" s="51">
        <f>HLOOKUP($EJ$3,Budget,ROW()-1)</f>
        <v>598.99996333333331</v>
      </c>
      <c r="EH732" s="40"/>
      <c r="EI732" s="112" t="s">
        <v>156</v>
      </c>
      <c r="EJ732" s="113">
        <f>HLOOKUP($I$1,YTD,48)</f>
        <v>0</v>
      </c>
      <c r="EK732" s="675"/>
      <c r="EL732" s="37"/>
      <c r="EM732" s="37"/>
      <c r="EN732" s="37"/>
      <c r="EO732" s="49"/>
      <c r="EP732" s="49"/>
      <c r="EQ732" s="49"/>
      <c r="ER732" s="1"/>
      <c r="ES732" s="1"/>
    </row>
    <row r="733" spans="1:149">
      <c r="A733" s="134" t="s">
        <v>22</v>
      </c>
      <c r="B733" s="2" t="s">
        <v>3</v>
      </c>
      <c r="C733" s="3" t="s">
        <v>38</v>
      </c>
      <c r="E733" s="3" t="s">
        <v>16</v>
      </c>
      <c r="F733" s="1"/>
      <c r="G733" s="137" t="s">
        <v>91</v>
      </c>
      <c r="H733" s="137"/>
      <c r="I733" s="138">
        <f>I7+I73+I139+I205+I271+I337+I403+I469+I535+I601+I667</f>
        <v>156.06</v>
      </c>
      <c r="J733" s="139">
        <f t="shared" ref="J733:AJ733" si="4162">IF(J7="","",J7+J73+J139+J205+J271+J337+J403+J469+J535+J601+J667)</f>
        <v>182.60000000000002</v>
      </c>
      <c r="K733" s="139">
        <f t="shared" si="4162"/>
        <v>210.11</v>
      </c>
      <c r="L733" s="139">
        <f t="shared" si="4162"/>
        <v>237.62000000000003</v>
      </c>
      <c r="M733" s="140">
        <f t="shared" si="4162"/>
        <v>14.833333000000001</v>
      </c>
      <c r="N733" s="139">
        <f t="shared" si="4162"/>
        <v>29.666599290000004</v>
      </c>
      <c r="O733" s="139">
        <f t="shared" si="4162"/>
        <v>44.499865579999998</v>
      </c>
      <c r="P733" s="139">
        <f t="shared" si="4162"/>
        <v>59.333131870000003</v>
      </c>
      <c r="Q733" s="139">
        <f t="shared" si="4162"/>
        <v>74.166398160000014</v>
      </c>
      <c r="R733" s="139">
        <f t="shared" si="4162"/>
        <v>88.999664450000012</v>
      </c>
      <c r="S733" s="139">
        <f t="shared" si="4162"/>
        <v>103.83293073999999</v>
      </c>
      <c r="T733" s="139">
        <f t="shared" si="4162"/>
        <v>118.66619702999999</v>
      </c>
      <c r="U733" s="139">
        <f t="shared" si="4162"/>
        <v>133.49946331999999</v>
      </c>
      <c r="V733" s="139">
        <f t="shared" si="4162"/>
        <v>148.33272961000003</v>
      </c>
      <c r="W733" s="139">
        <f t="shared" si="4162"/>
        <v>163.16599590000001</v>
      </c>
      <c r="X733" s="139">
        <f t="shared" si="4162"/>
        <v>177.99926218999997</v>
      </c>
      <c r="Y733" s="142">
        <f t="shared" si="4162"/>
        <v>15.651933333333334</v>
      </c>
      <c r="Z733" s="30">
        <f t="shared" si="4162"/>
        <v>31.303863333333332</v>
      </c>
      <c r="AA733" s="30">
        <f t="shared" si="4162"/>
        <v>46.955793333333332</v>
      </c>
      <c r="AB733" s="30">
        <f t="shared" si="4162"/>
        <v>62.607723333333333</v>
      </c>
      <c r="AC733" s="30">
        <f t="shared" si="4162"/>
        <v>78.259653333333333</v>
      </c>
      <c r="AD733" s="30">
        <f t="shared" si="4162"/>
        <v>93.911583333333326</v>
      </c>
      <c r="AE733" s="30">
        <f t="shared" si="4162"/>
        <v>109.56351333333333</v>
      </c>
      <c r="AF733" s="30">
        <f t="shared" si="4162"/>
        <v>125.21544333333333</v>
      </c>
      <c r="AG733" s="30">
        <f t="shared" si="4162"/>
        <v>140.86737333333335</v>
      </c>
      <c r="AH733" s="30">
        <f t="shared" si="4162"/>
        <v>156.51930333333334</v>
      </c>
      <c r="AI733" s="30">
        <f t="shared" si="4162"/>
        <v>172.1712333333333</v>
      </c>
      <c r="AJ733" s="30">
        <f t="shared" si="4162"/>
        <v>187.82316333333333</v>
      </c>
      <c r="AK733" s="408"/>
      <c r="AL733" s="48">
        <f>J733-I733</f>
        <v>26.54000000000002</v>
      </c>
      <c r="AM733" s="48">
        <f t="shared" si="4108"/>
        <v>27.509999999999991</v>
      </c>
      <c r="AN733" s="48">
        <f t="shared" si="4109"/>
        <v>27.510000000000019</v>
      </c>
      <c r="AO733" s="48">
        <f>M733</f>
        <v>14.833333000000001</v>
      </c>
      <c r="AP733" s="48">
        <f t="shared" si="4110"/>
        <v>14.833266290000003</v>
      </c>
      <c r="AQ733" s="48">
        <f t="shared" si="4111"/>
        <v>14.833266289999994</v>
      </c>
      <c r="AR733" s="48">
        <f t="shared" si="4112"/>
        <v>14.833266290000005</v>
      </c>
      <c r="AS733" s="48">
        <f t="shared" si="4113"/>
        <v>14.833266290000012</v>
      </c>
      <c r="AT733" s="48">
        <f t="shared" si="4114"/>
        <v>14.833266289999997</v>
      </c>
      <c r="AU733" s="48">
        <f t="shared" si="4115"/>
        <v>14.833266289999983</v>
      </c>
      <c r="AV733" s="48">
        <f t="shared" si="4116"/>
        <v>14.833266289999997</v>
      </c>
      <c r="AW733" s="48">
        <f t="shared" si="4117"/>
        <v>14.833266289999997</v>
      </c>
      <c r="AX733" s="48">
        <f>V733-U733</f>
        <v>14.83326629000004</v>
      </c>
      <c r="AY733" s="48">
        <f t="shared" si="4118"/>
        <v>14.833266289999983</v>
      </c>
      <c r="AZ733" s="48">
        <f t="shared" si="4119"/>
        <v>14.833266289999955</v>
      </c>
      <c r="BA733" s="48">
        <f>Y733</f>
        <v>15.651933333333334</v>
      </c>
      <c r="BB733" s="48">
        <f t="shared" si="4120"/>
        <v>15.651929999999998</v>
      </c>
      <c r="BC733" s="48">
        <f t="shared" si="4121"/>
        <v>15.65193</v>
      </c>
      <c r="BD733" s="48">
        <f t="shared" si="4122"/>
        <v>15.65193</v>
      </c>
      <c r="BE733" s="48">
        <f t="shared" si="4123"/>
        <v>15.65193</v>
      </c>
      <c r="BF733" s="48">
        <f t="shared" si="4124"/>
        <v>15.651929999999993</v>
      </c>
      <c r="BG733" s="48">
        <f t="shared" si="4125"/>
        <v>15.651930000000007</v>
      </c>
      <c r="BH733" s="48">
        <f t="shared" si="4126"/>
        <v>15.651929999999993</v>
      </c>
      <c r="BI733" s="48">
        <f t="shared" si="4127"/>
        <v>15.651930000000021</v>
      </c>
      <c r="BJ733" s="48">
        <f t="shared" si="4128"/>
        <v>15.651929999999993</v>
      </c>
      <c r="BK733" s="48">
        <f t="shared" si="4128"/>
        <v>15.651929999999965</v>
      </c>
      <c r="BL733" s="48">
        <f t="shared" si="4128"/>
        <v>15.651930000000021</v>
      </c>
      <c r="BM733" s="408"/>
      <c r="BN733" s="48">
        <f t="shared" si="4136"/>
        <v>81.560000000000031</v>
      </c>
      <c r="BO733" s="48">
        <f t="shared" si="4137"/>
        <v>81.560000000000031</v>
      </c>
      <c r="BP733" s="48">
        <f t="shared" si="4138"/>
        <v>81.560000000000031</v>
      </c>
      <c r="BQ733" s="48">
        <f t="shared" si="4139"/>
        <v>44.499865579999998</v>
      </c>
      <c r="BR733" s="48">
        <f t="shared" si="4140"/>
        <v>44.499865579999998</v>
      </c>
      <c r="BS733" s="48">
        <f t="shared" si="4141"/>
        <v>44.499865579999998</v>
      </c>
      <c r="BT733" s="48">
        <f t="shared" si="4142"/>
        <v>44.499798870000014</v>
      </c>
      <c r="BU733" s="48">
        <f t="shared" si="4143"/>
        <v>44.499798870000014</v>
      </c>
      <c r="BV733" s="48">
        <f t="shared" si="4144"/>
        <v>44.499798870000014</v>
      </c>
      <c r="BW733" s="48">
        <f t="shared" si="4145"/>
        <v>44.499798869999978</v>
      </c>
      <c r="BX733" s="48">
        <f t="shared" si="4146"/>
        <v>44.499798869999978</v>
      </c>
      <c r="BY733" s="48">
        <f t="shared" si="4147"/>
        <v>44.499798869999978</v>
      </c>
      <c r="BZ733" s="48">
        <f t="shared" si="4148"/>
        <v>44.499798869999978</v>
      </c>
      <c r="CA733" s="48">
        <f t="shared" si="4149"/>
        <v>44.499798869999978</v>
      </c>
      <c r="CB733" s="48">
        <f>SUM(AX733:AZ733)</f>
        <v>44.499798869999978</v>
      </c>
      <c r="CC733" s="48">
        <f t="shared" si="4150"/>
        <v>46.955793333333332</v>
      </c>
      <c r="CD733" s="48">
        <f t="shared" si="4151"/>
        <v>46.955793333333332</v>
      </c>
      <c r="CE733" s="48">
        <f t="shared" si="4152"/>
        <v>46.955793333333332</v>
      </c>
      <c r="CF733" s="48">
        <f t="shared" si="4153"/>
        <v>46.955789999999993</v>
      </c>
      <c r="CG733" s="48">
        <f t="shared" si="4154"/>
        <v>46.955789999999993</v>
      </c>
      <c r="CH733" s="48">
        <f t="shared" si="4155"/>
        <v>46.955789999999993</v>
      </c>
      <c r="CI733" s="48">
        <f t="shared" si="4156"/>
        <v>46.955790000000022</v>
      </c>
      <c r="CJ733" s="48">
        <f t="shared" si="4157"/>
        <v>46.955790000000022</v>
      </c>
      <c r="CK733" s="48">
        <f t="shared" si="4158"/>
        <v>46.955790000000022</v>
      </c>
      <c r="CL733" s="48">
        <f t="shared" si="4159"/>
        <v>46.955789999999979</v>
      </c>
      <c r="CM733" s="48">
        <f t="shared" si="4160"/>
        <v>46.955789999999979</v>
      </c>
      <c r="CN733" s="48">
        <f t="shared" si="4129"/>
        <v>46.955789999999979</v>
      </c>
      <c r="CO733" s="406"/>
      <c r="CP733" s="48">
        <f t="shared" si="4130"/>
        <v>182.60000000000002</v>
      </c>
      <c r="CQ733" s="48">
        <f t="shared" si="4130"/>
        <v>210.11</v>
      </c>
      <c r="CR733" s="48">
        <f t="shared" si="4130"/>
        <v>237.62000000000003</v>
      </c>
      <c r="CS733" s="48">
        <f>AO733</f>
        <v>14.833333000000001</v>
      </c>
      <c r="CT733" s="48">
        <f t="shared" si="4131"/>
        <v>29.666599290000004</v>
      </c>
      <c r="CU733" s="48">
        <f t="shared" si="4131"/>
        <v>44.499865579999998</v>
      </c>
      <c r="CV733" s="48">
        <f t="shared" si="4131"/>
        <v>59.333131870000003</v>
      </c>
      <c r="CW733" s="48">
        <f t="shared" si="4131"/>
        <v>74.166398160000014</v>
      </c>
      <c r="CX733" s="48">
        <f t="shared" si="4131"/>
        <v>88.999664450000012</v>
      </c>
      <c r="CY733" s="48">
        <f t="shared" si="4131"/>
        <v>103.83293073999999</v>
      </c>
      <c r="CZ733" s="48">
        <f t="shared" si="4131"/>
        <v>118.66619702999999</v>
      </c>
      <c r="DA733" s="48">
        <f t="shared" si="4131"/>
        <v>133.49946331999999</v>
      </c>
      <c r="DB733" s="48">
        <f t="shared" si="4131"/>
        <v>148.33272961000003</v>
      </c>
      <c r="DC733" s="48">
        <f t="shared" si="4131"/>
        <v>163.16599590000001</v>
      </c>
      <c r="DD733" s="48">
        <f t="shared" si="4131"/>
        <v>177.99926218999997</v>
      </c>
      <c r="DE733" s="48">
        <f>+BA733</f>
        <v>15.651933333333334</v>
      </c>
      <c r="DF733" s="48">
        <f t="shared" si="4132"/>
        <v>31.303863333333332</v>
      </c>
      <c r="DG733" s="48">
        <f t="shared" si="4132"/>
        <v>46.955793333333332</v>
      </c>
      <c r="DH733" s="48">
        <f t="shared" si="4132"/>
        <v>62.607723333333333</v>
      </c>
      <c r="DI733" s="48">
        <f t="shared" si="4132"/>
        <v>78.259653333333333</v>
      </c>
      <c r="DJ733" s="48">
        <f t="shared" si="4132"/>
        <v>93.911583333333326</v>
      </c>
      <c r="DK733" s="48">
        <f t="shared" si="4132"/>
        <v>109.56351333333333</v>
      </c>
      <c r="DL733" s="48">
        <f t="shared" si="4132"/>
        <v>125.21544333333333</v>
      </c>
      <c r="DM733" s="48">
        <f t="shared" si="4132"/>
        <v>140.86737333333335</v>
      </c>
      <c r="DN733" s="48">
        <f t="shared" si="4132"/>
        <v>156.51930333333334</v>
      </c>
      <c r="DO733" s="48">
        <f t="shared" si="4132"/>
        <v>172.1712333333333</v>
      </c>
      <c r="DP733" s="48">
        <f t="shared" si="4132"/>
        <v>187.82316333333333</v>
      </c>
      <c r="DQ733" s="48"/>
      <c r="DR733" s="48"/>
      <c r="DS733" s="48"/>
      <c r="DT733" s="48"/>
      <c r="DU733" s="48"/>
      <c r="DV733" s="48"/>
      <c r="DW733" s="48"/>
      <c r="DX733" s="48"/>
      <c r="DY733" s="48"/>
      <c r="DZ733" s="1">
        <f>'Input &amp; Calc'!L733</f>
        <v>237.62000000000003</v>
      </c>
      <c r="EA733" s="49">
        <f>DD733</f>
        <v>177.99926218999997</v>
      </c>
      <c r="EB733" s="50">
        <f>DP733</f>
        <v>187.82316333333333</v>
      </c>
      <c r="EC733" s="50"/>
      <c r="ED733" s="408"/>
      <c r="EE733" s="51">
        <f t="shared" si="4133"/>
        <v>15.651929999999965</v>
      </c>
      <c r="EF733" s="51">
        <f t="shared" si="4134"/>
        <v>46.955789999999979</v>
      </c>
      <c r="EG733" s="51">
        <f>HLOOKUP($EJ$3,Budget,ROW()-1)</f>
        <v>187.82316333333333</v>
      </c>
      <c r="EH733" s="40"/>
      <c r="EI733" s="114" t="s">
        <v>158</v>
      </c>
      <c r="EJ733" s="133">
        <f>I727</f>
        <v>40391</v>
      </c>
      <c r="EK733" s="675"/>
      <c r="EL733" s="37"/>
      <c r="EM733" s="37"/>
      <c r="EN733" s="37"/>
      <c r="EO733" s="49"/>
      <c r="EP733" s="49"/>
      <c r="EQ733" s="49"/>
      <c r="ER733" s="1"/>
      <c r="ES733" s="1"/>
    </row>
    <row r="734" spans="1:149" ht="13.5" thickBot="1">
      <c r="A734" s="134" t="s">
        <v>22</v>
      </c>
      <c r="B734" s="2" t="s">
        <v>94</v>
      </c>
      <c r="C734" s="3" t="s">
        <v>39</v>
      </c>
      <c r="E734" s="3" t="s">
        <v>16</v>
      </c>
      <c r="F734" s="1"/>
      <c r="G734" s="137" t="s">
        <v>91</v>
      </c>
      <c r="H734" s="137"/>
      <c r="I734" s="143">
        <f>I8+I74+I140+I206+I272+I338+I404+I470+I536+I602+I668</f>
        <v>10.715618999999998</v>
      </c>
      <c r="J734" s="143">
        <f t="shared" ref="J734:AJ734" si="4163">IF(J8="","",J8+J74+J140+J206+J272+J338+J404+J470+J536+J602+J668)</f>
        <v>12.697909967000001</v>
      </c>
      <c r="K734" s="143">
        <f t="shared" si="4163"/>
        <v>14.680200934</v>
      </c>
      <c r="L734" s="143">
        <f t="shared" si="4163"/>
        <v>16.662491901000003</v>
      </c>
      <c r="M734" s="144">
        <f t="shared" si="4163"/>
        <v>2.0699999336666668</v>
      </c>
      <c r="N734" s="143">
        <f t="shared" si="4163"/>
        <v>4.1411636636666662</v>
      </c>
      <c r="O734" s="143">
        <f t="shared" si="4163"/>
        <v>6.2123339936666673</v>
      </c>
      <c r="P734" s="143">
        <f t="shared" si="4163"/>
        <v>8.2835043236666674</v>
      </c>
      <c r="Q734" s="143">
        <f t="shared" si="4163"/>
        <v>10.354334653666667</v>
      </c>
      <c r="R734" s="143">
        <f t="shared" si="4163"/>
        <v>12.425834983666666</v>
      </c>
      <c r="S734" s="143">
        <f t="shared" si="4163"/>
        <v>14.497005313666667</v>
      </c>
      <c r="T734" s="143">
        <f t="shared" si="4163"/>
        <v>16.568165643666667</v>
      </c>
      <c r="U734" s="143">
        <f t="shared" si="4163"/>
        <v>18.639335973666668</v>
      </c>
      <c r="V734" s="143">
        <f t="shared" si="4163"/>
        <v>20.710536303666668</v>
      </c>
      <c r="W734" s="143">
        <f t="shared" si="4163"/>
        <v>22.781636633666665</v>
      </c>
      <c r="X734" s="143">
        <f t="shared" si="4163"/>
        <v>24.853670333666667</v>
      </c>
      <c r="Y734" s="145">
        <f t="shared" si="4163"/>
        <v>2.9150133000000005</v>
      </c>
      <c r="Z734" s="143">
        <f t="shared" si="4163"/>
        <v>5.8340902999999997</v>
      </c>
      <c r="AA734" s="143">
        <f t="shared" si="4163"/>
        <v>8.7491672999999999</v>
      </c>
      <c r="AB734" s="143">
        <f t="shared" si="4163"/>
        <v>11.6642443</v>
      </c>
      <c r="AC734" s="143">
        <f t="shared" si="4163"/>
        <v>14.5793213</v>
      </c>
      <c r="AD734" s="143">
        <f t="shared" si="4163"/>
        <v>17.4943983</v>
      </c>
      <c r="AE734" s="143">
        <f t="shared" si="4163"/>
        <v>20.4094753</v>
      </c>
      <c r="AF734" s="143">
        <f t="shared" si="4163"/>
        <v>23.324552300000001</v>
      </c>
      <c r="AG734" s="143">
        <f t="shared" si="4163"/>
        <v>26.239629300000004</v>
      </c>
      <c r="AH734" s="143">
        <f t="shared" si="4163"/>
        <v>29.154706299999997</v>
      </c>
      <c r="AI734" s="143">
        <f t="shared" si="4163"/>
        <v>32.069783299999997</v>
      </c>
      <c r="AJ734" s="143">
        <f t="shared" si="4163"/>
        <v>34.984860300000001</v>
      </c>
      <c r="AK734" s="416"/>
      <c r="AL734" s="118">
        <f>J734-I734</f>
        <v>1.9822909670000026</v>
      </c>
      <c r="AM734" s="118">
        <f t="shared" si="4108"/>
        <v>1.9822909669999991</v>
      </c>
      <c r="AN734" s="118">
        <f t="shared" si="4109"/>
        <v>1.9822909670000026</v>
      </c>
      <c r="AO734" s="119">
        <f>M734</f>
        <v>2.0699999336666668</v>
      </c>
      <c r="AP734" s="118">
        <f t="shared" si="4110"/>
        <v>2.0711637299999994</v>
      </c>
      <c r="AQ734" s="118">
        <f t="shared" si="4111"/>
        <v>2.0711703300000011</v>
      </c>
      <c r="AR734" s="118">
        <f t="shared" si="4112"/>
        <v>2.0711703300000002</v>
      </c>
      <c r="AS734" s="118">
        <f t="shared" si="4113"/>
        <v>2.0708303299999997</v>
      </c>
      <c r="AT734" s="118">
        <f t="shared" si="4114"/>
        <v>2.0715003299999992</v>
      </c>
      <c r="AU734" s="118">
        <f t="shared" si="4115"/>
        <v>2.0711703300000011</v>
      </c>
      <c r="AV734" s="118">
        <f t="shared" si="4116"/>
        <v>2.0711603299999997</v>
      </c>
      <c r="AW734" s="118">
        <f t="shared" si="4117"/>
        <v>2.0711703300000011</v>
      </c>
      <c r="AX734" s="118">
        <f>V734-U734</f>
        <v>2.0712003299999999</v>
      </c>
      <c r="AY734" s="118">
        <f t="shared" si="4118"/>
        <v>2.0711003299999966</v>
      </c>
      <c r="AZ734" s="118">
        <f t="shared" si="4119"/>
        <v>2.0720337000000022</v>
      </c>
      <c r="BA734" s="118">
        <f>Y734</f>
        <v>2.9150133000000005</v>
      </c>
      <c r="BB734" s="118">
        <f t="shared" si="4120"/>
        <v>2.9190769999999993</v>
      </c>
      <c r="BC734" s="118">
        <f t="shared" si="4121"/>
        <v>2.9150770000000001</v>
      </c>
      <c r="BD734" s="118">
        <f t="shared" si="4122"/>
        <v>2.9150770000000001</v>
      </c>
      <c r="BE734" s="118">
        <f t="shared" si="4123"/>
        <v>2.9150770000000001</v>
      </c>
      <c r="BF734" s="118">
        <f t="shared" si="4124"/>
        <v>2.9150770000000001</v>
      </c>
      <c r="BG734" s="118">
        <f t="shared" si="4125"/>
        <v>2.9150770000000001</v>
      </c>
      <c r="BH734" s="118">
        <f t="shared" si="4126"/>
        <v>2.9150770000000001</v>
      </c>
      <c r="BI734" s="118">
        <f t="shared" si="4127"/>
        <v>2.9150770000000037</v>
      </c>
      <c r="BJ734" s="118">
        <f t="shared" si="4128"/>
        <v>2.915076999999993</v>
      </c>
      <c r="BK734" s="118">
        <f t="shared" si="4128"/>
        <v>2.9150770000000001</v>
      </c>
      <c r="BL734" s="118">
        <f t="shared" si="4128"/>
        <v>2.9150770000000037</v>
      </c>
      <c r="BM734" s="409"/>
      <c r="BN734" s="119">
        <f t="shared" si="4136"/>
        <v>5.9468729010000043</v>
      </c>
      <c r="BO734" s="119">
        <f t="shared" si="4137"/>
        <v>5.9468729010000043</v>
      </c>
      <c r="BP734" s="119">
        <f t="shared" si="4138"/>
        <v>5.9468729010000043</v>
      </c>
      <c r="BQ734" s="119">
        <f t="shared" si="4139"/>
        <v>6.2123339936666673</v>
      </c>
      <c r="BR734" s="119">
        <f t="shared" si="4140"/>
        <v>6.2123339936666673</v>
      </c>
      <c r="BS734" s="119">
        <f t="shared" si="4141"/>
        <v>6.2123339936666673</v>
      </c>
      <c r="BT734" s="119">
        <f t="shared" si="4142"/>
        <v>6.2135009899999991</v>
      </c>
      <c r="BU734" s="119">
        <f t="shared" si="4143"/>
        <v>6.2135009899999991</v>
      </c>
      <c r="BV734" s="119">
        <f t="shared" si="4144"/>
        <v>6.2135009899999991</v>
      </c>
      <c r="BW734" s="119">
        <f t="shared" si="4145"/>
        <v>6.2135009900000018</v>
      </c>
      <c r="BX734" s="119">
        <f t="shared" si="4146"/>
        <v>6.2135009900000018</v>
      </c>
      <c r="BY734" s="119">
        <f t="shared" si="4147"/>
        <v>6.2135009900000018</v>
      </c>
      <c r="BZ734" s="119">
        <f t="shared" si="4148"/>
        <v>6.2143343599999987</v>
      </c>
      <c r="CA734" s="119">
        <f t="shared" si="4149"/>
        <v>6.2143343599999987</v>
      </c>
      <c r="CB734" s="119">
        <f>SUM(AX734:AZ734)</f>
        <v>6.2143343599999987</v>
      </c>
      <c r="CC734" s="119">
        <f t="shared" si="4150"/>
        <v>8.7491672999999999</v>
      </c>
      <c r="CD734" s="119">
        <f t="shared" si="4151"/>
        <v>8.7491672999999999</v>
      </c>
      <c r="CE734" s="119">
        <f t="shared" si="4152"/>
        <v>8.7491672999999999</v>
      </c>
      <c r="CF734" s="119">
        <f t="shared" si="4153"/>
        <v>8.7452310000000004</v>
      </c>
      <c r="CG734" s="119">
        <f t="shared" si="4154"/>
        <v>8.7452310000000004</v>
      </c>
      <c r="CH734" s="119">
        <f t="shared" si="4155"/>
        <v>8.7452310000000004</v>
      </c>
      <c r="CI734" s="119">
        <f t="shared" si="4156"/>
        <v>8.745231000000004</v>
      </c>
      <c r="CJ734" s="119">
        <f t="shared" si="4157"/>
        <v>8.745231000000004</v>
      </c>
      <c r="CK734" s="119">
        <f t="shared" si="4158"/>
        <v>8.745231000000004</v>
      </c>
      <c r="CL734" s="119">
        <f t="shared" si="4159"/>
        <v>8.7452309999999969</v>
      </c>
      <c r="CM734" s="119">
        <f t="shared" si="4160"/>
        <v>8.7452309999999969</v>
      </c>
      <c r="CN734" s="48">
        <f t="shared" si="4129"/>
        <v>8.7452309999999969</v>
      </c>
      <c r="CO734" s="421"/>
      <c r="CP734" s="118">
        <f t="shared" si="4130"/>
        <v>12.697909967000001</v>
      </c>
      <c r="CQ734" s="118">
        <f t="shared" si="4130"/>
        <v>14.680200934</v>
      </c>
      <c r="CR734" s="118">
        <f t="shared" si="4130"/>
        <v>16.662491901000003</v>
      </c>
      <c r="CS734" s="118">
        <f>AO734</f>
        <v>2.0699999336666668</v>
      </c>
      <c r="CT734" s="118">
        <f t="shared" si="4131"/>
        <v>4.1411636636666662</v>
      </c>
      <c r="CU734" s="118">
        <f t="shared" si="4131"/>
        <v>6.2123339936666673</v>
      </c>
      <c r="CV734" s="118">
        <f t="shared" si="4131"/>
        <v>8.2835043236666674</v>
      </c>
      <c r="CW734" s="118">
        <f t="shared" si="4131"/>
        <v>10.354334653666667</v>
      </c>
      <c r="CX734" s="118">
        <f t="shared" si="4131"/>
        <v>12.425834983666666</v>
      </c>
      <c r="CY734" s="118">
        <f t="shared" si="4131"/>
        <v>14.497005313666667</v>
      </c>
      <c r="CZ734" s="118">
        <f t="shared" si="4131"/>
        <v>16.568165643666667</v>
      </c>
      <c r="DA734" s="118">
        <f t="shared" si="4131"/>
        <v>18.639335973666668</v>
      </c>
      <c r="DB734" s="118">
        <f t="shared" si="4131"/>
        <v>20.710536303666668</v>
      </c>
      <c r="DC734" s="118">
        <f t="shared" si="4131"/>
        <v>22.781636633666665</v>
      </c>
      <c r="DD734" s="118">
        <f t="shared" si="4131"/>
        <v>24.853670333666667</v>
      </c>
      <c r="DE734" s="118">
        <f>+BA734</f>
        <v>2.9150133000000005</v>
      </c>
      <c r="DF734" s="118">
        <f t="shared" si="4132"/>
        <v>5.8340902999999997</v>
      </c>
      <c r="DG734" s="118">
        <f t="shared" si="4132"/>
        <v>8.7491672999999999</v>
      </c>
      <c r="DH734" s="118">
        <f t="shared" si="4132"/>
        <v>11.6642443</v>
      </c>
      <c r="DI734" s="118">
        <f t="shared" si="4132"/>
        <v>14.5793213</v>
      </c>
      <c r="DJ734" s="118">
        <f t="shared" si="4132"/>
        <v>17.4943983</v>
      </c>
      <c r="DK734" s="118">
        <f t="shared" si="4132"/>
        <v>20.4094753</v>
      </c>
      <c r="DL734" s="118">
        <f t="shared" si="4132"/>
        <v>23.324552300000001</v>
      </c>
      <c r="DM734" s="118">
        <f t="shared" si="4132"/>
        <v>26.239629300000004</v>
      </c>
      <c r="DN734" s="118">
        <f t="shared" si="4132"/>
        <v>29.154706299999997</v>
      </c>
      <c r="DO734" s="118">
        <f t="shared" si="4132"/>
        <v>32.069783299999997</v>
      </c>
      <c r="DP734" s="118">
        <f t="shared" si="4132"/>
        <v>34.984860300000001</v>
      </c>
      <c r="DQ734" s="118"/>
      <c r="DR734" s="118"/>
      <c r="DS734" s="118"/>
      <c r="DT734" s="118"/>
      <c r="DU734" s="118"/>
      <c r="DV734" s="118"/>
      <c r="DW734" s="118"/>
      <c r="DX734" s="118"/>
      <c r="DY734" s="118"/>
      <c r="DZ734" s="121">
        <f>'Input &amp; Calc'!L734</f>
        <v>16.662491901000003</v>
      </c>
      <c r="EA734" s="122">
        <f>DD734</f>
        <v>24.853670333666667</v>
      </c>
      <c r="EB734" s="120">
        <f>DP734</f>
        <v>34.984860300000001</v>
      </c>
      <c r="EC734" s="120"/>
      <c r="ED734" s="409"/>
      <c r="EE734" s="118">
        <f t="shared" si="4133"/>
        <v>2.9150770000000001</v>
      </c>
      <c r="EF734" s="118">
        <f t="shared" si="4134"/>
        <v>8.7452309999999969</v>
      </c>
      <c r="EG734" s="118">
        <f>HLOOKUP($EJ$3,Budget,ROW()-1)</f>
        <v>34.984860300000001</v>
      </c>
      <c r="EH734" s="40"/>
      <c r="EI734" s="1"/>
      <c r="EJ734" s="1"/>
      <c r="EK734" s="675"/>
      <c r="EL734" s="37"/>
      <c r="EM734" s="37"/>
      <c r="EN734" s="37"/>
      <c r="EO734" s="49"/>
      <c r="EP734" s="49"/>
      <c r="EQ734" s="49"/>
      <c r="ER734" s="1"/>
      <c r="ES734" s="1"/>
    </row>
    <row r="735" spans="1:149">
      <c r="A735" s="6" t="s">
        <v>23</v>
      </c>
      <c r="B735" s="2" t="s">
        <v>5</v>
      </c>
      <c r="C735" s="3" t="s">
        <v>42</v>
      </c>
      <c r="E735" s="3" t="s">
        <v>16</v>
      </c>
      <c r="G735" s="28" t="s">
        <v>91</v>
      </c>
      <c r="H735" s="28"/>
      <c r="I735" s="29"/>
      <c r="J735" s="139">
        <f t="shared" ref="J735:AJ735" si="4164">IF(J9="","",J9+J75+J141+J207+J273+J339+J405+J471+J537+J603+J669)</f>
        <v>112.74999633333333</v>
      </c>
      <c r="K735" s="139">
        <f t="shared" si="4164"/>
        <v>225.49999269333333</v>
      </c>
      <c r="L735" s="139">
        <f t="shared" si="4164"/>
        <v>338.24998905333337</v>
      </c>
      <c r="M735" s="139">
        <f t="shared" si="4164"/>
        <v>450.99998541333343</v>
      </c>
      <c r="N735" s="139">
        <f t="shared" si="4164"/>
        <v>563.74998177333339</v>
      </c>
      <c r="O735" s="139">
        <f t="shared" si="4164"/>
        <v>676.49997813333334</v>
      </c>
      <c r="P735" s="139">
        <f t="shared" si="4164"/>
        <v>789.24997449333341</v>
      </c>
      <c r="Q735" s="139">
        <f t="shared" si="4164"/>
        <v>901.99997085333337</v>
      </c>
      <c r="R735" s="139">
        <f t="shared" si="4164"/>
        <v>1014.7499672133334</v>
      </c>
      <c r="S735" s="139">
        <f t="shared" si="4164"/>
        <v>1127.4999635733334</v>
      </c>
      <c r="T735" s="139">
        <f t="shared" si="4164"/>
        <v>1240.2499599333332</v>
      </c>
      <c r="U735" s="139">
        <f t="shared" si="4164"/>
        <v>1352.9999562933333</v>
      </c>
      <c r="V735" s="141">
        <f t="shared" si="4164"/>
        <v>117.33196666666666</v>
      </c>
      <c r="W735" s="139">
        <f t="shared" si="4164"/>
        <v>234.66392666666667</v>
      </c>
      <c r="X735" s="139">
        <f t="shared" si="4164"/>
        <v>349.99588666666671</v>
      </c>
      <c r="Y735" s="139">
        <f t="shared" si="4164"/>
        <v>465.32784666666669</v>
      </c>
      <c r="Z735" s="139">
        <f t="shared" si="4164"/>
        <v>580.65980666666667</v>
      </c>
      <c r="AA735" s="139">
        <f t="shared" si="4164"/>
        <v>695.99176666666676</v>
      </c>
      <c r="AB735" s="139">
        <f t="shared" si="4164"/>
        <v>811.32372666666663</v>
      </c>
      <c r="AC735" s="139">
        <f t="shared" si="4164"/>
        <v>926.65568666666672</v>
      </c>
      <c r="AD735" s="139">
        <f t="shared" si="4164"/>
        <v>1041.9876466666667</v>
      </c>
      <c r="AE735" s="139">
        <f t="shared" si="4164"/>
        <v>1157.3196066666667</v>
      </c>
      <c r="AF735" s="139">
        <f t="shared" si="4164"/>
        <v>1272.6515666666664</v>
      </c>
      <c r="AG735" s="139">
        <f t="shared" si="4164"/>
        <v>1387.9835266666669</v>
      </c>
      <c r="AH735" s="141">
        <f t="shared" si="4164"/>
        <v>140.33333333333334</v>
      </c>
      <c r="AI735" s="139" t="str">
        <f t="shared" si="4164"/>
        <v/>
      </c>
      <c r="AJ735" s="139" t="str">
        <f t="shared" si="4164"/>
        <v/>
      </c>
      <c r="AK735" s="408"/>
      <c r="AL735" s="40">
        <f>J735</f>
        <v>112.74999633333333</v>
      </c>
      <c r="AM735" s="40">
        <f t="shared" si="4108"/>
        <v>112.74999636</v>
      </c>
      <c r="AN735" s="40">
        <f t="shared" si="4109"/>
        <v>112.74999636000004</v>
      </c>
      <c r="AO735" s="40">
        <f>M735-L735</f>
        <v>112.74999636000007</v>
      </c>
      <c r="AP735" s="40">
        <f t="shared" si="4110"/>
        <v>112.74999635999995</v>
      </c>
      <c r="AQ735" s="40">
        <f t="shared" si="4111"/>
        <v>112.74999635999995</v>
      </c>
      <c r="AR735" s="40">
        <f t="shared" si="4112"/>
        <v>112.74999636000007</v>
      </c>
      <c r="AS735" s="40">
        <f t="shared" si="4113"/>
        <v>112.74999635999995</v>
      </c>
      <c r="AT735" s="40">
        <f t="shared" si="4114"/>
        <v>112.74999636000007</v>
      </c>
      <c r="AU735" s="40">
        <f t="shared" si="4115"/>
        <v>112.74999635999995</v>
      </c>
      <c r="AV735" s="40">
        <f t="shared" si="4116"/>
        <v>112.74999635999984</v>
      </c>
      <c r="AW735" s="40">
        <f t="shared" si="4117"/>
        <v>112.74999636000007</v>
      </c>
      <c r="AX735" s="40">
        <f>V735</f>
        <v>117.33196666666666</v>
      </c>
      <c r="AY735" s="40">
        <f t="shared" si="4118"/>
        <v>117.33196000000001</v>
      </c>
      <c r="AZ735" s="40">
        <f t="shared" si="4119"/>
        <v>115.33196000000004</v>
      </c>
      <c r="BA735" s="40">
        <f>Y735-X735</f>
        <v>115.33195999999998</v>
      </c>
      <c r="BB735" s="40">
        <f t="shared" si="4120"/>
        <v>115.33195999999998</v>
      </c>
      <c r="BC735" s="40">
        <f t="shared" si="4121"/>
        <v>115.33196000000009</v>
      </c>
      <c r="BD735" s="40">
        <f t="shared" si="4122"/>
        <v>115.33195999999987</v>
      </c>
      <c r="BE735" s="40">
        <f t="shared" si="4123"/>
        <v>115.33196000000009</v>
      </c>
      <c r="BF735" s="40">
        <f t="shared" si="4124"/>
        <v>115.33195999999998</v>
      </c>
      <c r="BG735" s="40">
        <f t="shared" si="4125"/>
        <v>115.33195999999998</v>
      </c>
      <c r="BH735" s="40">
        <f t="shared" si="4126"/>
        <v>115.33195999999975</v>
      </c>
      <c r="BI735" s="40">
        <f t="shared" si="4127"/>
        <v>115.33196000000044</v>
      </c>
      <c r="BJ735" s="40">
        <f t="shared" ref="BJ735:BJ744" si="4165">AH735</f>
        <v>140.33333333333334</v>
      </c>
      <c r="BK735" s="40">
        <f>BJ735+BJ735</f>
        <v>280.66666666666669</v>
      </c>
      <c r="BL735" s="40" t="e">
        <f>AJ735-AI735</f>
        <v>#VALUE!</v>
      </c>
      <c r="BM735" s="408"/>
      <c r="BN735" s="48">
        <f t="shared" si="4136"/>
        <v>338.24998905333337</v>
      </c>
      <c r="BO735" s="48">
        <f t="shared" si="4137"/>
        <v>338.24998905333337</v>
      </c>
      <c r="BP735" s="48">
        <f t="shared" si="4138"/>
        <v>338.24998905333337</v>
      </c>
      <c r="BQ735" s="48">
        <f t="shared" si="4139"/>
        <v>338.24998907999998</v>
      </c>
      <c r="BR735" s="48">
        <f t="shared" si="4140"/>
        <v>338.24998907999998</v>
      </c>
      <c r="BS735" s="48">
        <f t="shared" si="4141"/>
        <v>338.24998907999998</v>
      </c>
      <c r="BT735" s="48">
        <f t="shared" si="4142"/>
        <v>338.24998908000009</v>
      </c>
      <c r="BU735" s="48">
        <f t="shared" si="4143"/>
        <v>338.24998908000009</v>
      </c>
      <c r="BV735" s="48">
        <f t="shared" si="4144"/>
        <v>338.24998908000009</v>
      </c>
      <c r="BW735" s="48">
        <f t="shared" si="4145"/>
        <v>338.24998907999986</v>
      </c>
      <c r="BX735" s="48">
        <f t="shared" si="4146"/>
        <v>338.24998907999986</v>
      </c>
      <c r="BY735" s="48">
        <f t="shared" si="4147"/>
        <v>338.24998907999986</v>
      </c>
      <c r="BZ735" s="48">
        <f t="shared" si="4148"/>
        <v>349.99588666666671</v>
      </c>
      <c r="CA735" s="48">
        <f t="shared" si="4149"/>
        <v>349.99588666666671</v>
      </c>
      <c r="CB735" s="48">
        <f>X735</f>
        <v>349.99588666666671</v>
      </c>
      <c r="CC735" s="48">
        <f t="shared" si="4150"/>
        <v>345.99588000000006</v>
      </c>
      <c r="CD735" s="48">
        <f t="shared" si="4151"/>
        <v>345.99588000000006</v>
      </c>
      <c r="CE735" s="48">
        <f t="shared" si="4152"/>
        <v>345.99588000000006</v>
      </c>
      <c r="CF735" s="48">
        <f t="shared" si="4153"/>
        <v>345.99587999999994</v>
      </c>
      <c r="CG735" s="48">
        <f t="shared" si="4154"/>
        <v>345.99587999999994</v>
      </c>
      <c r="CH735" s="48">
        <f t="shared" si="4155"/>
        <v>345.99587999999994</v>
      </c>
      <c r="CI735" s="48">
        <f t="shared" si="4156"/>
        <v>345.99588000000017</v>
      </c>
      <c r="CJ735" s="48">
        <f t="shared" si="4157"/>
        <v>345.99588000000017</v>
      </c>
      <c r="CK735" s="48">
        <f t="shared" si="4158"/>
        <v>345.99588000000017</v>
      </c>
      <c r="CL735" s="48" t="e">
        <f t="shared" si="4159"/>
        <v>#VALUE!</v>
      </c>
      <c r="CM735" s="48" t="e">
        <f t="shared" si="4160"/>
        <v>#VALUE!</v>
      </c>
      <c r="CN735" s="48" t="e">
        <f t="shared" si="4129"/>
        <v>#VALUE!</v>
      </c>
      <c r="CO735" s="406"/>
      <c r="CP735" s="48">
        <f>+AL735</f>
        <v>112.74999633333333</v>
      </c>
      <c r="CQ735" s="48">
        <f t="shared" ref="CQ735:DA735" si="4166">+CP735+AM735</f>
        <v>225.49999269333333</v>
      </c>
      <c r="CR735" s="48">
        <f t="shared" si="4166"/>
        <v>338.24998905333337</v>
      </c>
      <c r="CS735" s="48">
        <f t="shared" si="4166"/>
        <v>450.99998541333343</v>
      </c>
      <c r="CT735" s="48">
        <f t="shared" si="4166"/>
        <v>563.74998177333339</v>
      </c>
      <c r="CU735" s="48">
        <f t="shared" si="4166"/>
        <v>676.49997813333334</v>
      </c>
      <c r="CV735" s="48">
        <f t="shared" si="4166"/>
        <v>789.24997449333341</v>
      </c>
      <c r="CW735" s="48">
        <f t="shared" si="4166"/>
        <v>901.99997085333337</v>
      </c>
      <c r="CX735" s="48">
        <f t="shared" si="4166"/>
        <v>1014.7499672133334</v>
      </c>
      <c r="CY735" s="48">
        <f t="shared" si="4166"/>
        <v>1127.4999635733334</v>
      </c>
      <c r="CZ735" s="48">
        <f t="shared" si="4166"/>
        <v>1240.2499599333332</v>
      </c>
      <c r="DA735" s="48">
        <f t="shared" si="4166"/>
        <v>1352.9999562933333</v>
      </c>
      <c r="DB735" s="48">
        <f>AX735</f>
        <v>117.33196666666666</v>
      </c>
      <c r="DC735" s="48">
        <f t="shared" ref="DC735:DM735" si="4167">+DB735+AY735</f>
        <v>234.66392666666667</v>
      </c>
      <c r="DD735" s="48">
        <f t="shared" si="4167"/>
        <v>349.99588666666671</v>
      </c>
      <c r="DE735" s="48">
        <f t="shared" si="4167"/>
        <v>465.32784666666669</v>
      </c>
      <c r="DF735" s="48">
        <f t="shared" si="4167"/>
        <v>580.65980666666667</v>
      </c>
      <c r="DG735" s="48">
        <f t="shared" si="4167"/>
        <v>695.99176666666676</v>
      </c>
      <c r="DH735" s="48">
        <f t="shared" si="4167"/>
        <v>811.32372666666663</v>
      </c>
      <c r="DI735" s="48">
        <f t="shared" si="4167"/>
        <v>926.65568666666672</v>
      </c>
      <c r="DJ735" s="48">
        <f t="shared" si="4167"/>
        <v>1041.9876466666667</v>
      </c>
      <c r="DK735" s="48">
        <f t="shared" si="4167"/>
        <v>1157.3196066666667</v>
      </c>
      <c r="DL735" s="48">
        <f t="shared" si="4167"/>
        <v>1272.6515666666664</v>
      </c>
      <c r="DM735" s="48">
        <f t="shared" si="4167"/>
        <v>1387.9835266666669</v>
      </c>
      <c r="DN735" s="48">
        <f>+BJ735</f>
        <v>140.33333333333334</v>
      </c>
      <c r="DO735" s="48">
        <f>+DN735+BK735</f>
        <v>421</v>
      </c>
      <c r="DP735" s="48" t="e">
        <f>+DO735+BL735</f>
        <v>#VALUE!</v>
      </c>
      <c r="DQ735" s="48"/>
      <c r="DR735" s="48"/>
      <c r="DS735" s="48"/>
      <c r="DT735" s="48"/>
      <c r="DU735" s="48"/>
      <c r="DV735" s="48"/>
      <c r="DW735" s="48"/>
      <c r="DX735" s="48"/>
      <c r="DY735" s="48"/>
      <c r="EA735" s="52">
        <f t="shared" ref="EA735:EA749" si="4168">DA735</f>
        <v>1352.9999562933333</v>
      </c>
      <c r="EB735" s="52">
        <f t="shared" ref="EB735:EB748" si="4169">DM735</f>
        <v>1387.9835266666669</v>
      </c>
      <c r="EC735" s="52"/>
      <c r="ED735" s="429"/>
      <c r="EE735" s="51">
        <f t="shared" si="4133"/>
        <v>280.66666666666669</v>
      </c>
      <c r="EF735" s="51" t="e">
        <f t="shared" si="4134"/>
        <v>#VALUE!</v>
      </c>
      <c r="EG735" s="51">
        <f t="shared" ref="EG735:EG745" si="4170">HLOOKUP($EJ$4,Budget,ROW()-1)</f>
        <v>1387.9835266666669</v>
      </c>
      <c r="EH735" s="54"/>
      <c r="EI735" s="54"/>
      <c r="EJ735" s="54"/>
      <c r="EK735" s="675"/>
      <c r="EL735" s="53"/>
      <c r="EM735" s="53"/>
      <c r="EN735" s="53"/>
      <c r="EO735" s="49"/>
      <c r="EP735" s="49"/>
      <c r="EQ735" s="49"/>
    </row>
    <row r="736" spans="1:149">
      <c r="A736" s="6" t="s">
        <v>23</v>
      </c>
      <c r="B736" s="2" t="s">
        <v>4</v>
      </c>
      <c r="C736" s="3" t="s">
        <v>43</v>
      </c>
      <c r="E736" s="3" t="s">
        <v>16</v>
      </c>
      <c r="F736" s="44"/>
      <c r="G736" s="28" t="s">
        <v>91</v>
      </c>
      <c r="H736" s="28"/>
      <c r="I736" s="29"/>
      <c r="J736" s="139">
        <f t="shared" ref="J736:AJ737" si="4171">IF(J10="","",J10+J76+J142+J208+J274+J340+J406+J472+J538+J604+J670)</f>
        <v>45.743333333333332</v>
      </c>
      <c r="K736" s="139">
        <f t="shared" si="4171"/>
        <v>88.196666633333336</v>
      </c>
      <c r="L736" s="139">
        <f t="shared" si="4171"/>
        <v>130.64999993333333</v>
      </c>
      <c r="M736" s="139">
        <f t="shared" si="4171"/>
        <v>173.10333323333333</v>
      </c>
      <c r="N736" s="139">
        <f t="shared" si="4171"/>
        <v>215.55666653333336</v>
      </c>
      <c r="O736" s="139">
        <f t="shared" si="4171"/>
        <v>258.00999983333332</v>
      </c>
      <c r="P736" s="139">
        <f t="shared" si="4171"/>
        <v>300.46333313333332</v>
      </c>
      <c r="Q736" s="139">
        <f t="shared" si="4171"/>
        <v>342.96666643333327</v>
      </c>
      <c r="R736" s="139">
        <f t="shared" si="4171"/>
        <v>385.36999973333326</v>
      </c>
      <c r="S736" s="139">
        <f t="shared" si="4171"/>
        <v>427.82333303333331</v>
      </c>
      <c r="T736" s="139">
        <f t="shared" si="4171"/>
        <v>470.27666633333331</v>
      </c>
      <c r="U736" s="139">
        <f t="shared" si="4171"/>
        <v>512.72999963333325</v>
      </c>
      <c r="V736" s="141">
        <f t="shared" si="4171"/>
        <v>48.708096666666663</v>
      </c>
      <c r="W736" s="139">
        <f t="shared" si="4171"/>
        <v>97.416190366666655</v>
      </c>
      <c r="X736" s="139">
        <f t="shared" si="4171"/>
        <v>145.62428406666666</v>
      </c>
      <c r="Y736" s="139">
        <f t="shared" si="4171"/>
        <v>193.8323777666667</v>
      </c>
      <c r="Z736" s="139">
        <f t="shared" si="4171"/>
        <v>242.04047146666667</v>
      </c>
      <c r="AA736" s="139">
        <f t="shared" si="4171"/>
        <v>290.24856516666665</v>
      </c>
      <c r="AB736" s="139">
        <f t="shared" si="4171"/>
        <v>338.45665886666671</v>
      </c>
      <c r="AC736" s="139">
        <f t="shared" si="4171"/>
        <v>386.66475256666672</v>
      </c>
      <c r="AD736" s="139">
        <f t="shared" si="4171"/>
        <v>434.87284626666673</v>
      </c>
      <c r="AE736" s="139">
        <f t="shared" si="4171"/>
        <v>483.08093996666668</v>
      </c>
      <c r="AF736" s="139">
        <f t="shared" si="4171"/>
        <v>531.28903366666668</v>
      </c>
      <c r="AG736" s="139">
        <f t="shared" si="4171"/>
        <v>579.49712736666663</v>
      </c>
      <c r="AH736" s="141">
        <f t="shared" si="4171"/>
        <v>54.833333333333336</v>
      </c>
      <c r="AI736" s="139" t="str">
        <f t="shared" si="4171"/>
        <v/>
      </c>
      <c r="AJ736" s="139" t="str">
        <f t="shared" si="4171"/>
        <v/>
      </c>
      <c r="AK736" s="408"/>
      <c r="AL736" s="40">
        <f>J736</f>
        <v>45.743333333333332</v>
      </c>
      <c r="AM736" s="40">
        <f t="shared" si="4108"/>
        <v>42.453333300000004</v>
      </c>
      <c r="AN736" s="40">
        <f t="shared" si="4109"/>
        <v>42.453333299999997</v>
      </c>
      <c r="AO736" s="40">
        <f>M736-L736</f>
        <v>42.453333299999997</v>
      </c>
      <c r="AP736" s="40">
        <f t="shared" si="4110"/>
        <v>42.453333300000025</v>
      </c>
      <c r="AQ736" s="40">
        <f t="shared" si="4111"/>
        <v>42.453333299999969</v>
      </c>
      <c r="AR736" s="40">
        <f t="shared" si="4112"/>
        <v>42.453333299999997</v>
      </c>
      <c r="AS736" s="40">
        <f t="shared" si="4113"/>
        <v>42.503333299999952</v>
      </c>
      <c r="AT736" s="40">
        <f t="shared" si="4114"/>
        <v>42.403333299999986</v>
      </c>
      <c r="AU736" s="40">
        <f t="shared" si="4115"/>
        <v>42.453333300000054</v>
      </c>
      <c r="AV736" s="40">
        <f t="shared" si="4116"/>
        <v>42.453333299999997</v>
      </c>
      <c r="AW736" s="40">
        <f t="shared" si="4117"/>
        <v>42.45333329999994</v>
      </c>
      <c r="AX736" s="40">
        <f>V736</f>
        <v>48.708096666666663</v>
      </c>
      <c r="AY736" s="40">
        <f t="shared" si="4118"/>
        <v>48.708093699999992</v>
      </c>
      <c r="AZ736" s="40">
        <f t="shared" si="4119"/>
        <v>48.208093700000006</v>
      </c>
      <c r="BA736" s="40">
        <f>Y736-X736</f>
        <v>48.208093700000035</v>
      </c>
      <c r="BB736" s="40">
        <f t="shared" si="4120"/>
        <v>48.208093699999978</v>
      </c>
      <c r="BC736" s="40">
        <f t="shared" si="4121"/>
        <v>48.208093699999978</v>
      </c>
      <c r="BD736" s="40">
        <f t="shared" si="4122"/>
        <v>48.208093700000063</v>
      </c>
      <c r="BE736" s="40">
        <f t="shared" si="4123"/>
        <v>48.208093700000006</v>
      </c>
      <c r="BF736" s="40">
        <f t="shared" si="4124"/>
        <v>48.208093700000006</v>
      </c>
      <c r="BG736" s="40">
        <f t="shared" si="4125"/>
        <v>48.208093699999949</v>
      </c>
      <c r="BH736" s="40">
        <f t="shared" si="4126"/>
        <v>48.208093700000006</v>
      </c>
      <c r="BI736" s="40">
        <f t="shared" si="4127"/>
        <v>48.208093699999949</v>
      </c>
      <c r="BJ736" s="40">
        <f t="shared" si="4165"/>
        <v>54.833333333333336</v>
      </c>
      <c r="BK736" s="40">
        <f>BJ736+BJ736</f>
        <v>109.66666666666667</v>
      </c>
      <c r="BL736" s="40" t="e">
        <f>AJ736-AI736</f>
        <v>#VALUE!</v>
      </c>
      <c r="BM736" s="408"/>
      <c r="BN736" s="48">
        <f t="shared" si="4136"/>
        <v>130.64999993333333</v>
      </c>
      <c r="BO736" s="48">
        <f t="shared" si="4137"/>
        <v>130.64999993333333</v>
      </c>
      <c r="BP736" s="48">
        <f t="shared" si="4138"/>
        <v>130.64999993333333</v>
      </c>
      <c r="BQ736" s="48">
        <f t="shared" si="4139"/>
        <v>127.35999989999999</v>
      </c>
      <c r="BR736" s="48">
        <f t="shared" si="4140"/>
        <v>127.35999989999999</v>
      </c>
      <c r="BS736" s="48">
        <f t="shared" si="4141"/>
        <v>127.35999989999999</v>
      </c>
      <c r="BT736" s="48">
        <f t="shared" si="4142"/>
        <v>127.35999989999993</v>
      </c>
      <c r="BU736" s="48">
        <f t="shared" si="4143"/>
        <v>127.35999989999993</v>
      </c>
      <c r="BV736" s="48">
        <f t="shared" si="4144"/>
        <v>127.35999989999993</v>
      </c>
      <c r="BW736" s="48">
        <f t="shared" si="4145"/>
        <v>127.35999989999999</v>
      </c>
      <c r="BX736" s="48">
        <f t="shared" si="4146"/>
        <v>127.35999989999999</v>
      </c>
      <c r="BY736" s="48">
        <f t="shared" si="4147"/>
        <v>127.35999989999999</v>
      </c>
      <c r="BZ736" s="48">
        <f t="shared" si="4148"/>
        <v>145.62428406666666</v>
      </c>
      <c r="CA736" s="48">
        <f t="shared" si="4149"/>
        <v>145.62428406666666</v>
      </c>
      <c r="CB736" s="48">
        <f t="shared" ref="CB736:CB743" si="4172">X736</f>
        <v>145.62428406666666</v>
      </c>
      <c r="CC736" s="48">
        <f t="shared" si="4150"/>
        <v>144.62428109999999</v>
      </c>
      <c r="CD736" s="48">
        <f t="shared" si="4151"/>
        <v>144.62428109999999</v>
      </c>
      <c r="CE736" s="48">
        <f t="shared" si="4152"/>
        <v>144.62428109999999</v>
      </c>
      <c r="CF736" s="48">
        <f t="shared" si="4153"/>
        <v>144.62428110000008</v>
      </c>
      <c r="CG736" s="48">
        <f t="shared" si="4154"/>
        <v>144.62428110000008</v>
      </c>
      <c r="CH736" s="48">
        <f t="shared" si="4155"/>
        <v>144.62428110000008</v>
      </c>
      <c r="CI736" s="48">
        <f t="shared" si="4156"/>
        <v>144.62428109999991</v>
      </c>
      <c r="CJ736" s="48">
        <f t="shared" si="4157"/>
        <v>144.62428109999991</v>
      </c>
      <c r="CK736" s="48">
        <f t="shared" si="4158"/>
        <v>144.62428109999991</v>
      </c>
      <c r="CL736" s="48" t="e">
        <f t="shared" si="4159"/>
        <v>#VALUE!</v>
      </c>
      <c r="CM736" s="48" t="e">
        <f t="shared" si="4160"/>
        <v>#VALUE!</v>
      </c>
      <c r="CN736" s="48" t="e">
        <f t="shared" si="4129"/>
        <v>#VALUE!</v>
      </c>
      <c r="CO736" s="406"/>
      <c r="CP736" s="48">
        <f t="shared" ref="CP736:DA736" si="4173">I736+AL736</f>
        <v>45.743333333333332</v>
      </c>
      <c r="CQ736" s="48">
        <f t="shared" si="4173"/>
        <v>88.196666633333336</v>
      </c>
      <c r="CR736" s="48">
        <f t="shared" si="4173"/>
        <v>130.64999993333333</v>
      </c>
      <c r="CS736" s="48">
        <f t="shared" si="4173"/>
        <v>173.10333323333333</v>
      </c>
      <c r="CT736" s="48">
        <f t="shared" si="4173"/>
        <v>215.55666653333336</v>
      </c>
      <c r="CU736" s="48">
        <f t="shared" si="4173"/>
        <v>258.00999983333332</v>
      </c>
      <c r="CV736" s="48">
        <f t="shared" si="4173"/>
        <v>300.46333313333332</v>
      </c>
      <c r="CW736" s="48">
        <f t="shared" si="4173"/>
        <v>342.96666643333327</v>
      </c>
      <c r="CX736" s="48">
        <f t="shared" si="4173"/>
        <v>385.36999973333326</v>
      </c>
      <c r="CY736" s="48">
        <f t="shared" si="4173"/>
        <v>427.82333303333331</v>
      </c>
      <c r="CZ736" s="48">
        <f t="shared" si="4173"/>
        <v>470.27666633333331</v>
      </c>
      <c r="DA736" s="48">
        <f t="shared" si="4173"/>
        <v>512.72999963333325</v>
      </c>
      <c r="DB736" s="48">
        <f>AX736</f>
        <v>48.708096666666663</v>
      </c>
      <c r="DC736" s="48">
        <f t="shared" ref="DC736:DM736" si="4174">V736+AY736</f>
        <v>97.416190366666655</v>
      </c>
      <c r="DD736" s="48">
        <f t="shared" si="4174"/>
        <v>145.62428406666666</v>
      </c>
      <c r="DE736" s="48">
        <f t="shared" si="4174"/>
        <v>193.8323777666667</v>
      </c>
      <c r="DF736" s="48">
        <f t="shared" si="4174"/>
        <v>242.04047146666667</v>
      </c>
      <c r="DG736" s="48">
        <f t="shared" si="4174"/>
        <v>290.24856516666665</v>
      </c>
      <c r="DH736" s="48">
        <f t="shared" si="4174"/>
        <v>338.45665886666671</v>
      </c>
      <c r="DI736" s="48">
        <f t="shared" si="4174"/>
        <v>386.66475256666672</v>
      </c>
      <c r="DJ736" s="48">
        <f t="shared" si="4174"/>
        <v>434.87284626666673</v>
      </c>
      <c r="DK736" s="48">
        <f t="shared" si="4174"/>
        <v>483.08093996666668</v>
      </c>
      <c r="DL736" s="48">
        <f t="shared" si="4174"/>
        <v>531.28903366666668</v>
      </c>
      <c r="DM736" s="48">
        <f t="shared" si="4174"/>
        <v>579.49712736666663</v>
      </c>
      <c r="DN736" s="48">
        <f>BJ736</f>
        <v>54.833333333333336</v>
      </c>
      <c r="DO736" s="48">
        <f>AH736+BK736</f>
        <v>164.5</v>
      </c>
      <c r="DP736" s="48" t="e">
        <f>AI736+BL736</f>
        <v>#VALUE!</v>
      </c>
      <c r="DQ736" s="48"/>
      <c r="DR736" s="48"/>
      <c r="DS736" s="48"/>
      <c r="DT736" s="48"/>
      <c r="DU736" s="48"/>
      <c r="DV736" s="48"/>
      <c r="DW736" s="48"/>
      <c r="DX736" s="48"/>
      <c r="DY736" s="48"/>
      <c r="EA736" s="52">
        <f t="shared" si="4168"/>
        <v>512.72999963333325</v>
      </c>
      <c r="EB736" s="52">
        <f t="shared" si="4169"/>
        <v>579.49712736666663</v>
      </c>
      <c r="EC736" s="52"/>
      <c r="ED736" s="429"/>
      <c r="EE736" s="51">
        <f t="shared" si="4133"/>
        <v>109.66666666666667</v>
      </c>
      <c r="EF736" s="51" t="e">
        <f t="shared" si="4134"/>
        <v>#VALUE!</v>
      </c>
      <c r="EG736" s="51">
        <f t="shared" si="4170"/>
        <v>579.49712736666663</v>
      </c>
      <c r="EH736" s="54"/>
      <c r="EI736" s="54"/>
      <c r="EJ736" s="126"/>
      <c r="EK736" s="675"/>
      <c r="EL736" s="53"/>
      <c r="EM736" s="53"/>
      <c r="EN736" s="53"/>
      <c r="EO736" s="49"/>
      <c r="EP736" s="49"/>
      <c r="EQ736" s="49"/>
    </row>
    <row r="737" spans="1:149">
      <c r="A737" s="6" t="s">
        <v>23</v>
      </c>
      <c r="B737" s="2" t="s">
        <v>6</v>
      </c>
      <c r="C737" s="3" t="s">
        <v>44</v>
      </c>
      <c r="E737" s="3" t="s">
        <v>16</v>
      </c>
      <c r="G737" s="28" t="s">
        <v>89</v>
      </c>
      <c r="H737" s="28"/>
      <c r="I737" s="29"/>
      <c r="J737" s="139">
        <f t="shared" ref="J737:AJ737" si="4175">IF(J11="","",J11+J77+J143+J209+J275+J341+J407+J473+J539+J605+J671)</f>
        <v>25.395833333333332</v>
      </c>
      <c r="K737" s="139">
        <f t="shared" si="4175"/>
        <v>25.395833333333332</v>
      </c>
      <c r="L737" s="139">
        <f t="shared" si="4175"/>
        <v>25.395833333333332</v>
      </c>
      <c r="M737" s="139">
        <f t="shared" si="4175"/>
        <v>25.395833333333332</v>
      </c>
      <c r="N737" s="139">
        <f t="shared" si="4175"/>
        <v>25.395833333333332</v>
      </c>
      <c r="O737" s="139">
        <f t="shared" si="4175"/>
        <v>25.395833333333332</v>
      </c>
      <c r="P737" s="139">
        <f t="shared" si="4175"/>
        <v>25.395833333333332</v>
      </c>
      <c r="Q737" s="139">
        <f t="shared" si="4175"/>
        <v>25.395833333333332</v>
      </c>
      <c r="R737" s="139">
        <f t="shared" si="4175"/>
        <v>25.395833333333332</v>
      </c>
      <c r="S737" s="139">
        <f t="shared" si="4175"/>
        <v>25.395833333333332</v>
      </c>
      <c r="T737" s="139">
        <f t="shared" si="4175"/>
        <v>25.395833333333332</v>
      </c>
      <c r="U737" s="139">
        <f t="shared" si="4175"/>
        <v>25.195833333333333</v>
      </c>
      <c r="V737" s="141">
        <f t="shared" si="4171"/>
        <v>22.106599999999997</v>
      </c>
      <c r="W737" s="229">
        <f t="shared" si="4171"/>
        <v>44.213199999999993</v>
      </c>
      <c r="X737" s="229">
        <f t="shared" si="4171"/>
        <v>65.959800000000001</v>
      </c>
      <c r="Y737" s="229">
        <f t="shared" si="4171"/>
        <v>87.706400000000002</v>
      </c>
      <c r="Z737" s="229">
        <f t="shared" si="4171"/>
        <v>109.453</v>
      </c>
      <c r="AA737" s="229">
        <f t="shared" si="4171"/>
        <v>131.1996</v>
      </c>
      <c r="AB737" s="229">
        <f t="shared" si="4171"/>
        <v>152.94619999999998</v>
      </c>
      <c r="AC737" s="229">
        <f t="shared" si="4171"/>
        <v>174.69279999999998</v>
      </c>
      <c r="AD737" s="229">
        <f t="shared" si="4171"/>
        <v>196.43940000000001</v>
      </c>
      <c r="AE737" s="229">
        <f t="shared" si="4171"/>
        <v>218.18600000000001</v>
      </c>
      <c r="AF737" s="229">
        <f t="shared" si="4171"/>
        <v>239.93259999999998</v>
      </c>
      <c r="AG737" s="229">
        <f t="shared" si="4171"/>
        <v>261.67920000000004</v>
      </c>
      <c r="AH737" s="141" t="str">
        <f t="shared" si="4175"/>
        <v/>
      </c>
      <c r="AI737" s="139" t="str">
        <f t="shared" si="4175"/>
        <v/>
      </c>
      <c r="AJ737" s="139" t="str">
        <f t="shared" si="4175"/>
        <v/>
      </c>
      <c r="AK737" s="408"/>
      <c r="AL737" s="40">
        <f>J737</f>
        <v>25.395833333333332</v>
      </c>
      <c r="AM737" s="40">
        <f t="shared" ref="AM737:AW738" si="4176">K737</f>
        <v>25.395833333333332</v>
      </c>
      <c r="AN737" s="40">
        <f t="shared" si="4176"/>
        <v>25.395833333333332</v>
      </c>
      <c r="AO737" s="40">
        <f t="shared" si="4176"/>
        <v>25.395833333333332</v>
      </c>
      <c r="AP737" s="40">
        <f t="shared" si="4176"/>
        <v>25.395833333333332</v>
      </c>
      <c r="AQ737" s="40">
        <f t="shared" si="4176"/>
        <v>25.395833333333332</v>
      </c>
      <c r="AR737" s="40">
        <f t="shared" si="4176"/>
        <v>25.395833333333332</v>
      </c>
      <c r="AS737" s="40">
        <f t="shared" si="4176"/>
        <v>25.395833333333332</v>
      </c>
      <c r="AT737" s="40">
        <f t="shared" si="4176"/>
        <v>25.395833333333332</v>
      </c>
      <c r="AU737" s="40">
        <f t="shared" si="4176"/>
        <v>25.395833333333332</v>
      </c>
      <c r="AV737" s="40">
        <f t="shared" si="4176"/>
        <v>25.395833333333332</v>
      </c>
      <c r="AW737" s="40">
        <f t="shared" si="4176"/>
        <v>25.195833333333333</v>
      </c>
      <c r="AX737" s="40">
        <f>V737</f>
        <v>22.106599999999997</v>
      </c>
      <c r="AY737" s="40">
        <f>W737-V737</f>
        <v>22.106599999999997</v>
      </c>
      <c r="AZ737" s="40">
        <f t="shared" si="4119"/>
        <v>21.746600000000008</v>
      </c>
      <c r="BA737" s="40">
        <f>Y737-X737</f>
        <v>21.746600000000001</v>
      </c>
      <c r="BB737" s="40">
        <f t="shared" si="4120"/>
        <v>21.746600000000001</v>
      </c>
      <c r="BC737" s="40">
        <f t="shared" si="4121"/>
        <v>21.746600000000001</v>
      </c>
      <c r="BD737" s="40">
        <f t="shared" si="4122"/>
        <v>21.746599999999972</v>
      </c>
      <c r="BE737" s="40">
        <f t="shared" si="4123"/>
        <v>21.746600000000001</v>
      </c>
      <c r="BF737" s="40">
        <f t="shared" si="4124"/>
        <v>21.746600000000029</v>
      </c>
      <c r="BG737" s="40">
        <f t="shared" si="4125"/>
        <v>21.746600000000001</v>
      </c>
      <c r="BH737" s="40">
        <f t="shared" si="4126"/>
        <v>21.746599999999972</v>
      </c>
      <c r="BI737" s="40">
        <f t="shared" si="4127"/>
        <v>21.746600000000058</v>
      </c>
      <c r="BJ737" s="40" t="str">
        <f t="shared" si="4165"/>
        <v/>
      </c>
      <c r="BK737" s="40" t="str">
        <f>AI737</f>
        <v/>
      </c>
      <c r="BL737" s="40" t="str">
        <f>AJ737</f>
        <v/>
      </c>
      <c r="BM737" s="408"/>
      <c r="BN737" s="48">
        <f t="shared" si="4136"/>
        <v>76.1875</v>
      </c>
      <c r="BO737" s="48">
        <f t="shared" si="4137"/>
        <v>76.1875</v>
      </c>
      <c r="BP737" s="48">
        <f t="shared" si="4138"/>
        <v>76.1875</v>
      </c>
      <c r="BQ737" s="48">
        <f t="shared" si="4139"/>
        <v>76.1875</v>
      </c>
      <c r="BR737" s="48">
        <f t="shared" si="4140"/>
        <v>76.1875</v>
      </c>
      <c r="BS737" s="48">
        <f t="shared" si="4141"/>
        <v>76.1875</v>
      </c>
      <c r="BT737" s="48">
        <f t="shared" si="4142"/>
        <v>76.1875</v>
      </c>
      <c r="BU737" s="48">
        <f t="shared" si="4143"/>
        <v>76.1875</v>
      </c>
      <c r="BV737" s="48">
        <f t="shared" si="4144"/>
        <v>76.1875</v>
      </c>
      <c r="BW737" s="48">
        <f t="shared" si="4145"/>
        <v>75.987499999999997</v>
      </c>
      <c r="BX737" s="48">
        <f t="shared" si="4146"/>
        <v>75.987499999999997</v>
      </c>
      <c r="BY737" s="48">
        <f t="shared" si="4147"/>
        <v>75.987499999999997</v>
      </c>
      <c r="BZ737" s="48">
        <f t="shared" si="4148"/>
        <v>65.959800000000001</v>
      </c>
      <c r="CA737" s="48">
        <f t="shared" si="4149"/>
        <v>65.959800000000001</v>
      </c>
      <c r="CB737" s="48">
        <f t="shared" si="4172"/>
        <v>65.959800000000001</v>
      </c>
      <c r="CC737" s="48">
        <f t="shared" si="4150"/>
        <v>65.239800000000002</v>
      </c>
      <c r="CD737" s="48">
        <f t="shared" si="4151"/>
        <v>65.239800000000002</v>
      </c>
      <c r="CE737" s="48">
        <f>SUM(BA737:BC737)</f>
        <v>65.239800000000002</v>
      </c>
      <c r="CF737" s="48">
        <f t="shared" si="4153"/>
        <v>65.239800000000002</v>
      </c>
      <c r="CG737" s="48">
        <f t="shared" si="4154"/>
        <v>65.239800000000002</v>
      </c>
      <c r="CH737" s="48">
        <f>SUM(BD737:BF737)</f>
        <v>65.239800000000002</v>
      </c>
      <c r="CI737" s="48">
        <f t="shared" si="4156"/>
        <v>65.239800000000031</v>
      </c>
      <c r="CJ737" s="48">
        <f t="shared" si="4157"/>
        <v>65.239800000000031</v>
      </c>
      <c r="CK737" s="48">
        <f>SUM(BG737:BI737)</f>
        <v>65.239800000000031</v>
      </c>
      <c r="CL737" s="48">
        <f t="shared" si="4159"/>
        <v>0</v>
      </c>
      <c r="CM737" s="48">
        <f t="shared" si="4160"/>
        <v>0</v>
      </c>
      <c r="CN737" s="48">
        <f t="shared" si="4129"/>
        <v>0</v>
      </c>
      <c r="CO737" s="406"/>
      <c r="CP737" s="48">
        <f>AL737</f>
        <v>25.395833333333332</v>
      </c>
      <c r="CQ737" s="48">
        <f t="shared" ref="CQ737:DA737" si="4177">CP737+AM737</f>
        <v>50.791666666666664</v>
      </c>
      <c r="CR737" s="48">
        <f t="shared" si="4177"/>
        <v>76.1875</v>
      </c>
      <c r="CS737" s="48">
        <f t="shared" si="4177"/>
        <v>101.58333333333333</v>
      </c>
      <c r="CT737" s="48">
        <f t="shared" si="4177"/>
        <v>126.97916666666666</v>
      </c>
      <c r="CU737" s="48">
        <f t="shared" si="4177"/>
        <v>152.375</v>
      </c>
      <c r="CV737" s="48">
        <f t="shared" si="4177"/>
        <v>177.77083333333334</v>
      </c>
      <c r="CW737" s="48">
        <f t="shared" si="4177"/>
        <v>203.16666666666669</v>
      </c>
      <c r="CX737" s="48">
        <f t="shared" si="4177"/>
        <v>228.56250000000003</v>
      </c>
      <c r="CY737" s="48">
        <f t="shared" si="4177"/>
        <v>253.95833333333337</v>
      </c>
      <c r="CZ737" s="48">
        <f t="shared" si="4177"/>
        <v>279.35416666666669</v>
      </c>
      <c r="DA737" s="48">
        <f t="shared" si="4177"/>
        <v>304.55</v>
      </c>
      <c r="DB737" s="48">
        <f>AX737</f>
        <v>22.106599999999997</v>
      </c>
      <c r="DC737" s="48">
        <f t="shared" ref="DC737:DM737" si="4178">DB737+AY737</f>
        <v>44.213199999999993</v>
      </c>
      <c r="DD737" s="48">
        <f t="shared" si="4178"/>
        <v>65.959800000000001</v>
      </c>
      <c r="DE737" s="48">
        <f t="shared" si="4178"/>
        <v>87.706400000000002</v>
      </c>
      <c r="DF737" s="48">
        <f t="shared" si="4178"/>
        <v>109.453</v>
      </c>
      <c r="DG737" s="48">
        <f t="shared" si="4178"/>
        <v>131.1996</v>
      </c>
      <c r="DH737" s="48">
        <f t="shared" si="4178"/>
        <v>152.94619999999998</v>
      </c>
      <c r="DI737" s="48">
        <f t="shared" si="4178"/>
        <v>174.69279999999998</v>
      </c>
      <c r="DJ737" s="48">
        <f t="shared" si="4178"/>
        <v>196.43940000000001</v>
      </c>
      <c r="DK737" s="48">
        <f t="shared" si="4178"/>
        <v>218.18600000000001</v>
      </c>
      <c r="DL737" s="48">
        <f t="shared" si="4178"/>
        <v>239.93259999999998</v>
      </c>
      <c r="DM737" s="48">
        <f t="shared" si="4178"/>
        <v>261.67920000000004</v>
      </c>
      <c r="DN737" s="48" t="str">
        <f>BJ737</f>
        <v/>
      </c>
      <c r="DO737" s="48" t="e">
        <f>DN737+BK737</f>
        <v>#VALUE!</v>
      </c>
      <c r="DP737" s="48" t="e">
        <f>DO737+BL737</f>
        <v>#VALUE!</v>
      </c>
      <c r="DQ737" s="48"/>
      <c r="DR737" s="48"/>
      <c r="DS737" s="48"/>
      <c r="DT737" s="48"/>
      <c r="DU737" s="48"/>
      <c r="DV737" s="48"/>
      <c r="DW737" s="48"/>
      <c r="DX737" s="48"/>
      <c r="DY737" s="48"/>
      <c r="EA737" s="52">
        <f t="shared" si="4168"/>
        <v>304.55</v>
      </c>
      <c r="EB737" s="52">
        <f t="shared" si="4169"/>
        <v>261.67920000000004</v>
      </c>
      <c r="EC737" s="52"/>
      <c r="ED737" s="429"/>
      <c r="EE737" s="51" t="str">
        <f t="shared" si="4133"/>
        <v/>
      </c>
      <c r="EF737" s="51">
        <f t="shared" si="4134"/>
        <v>0</v>
      </c>
      <c r="EG737" s="51">
        <f t="shared" si="4170"/>
        <v>261.67920000000004</v>
      </c>
      <c r="EH737" s="54"/>
      <c r="EI737" s="54"/>
      <c r="EJ737" s="54"/>
      <c r="EK737" s="675"/>
      <c r="EL737" s="53"/>
      <c r="EM737" s="53"/>
      <c r="EN737" s="53"/>
      <c r="EO737" s="49"/>
      <c r="EP737" s="49"/>
      <c r="EQ737" s="49"/>
    </row>
    <row r="738" spans="1:149">
      <c r="A738" s="15" t="s">
        <v>23</v>
      </c>
      <c r="B738" s="14" t="s">
        <v>7</v>
      </c>
      <c r="C738" s="16" t="s">
        <v>45</v>
      </c>
      <c r="D738" s="16"/>
      <c r="E738" s="16" t="s">
        <v>16</v>
      </c>
      <c r="F738" s="16"/>
      <c r="G738" s="146" t="s">
        <v>89</v>
      </c>
      <c r="H738" s="146"/>
      <c r="I738" s="147"/>
      <c r="J738" s="32">
        <f t="shared" ref="J738:AJ738" si="4179">IF(J11="","",J751/J737)</f>
        <v>0.94319114027891715</v>
      </c>
      <c r="K738" s="32">
        <f t="shared" si="4179"/>
        <v>0.94319114027891715</v>
      </c>
      <c r="L738" s="32">
        <f t="shared" si="4179"/>
        <v>0.94319114027891715</v>
      </c>
      <c r="M738" s="32">
        <f t="shared" si="4179"/>
        <v>0.94319114027891715</v>
      </c>
      <c r="N738" s="32">
        <f t="shared" si="4179"/>
        <v>0.94319114027891715</v>
      </c>
      <c r="O738" s="32">
        <f t="shared" si="4179"/>
        <v>0.94319114027891715</v>
      </c>
      <c r="P738" s="32">
        <f t="shared" si="4179"/>
        <v>0.94319114027891715</v>
      </c>
      <c r="Q738" s="32">
        <f t="shared" si="4179"/>
        <v>0.94319114027891715</v>
      </c>
      <c r="R738" s="32">
        <f t="shared" si="4179"/>
        <v>0.94319114027891715</v>
      </c>
      <c r="S738" s="32">
        <f t="shared" si="4179"/>
        <v>0.94319114027891715</v>
      </c>
      <c r="T738" s="32">
        <f t="shared" si="4179"/>
        <v>0.94319114027891715</v>
      </c>
      <c r="U738" s="32">
        <f t="shared" si="4179"/>
        <v>0.94313709277327595</v>
      </c>
      <c r="V738" s="148">
        <f t="shared" si="4179"/>
        <v>0.94999999999999984</v>
      </c>
      <c r="W738" s="32">
        <f t="shared" si="4179"/>
        <v>0.95000000000000007</v>
      </c>
      <c r="X738" s="32">
        <f t="shared" si="4179"/>
        <v>0.95</v>
      </c>
      <c r="Y738" s="32">
        <f t="shared" si="4179"/>
        <v>0.94999999999999973</v>
      </c>
      <c r="Z738" s="32">
        <f t="shared" si="4179"/>
        <v>0.95</v>
      </c>
      <c r="AA738" s="32">
        <f t="shared" si="4179"/>
        <v>0.95</v>
      </c>
      <c r="AB738" s="32">
        <f t="shared" si="4179"/>
        <v>0.95000000000000018</v>
      </c>
      <c r="AC738" s="32">
        <f t="shared" si="4179"/>
        <v>0.95000000000000007</v>
      </c>
      <c r="AD738" s="32">
        <f t="shared" si="4179"/>
        <v>0.94999999999999984</v>
      </c>
      <c r="AE738" s="32">
        <f t="shared" si="4179"/>
        <v>0.95</v>
      </c>
      <c r="AF738" s="32">
        <f t="shared" si="4179"/>
        <v>0.95000000000000007</v>
      </c>
      <c r="AG738" s="32">
        <f t="shared" si="4179"/>
        <v>0.95</v>
      </c>
      <c r="AH738" s="148">
        <v>0.95</v>
      </c>
      <c r="AI738" s="32" t="str">
        <f t="shared" si="4179"/>
        <v/>
      </c>
      <c r="AJ738" s="32" t="str">
        <f t="shared" si="4179"/>
        <v/>
      </c>
      <c r="AK738" s="412"/>
      <c r="AL738" s="55">
        <f>J738</f>
        <v>0.94319114027891715</v>
      </c>
      <c r="AM738" s="55">
        <f t="shared" si="4176"/>
        <v>0.94319114027891715</v>
      </c>
      <c r="AN738" s="55">
        <f t="shared" si="4176"/>
        <v>0.94319114027891715</v>
      </c>
      <c r="AO738" s="55">
        <f t="shared" si="4176"/>
        <v>0.94319114027891715</v>
      </c>
      <c r="AP738" s="55">
        <f t="shared" si="4176"/>
        <v>0.94319114027891715</v>
      </c>
      <c r="AQ738" s="55">
        <f t="shared" si="4176"/>
        <v>0.94319114027891715</v>
      </c>
      <c r="AR738" s="55">
        <f t="shared" si="4176"/>
        <v>0.94319114027891715</v>
      </c>
      <c r="AS738" s="55">
        <f t="shared" si="4176"/>
        <v>0.94319114027891715</v>
      </c>
      <c r="AT738" s="55">
        <f t="shared" si="4176"/>
        <v>0.94319114027891715</v>
      </c>
      <c r="AU738" s="55">
        <f t="shared" si="4176"/>
        <v>0.94319114027891715</v>
      </c>
      <c r="AV738" s="55">
        <f t="shared" si="4176"/>
        <v>0.94319114027891715</v>
      </c>
      <c r="AW738" s="55">
        <f t="shared" si="4176"/>
        <v>0.94313709277327595</v>
      </c>
      <c r="AX738" s="55">
        <f>V738</f>
        <v>0.94999999999999984</v>
      </c>
      <c r="AY738" s="55">
        <f t="shared" ref="AY738:BI738" si="4180">W738</f>
        <v>0.95000000000000007</v>
      </c>
      <c r="AZ738" s="55">
        <f t="shared" si="4180"/>
        <v>0.95</v>
      </c>
      <c r="BA738" s="55">
        <f t="shared" si="4180"/>
        <v>0.94999999999999973</v>
      </c>
      <c r="BB738" s="55">
        <f t="shared" si="4180"/>
        <v>0.95</v>
      </c>
      <c r="BC738" s="55">
        <f t="shared" si="4180"/>
        <v>0.95</v>
      </c>
      <c r="BD738" s="55">
        <f t="shared" si="4180"/>
        <v>0.95000000000000018</v>
      </c>
      <c r="BE738" s="55">
        <f t="shared" si="4180"/>
        <v>0.95000000000000007</v>
      </c>
      <c r="BF738" s="55">
        <f t="shared" si="4180"/>
        <v>0.94999999999999984</v>
      </c>
      <c r="BG738" s="55">
        <f t="shared" si="4180"/>
        <v>0.95</v>
      </c>
      <c r="BH738" s="55">
        <f t="shared" si="4180"/>
        <v>0.95000000000000007</v>
      </c>
      <c r="BI738" s="55">
        <f t="shared" si="4180"/>
        <v>0.95</v>
      </c>
      <c r="BJ738" s="55">
        <f t="shared" si="4165"/>
        <v>0.95</v>
      </c>
      <c r="BK738" s="55" t="str">
        <f>AI738</f>
        <v/>
      </c>
      <c r="BL738" s="55" t="str">
        <f>AJ738</f>
        <v/>
      </c>
      <c r="BM738" s="410"/>
      <c r="BN738" s="56">
        <f t="shared" si="4136"/>
        <v>0.94319114027891715</v>
      </c>
      <c r="BO738" s="56">
        <f t="shared" si="4137"/>
        <v>0.94319114027891715</v>
      </c>
      <c r="BP738" s="56">
        <f>(AL738*AL737+AM738*AM737+AN738*AN737)/BP737</f>
        <v>0.94319114027891715</v>
      </c>
      <c r="BQ738" s="56">
        <f t="shared" si="4139"/>
        <v>0.94319114027891715</v>
      </c>
      <c r="BR738" s="56">
        <f t="shared" si="4140"/>
        <v>0.94319114027891715</v>
      </c>
      <c r="BS738" s="56">
        <f>(AO738*AO737+AP738*AP737+AQ738*AQ737)/BS737</f>
        <v>0.94319114027891715</v>
      </c>
      <c r="BT738" s="56">
        <f t="shared" si="4142"/>
        <v>0.94319114027891715</v>
      </c>
      <c r="BU738" s="56">
        <f t="shared" si="4143"/>
        <v>0.94319114027891715</v>
      </c>
      <c r="BV738" s="56">
        <f>(AR738*AR737+AS738*AS737+AT738*AT737)/BV737</f>
        <v>0.94319114027891715</v>
      </c>
      <c r="BW738" s="56">
        <f t="shared" si="4145"/>
        <v>0.94317321927948683</v>
      </c>
      <c r="BX738" s="56">
        <f t="shared" si="4146"/>
        <v>0.94317321927948683</v>
      </c>
      <c r="BY738" s="56">
        <f>(AU738*AU737+AV738*AV737+AW738*AW737)/BY737</f>
        <v>0.94317321927948683</v>
      </c>
      <c r="BZ738" s="56">
        <f t="shared" si="4148"/>
        <v>0.95</v>
      </c>
      <c r="CA738" s="56">
        <f t="shared" si="4149"/>
        <v>0.95</v>
      </c>
      <c r="CB738" s="99">
        <f t="shared" si="4172"/>
        <v>0.95</v>
      </c>
      <c r="CC738" s="56">
        <f t="shared" si="4150"/>
        <v>2.8499999999999996</v>
      </c>
      <c r="CD738" s="56">
        <f t="shared" si="4151"/>
        <v>2.8499999999999996</v>
      </c>
      <c r="CE738" s="48">
        <f>SUM(BA738:BC738)</f>
        <v>2.8499999999999996</v>
      </c>
      <c r="CF738" s="56">
        <f t="shared" si="4153"/>
        <v>2.85</v>
      </c>
      <c r="CG738" s="56">
        <f t="shared" si="4154"/>
        <v>2.85</v>
      </c>
      <c r="CH738" s="48">
        <f>SUM(BD738:BF738)</f>
        <v>2.85</v>
      </c>
      <c r="CI738" s="56">
        <f t="shared" si="4156"/>
        <v>2.8499999999999996</v>
      </c>
      <c r="CJ738" s="56">
        <f t="shared" si="4157"/>
        <v>2.8499999999999996</v>
      </c>
      <c r="CK738" s="48">
        <f>SUM(BG738:BI738)</f>
        <v>2.8499999999999996</v>
      </c>
      <c r="CL738" s="56" t="e">
        <f t="shared" si="4159"/>
        <v>#VALUE!</v>
      </c>
      <c r="CM738" s="56" t="e">
        <f t="shared" si="4160"/>
        <v>#VALUE!</v>
      </c>
      <c r="CN738" s="56" t="e">
        <f>(BJ738*BJ737+BK738*BK737+BL738*BL737)/CN737</f>
        <v>#VALUE!</v>
      </c>
      <c r="CO738" s="422"/>
      <c r="CP738" s="56">
        <f t="shared" ref="CP738:DA738" si="4181">CP751/CP737</f>
        <v>0.94319114027891715</v>
      </c>
      <c r="CQ738" s="56">
        <f t="shared" si="4181"/>
        <v>0.94319114027891715</v>
      </c>
      <c r="CR738" s="56">
        <f t="shared" si="4181"/>
        <v>0.94319114027891715</v>
      </c>
      <c r="CS738" s="56">
        <f t="shared" si="4181"/>
        <v>0.94319114027891715</v>
      </c>
      <c r="CT738" s="56">
        <f t="shared" si="4181"/>
        <v>0.94319114027891726</v>
      </c>
      <c r="CU738" s="56">
        <f t="shared" si="4181"/>
        <v>0.94319114027891715</v>
      </c>
      <c r="CV738" s="56">
        <f t="shared" si="4181"/>
        <v>0.94319114027891704</v>
      </c>
      <c r="CW738" s="56">
        <f t="shared" si="4181"/>
        <v>0.94319114027891704</v>
      </c>
      <c r="CX738" s="56">
        <f t="shared" si="4181"/>
        <v>0.94319114027891704</v>
      </c>
      <c r="CY738" s="56">
        <f t="shared" si="4181"/>
        <v>0.94319114027891704</v>
      </c>
      <c r="CZ738" s="56">
        <f t="shared" si="4181"/>
        <v>0.94319114027891704</v>
      </c>
      <c r="DA738" s="56">
        <f t="shared" si="4181"/>
        <v>0.94318666885568869</v>
      </c>
      <c r="DB738" s="56">
        <f>V738</f>
        <v>0.94999999999999984</v>
      </c>
      <c r="DC738" s="56">
        <f t="shared" ref="DC738:DP738" si="4182">DB738</f>
        <v>0.94999999999999984</v>
      </c>
      <c r="DD738" s="56">
        <f t="shared" si="4182"/>
        <v>0.94999999999999984</v>
      </c>
      <c r="DE738" s="56">
        <f t="shared" si="4182"/>
        <v>0.94999999999999984</v>
      </c>
      <c r="DF738" s="56">
        <f t="shared" si="4182"/>
        <v>0.94999999999999984</v>
      </c>
      <c r="DG738" s="56">
        <f t="shared" si="4182"/>
        <v>0.94999999999999984</v>
      </c>
      <c r="DH738" s="56">
        <f t="shared" si="4182"/>
        <v>0.94999999999999984</v>
      </c>
      <c r="DI738" s="56">
        <f t="shared" si="4182"/>
        <v>0.94999999999999984</v>
      </c>
      <c r="DJ738" s="56">
        <f t="shared" si="4182"/>
        <v>0.94999999999999984</v>
      </c>
      <c r="DK738" s="56">
        <f t="shared" si="4182"/>
        <v>0.94999999999999984</v>
      </c>
      <c r="DL738" s="56">
        <f t="shared" si="4182"/>
        <v>0.94999999999999984</v>
      </c>
      <c r="DM738" s="56">
        <f t="shared" si="4182"/>
        <v>0.94999999999999984</v>
      </c>
      <c r="DN738" s="56">
        <f t="shared" si="4182"/>
        <v>0.94999999999999984</v>
      </c>
      <c r="DO738" s="56">
        <f t="shared" si="4182"/>
        <v>0.94999999999999984</v>
      </c>
      <c r="DP738" s="56">
        <f t="shared" si="4182"/>
        <v>0.94999999999999984</v>
      </c>
      <c r="DQ738" s="56"/>
      <c r="DR738" s="56"/>
      <c r="DS738" s="56"/>
      <c r="DT738" s="56"/>
      <c r="DU738" s="56"/>
      <c r="DV738" s="56"/>
      <c r="DW738" s="56"/>
      <c r="DX738" s="56"/>
      <c r="DY738" s="56"/>
      <c r="DZ738" s="14"/>
      <c r="EA738" s="55">
        <f t="shared" si="4168"/>
        <v>0.94318666885568869</v>
      </c>
      <c r="EB738" s="55">
        <f t="shared" si="4169"/>
        <v>0.94999999999999984</v>
      </c>
      <c r="EC738" s="55"/>
      <c r="ED738" s="430"/>
      <c r="EE738" s="56" t="str">
        <f t="shared" si="4133"/>
        <v/>
      </c>
      <c r="EF738" s="56" t="e">
        <f t="shared" si="4134"/>
        <v>#VALUE!</v>
      </c>
      <c r="EG738" s="56">
        <f t="shared" si="4170"/>
        <v>0.94999999999999984</v>
      </c>
      <c r="EH738" s="57"/>
      <c r="EI738" s="57"/>
      <c r="EJ738" s="57"/>
      <c r="EK738" s="675"/>
      <c r="EL738" s="55"/>
      <c r="EM738" s="55"/>
      <c r="EN738" s="55"/>
      <c r="EO738" s="49"/>
      <c r="EP738" s="49"/>
      <c r="EQ738" s="49"/>
      <c r="ER738" s="14"/>
      <c r="ES738" s="14"/>
    </row>
    <row r="739" spans="1:149">
      <c r="A739" s="6" t="s">
        <v>23</v>
      </c>
      <c r="B739" s="2" t="s">
        <v>8</v>
      </c>
      <c r="C739" s="3" t="s">
        <v>86</v>
      </c>
      <c r="E739" s="3" t="s">
        <v>16</v>
      </c>
      <c r="G739" s="28" t="s">
        <v>91</v>
      </c>
      <c r="H739" s="28"/>
      <c r="I739" s="29"/>
      <c r="J739" s="139">
        <f t="shared" ref="J739:AJ739" si="4183">IF(J13="","",J13+J79+J145+J211+J277+J343+J409+J475+J541+J607+J673)</f>
        <v>19.453333333</v>
      </c>
      <c r="K739" s="139">
        <f t="shared" si="4183"/>
        <v>36.783332600000001</v>
      </c>
      <c r="L739" s="139">
        <f t="shared" si="4183"/>
        <v>54.1133332</v>
      </c>
      <c r="M739" s="139">
        <f t="shared" si="4183"/>
        <v>71.443329800000001</v>
      </c>
      <c r="N739" s="139">
        <f t="shared" si="4183"/>
        <v>88.773332400000001</v>
      </c>
      <c r="O739" s="139">
        <f t="shared" si="4183"/>
        <v>106.10333299999999</v>
      </c>
      <c r="P739" s="139">
        <f t="shared" si="4183"/>
        <v>123.4332996</v>
      </c>
      <c r="Q739" s="139">
        <f t="shared" si="4183"/>
        <v>140.76366619999999</v>
      </c>
      <c r="R739" s="139">
        <f t="shared" si="4183"/>
        <v>158.09333279999998</v>
      </c>
      <c r="S739" s="139">
        <f t="shared" si="4183"/>
        <v>175.42329939999999</v>
      </c>
      <c r="T739" s="139">
        <f t="shared" si="4183"/>
        <v>192.753366</v>
      </c>
      <c r="U739" s="139">
        <f t="shared" si="4183"/>
        <v>210.08333259999998</v>
      </c>
      <c r="V739" s="141">
        <f t="shared" si="4183"/>
        <v>19.579266666666669</v>
      </c>
      <c r="W739" s="139">
        <f t="shared" si="4183"/>
        <v>39.158533666666671</v>
      </c>
      <c r="X739" s="139">
        <f t="shared" si="4183"/>
        <v>58.737800666666665</v>
      </c>
      <c r="Y739" s="139">
        <f t="shared" si="4183"/>
        <v>78.317067666666674</v>
      </c>
      <c r="Z739" s="139">
        <f t="shared" si="4183"/>
        <v>97.896334666666661</v>
      </c>
      <c r="AA739" s="139">
        <f t="shared" si="4183"/>
        <v>117.47560166666666</v>
      </c>
      <c r="AB739" s="139">
        <f t="shared" si="4183"/>
        <v>137.05486866666666</v>
      </c>
      <c r="AC739" s="139">
        <f t="shared" si="4183"/>
        <v>156.63413566666668</v>
      </c>
      <c r="AD739" s="139">
        <f t="shared" si="4183"/>
        <v>176.21340266666667</v>
      </c>
      <c r="AE739" s="139">
        <f t="shared" si="4183"/>
        <v>195.79266966666668</v>
      </c>
      <c r="AF739" s="139">
        <f t="shared" si="4183"/>
        <v>215.3719366666667</v>
      </c>
      <c r="AG739" s="139">
        <f t="shared" si="4183"/>
        <v>234.95120366666669</v>
      </c>
      <c r="AH739" s="141" t="str">
        <f t="shared" si="4183"/>
        <v/>
      </c>
      <c r="AI739" s="139" t="str">
        <f t="shared" si="4183"/>
        <v/>
      </c>
      <c r="AJ739" s="139" t="str">
        <f t="shared" si="4183"/>
        <v/>
      </c>
      <c r="AK739" s="408"/>
      <c r="AL739" s="40">
        <f>J739</f>
        <v>19.453333333</v>
      </c>
      <c r="AM739" s="40">
        <f>K739-J739</f>
        <v>17.329999267000002</v>
      </c>
      <c r="AN739" s="40">
        <f t="shared" ref="AN739:AN745" si="4184">L739-K739</f>
        <v>17.330000599999998</v>
      </c>
      <c r="AO739" s="40">
        <f t="shared" ref="AO739:AO745" si="4185">M739-L739</f>
        <v>17.329996600000001</v>
      </c>
      <c r="AP739" s="40">
        <f t="shared" ref="AP739:AP745" si="4186">N739-M739</f>
        <v>17.3300026</v>
      </c>
      <c r="AQ739" s="40">
        <f t="shared" ref="AQ739:AQ745" si="4187">O739-N739</f>
        <v>17.330000599999991</v>
      </c>
      <c r="AR739" s="40">
        <f t="shared" ref="AR739:AR745" si="4188">P739-O739</f>
        <v>17.329966600000006</v>
      </c>
      <c r="AS739" s="40">
        <f t="shared" ref="AS739:AS745" si="4189">Q739-P739</f>
        <v>17.330366599999991</v>
      </c>
      <c r="AT739" s="40">
        <f t="shared" ref="AT739:AT745" si="4190">R739-Q739</f>
        <v>17.329666599999996</v>
      </c>
      <c r="AU739" s="40">
        <f t="shared" ref="AU739:AU745" si="4191">S739-R739</f>
        <v>17.329966600000006</v>
      </c>
      <c r="AV739" s="40">
        <f t="shared" ref="AV739:AV745" si="4192">T739-S739</f>
        <v>17.330066600000009</v>
      </c>
      <c r="AW739" s="40">
        <f t="shared" ref="AW739:AW745" si="4193">U739-T739</f>
        <v>17.329966599999977</v>
      </c>
      <c r="AX739" s="40">
        <f>V739</f>
        <v>19.579266666666669</v>
      </c>
      <c r="AY739" s="40">
        <f t="shared" ref="AY739:AY745" si="4194">W739-V739</f>
        <v>19.579267000000002</v>
      </c>
      <c r="AZ739" s="40">
        <f t="shared" ref="AZ739:AZ745" si="4195">X739-W739</f>
        <v>19.579266999999994</v>
      </c>
      <c r="BA739" s="40">
        <f t="shared" ref="BA739:BA745" si="4196">Y739-X739</f>
        <v>19.579267000000009</v>
      </c>
      <c r="BB739" s="40">
        <f t="shared" ref="BB739:BB745" si="4197">Z739-Y739</f>
        <v>19.579266999999987</v>
      </c>
      <c r="BC739" s="40">
        <f t="shared" ref="BC739:BC745" si="4198">AA739-Z739</f>
        <v>19.579267000000002</v>
      </c>
      <c r="BD739" s="40">
        <f t="shared" ref="BD739:BD745" si="4199">AB739-AA739</f>
        <v>19.579267000000002</v>
      </c>
      <c r="BE739" s="40">
        <f t="shared" ref="BE739:BE745" si="4200">AC739-AB739</f>
        <v>19.579267000000016</v>
      </c>
      <c r="BF739" s="40">
        <f t="shared" ref="BF739:BF745" si="4201">AD739-AC739</f>
        <v>19.579266999999987</v>
      </c>
      <c r="BG739" s="40">
        <f t="shared" ref="BG739:BG745" si="4202">AE739-AD739</f>
        <v>19.579267000000016</v>
      </c>
      <c r="BH739" s="40">
        <f t="shared" ref="BH739:BH745" si="4203">AF739-AE739</f>
        <v>19.579267000000016</v>
      </c>
      <c r="BI739" s="40">
        <f t="shared" ref="BI739:BI745" si="4204">AG739-AF739</f>
        <v>19.579266999999987</v>
      </c>
      <c r="BJ739" s="40" t="str">
        <f t="shared" si="4165"/>
        <v/>
      </c>
      <c r="BK739" s="40"/>
      <c r="BL739" s="40" t="e">
        <f t="shared" ref="BL739:BL745" si="4205">AJ739-AI739</f>
        <v>#VALUE!</v>
      </c>
      <c r="BM739" s="408"/>
      <c r="BN739" s="48">
        <f t="shared" si="4136"/>
        <v>54.1133332</v>
      </c>
      <c r="BO739" s="48">
        <f t="shared" si="4137"/>
        <v>54.1133332</v>
      </c>
      <c r="BP739" s="48">
        <f t="shared" ref="BP739:BP744" si="4206">SUM(AL739:AN739)</f>
        <v>54.1133332</v>
      </c>
      <c r="BQ739" s="48">
        <f t="shared" si="4139"/>
        <v>51.989999799999993</v>
      </c>
      <c r="BR739" s="48">
        <f t="shared" si="4140"/>
        <v>51.989999799999993</v>
      </c>
      <c r="BS739" s="48">
        <f t="shared" ref="BS739:BS744" si="4207">SUM(AO739:AQ739)</f>
        <v>51.989999799999993</v>
      </c>
      <c r="BT739" s="48">
        <f t="shared" si="4142"/>
        <v>51.989999799999993</v>
      </c>
      <c r="BU739" s="48">
        <f t="shared" si="4143"/>
        <v>51.989999799999993</v>
      </c>
      <c r="BV739" s="48">
        <f t="shared" ref="BV739:BV744" si="4208">SUM(AR739:AT739)</f>
        <v>51.989999799999993</v>
      </c>
      <c r="BW739" s="48">
        <f t="shared" si="4145"/>
        <v>51.989999799999993</v>
      </c>
      <c r="BX739" s="48">
        <f t="shared" si="4146"/>
        <v>51.989999799999993</v>
      </c>
      <c r="BY739" s="48">
        <f t="shared" ref="BY739:BY744" si="4209">SUM(AU739:AW739)</f>
        <v>51.989999799999993</v>
      </c>
      <c r="BZ739" s="48">
        <f t="shared" si="4148"/>
        <v>58.737800666666665</v>
      </c>
      <c r="CA739" s="48">
        <f t="shared" si="4149"/>
        <v>58.737800666666665</v>
      </c>
      <c r="CB739" s="48">
        <f t="shared" si="4172"/>
        <v>58.737800666666665</v>
      </c>
      <c r="CC739" s="48">
        <f t="shared" si="4150"/>
        <v>58.737800999999997</v>
      </c>
      <c r="CD739" s="48">
        <f t="shared" si="4151"/>
        <v>58.737800999999997</v>
      </c>
      <c r="CE739" s="48">
        <f>SUM(BA739:BC739)</f>
        <v>58.737800999999997</v>
      </c>
      <c r="CF739" s="48">
        <f t="shared" si="4153"/>
        <v>58.737801000000005</v>
      </c>
      <c r="CG739" s="48">
        <f t="shared" si="4154"/>
        <v>58.737801000000005</v>
      </c>
      <c r="CH739" s="48">
        <f>SUM(BD739:BF739)</f>
        <v>58.737801000000005</v>
      </c>
      <c r="CI739" s="48">
        <f t="shared" si="4156"/>
        <v>58.737801000000019</v>
      </c>
      <c r="CJ739" s="48">
        <f t="shared" si="4157"/>
        <v>58.737801000000019</v>
      </c>
      <c r="CK739" s="48">
        <f>SUM(BG739:BI739)</f>
        <v>58.737801000000019</v>
      </c>
      <c r="CL739" s="48" t="e">
        <f t="shared" si="4159"/>
        <v>#VALUE!</v>
      </c>
      <c r="CM739" s="48" t="e">
        <f t="shared" si="4160"/>
        <v>#VALUE!</v>
      </c>
      <c r="CN739" s="48" t="e">
        <f>SUM(BJ739:BL739)</f>
        <v>#VALUE!</v>
      </c>
      <c r="CO739" s="406"/>
      <c r="CP739" s="48">
        <f>AL739</f>
        <v>19.453333333</v>
      </c>
      <c r="CQ739" s="48">
        <f t="shared" ref="CQ739:CQ745" si="4210">CP739+AM739</f>
        <v>36.783332600000001</v>
      </c>
      <c r="CR739" s="48">
        <f t="shared" ref="CR739:CR745" si="4211">CQ739+AN739</f>
        <v>54.1133332</v>
      </c>
      <c r="CS739" s="48">
        <f t="shared" ref="CS739:CS745" si="4212">CR739+AO739</f>
        <v>71.443329800000001</v>
      </c>
      <c r="CT739" s="48">
        <f t="shared" ref="CT739:CT745" si="4213">CS739+AP739</f>
        <v>88.773332400000001</v>
      </c>
      <c r="CU739" s="48">
        <f t="shared" ref="CU739:CU745" si="4214">CT739+AQ739</f>
        <v>106.10333299999999</v>
      </c>
      <c r="CV739" s="48">
        <f t="shared" ref="CV739:CV745" si="4215">CU739+AR739</f>
        <v>123.4332996</v>
      </c>
      <c r="CW739" s="48">
        <f t="shared" ref="CW739:CW745" si="4216">CV739+AS739</f>
        <v>140.76366619999999</v>
      </c>
      <c r="CX739" s="48">
        <f t="shared" ref="CX739:CX745" si="4217">CW739+AT739</f>
        <v>158.09333279999998</v>
      </c>
      <c r="CY739" s="48">
        <f t="shared" ref="CY739:CY745" si="4218">CX739+AU739</f>
        <v>175.42329939999999</v>
      </c>
      <c r="CZ739" s="48">
        <f t="shared" ref="CZ739:CZ745" si="4219">CY739+AV739</f>
        <v>192.753366</v>
      </c>
      <c r="DA739" s="48">
        <f t="shared" ref="DA739:DA745" si="4220">CZ739+AW739</f>
        <v>210.08333259999998</v>
      </c>
      <c r="DB739" s="48">
        <f>AX739</f>
        <v>19.579266666666669</v>
      </c>
      <c r="DC739" s="48">
        <f t="shared" ref="DC739:DC745" si="4221">DB739+AY739</f>
        <v>39.158533666666671</v>
      </c>
      <c r="DD739" s="48">
        <f t="shared" ref="DD739:DD745" si="4222">DC739+AZ739</f>
        <v>58.737800666666665</v>
      </c>
      <c r="DE739" s="48">
        <f t="shared" ref="DE739:DE745" si="4223">DD739+BA739</f>
        <v>78.317067666666674</v>
      </c>
      <c r="DF739" s="48">
        <f t="shared" ref="DF739:DF745" si="4224">DE739+BB739</f>
        <v>97.896334666666661</v>
      </c>
      <c r="DG739" s="48">
        <f t="shared" ref="DG739:DG745" si="4225">DF739+BC739</f>
        <v>117.47560166666666</v>
      </c>
      <c r="DH739" s="48">
        <f t="shared" ref="DH739:DH745" si="4226">DG739+BD739</f>
        <v>137.05486866666666</v>
      </c>
      <c r="DI739" s="48">
        <f t="shared" ref="DI739:DI745" si="4227">DH739+BE739</f>
        <v>156.63413566666668</v>
      </c>
      <c r="DJ739" s="48">
        <f t="shared" ref="DJ739:DJ745" si="4228">DI739+BF739</f>
        <v>176.21340266666667</v>
      </c>
      <c r="DK739" s="48">
        <f t="shared" ref="DK739:DK745" si="4229">DJ739+BG739</f>
        <v>195.79266966666668</v>
      </c>
      <c r="DL739" s="48">
        <f t="shared" ref="DL739:DL745" si="4230">DK739+BH739</f>
        <v>215.3719366666667</v>
      </c>
      <c r="DM739" s="48">
        <f t="shared" ref="DM739:DM745" si="4231">DL739+BI739</f>
        <v>234.95120366666669</v>
      </c>
      <c r="DN739" s="48" t="str">
        <f t="shared" ref="DN739:DN744" si="4232">BJ739</f>
        <v/>
      </c>
      <c r="DO739" s="48" t="e">
        <f>DN739+BK739</f>
        <v>#VALUE!</v>
      </c>
      <c r="DP739" s="48" t="e">
        <f>DO739+BL739</f>
        <v>#VALUE!</v>
      </c>
      <c r="DQ739" s="48"/>
      <c r="DR739" s="48"/>
      <c r="DS739" s="48"/>
      <c r="DT739" s="48"/>
      <c r="DU739" s="48"/>
      <c r="DV739" s="48"/>
      <c r="DW739" s="48"/>
      <c r="DX739" s="48"/>
      <c r="DY739" s="48"/>
      <c r="EA739" s="52">
        <f t="shared" si="4168"/>
        <v>210.08333259999998</v>
      </c>
      <c r="EB739" s="52">
        <f t="shared" si="4169"/>
        <v>234.95120366666669</v>
      </c>
      <c r="EC739" s="52"/>
      <c r="ED739" s="429"/>
      <c r="EE739" s="40">
        <f t="shared" si="4133"/>
        <v>0</v>
      </c>
      <c r="EF739" s="40" t="e">
        <f t="shared" si="4134"/>
        <v>#VALUE!</v>
      </c>
      <c r="EG739" s="51">
        <f t="shared" si="4170"/>
        <v>234.95120366666669</v>
      </c>
      <c r="EH739" s="54"/>
      <c r="EI739" s="54"/>
      <c r="EJ739" s="54"/>
      <c r="EK739" s="675"/>
      <c r="EL739" s="53"/>
      <c r="EM739" s="53"/>
      <c r="EN739" s="53"/>
      <c r="EO739" s="49"/>
      <c r="EP739" s="49"/>
      <c r="EQ739" s="49"/>
    </row>
    <row r="740" spans="1:149">
      <c r="A740" s="6" t="s">
        <v>23</v>
      </c>
      <c r="B740" s="2" t="s">
        <v>9</v>
      </c>
      <c r="C740" s="3" t="s">
        <v>46</v>
      </c>
      <c r="E740" s="3" t="s">
        <v>16</v>
      </c>
      <c r="G740" s="28" t="s">
        <v>91</v>
      </c>
      <c r="H740" s="28"/>
      <c r="I740" s="29"/>
      <c r="J740" s="139">
        <f t="shared" ref="J740:AJ740" si="4233">IF(J14="","",J14+J80+J146+J212+J278+J344+J410+J476+J542+J608+J674)</f>
        <v>917.58333333333326</v>
      </c>
      <c r="K740" s="139">
        <f t="shared" si="4233"/>
        <v>1835.1666671333335</v>
      </c>
      <c r="L740" s="139">
        <f t="shared" si="4233"/>
        <v>2752.7500009333335</v>
      </c>
      <c r="M740" s="139">
        <f t="shared" si="4233"/>
        <v>3670.3333347333337</v>
      </c>
      <c r="N740" s="139">
        <f t="shared" si="4233"/>
        <v>4587.9166685333339</v>
      </c>
      <c r="O740" s="139">
        <f t="shared" si="4233"/>
        <v>5505.5000023333332</v>
      </c>
      <c r="P740" s="139">
        <f t="shared" si="4233"/>
        <v>6423.0833361333334</v>
      </c>
      <c r="Q740" s="139">
        <f t="shared" si="4233"/>
        <v>7340.6666699333327</v>
      </c>
      <c r="R740" s="139">
        <f t="shared" si="4233"/>
        <v>8258.2500037333339</v>
      </c>
      <c r="S740" s="139">
        <f t="shared" si="4233"/>
        <v>9175.8333375333332</v>
      </c>
      <c r="T740" s="139">
        <f t="shared" si="4233"/>
        <v>10093.416671333334</v>
      </c>
      <c r="U740" s="139">
        <f t="shared" si="4233"/>
        <v>11011.000005133332</v>
      </c>
      <c r="V740" s="141">
        <f t="shared" si="4233"/>
        <v>1033.3745666666666</v>
      </c>
      <c r="W740" s="139">
        <f t="shared" si="4233"/>
        <v>2066.7491666666665</v>
      </c>
      <c r="X740" s="139">
        <f t="shared" si="4233"/>
        <v>3100.1237666666666</v>
      </c>
      <c r="Y740" s="139">
        <f t="shared" si="4233"/>
        <v>4133.4983666666667</v>
      </c>
      <c r="Z740" s="139">
        <f t="shared" si="4233"/>
        <v>5166.8729666666659</v>
      </c>
      <c r="AA740" s="139">
        <f t="shared" si="4233"/>
        <v>6200.2475666666669</v>
      </c>
      <c r="AB740" s="139">
        <f t="shared" si="4233"/>
        <v>7233.6221666666661</v>
      </c>
      <c r="AC740" s="139">
        <f t="shared" si="4233"/>
        <v>8266.9967666666671</v>
      </c>
      <c r="AD740" s="139">
        <f t="shared" si="4233"/>
        <v>9300.3713666666663</v>
      </c>
      <c r="AE740" s="139">
        <f t="shared" si="4233"/>
        <v>10333.745966666665</v>
      </c>
      <c r="AF740" s="139">
        <f t="shared" si="4233"/>
        <v>11367.120566666666</v>
      </c>
      <c r="AG740" s="139">
        <f t="shared" si="4233"/>
        <v>12400.495166666668</v>
      </c>
      <c r="AH740" s="141">
        <f t="shared" si="4233"/>
        <v>958.16666666666663</v>
      </c>
      <c r="AI740" s="139">
        <f t="shared" si="4233"/>
        <v>1816.3333333333333</v>
      </c>
      <c r="AJ740" s="139">
        <f t="shared" si="4233"/>
        <v>2733.25</v>
      </c>
      <c r="AK740" s="408"/>
      <c r="AL740" s="40">
        <f t="shared" ref="AL740:AL745" si="4234">J740</f>
        <v>917.58333333333326</v>
      </c>
      <c r="AM740" s="40">
        <f t="shared" ref="AM740:AM745" si="4235">K740-J740</f>
        <v>917.58333380000022</v>
      </c>
      <c r="AN740" s="40">
        <f t="shared" si="4184"/>
        <v>917.58333379999999</v>
      </c>
      <c r="AO740" s="40">
        <f t="shared" si="4185"/>
        <v>917.58333380000022</v>
      </c>
      <c r="AP740" s="40">
        <f t="shared" si="4186"/>
        <v>917.58333380000022</v>
      </c>
      <c r="AQ740" s="40">
        <f t="shared" si="4187"/>
        <v>917.58333379999931</v>
      </c>
      <c r="AR740" s="40">
        <f t="shared" si="4188"/>
        <v>917.58333380000022</v>
      </c>
      <c r="AS740" s="40">
        <f t="shared" si="4189"/>
        <v>917.58333379999931</v>
      </c>
      <c r="AT740" s="40">
        <f t="shared" si="4190"/>
        <v>917.58333380000113</v>
      </c>
      <c r="AU740" s="40">
        <f t="shared" si="4191"/>
        <v>917.58333379999931</v>
      </c>
      <c r="AV740" s="40">
        <f t="shared" si="4192"/>
        <v>917.58333380000113</v>
      </c>
      <c r="AW740" s="40">
        <f t="shared" si="4193"/>
        <v>917.58333379999749</v>
      </c>
      <c r="AX740" s="40">
        <f t="shared" ref="AX740:AX745" si="4236">V740</f>
        <v>1033.3745666666666</v>
      </c>
      <c r="AY740" s="40">
        <f t="shared" si="4194"/>
        <v>1033.3745999999999</v>
      </c>
      <c r="AZ740" s="40">
        <f t="shared" si="4195"/>
        <v>1033.3746000000001</v>
      </c>
      <c r="BA740" s="40">
        <f t="shared" si="4196"/>
        <v>1033.3746000000001</v>
      </c>
      <c r="BB740" s="40">
        <f t="shared" si="4197"/>
        <v>1033.3745999999992</v>
      </c>
      <c r="BC740" s="40">
        <f t="shared" si="4198"/>
        <v>1033.374600000001</v>
      </c>
      <c r="BD740" s="40">
        <f t="shared" si="4199"/>
        <v>1033.3745999999992</v>
      </c>
      <c r="BE740" s="40">
        <f t="shared" si="4200"/>
        <v>1033.374600000001</v>
      </c>
      <c r="BF740" s="40">
        <f t="shared" si="4201"/>
        <v>1033.3745999999992</v>
      </c>
      <c r="BG740" s="40">
        <f t="shared" si="4202"/>
        <v>1033.3745999999992</v>
      </c>
      <c r="BH740" s="40">
        <f t="shared" si="4203"/>
        <v>1033.374600000001</v>
      </c>
      <c r="BI740" s="40">
        <f t="shared" si="4204"/>
        <v>1033.374600000001</v>
      </c>
      <c r="BJ740" s="40">
        <f t="shared" si="4165"/>
        <v>958.16666666666663</v>
      </c>
      <c r="BK740" s="40">
        <f>BJ740+BJ740</f>
        <v>1916.3333333333333</v>
      </c>
      <c r="BL740" s="40">
        <f t="shared" si="4205"/>
        <v>916.91666666666674</v>
      </c>
      <c r="BM740" s="408"/>
      <c r="BN740" s="48">
        <f t="shared" si="4136"/>
        <v>2752.7500009333335</v>
      </c>
      <c r="BO740" s="48">
        <f t="shared" si="4137"/>
        <v>2752.7500009333335</v>
      </c>
      <c r="BP740" s="48">
        <f t="shared" si="4206"/>
        <v>2752.7500009333335</v>
      </c>
      <c r="BQ740" s="48">
        <f t="shared" si="4139"/>
        <v>2752.7500013999997</v>
      </c>
      <c r="BR740" s="48">
        <f t="shared" si="4140"/>
        <v>2752.7500013999997</v>
      </c>
      <c r="BS740" s="48">
        <f t="shared" si="4207"/>
        <v>2752.7500013999997</v>
      </c>
      <c r="BT740" s="48">
        <f t="shared" si="4142"/>
        <v>2752.7500014000007</v>
      </c>
      <c r="BU740" s="48">
        <f t="shared" si="4143"/>
        <v>2752.7500014000007</v>
      </c>
      <c r="BV740" s="48">
        <f t="shared" si="4208"/>
        <v>2752.7500014000007</v>
      </c>
      <c r="BW740" s="48">
        <f t="shared" si="4145"/>
        <v>2752.7500013999979</v>
      </c>
      <c r="BX740" s="48">
        <f t="shared" si="4146"/>
        <v>2752.7500013999979</v>
      </c>
      <c r="BY740" s="48">
        <f t="shared" si="4209"/>
        <v>2752.7500013999979</v>
      </c>
      <c r="BZ740" s="48">
        <f t="shared" si="4148"/>
        <v>3100.1237666666666</v>
      </c>
      <c r="CA740" s="48">
        <f t="shared" si="4149"/>
        <v>3100.1237666666666</v>
      </c>
      <c r="CB740" s="48">
        <f t="shared" si="4172"/>
        <v>3100.1237666666666</v>
      </c>
      <c r="CC740" s="48">
        <f t="shared" si="4150"/>
        <v>1033.3746000000001</v>
      </c>
      <c r="CD740" s="48">
        <f t="shared" si="4151"/>
        <v>1033.3746000000001</v>
      </c>
      <c r="CE740" s="56">
        <f>IF(CE739=0,0,(BA740*BA739+BB740*BB739+BC740*BC739)/CE739)</f>
        <v>1033.3746000000001</v>
      </c>
      <c r="CF740" s="48">
        <f t="shared" si="4153"/>
        <v>1033.3745999999999</v>
      </c>
      <c r="CG740" s="48">
        <f t="shared" si="4154"/>
        <v>1033.3745999999999</v>
      </c>
      <c r="CH740" s="56">
        <f>IF(CH739=0,0,(BD740*BD739+BE740*BE739+BF740*BF739)/CH739)</f>
        <v>1033.3745999999999</v>
      </c>
      <c r="CI740" s="48">
        <f t="shared" si="4156"/>
        <v>1033.3746000000006</v>
      </c>
      <c r="CJ740" s="48">
        <f t="shared" si="4157"/>
        <v>1033.3746000000006</v>
      </c>
      <c r="CK740" s="56">
        <f>IF(CK739=0,0,(BG740*BG739+BH740*BH739+BI740*BI739)/CK739)</f>
        <v>1033.3746000000006</v>
      </c>
      <c r="CL740" s="48">
        <f t="shared" si="4159"/>
        <v>3791.416666666667</v>
      </c>
      <c r="CM740" s="48">
        <f t="shared" si="4160"/>
        <v>3791.416666666667</v>
      </c>
      <c r="CN740" s="48">
        <f>SUM(BJ740:BL740)</f>
        <v>3791.416666666667</v>
      </c>
      <c r="CO740" s="406"/>
      <c r="CP740" s="48">
        <f t="shared" ref="CP740:CP745" si="4237">AL740</f>
        <v>917.58333333333326</v>
      </c>
      <c r="CQ740" s="48">
        <f t="shared" si="4210"/>
        <v>1835.1666671333335</v>
      </c>
      <c r="CR740" s="48">
        <f t="shared" si="4211"/>
        <v>2752.7500009333335</v>
      </c>
      <c r="CS740" s="48">
        <f t="shared" si="4212"/>
        <v>3670.3333347333337</v>
      </c>
      <c r="CT740" s="48">
        <f t="shared" si="4213"/>
        <v>4587.9166685333339</v>
      </c>
      <c r="CU740" s="48">
        <f t="shared" si="4214"/>
        <v>5505.5000023333332</v>
      </c>
      <c r="CV740" s="48">
        <f t="shared" si="4215"/>
        <v>6423.0833361333334</v>
      </c>
      <c r="CW740" s="48">
        <f t="shared" si="4216"/>
        <v>7340.6666699333327</v>
      </c>
      <c r="CX740" s="48">
        <f t="shared" si="4217"/>
        <v>8258.2500037333339</v>
      </c>
      <c r="CY740" s="48">
        <f t="shared" si="4218"/>
        <v>9175.8333375333332</v>
      </c>
      <c r="CZ740" s="48">
        <f t="shared" si="4219"/>
        <v>10093.416671333334</v>
      </c>
      <c r="DA740" s="48">
        <f t="shared" si="4220"/>
        <v>11011.000005133332</v>
      </c>
      <c r="DB740" s="48">
        <f t="shared" ref="DB740:DB745" si="4238">AX740</f>
        <v>1033.3745666666666</v>
      </c>
      <c r="DC740" s="48">
        <f t="shared" si="4221"/>
        <v>2066.7491666666665</v>
      </c>
      <c r="DD740" s="48">
        <f t="shared" si="4222"/>
        <v>3100.1237666666666</v>
      </c>
      <c r="DE740" s="48">
        <f t="shared" si="4223"/>
        <v>4133.4983666666667</v>
      </c>
      <c r="DF740" s="48">
        <f t="shared" si="4224"/>
        <v>5166.8729666666659</v>
      </c>
      <c r="DG740" s="48">
        <f t="shared" si="4225"/>
        <v>6200.2475666666669</v>
      </c>
      <c r="DH740" s="48">
        <f t="shared" si="4226"/>
        <v>7233.6221666666661</v>
      </c>
      <c r="DI740" s="48">
        <f t="shared" si="4227"/>
        <v>8266.9967666666671</v>
      </c>
      <c r="DJ740" s="48">
        <f t="shared" si="4228"/>
        <v>9300.3713666666663</v>
      </c>
      <c r="DK740" s="48">
        <f t="shared" si="4229"/>
        <v>10333.745966666665</v>
      </c>
      <c r="DL740" s="48">
        <f t="shared" si="4230"/>
        <v>11367.120566666666</v>
      </c>
      <c r="DM740" s="48">
        <f t="shared" si="4231"/>
        <v>12400.495166666668</v>
      </c>
      <c r="DN740" s="48">
        <f t="shared" si="4232"/>
        <v>958.16666666666663</v>
      </c>
      <c r="DO740" s="48">
        <f t="shared" ref="DO740:DO745" si="4239">DN740+BK740</f>
        <v>2874.5</v>
      </c>
      <c r="DP740" s="48">
        <f t="shared" ref="DP740:DP745" si="4240">DO740+BL740</f>
        <v>3791.416666666667</v>
      </c>
      <c r="DQ740" s="48"/>
      <c r="DR740" s="48"/>
      <c r="DS740" s="48"/>
      <c r="DT740" s="48"/>
      <c r="DU740" s="48"/>
      <c r="DV740" s="48"/>
      <c r="DW740" s="48"/>
      <c r="DX740" s="48"/>
      <c r="DY740" s="48"/>
      <c r="EA740" s="52">
        <f t="shared" si="4168"/>
        <v>11011.000005133332</v>
      </c>
      <c r="EB740" s="52">
        <f t="shared" si="4169"/>
        <v>12400.495166666668</v>
      </c>
      <c r="EC740" s="52"/>
      <c r="ED740" s="429"/>
      <c r="EE740" s="40">
        <f t="shared" si="4133"/>
        <v>1916.3333333333333</v>
      </c>
      <c r="EF740" s="40">
        <f t="shared" si="4134"/>
        <v>3791.416666666667</v>
      </c>
      <c r="EG740" s="51">
        <f t="shared" si="4170"/>
        <v>12400.495166666668</v>
      </c>
      <c r="EH740" s="54"/>
      <c r="EI740" s="54"/>
      <c r="EJ740" s="54"/>
      <c r="EK740" s="675"/>
      <c r="EL740" s="53"/>
      <c r="EM740" s="53"/>
      <c r="EN740" s="53"/>
      <c r="EO740" s="49"/>
      <c r="EP740" s="49"/>
      <c r="EQ740" s="49"/>
    </row>
    <row r="741" spans="1:149">
      <c r="A741" s="6" t="s">
        <v>23</v>
      </c>
      <c r="B741" s="2" t="s">
        <v>10</v>
      </c>
      <c r="C741" s="3" t="s">
        <v>47</v>
      </c>
      <c r="E741" s="3" t="s">
        <v>16</v>
      </c>
      <c r="G741" s="28" t="s">
        <v>91</v>
      </c>
      <c r="H741" s="28"/>
      <c r="I741" s="29"/>
      <c r="J741" s="139">
        <f t="shared" ref="J741:AJ741" si="4241">IF(J15="","",J15+J81+J147+J213+J279+J345+J411+J477+J543+J609+J675)</f>
        <v>76.292500000000004</v>
      </c>
      <c r="K741" s="139">
        <f t="shared" si="4241"/>
        <v>152.58500003700001</v>
      </c>
      <c r="L741" s="139">
        <f t="shared" si="4241"/>
        <v>228.87750007400001</v>
      </c>
      <c r="M741" s="139">
        <f t="shared" si="4241"/>
        <v>305.17000011100004</v>
      </c>
      <c r="N741" s="139">
        <f t="shared" si="4241"/>
        <v>381.462500148</v>
      </c>
      <c r="O741" s="139">
        <f t="shared" si="4241"/>
        <v>457.75500018499997</v>
      </c>
      <c r="P741" s="139">
        <f t="shared" si="4241"/>
        <v>534.04750022199994</v>
      </c>
      <c r="Q741" s="139">
        <f t="shared" si="4241"/>
        <v>610.34000025900002</v>
      </c>
      <c r="R741" s="139">
        <f t="shared" si="4241"/>
        <v>686.63250029599999</v>
      </c>
      <c r="S741" s="139">
        <f t="shared" si="4241"/>
        <v>762.92500033299984</v>
      </c>
      <c r="T741" s="139">
        <f t="shared" si="4241"/>
        <v>839.21750037000004</v>
      </c>
      <c r="U741" s="139">
        <f t="shared" si="4241"/>
        <v>915.51000040700001</v>
      </c>
      <c r="V741" s="141">
        <f t="shared" si="4241"/>
        <v>161.99926666666667</v>
      </c>
      <c r="W741" s="139">
        <f t="shared" si="4241"/>
        <v>323.9985666666667</v>
      </c>
      <c r="X741" s="139">
        <f t="shared" si="4241"/>
        <v>485.99786666666671</v>
      </c>
      <c r="Y741" s="139">
        <f t="shared" si="4241"/>
        <v>647.99716666666677</v>
      </c>
      <c r="Z741" s="139">
        <f t="shared" si="4241"/>
        <v>809.99646666666672</v>
      </c>
      <c r="AA741" s="139">
        <f t="shared" si="4241"/>
        <v>971.99576666666678</v>
      </c>
      <c r="AB741" s="139">
        <f t="shared" si="4241"/>
        <v>1133.9950666666668</v>
      </c>
      <c r="AC741" s="139">
        <f t="shared" si="4241"/>
        <v>1295.9943666666668</v>
      </c>
      <c r="AD741" s="139">
        <f t="shared" si="4241"/>
        <v>1457.9936666666667</v>
      </c>
      <c r="AE741" s="139">
        <f t="shared" si="4241"/>
        <v>1619.9929666666667</v>
      </c>
      <c r="AF741" s="139">
        <f t="shared" si="4241"/>
        <v>1781.9922666666669</v>
      </c>
      <c r="AG741" s="139">
        <f t="shared" si="4241"/>
        <v>1943.9915666666668</v>
      </c>
      <c r="AH741" s="141" t="str">
        <f t="shared" si="4241"/>
        <v/>
      </c>
      <c r="AI741" s="139" t="str">
        <f t="shared" si="4241"/>
        <v/>
      </c>
      <c r="AJ741" s="139" t="str">
        <f t="shared" si="4241"/>
        <v/>
      </c>
      <c r="AK741" s="408"/>
      <c r="AL741" s="40">
        <f t="shared" si="4234"/>
        <v>76.292500000000004</v>
      </c>
      <c r="AM741" s="40">
        <f t="shared" si="4235"/>
        <v>76.292500037000011</v>
      </c>
      <c r="AN741" s="40">
        <f t="shared" si="4184"/>
        <v>76.292500036999996</v>
      </c>
      <c r="AO741" s="40">
        <f t="shared" si="4185"/>
        <v>76.292500037000025</v>
      </c>
      <c r="AP741" s="40">
        <f t="shared" si="4186"/>
        <v>76.292500036999968</v>
      </c>
      <c r="AQ741" s="40">
        <f t="shared" si="4187"/>
        <v>76.292500036999968</v>
      </c>
      <c r="AR741" s="40">
        <f t="shared" si="4188"/>
        <v>76.292500036999968</v>
      </c>
      <c r="AS741" s="40">
        <f t="shared" si="4189"/>
        <v>76.292500037000082</v>
      </c>
      <c r="AT741" s="40">
        <f t="shared" si="4190"/>
        <v>76.292500036999968</v>
      </c>
      <c r="AU741" s="40">
        <f t="shared" si="4191"/>
        <v>76.292500036999854</v>
      </c>
      <c r="AV741" s="40">
        <f t="shared" si="4192"/>
        <v>76.292500037000195</v>
      </c>
      <c r="AW741" s="40">
        <f t="shared" si="4193"/>
        <v>76.292500036999968</v>
      </c>
      <c r="AX741" s="40">
        <f t="shared" si="4236"/>
        <v>161.99926666666667</v>
      </c>
      <c r="AY741" s="40">
        <f t="shared" si="4194"/>
        <v>161.99930000000003</v>
      </c>
      <c r="AZ741" s="40">
        <f t="shared" si="4195"/>
        <v>161.99930000000001</v>
      </c>
      <c r="BA741" s="40">
        <f t="shared" si="4196"/>
        <v>161.99930000000006</v>
      </c>
      <c r="BB741" s="40">
        <f t="shared" si="4197"/>
        <v>161.99929999999995</v>
      </c>
      <c r="BC741" s="40">
        <f t="shared" si="4198"/>
        <v>161.99930000000006</v>
      </c>
      <c r="BD741" s="40">
        <f t="shared" si="4199"/>
        <v>161.99930000000006</v>
      </c>
      <c r="BE741" s="40">
        <f t="shared" si="4200"/>
        <v>161.99929999999995</v>
      </c>
      <c r="BF741" s="40">
        <f t="shared" si="4201"/>
        <v>161.99929999999995</v>
      </c>
      <c r="BG741" s="40">
        <f t="shared" si="4202"/>
        <v>161.99929999999995</v>
      </c>
      <c r="BH741" s="40">
        <f t="shared" si="4203"/>
        <v>161.99930000000018</v>
      </c>
      <c r="BI741" s="40">
        <f t="shared" si="4204"/>
        <v>161.99929999999995</v>
      </c>
      <c r="BJ741" s="40" t="str">
        <f t="shared" si="4165"/>
        <v/>
      </c>
      <c r="BK741" s="40">
        <v>0</v>
      </c>
      <c r="BL741" s="40" t="e">
        <f t="shared" si="4205"/>
        <v>#VALUE!</v>
      </c>
      <c r="BM741" s="408"/>
      <c r="BN741" s="48">
        <f t="shared" si="4136"/>
        <v>228.87750007400001</v>
      </c>
      <c r="BO741" s="48">
        <f t="shared" si="4137"/>
        <v>228.87750007400001</v>
      </c>
      <c r="BP741" s="48">
        <f t="shared" si="4206"/>
        <v>228.87750007400001</v>
      </c>
      <c r="BQ741" s="48">
        <f t="shared" si="4139"/>
        <v>228.87750011099996</v>
      </c>
      <c r="BR741" s="48">
        <f t="shared" si="4140"/>
        <v>228.87750011099996</v>
      </c>
      <c r="BS741" s="48">
        <f t="shared" si="4207"/>
        <v>228.87750011099996</v>
      </c>
      <c r="BT741" s="48">
        <f t="shared" si="4142"/>
        <v>228.87750011100002</v>
      </c>
      <c r="BU741" s="48">
        <f t="shared" si="4143"/>
        <v>228.87750011100002</v>
      </c>
      <c r="BV741" s="48">
        <f t="shared" si="4208"/>
        <v>228.87750011100002</v>
      </c>
      <c r="BW741" s="48">
        <f t="shared" si="4145"/>
        <v>228.87750011100002</v>
      </c>
      <c r="BX741" s="48">
        <f t="shared" si="4146"/>
        <v>228.87750011100002</v>
      </c>
      <c r="BY741" s="48">
        <f t="shared" si="4209"/>
        <v>228.87750011100002</v>
      </c>
      <c r="BZ741" s="48">
        <f t="shared" si="4148"/>
        <v>485.99786666666671</v>
      </c>
      <c r="CA741" s="48">
        <f t="shared" si="4149"/>
        <v>485.99786666666671</v>
      </c>
      <c r="CB741" s="48">
        <f t="shared" si="4172"/>
        <v>485.99786666666671</v>
      </c>
      <c r="CC741" s="48">
        <f t="shared" si="4150"/>
        <v>485.99790000000007</v>
      </c>
      <c r="CD741" s="48">
        <f t="shared" si="4151"/>
        <v>485.99790000000007</v>
      </c>
      <c r="CE741" s="48">
        <f>SUM(BA741:BC741)</f>
        <v>485.99790000000007</v>
      </c>
      <c r="CF741" s="48">
        <f t="shared" si="4153"/>
        <v>485.99789999999996</v>
      </c>
      <c r="CG741" s="48">
        <f t="shared" si="4154"/>
        <v>485.99789999999996</v>
      </c>
      <c r="CH741" s="48">
        <f>SUM(BD741:BF741)</f>
        <v>485.99789999999996</v>
      </c>
      <c r="CI741" s="48">
        <f t="shared" si="4156"/>
        <v>485.99790000000007</v>
      </c>
      <c r="CJ741" s="48">
        <f t="shared" si="4157"/>
        <v>485.99790000000007</v>
      </c>
      <c r="CK741" s="48">
        <f>SUM(BG741:BI741)</f>
        <v>485.99790000000007</v>
      </c>
      <c r="CL741" s="48" t="e">
        <f t="shared" si="4159"/>
        <v>#VALUE!</v>
      </c>
      <c r="CM741" s="48" t="e">
        <f t="shared" si="4160"/>
        <v>#VALUE!</v>
      </c>
      <c r="CN741" s="48" t="e">
        <f>SUM(BJ741:BL741)</f>
        <v>#VALUE!</v>
      </c>
      <c r="CO741" s="406"/>
      <c r="CP741" s="48">
        <f t="shared" si="4237"/>
        <v>76.292500000000004</v>
      </c>
      <c r="CQ741" s="48">
        <f t="shared" si="4210"/>
        <v>152.58500003700001</v>
      </c>
      <c r="CR741" s="48">
        <f t="shared" si="4211"/>
        <v>228.87750007400001</v>
      </c>
      <c r="CS741" s="48">
        <f t="shared" si="4212"/>
        <v>305.17000011100004</v>
      </c>
      <c r="CT741" s="48">
        <f t="shared" si="4213"/>
        <v>381.462500148</v>
      </c>
      <c r="CU741" s="48">
        <f t="shared" si="4214"/>
        <v>457.75500018499997</v>
      </c>
      <c r="CV741" s="48">
        <f t="shared" si="4215"/>
        <v>534.04750022199994</v>
      </c>
      <c r="CW741" s="48">
        <f t="shared" si="4216"/>
        <v>610.34000025900002</v>
      </c>
      <c r="CX741" s="48">
        <f t="shared" si="4217"/>
        <v>686.63250029599999</v>
      </c>
      <c r="CY741" s="48">
        <f t="shared" si="4218"/>
        <v>762.92500033299984</v>
      </c>
      <c r="CZ741" s="48">
        <f t="shared" si="4219"/>
        <v>839.21750037000004</v>
      </c>
      <c r="DA741" s="48">
        <f t="shared" si="4220"/>
        <v>915.51000040700001</v>
      </c>
      <c r="DB741" s="48">
        <f t="shared" si="4238"/>
        <v>161.99926666666667</v>
      </c>
      <c r="DC741" s="48">
        <f t="shared" si="4221"/>
        <v>323.9985666666667</v>
      </c>
      <c r="DD741" s="48">
        <f t="shared" si="4222"/>
        <v>485.99786666666671</v>
      </c>
      <c r="DE741" s="48">
        <f t="shared" si="4223"/>
        <v>647.99716666666677</v>
      </c>
      <c r="DF741" s="48">
        <f t="shared" si="4224"/>
        <v>809.99646666666672</v>
      </c>
      <c r="DG741" s="48">
        <f t="shared" si="4225"/>
        <v>971.99576666666678</v>
      </c>
      <c r="DH741" s="48">
        <f t="shared" si="4226"/>
        <v>1133.9950666666668</v>
      </c>
      <c r="DI741" s="48">
        <f t="shared" si="4227"/>
        <v>1295.9943666666668</v>
      </c>
      <c r="DJ741" s="48">
        <f t="shared" si="4228"/>
        <v>1457.9936666666667</v>
      </c>
      <c r="DK741" s="48">
        <f t="shared" si="4229"/>
        <v>1619.9929666666667</v>
      </c>
      <c r="DL741" s="48">
        <f t="shared" si="4230"/>
        <v>1781.9922666666669</v>
      </c>
      <c r="DM741" s="48">
        <f t="shared" si="4231"/>
        <v>1943.9915666666668</v>
      </c>
      <c r="DN741" s="48" t="str">
        <f t="shared" si="4232"/>
        <v/>
      </c>
      <c r="DO741" s="48" t="e">
        <f t="shared" si="4239"/>
        <v>#VALUE!</v>
      </c>
      <c r="DP741" s="48" t="e">
        <f t="shared" si="4240"/>
        <v>#VALUE!</v>
      </c>
      <c r="DQ741" s="48"/>
      <c r="DR741" s="48"/>
      <c r="DS741" s="48"/>
      <c r="DT741" s="48"/>
      <c r="DU741" s="48"/>
      <c r="DV741" s="48"/>
      <c r="DW741" s="48"/>
      <c r="DX741" s="48"/>
      <c r="DY741" s="48"/>
      <c r="EA741" s="52">
        <f t="shared" si="4168"/>
        <v>915.51000040700001</v>
      </c>
      <c r="EB741" s="52">
        <f t="shared" si="4169"/>
        <v>1943.9915666666668</v>
      </c>
      <c r="EC741" s="52"/>
      <c r="ED741" s="429"/>
      <c r="EE741" s="40">
        <f t="shared" si="4133"/>
        <v>0</v>
      </c>
      <c r="EF741" s="40" t="e">
        <f t="shared" si="4134"/>
        <v>#VALUE!</v>
      </c>
      <c r="EG741" s="51">
        <f t="shared" si="4170"/>
        <v>1943.9915666666668</v>
      </c>
      <c r="EH741" s="54"/>
      <c r="EI741" s="54"/>
      <c r="EJ741" s="54"/>
      <c r="EK741" s="675"/>
      <c r="EL741" s="53"/>
      <c r="EM741" s="53"/>
      <c r="EN741" s="53"/>
      <c r="EO741" s="49"/>
      <c r="EP741" s="49"/>
      <c r="EQ741" s="49"/>
    </row>
    <row r="742" spans="1:149">
      <c r="A742" s="6" t="s">
        <v>23</v>
      </c>
      <c r="B742" s="2" t="s">
        <v>11</v>
      </c>
      <c r="C742" s="3" t="s">
        <v>48</v>
      </c>
      <c r="E742" s="3" t="s">
        <v>16</v>
      </c>
      <c r="G742" s="28" t="s">
        <v>91</v>
      </c>
      <c r="H742" s="28"/>
      <c r="I742" s="29"/>
      <c r="J742" s="139">
        <f t="shared" ref="J742:AJ742" si="4242">IF(J16="","",J16+J82+J148+J214+J280+J346+J412+J478+J544+J610+J676)</f>
        <v>131.74999966666667</v>
      </c>
      <c r="K742" s="139">
        <f t="shared" si="4242"/>
        <v>263.49999919666669</v>
      </c>
      <c r="L742" s="139">
        <f t="shared" si="4242"/>
        <v>395.24999872666666</v>
      </c>
      <c r="M742" s="139">
        <f t="shared" si="4242"/>
        <v>526.99999825666669</v>
      </c>
      <c r="N742" s="139">
        <f t="shared" si="4242"/>
        <v>658.74999778666665</v>
      </c>
      <c r="O742" s="139">
        <f t="shared" si="4242"/>
        <v>790.49999731666662</v>
      </c>
      <c r="P742" s="139">
        <f t="shared" si="4242"/>
        <v>922.2499968466667</v>
      </c>
      <c r="Q742" s="139">
        <f t="shared" si="4242"/>
        <v>1053.9999963766668</v>
      </c>
      <c r="R742" s="139">
        <f t="shared" si="4242"/>
        <v>1185.7499959066665</v>
      </c>
      <c r="S742" s="139">
        <f t="shared" si="4242"/>
        <v>1317.4999954366665</v>
      </c>
      <c r="T742" s="139">
        <f t="shared" si="4242"/>
        <v>1449.2499949666667</v>
      </c>
      <c r="U742" s="139">
        <f t="shared" si="4242"/>
        <v>1580.9999944966664</v>
      </c>
      <c r="V742" s="443">
        <f t="shared" si="4242"/>
        <v>104.83266666666667</v>
      </c>
      <c r="W742" s="444">
        <f t="shared" si="4242"/>
        <v>208.66533666666672</v>
      </c>
      <c r="X742" s="444">
        <f t="shared" si="4242"/>
        <v>312.59800666666672</v>
      </c>
      <c r="Y742" s="444">
        <f t="shared" si="4242"/>
        <v>416.53067666666669</v>
      </c>
      <c r="Z742" s="444">
        <f t="shared" si="4242"/>
        <v>520.46334666666667</v>
      </c>
      <c r="AA742" s="444">
        <f t="shared" si="4242"/>
        <v>624.39601666666658</v>
      </c>
      <c r="AB742" s="444">
        <f t="shared" si="4242"/>
        <v>728.32868666666673</v>
      </c>
      <c r="AC742" s="444">
        <f t="shared" si="4242"/>
        <v>832.26135666666664</v>
      </c>
      <c r="AD742" s="444">
        <f t="shared" si="4242"/>
        <v>936.19402666666679</v>
      </c>
      <c r="AE742" s="444">
        <f t="shared" si="4242"/>
        <v>1040.1266966666667</v>
      </c>
      <c r="AF742" s="444">
        <f t="shared" si="4242"/>
        <v>1144.0593666666668</v>
      </c>
      <c r="AG742" s="444">
        <f t="shared" si="4242"/>
        <v>1247.9920366666665</v>
      </c>
      <c r="AH742" s="141" t="str">
        <f t="shared" si="4242"/>
        <v/>
      </c>
      <c r="AI742" s="139" t="str">
        <f t="shared" si="4242"/>
        <v/>
      </c>
      <c r="AJ742" s="139" t="str">
        <f t="shared" si="4242"/>
        <v/>
      </c>
      <c r="AK742" s="408"/>
      <c r="AL742" s="40">
        <f t="shared" si="4234"/>
        <v>131.74999966666667</v>
      </c>
      <c r="AM742" s="40">
        <f t="shared" si="4235"/>
        <v>131.74999953000003</v>
      </c>
      <c r="AN742" s="40">
        <f t="shared" si="4184"/>
        <v>131.74999952999997</v>
      </c>
      <c r="AO742" s="40">
        <f t="shared" si="4185"/>
        <v>131.74999953000003</v>
      </c>
      <c r="AP742" s="40">
        <f t="shared" si="4186"/>
        <v>131.74999952999997</v>
      </c>
      <c r="AQ742" s="40">
        <f t="shared" si="4187"/>
        <v>131.74999952999997</v>
      </c>
      <c r="AR742" s="40">
        <f t="shared" si="4188"/>
        <v>131.74999953000008</v>
      </c>
      <c r="AS742" s="40">
        <f t="shared" si="4189"/>
        <v>131.74999953000008</v>
      </c>
      <c r="AT742" s="40">
        <f t="shared" si="4190"/>
        <v>131.74999952999974</v>
      </c>
      <c r="AU742" s="40">
        <f t="shared" si="4191"/>
        <v>131.74999952999997</v>
      </c>
      <c r="AV742" s="40">
        <f t="shared" si="4192"/>
        <v>131.7499995300002</v>
      </c>
      <c r="AW742" s="40">
        <f t="shared" si="4193"/>
        <v>131.74999952999974</v>
      </c>
      <c r="AX742" s="40">
        <f t="shared" si="4236"/>
        <v>104.83266666666667</v>
      </c>
      <c r="AY742" s="40">
        <f t="shared" si="4194"/>
        <v>103.83267000000005</v>
      </c>
      <c r="AZ742" s="40">
        <f t="shared" si="4195"/>
        <v>103.93267</v>
      </c>
      <c r="BA742" s="40">
        <f t="shared" si="4196"/>
        <v>103.93266999999997</v>
      </c>
      <c r="BB742" s="40">
        <f t="shared" si="4197"/>
        <v>103.93266999999997</v>
      </c>
      <c r="BC742" s="40">
        <f t="shared" si="4198"/>
        <v>103.93266999999992</v>
      </c>
      <c r="BD742" s="40">
        <f t="shared" si="4199"/>
        <v>103.93267000000014</v>
      </c>
      <c r="BE742" s="40">
        <f t="shared" si="4200"/>
        <v>103.93266999999992</v>
      </c>
      <c r="BF742" s="40">
        <f t="shared" si="4201"/>
        <v>103.93267000000014</v>
      </c>
      <c r="BG742" s="40">
        <f t="shared" si="4202"/>
        <v>103.93266999999992</v>
      </c>
      <c r="BH742" s="40">
        <f t="shared" si="4203"/>
        <v>103.93267000000014</v>
      </c>
      <c r="BI742" s="40">
        <f t="shared" si="4204"/>
        <v>103.93266999999969</v>
      </c>
      <c r="BJ742" s="40" t="str">
        <f t="shared" si="4165"/>
        <v/>
      </c>
      <c r="BK742" s="40">
        <v>0</v>
      </c>
      <c r="BL742" s="40" t="e">
        <f t="shared" si="4205"/>
        <v>#VALUE!</v>
      </c>
      <c r="BM742" s="408"/>
      <c r="BN742" s="48">
        <f t="shared" si="4136"/>
        <v>395.24999872666666</v>
      </c>
      <c r="BO742" s="48">
        <f t="shared" si="4137"/>
        <v>395.24999872666666</v>
      </c>
      <c r="BP742" s="48">
        <f t="shared" si="4206"/>
        <v>395.24999872666666</v>
      </c>
      <c r="BQ742" s="48">
        <f t="shared" si="4139"/>
        <v>395.24999858999996</v>
      </c>
      <c r="BR742" s="48">
        <f t="shared" si="4140"/>
        <v>395.24999858999996</v>
      </c>
      <c r="BS742" s="48">
        <f t="shared" si="4207"/>
        <v>395.24999858999996</v>
      </c>
      <c r="BT742" s="48">
        <f t="shared" si="4142"/>
        <v>395.2499985899999</v>
      </c>
      <c r="BU742" s="48">
        <f t="shared" si="4143"/>
        <v>395.2499985899999</v>
      </c>
      <c r="BV742" s="48">
        <f t="shared" si="4208"/>
        <v>395.2499985899999</v>
      </c>
      <c r="BW742" s="48">
        <f t="shared" si="4145"/>
        <v>395.2499985899999</v>
      </c>
      <c r="BX742" s="48">
        <f t="shared" si="4146"/>
        <v>395.2499985899999</v>
      </c>
      <c r="BY742" s="48">
        <f t="shared" si="4209"/>
        <v>395.2499985899999</v>
      </c>
      <c r="BZ742" s="48">
        <f t="shared" si="4148"/>
        <v>312.59800666666672</v>
      </c>
      <c r="CA742" s="48">
        <f t="shared" si="4149"/>
        <v>312.59800666666672</v>
      </c>
      <c r="CB742" s="48">
        <f t="shared" si="4172"/>
        <v>312.59800666666672</v>
      </c>
      <c r="CC742" s="48">
        <f t="shared" si="4150"/>
        <v>624.39601666666658</v>
      </c>
      <c r="CD742" s="48">
        <f t="shared" si="4151"/>
        <v>624.39601666666658</v>
      </c>
      <c r="CE742" s="48">
        <f>AA742</f>
        <v>624.39601666666658</v>
      </c>
      <c r="CF742" s="48">
        <f>CH742</f>
        <v>936.19402666666679</v>
      </c>
      <c r="CG742" s="48">
        <f>CH742</f>
        <v>936.19402666666679</v>
      </c>
      <c r="CH742" s="48">
        <f>AD742</f>
        <v>936.19402666666679</v>
      </c>
      <c r="CI742" s="48">
        <f>CK742</f>
        <v>1247.9920366666665</v>
      </c>
      <c r="CJ742" s="48">
        <f>CK742</f>
        <v>1247.9920366666665</v>
      </c>
      <c r="CK742" s="48">
        <f>AG742</f>
        <v>1247.9920366666665</v>
      </c>
      <c r="CL742" s="48" t="str">
        <f>CN742</f>
        <v/>
      </c>
      <c r="CM742" s="48" t="str">
        <f>CN742</f>
        <v/>
      </c>
      <c r="CN742" s="48" t="str">
        <f>AJ742</f>
        <v/>
      </c>
      <c r="CO742" s="406"/>
      <c r="CP742" s="48">
        <f t="shared" si="4237"/>
        <v>131.74999966666667</v>
      </c>
      <c r="CQ742" s="48">
        <f t="shared" si="4210"/>
        <v>263.49999919666669</v>
      </c>
      <c r="CR742" s="48">
        <f t="shared" si="4211"/>
        <v>395.24999872666666</v>
      </c>
      <c r="CS742" s="48">
        <f t="shared" si="4212"/>
        <v>526.99999825666669</v>
      </c>
      <c r="CT742" s="48">
        <f t="shared" si="4213"/>
        <v>658.74999778666665</v>
      </c>
      <c r="CU742" s="48">
        <f t="shared" si="4214"/>
        <v>790.49999731666662</v>
      </c>
      <c r="CV742" s="48">
        <f t="shared" si="4215"/>
        <v>922.2499968466667</v>
      </c>
      <c r="CW742" s="48">
        <f t="shared" si="4216"/>
        <v>1053.9999963766668</v>
      </c>
      <c r="CX742" s="48">
        <f t="shared" si="4217"/>
        <v>1185.7499959066665</v>
      </c>
      <c r="CY742" s="48">
        <f t="shared" si="4218"/>
        <v>1317.4999954366665</v>
      </c>
      <c r="CZ742" s="48">
        <f t="shared" si="4219"/>
        <v>1449.2499949666667</v>
      </c>
      <c r="DA742" s="48">
        <f t="shared" si="4220"/>
        <v>1580.9999944966664</v>
      </c>
      <c r="DB742" s="48">
        <f t="shared" si="4238"/>
        <v>104.83266666666667</v>
      </c>
      <c r="DC742" s="48">
        <f t="shared" si="4221"/>
        <v>208.66533666666672</v>
      </c>
      <c r="DD742" s="48">
        <f t="shared" si="4222"/>
        <v>312.59800666666672</v>
      </c>
      <c r="DE742" s="48">
        <f t="shared" si="4223"/>
        <v>416.53067666666669</v>
      </c>
      <c r="DF742" s="48">
        <f t="shared" si="4224"/>
        <v>520.46334666666667</v>
      </c>
      <c r="DG742" s="48">
        <f t="shared" si="4225"/>
        <v>624.39601666666658</v>
      </c>
      <c r="DH742" s="48">
        <f t="shared" si="4226"/>
        <v>728.32868666666673</v>
      </c>
      <c r="DI742" s="48">
        <f t="shared" si="4227"/>
        <v>832.26135666666664</v>
      </c>
      <c r="DJ742" s="48">
        <f t="shared" si="4228"/>
        <v>936.19402666666679</v>
      </c>
      <c r="DK742" s="48">
        <f t="shared" si="4229"/>
        <v>1040.1266966666667</v>
      </c>
      <c r="DL742" s="48">
        <f t="shared" si="4230"/>
        <v>1144.0593666666668</v>
      </c>
      <c r="DM742" s="48">
        <f t="shared" si="4231"/>
        <v>1247.9920366666665</v>
      </c>
      <c r="DN742" s="48" t="str">
        <f t="shared" si="4232"/>
        <v/>
      </c>
      <c r="DO742" s="48" t="e">
        <f t="shared" si="4239"/>
        <v>#VALUE!</v>
      </c>
      <c r="DP742" s="48" t="e">
        <f t="shared" si="4240"/>
        <v>#VALUE!</v>
      </c>
      <c r="DQ742" s="48"/>
      <c r="DR742" s="48"/>
      <c r="DS742" s="48"/>
      <c r="DT742" s="48"/>
      <c r="DU742" s="48"/>
      <c r="DV742" s="48"/>
      <c r="DW742" s="48"/>
      <c r="DX742" s="48"/>
      <c r="DY742" s="48"/>
      <c r="EA742" s="52">
        <f t="shared" si="4168"/>
        <v>1580.9999944966664</v>
      </c>
      <c r="EB742" s="52">
        <f t="shared" si="4169"/>
        <v>1247.9920366666665</v>
      </c>
      <c r="EC742" s="52"/>
      <c r="ED742" s="429"/>
      <c r="EE742" s="396">
        <f t="shared" si="4133"/>
        <v>0</v>
      </c>
      <c r="EF742" s="396" t="str">
        <f t="shared" si="4134"/>
        <v/>
      </c>
      <c r="EG742" s="51">
        <f t="shared" si="4170"/>
        <v>1247.9920366666665</v>
      </c>
      <c r="EH742" s="54"/>
      <c r="EI742" s="54"/>
      <c r="EJ742" s="54"/>
      <c r="EK742" s="675"/>
      <c r="EL742" s="53"/>
      <c r="EM742" s="53"/>
      <c r="EN742" s="53"/>
      <c r="EO742" s="49"/>
      <c r="EP742" s="49"/>
      <c r="EQ742" s="49"/>
    </row>
    <row r="743" spans="1:149">
      <c r="A743" s="6" t="s">
        <v>23</v>
      </c>
      <c r="B743" s="2" t="s">
        <v>12</v>
      </c>
      <c r="C743" s="3" t="s">
        <v>49</v>
      </c>
      <c r="E743" s="3" t="s">
        <v>16</v>
      </c>
      <c r="G743" s="28" t="s">
        <v>91</v>
      </c>
      <c r="H743" s="28"/>
      <c r="I743" s="29"/>
      <c r="J743" s="139">
        <f t="shared" ref="J743:AJ743" si="4243">IF(J17="","",J17+J83+J149+J215+J281+J347+J413+J479+J545+J611+J677)</f>
        <v>122.00000033333335</v>
      </c>
      <c r="K743" s="139">
        <f t="shared" si="4243"/>
        <v>244.00000073333334</v>
      </c>
      <c r="L743" s="139">
        <f t="shared" si="4243"/>
        <v>366.00000113333334</v>
      </c>
      <c r="M743" s="139">
        <f t="shared" si="4243"/>
        <v>488.00000153333337</v>
      </c>
      <c r="N743" s="139">
        <f t="shared" si="4243"/>
        <v>610.00000193333335</v>
      </c>
      <c r="O743" s="139">
        <f t="shared" si="4243"/>
        <v>732.00000233333321</v>
      </c>
      <c r="P743" s="139">
        <f t="shared" si="4243"/>
        <v>854.00000273333342</v>
      </c>
      <c r="Q743" s="139">
        <f t="shared" si="4243"/>
        <v>976.00000313333328</v>
      </c>
      <c r="R743" s="139">
        <f t="shared" si="4243"/>
        <v>1098.0000035333335</v>
      </c>
      <c r="S743" s="139">
        <f t="shared" si="4243"/>
        <v>1220.0000039333336</v>
      </c>
      <c r="T743" s="139">
        <f t="shared" si="4243"/>
        <v>1342.0000043333334</v>
      </c>
      <c r="U743" s="139">
        <f t="shared" si="4243"/>
        <v>1464.0000047333333</v>
      </c>
      <c r="V743" s="443">
        <f t="shared" si="4243"/>
        <v>119.41633333333333</v>
      </c>
      <c r="W743" s="444">
        <f t="shared" si="4243"/>
        <v>236.8326333333334</v>
      </c>
      <c r="X743" s="444">
        <f t="shared" si="4243"/>
        <v>355.14893333333339</v>
      </c>
      <c r="Y743" s="444">
        <f t="shared" si="4243"/>
        <v>473.4652333333334</v>
      </c>
      <c r="Z743" s="444">
        <f t="shared" si="4243"/>
        <v>591.7815333333333</v>
      </c>
      <c r="AA743" s="444">
        <f t="shared" si="4243"/>
        <v>710.09783333333326</v>
      </c>
      <c r="AB743" s="444">
        <f t="shared" si="4243"/>
        <v>828.41413333333333</v>
      </c>
      <c r="AC743" s="444">
        <f t="shared" si="4243"/>
        <v>946.73043333333339</v>
      </c>
      <c r="AD743" s="444">
        <f t="shared" si="4243"/>
        <v>1065.0467333333333</v>
      </c>
      <c r="AE743" s="444">
        <f t="shared" si="4243"/>
        <v>1183.3630333333333</v>
      </c>
      <c r="AF743" s="444">
        <f t="shared" si="4243"/>
        <v>1301.6793333333335</v>
      </c>
      <c r="AG743" s="444">
        <f t="shared" si="4243"/>
        <v>1419.9956333333332</v>
      </c>
      <c r="AH743" s="141" t="str">
        <f t="shared" si="4243"/>
        <v/>
      </c>
      <c r="AI743" s="139" t="str">
        <f t="shared" si="4243"/>
        <v/>
      </c>
      <c r="AJ743" s="139" t="str">
        <f t="shared" si="4243"/>
        <v/>
      </c>
      <c r="AK743" s="408"/>
      <c r="AL743" s="40">
        <f t="shared" si="4234"/>
        <v>122.00000033333335</v>
      </c>
      <c r="AM743" s="40">
        <f t="shared" si="4235"/>
        <v>122.00000039999999</v>
      </c>
      <c r="AN743" s="40">
        <f t="shared" si="4184"/>
        <v>122.0000004</v>
      </c>
      <c r="AO743" s="40">
        <f t="shared" si="4185"/>
        <v>122.00000040000003</v>
      </c>
      <c r="AP743" s="40">
        <f t="shared" si="4186"/>
        <v>122.00000039999998</v>
      </c>
      <c r="AQ743" s="40">
        <f t="shared" si="4187"/>
        <v>122.00000039999986</v>
      </c>
      <c r="AR743" s="40">
        <f t="shared" si="4188"/>
        <v>122.0000004000002</v>
      </c>
      <c r="AS743" s="40">
        <f t="shared" si="4189"/>
        <v>122.00000039999986</v>
      </c>
      <c r="AT743" s="40">
        <f t="shared" si="4190"/>
        <v>122.0000004000002</v>
      </c>
      <c r="AU743" s="40">
        <f t="shared" si="4191"/>
        <v>122.00000040000009</v>
      </c>
      <c r="AV743" s="40">
        <f t="shared" si="4192"/>
        <v>122.00000039999986</v>
      </c>
      <c r="AW743" s="40">
        <f t="shared" si="4193"/>
        <v>122.00000039999986</v>
      </c>
      <c r="AX743" s="40">
        <f t="shared" si="4236"/>
        <v>119.41633333333333</v>
      </c>
      <c r="AY743" s="40">
        <f t="shared" si="4194"/>
        <v>117.41630000000008</v>
      </c>
      <c r="AZ743" s="40">
        <f t="shared" si="4195"/>
        <v>118.31629999999998</v>
      </c>
      <c r="BA743" s="40">
        <f t="shared" si="4196"/>
        <v>118.31630000000001</v>
      </c>
      <c r="BB743" s="40">
        <f t="shared" si="4197"/>
        <v>118.3162999999999</v>
      </c>
      <c r="BC743" s="40">
        <f t="shared" si="4198"/>
        <v>118.31629999999996</v>
      </c>
      <c r="BD743" s="40">
        <f t="shared" si="4199"/>
        <v>118.31630000000007</v>
      </c>
      <c r="BE743" s="40">
        <f t="shared" si="4200"/>
        <v>118.31630000000007</v>
      </c>
      <c r="BF743" s="40">
        <f t="shared" si="4201"/>
        <v>118.31629999999996</v>
      </c>
      <c r="BG743" s="40">
        <f t="shared" si="4202"/>
        <v>118.31629999999996</v>
      </c>
      <c r="BH743" s="40">
        <f t="shared" si="4203"/>
        <v>118.31630000000018</v>
      </c>
      <c r="BI743" s="40">
        <f t="shared" si="4204"/>
        <v>118.31629999999973</v>
      </c>
      <c r="BJ743" s="40" t="str">
        <f t="shared" si="4165"/>
        <v/>
      </c>
      <c r="BK743" s="40">
        <v>0</v>
      </c>
      <c r="BL743" s="40" t="e">
        <f t="shared" si="4205"/>
        <v>#VALUE!</v>
      </c>
      <c r="BM743" s="408"/>
      <c r="BN743" s="48">
        <f t="shared" si="4136"/>
        <v>366.00000113333334</v>
      </c>
      <c r="BO743" s="48">
        <f t="shared" si="4137"/>
        <v>366.00000113333334</v>
      </c>
      <c r="BP743" s="48">
        <f t="shared" si="4206"/>
        <v>366.00000113333334</v>
      </c>
      <c r="BQ743" s="48">
        <f t="shared" si="4139"/>
        <v>366.00000119999987</v>
      </c>
      <c r="BR743" s="48">
        <f t="shared" si="4140"/>
        <v>366.00000119999987</v>
      </c>
      <c r="BS743" s="48">
        <f t="shared" si="4207"/>
        <v>366.00000119999987</v>
      </c>
      <c r="BT743" s="48">
        <f t="shared" si="4142"/>
        <v>366.00000120000027</v>
      </c>
      <c r="BU743" s="48">
        <f t="shared" si="4143"/>
        <v>366.00000120000027</v>
      </c>
      <c r="BV743" s="48">
        <f t="shared" si="4208"/>
        <v>366.00000120000027</v>
      </c>
      <c r="BW743" s="48">
        <f t="shared" si="4145"/>
        <v>366.00000119999982</v>
      </c>
      <c r="BX743" s="48">
        <f t="shared" si="4146"/>
        <v>366.00000119999982</v>
      </c>
      <c r="BY743" s="48">
        <f t="shared" si="4209"/>
        <v>366.00000119999982</v>
      </c>
      <c r="BZ743" s="48">
        <f t="shared" si="4148"/>
        <v>355.14893333333339</v>
      </c>
      <c r="CA743" s="48">
        <f t="shared" si="4149"/>
        <v>355.14893333333339</v>
      </c>
      <c r="CB743" s="48">
        <f t="shared" si="4172"/>
        <v>355.14893333333339</v>
      </c>
      <c r="CC743" s="48">
        <f t="shared" si="4150"/>
        <v>710.09783333333326</v>
      </c>
      <c r="CD743" s="48">
        <f t="shared" si="4151"/>
        <v>710.09783333333326</v>
      </c>
      <c r="CE743" s="48">
        <f>AA743</f>
        <v>710.09783333333326</v>
      </c>
      <c r="CF743" s="48">
        <f>CH743</f>
        <v>1065.0467333333333</v>
      </c>
      <c r="CG743" s="48">
        <f>CH743</f>
        <v>1065.0467333333333</v>
      </c>
      <c r="CH743" s="48">
        <f>AD743</f>
        <v>1065.0467333333333</v>
      </c>
      <c r="CI743" s="48">
        <f>CK743</f>
        <v>1419.9956333333332</v>
      </c>
      <c r="CJ743" s="48">
        <f>CK743</f>
        <v>1419.9956333333332</v>
      </c>
      <c r="CK743" s="48">
        <f>AG743</f>
        <v>1419.9956333333332</v>
      </c>
      <c r="CL743" s="48" t="str">
        <f>CN743</f>
        <v/>
      </c>
      <c r="CM743" s="48" t="str">
        <f>CN743</f>
        <v/>
      </c>
      <c r="CN743" s="48" t="str">
        <f>AJ743</f>
        <v/>
      </c>
      <c r="CO743" s="406"/>
      <c r="CP743" s="48">
        <f t="shared" si="4237"/>
        <v>122.00000033333335</v>
      </c>
      <c r="CQ743" s="48">
        <f t="shared" si="4210"/>
        <v>244.00000073333334</v>
      </c>
      <c r="CR743" s="48">
        <f t="shared" si="4211"/>
        <v>366.00000113333334</v>
      </c>
      <c r="CS743" s="48">
        <f t="shared" si="4212"/>
        <v>488.00000153333337</v>
      </c>
      <c r="CT743" s="48">
        <f t="shared" si="4213"/>
        <v>610.00000193333335</v>
      </c>
      <c r="CU743" s="48">
        <f t="shared" si="4214"/>
        <v>732.00000233333321</v>
      </c>
      <c r="CV743" s="48">
        <f t="shared" si="4215"/>
        <v>854.00000273333342</v>
      </c>
      <c r="CW743" s="48">
        <f t="shared" si="4216"/>
        <v>976.00000313333328</v>
      </c>
      <c r="CX743" s="48">
        <f t="shared" si="4217"/>
        <v>1098.0000035333335</v>
      </c>
      <c r="CY743" s="48">
        <f t="shared" si="4218"/>
        <v>1220.0000039333336</v>
      </c>
      <c r="CZ743" s="48">
        <f t="shared" si="4219"/>
        <v>1342.0000043333334</v>
      </c>
      <c r="DA743" s="48">
        <f t="shared" si="4220"/>
        <v>1464.0000047333333</v>
      </c>
      <c r="DB743" s="48">
        <f t="shared" si="4238"/>
        <v>119.41633333333333</v>
      </c>
      <c r="DC743" s="48">
        <f t="shared" si="4221"/>
        <v>236.8326333333334</v>
      </c>
      <c r="DD743" s="48">
        <f t="shared" si="4222"/>
        <v>355.14893333333339</v>
      </c>
      <c r="DE743" s="48">
        <f t="shared" si="4223"/>
        <v>473.4652333333334</v>
      </c>
      <c r="DF743" s="48">
        <f t="shared" si="4224"/>
        <v>591.7815333333333</v>
      </c>
      <c r="DG743" s="48">
        <f t="shared" si="4225"/>
        <v>710.09783333333326</v>
      </c>
      <c r="DH743" s="48">
        <f t="shared" si="4226"/>
        <v>828.41413333333333</v>
      </c>
      <c r="DI743" s="48">
        <f t="shared" si="4227"/>
        <v>946.73043333333339</v>
      </c>
      <c r="DJ743" s="48">
        <f t="shared" si="4228"/>
        <v>1065.0467333333333</v>
      </c>
      <c r="DK743" s="48">
        <f t="shared" si="4229"/>
        <v>1183.3630333333333</v>
      </c>
      <c r="DL743" s="48">
        <f t="shared" si="4230"/>
        <v>1301.6793333333335</v>
      </c>
      <c r="DM743" s="48">
        <f t="shared" si="4231"/>
        <v>1419.9956333333332</v>
      </c>
      <c r="DN743" s="48" t="str">
        <f t="shared" si="4232"/>
        <v/>
      </c>
      <c r="DO743" s="48" t="e">
        <f t="shared" si="4239"/>
        <v>#VALUE!</v>
      </c>
      <c r="DP743" s="48" t="e">
        <f t="shared" si="4240"/>
        <v>#VALUE!</v>
      </c>
      <c r="DQ743" s="48"/>
      <c r="DR743" s="48"/>
      <c r="DS743" s="48"/>
      <c r="DT743" s="48"/>
      <c r="DU743" s="48"/>
      <c r="DV743" s="48"/>
      <c r="DW743" s="48"/>
      <c r="DX743" s="48"/>
      <c r="DY743" s="48"/>
      <c r="EA743" s="52">
        <f t="shared" si="4168"/>
        <v>1464.0000047333333</v>
      </c>
      <c r="EB743" s="52">
        <f t="shared" si="4169"/>
        <v>1419.9956333333332</v>
      </c>
      <c r="EC743" s="52"/>
      <c r="ED743" s="429"/>
      <c r="EE743" s="40">
        <f t="shared" si="4133"/>
        <v>0</v>
      </c>
      <c r="EF743" s="40" t="str">
        <f t="shared" si="4134"/>
        <v/>
      </c>
      <c r="EG743" s="51">
        <f t="shared" si="4170"/>
        <v>1419.9956333333332</v>
      </c>
      <c r="EH743" s="54"/>
      <c r="EI743" s="54"/>
      <c r="EJ743" s="54"/>
      <c r="EK743" s="675"/>
      <c r="EL743" s="53"/>
      <c r="EM743" s="53"/>
      <c r="EN743" s="53"/>
      <c r="EO743" s="49"/>
      <c r="EP743" s="49"/>
      <c r="EQ743" s="49"/>
    </row>
    <row r="744" spans="1:149">
      <c r="A744" s="6" t="s">
        <v>23</v>
      </c>
      <c r="B744" s="2" t="s">
        <v>143</v>
      </c>
      <c r="C744" s="3" t="s">
        <v>50</v>
      </c>
      <c r="E744" s="3" t="s">
        <v>16</v>
      </c>
      <c r="G744" s="28" t="s">
        <v>91</v>
      </c>
      <c r="H744" s="28"/>
      <c r="I744" s="29"/>
      <c r="J744" s="139"/>
      <c r="K744" s="139"/>
      <c r="L744" s="139">
        <f t="shared" ref="L744:U744" si="4244">IF(L18="","",L18+L84+L150+L216+L282+L348+L414+L480+L546+L612+L678)</f>
        <v>28</v>
      </c>
      <c r="M744" s="139">
        <f t="shared" si="4244"/>
        <v>28</v>
      </c>
      <c r="N744" s="139">
        <f t="shared" si="4244"/>
        <v>28</v>
      </c>
      <c r="O744" s="139">
        <f t="shared" si="4244"/>
        <v>28</v>
      </c>
      <c r="P744" s="139">
        <f t="shared" si="4244"/>
        <v>56</v>
      </c>
      <c r="Q744" s="139">
        <f t="shared" si="4244"/>
        <v>56</v>
      </c>
      <c r="R744" s="139">
        <f t="shared" si="4244"/>
        <v>56</v>
      </c>
      <c r="S744" s="139">
        <f t="shared" si="4244"/>
        <v>56</v>
      </c>
      <c r="T744" s="139">
        <f t="shared" si="4244"/>
        <v>84</v>
      </c>
      <c r="U744" s="139">
        <f t="shared" si="4244"/>
        <v>84</v>
      </c>
      <c r="V744" s="141">
        <v>0</v>
      </c>
      <c r="W744" s="139">
        <v>0</v>
      </c>
      <c r="X744" s="139">
        <f t="shared" ref="X744:AJ744" si="4245">IF(X18="","",X18+X84+X150+X216+X282+X348+X414+X480+X546+X612+X678)</f>
        <v>32</v>
      </c>
      <c r="Y744" s="139">
        <f t="shared" si="4245"/>
        <v>32</v>
      </c>
      <c r="Z744" s="139">
        <f t="shared" si="4245"/>
        <v>32</v>
      </c>
      <c r="AA744" s="139">
        <f t="shared" si="4245"/>
        <v>32</v>
      </c>
      <c r="AB744" s="139">
        <f t="shared" si="4245"/>
        <v>64</v>
      </c>
      <c r="AC744" s="139">
        <f t="shared" si="4245"/>
        <v>64</v>
      </c>
      <c r="AD744" s="139">
        <f t="shared" si="4245"/>
        <v>64</v>
      </c>
      <c r="AE744" s="139">
        <f t="shared" si="4245"/>
        <v>64</v>
      </c>
      <c r="AF744" s="139">
        <f t="shared" si="4245"/>
        <v>96</v>
      </c>
      <c r="AG744" s="139">
        <f t="shared" si="4245"/>
        <v>96</v>
      </c>
      <c r="AH744" s="141" t="str">
        <f t="shared" si="4245"/>
        <v/>
      </c>
      <c r="AI744" s="139" t="str">
        <f t="shared" si="4245"/>
        <v/>
      </c>
      <c r="AJ744" s="139" t="str">
        <f t="shared" si="4245"/>
        <v/>
      </c>
      <c r="AK744" s="408"/>
      <c r="AL744" s="40">
        <f t="shared" si="4234"/>
        <v>0</v>
      </c>
      <c r="AM744" s="40">
        <f t="shared" si="4235"/>
        <v>0</v>
      </c>
      <c r="AN744" s="40">
        <f t="shared" si="4184"/>
        <v>28</v>
      </c>
      <c r="AO744" s="40">
        <f t="shared" si="4185"/>
        <v>0</v>
      </c>
      <c r="AP744" s="40">
        <f t="shared" si="4186"/>
        <v>0</v>
      </c>
      <c r="AQ744" s="40">
        <f t="shared" si="4187"/>
        <v>0</v>
      </c>
      <c r="AR744" s="40">
        <f t="shared" si="4188"/>
        <v>28</v>
      </c>
      <c r="AS744" s="40">
        <f t="shared" si="4189"/>
        <v>0</v>
      </c>
      <c r="AT744" s="40">
        <f t="shared" si="4190"/>
        <v>0</v>
      </c>
      <c r="AU744" s="40">
        <f t="shared" si="4191"/>
        <v>0</v>
      </c>
      <c r="AV744" s="40">
        <f t="shared" si="4192"/>
        <v>28</v>
      </c>
      <c r="AW744" s="40">
        <f t="shared" si="4193"/>
        <v>0</v>
      </c>
      <c r="AX744" s="40">
        <f t="shared" si="4236"/>
        <v>0</v>
      </c>
      <c r="AY744" s="40">
        <f t="shared" si="4194"/>
        <v>0</v>
      </c>
      <c r="AZ744" s="40">
        <f t="shared" si="4195"/>
        <v>32</v>
      </c>
      <c r="BA744" s="40">
        <f t="shared" si="4196"/>
        <v>0</v>
      </c>
      <c r="BB744" s="40">
        <f t="shared" si="4197"/>
        <v>0</v>
      </c>
      <c r="BC744" s="40">
        <f t="shared" si="4198"/>
        <v>0</v>
      </c>
      <c r="BD744" s="40">
        <f t="shared" si="4199"/>
        <v>32</v>
      </c>
      <c r="BE744" s="40">
        <f t="shared" si="4200"/>
        <v>0</v>
      </c>
      <c r="BF744" s="40">
        <f t="shared" si="4201"/>
        <v>0</v>
      </c>
      <c r="BG744" s="40">
        <f t="shared" si="4202"/>
        <v>0</v>
      </c>
      <c r="BH744" s="40">
        <f t="shared" si="4203"/>
        <v>32</v>
      </c>
      <c r="BI744" s="40">
        <f t="shared" si="4204"/>
        <v>0</v>
      </c>
      <c r="BJ744" s="40" t="str">
        <f t="shared" si="4165"/>
        <v/>
      </c>
      <c r="BK744" s="40">
        <v>0</v>
      </c>
      <c r="BL744" s="40" t="e">
        <f t="shared" si="4205"/>
        <v>#VALUE!</v>
      </c>
      <c r="BM744" s="408"/>
      <c r="BN744" s="48">
        <f t="shared" si="4136"/>
        <v>28</v>
      </c>
      <c r="BO744" s="48">
        <f t="shared" si="4137"/>
        <v>28</v>
      </c>
      <c r="BP744" s="48">
        <f t="shared" si="4206"/>
        <v>28</v>
      </c>
      <c r="BQ744" s="48">
        <f t="shared" si="4139"/>
        <v>0</v>
      </c>
      <c r="BR744" s="48">
        <f t="shared" si="4140"/>
        <v>0</v>
      </c>
      <c r="BS744" s="48">
        <f t="shared" si="4207"/>
        <v>0</v>
      </c>
      <c r="BT744" s="48">
        <f t="shared" si="4142"/>
        <v>28</v>
      </c>
      <c r="BU744" s="48">
        <f t="shared" si="4143"/>
        <v>28</v>
      </c>
      <c r="BV744" s="48">
        <f t="shared" si="4208"/>
        <v>28</v>
      </c>
      <c r="BW744" s="48">
        <f t="shared" si="4145"/>
        <v>28</v>
      </c>
      <c r="BX744" s="48">
        <f t="shared" si="4146"/>
        <v>28</v>
      </c>
      <c r="BY744" s="48">
        <f t="shared" si="4209"/>
        <v>28</v>
      </c>
      <c r="BZ744" s="48">
        <f t="shared" si="4148"/>
        <v>32</v>
      </c>
      <c r="CA744" s="48">
        <f t="shared" si="4149"/>
        <v>32</v>
      </c>
      <c r="CB744" s="48">
        <f>SUM(AX744:AZ744)</f>
        <v>32</v>
      </c>
      <c r="CC744" s="48">
        <f t="shared" si="4150"/>
        <v>0</v>
      </c>
      <c r="CD744" s="48">
        <f t="shared" si="4151"/>
        <v>0</v>
      </c>
      <c r="CE744" s="48">
        <f>SUM(BA744:BC744)</f>
        <v>0</v>
      </c>
      <c r="CF744" s="48">
        <f>CH744</f>
        <v>32</v>
      </c>
      <c r="CG744" s="48">
        <f>CH744</f>
        <v>32</v>
      </c>
      <c r="CH744" s="48">
        <f>SUM(BD744:BF744)</f>
        <v>32</v>
      </c>
      <c r="CI744" s="48">
        <f>CK744</f>
        <v>32</v>
      </c>
      <c r="CJ744" s="48">
        <f>CK744</f>
        <v>32</v>
      </c>
      <c r="CK744" s="48">
        <f>SUM(BG744:BI744)</f>
        <v>32</v>
      </c>
      <c r="CL744" s="48" t="e">
        <f>CN744</f>
        <v>#VALUE!</v>
      </c>
      <c r="CM744" s="48" t="e">
        <f>CN744</f>
        <v>#VALUE!</v>
      </c>
      <c r="CN744" s="48" t="e">
        <f>SUM(BJ744:BL744)</f>
        <v>#VALUE!</v>
      </c>
      <c r="CO744" s="406"/>
      <c r="CP744" s="48">
        <f t="shared" si="4237"/>
        <v>0</v>
      </c>
      <c r="CQ744" s="48">
        <f t="shared" si="4210"/>
        <v>0</v>
      </c>
      <c r="CR744" s="48">
        <f t="shared" si="4211"/>
        <v>28</v>
      </c>
      <c r="CS744" s="48">
        <f t="shared" si="4212"/>
        <v>28</v>
      </c>
      <c r="CT744" s="48">
        <f t="shared" si="4213"/>
        <v>28</v>
      </c>
      <c r="CU744" s="48">
        <f t="shared" si="4214"/>
        <v>28</v>
      </c>
      <c r="CV744" s="48">
        <f t="shared" si="4215"/>
        <v>56</v>
      </c>
      <c r="CW744" s="48">
        <f t="shared" si="4216"/>
        <v>56</v>
      </c>
      <c r="CX744" s="48">
        <f t="shared" si="4217"/>
        <v>56</v>
      </c>
      <c r="CY744" s="48">
        <f t="shared" si="4218"/>
        <v>56</v>
      </c>
      <c r="CZ744" s="48">
        <f t="shared" si="4219"/>
        <v>84</v>
      </c>
      <c r="DA744" s="48">
        <f t="shared" si="4220"/>
        <v>84</v>
      </c>
      <c r="DB744" s="48">
        <f t="shared" si="4238"/>
        <v>0</v>
      </c>
      <c r="DC744" s="48">
        <f t="shared" si="4221"/>
        <v>0</v>
      </c>
      <c r="DD744" s="48">
        <f t="shared" si="4222"/>
        <v>32</v>
      </c>
      <c r="DE744" s="48">
        <f t="shared" si="4223"/>
        <v>32</v>
      </c>
      <c r="DF744" s="48">
        <f t="shared" si="4224"/>
        <v>32</v>
      </c>
      <c r="DG744" s="48">
        <f t="shared" si="4225"/>
        <v>32</v>
      </c>
      <c r="DH744" s="48">
        <f t="shared" si="4226"/>
        <v>64</v>
      </c>
      <c r="DI744" s="48">
        <f t="shared" si="4227"/>
        <v>64</v>
      </c>
      <c r="DJ744" s="48">
        <f t="shared" si="4228"/>
        <v>64</v>
      </c>
      <c r="DK744" s="48">
        <f t="shared" si="4229"/>
        <v>64</v>
      </c>
      <c r="DL744" s="48">
        <f t="shared" si="4230"/>
        <v>96</v>
      </c>
      <c r="DM744" s="48">
        <f t="shared" si="4231"/>
        <v>96</v>
      </c>
      <c r="DN744" s="48" t="str">
        <f t="shared" si="4232"/>
        <v/>
      </c>
      <c r="DO744" s="48" t="e">
        <f t="shared" si="4239"/>
        <v>#VALUE!</v>
      </c>
      <c r="DP744" s="48" t="e">
        <f t="shared" si="4240"/>
        <v>#VALUE!</v>
      </c>
      <c r="DQ744" s="48"/>
      <c r="DR744" s="48"/>
      <c r="DS744" s="48"/>
      <c r="DT744" s="48"/>
      <c r="DU744" s="48"/>
      <c r="DV744" s="48"/>
      <c r="DW744" s="48"/>
      <c r="DX744" s="48"/>
      <c r="DY744" s="48"/>
      <c r="EA744" s="52">
        <f t="shared" si="4168"/>
        <v>84</v>
      </c>
      <c r="EB744" s="52">
        <f t="shared" si="4169"/>
        <v>96</v>
      </c>
      <c r="EC744" s="52"/>
      <c r="ED744" s="429"/>
      <c r="EE744" s="40">
        <f t="shared" si="4133"/>
        <v>0</v>
      </c>
      <c r="EF744" s="40" t="e">
        <f t="shared" si="4134"/>
        <v>#VALUE!</v>
      </c>
      <c r="EG744" s="51">
        <f t="shared" si="4170"/>
        <v>96</v>
      </c>
      <c r="EH744" s="54"/>
      <c r="EI744" s="54"/>
      <c r="EJ744" s="54"/>
      <c r="EK744" s="675"/>
      <c r="EL744" s="53"/>
      <c r="EM744" s="53"/>
      <c r="EN744" s="53"/>
      <c r="EO744" s="49"/>
      <c r="EP744" s="49"/>
      <c r="EQ744" s="49"/>
    </row>
    <row r="745" spans="1:149">
      <c r="A745" s="6" t="s">
        <v>23</v>
      </c>
      <c r="B745" s="324" t="s">
        <v>202</v>
      </c>
      <c r="C745" s="3" t="s">
        <v>51</v>
      </c>
      <c r="E745" s="3" t="s">
        <v>15</v>
      </c>
      <c r="G745" s="28" t="s">
        <v>91</v>
      </c>
      <c r="H745" s="28"/>
      <c r="I745" s="29"/>
      <c r="J745" s="139"/>
      <c r="K745" s="139"/>
      <c r="L745" s="139"/>
      <c r="M745" s="139"/>
      <c r="N745" s="139"/>
      <c r="O745" s="139">
        <f t="shared" ref="O745:U751" si="4246">IF(O19="","",O19+O85+O151+O217+O283+O349+O415+O481+O547+O613+O679)</f>
        <v>20</v>
      </c>
      <c r="P745" s="139">
        <f t="shared" si="4246"/>
        <v>22</v>
      </c>
      <c r="Q745" s="139">
        <f t="shared" si="4246"/>
        <v>22</v>
      </c>
      <c r="R745" s="139">
        <f t="shared" si="4246"/>
        <v>22</v>
      </c>
      <c r="S745" s="139">
        <f t="shared" si="4246"/>
        <v>22</v>
      </c>
      <c r="T745" s="139">
        <f t="shared" si="4246"/>
        <v>22</v>
      </c>
      <c r="U745" s="139">
        <f t="shared" si="4246"/>
        <v>44</v>
      </c>
      <c r="V745" s="141">
        <v>0</v>
      </c>
      <c r="W745" s="139">
        <v>0</v>
      </c>
      <c r="X745" s="139">
        <v>0</v>
      </c>
      <c r="Y745" s="139">
        <v>0</v>
      </c>
      <c r="Z745" s="139">
        <v>0</v>
      </c>
      <c r="AA745" s="139">
        <f t="shared" ref="AA745:AJ745" si="4247">IF(AA19="","",AA19+AA85+AA151+AA217+AA283+AA349+AA415+AA481+AA547+AA613+AA679)</f>
        <v>0</v>
      </c>
      <c r="AB745" s="139">
        <f t="shared" si="4247"/>
        <v>22</v>
      </c>
      <c r="AC745" s="139">
        <f t="shared" si="4247"/>
        <v>22</v>
      </c>
      <c r="AD745" s="139">
        <f t="shared" si="4247"/>
        <v>22</v>
      </c>
      <c r="AE745" s="139">
        <f t="shared" si="4247"/>
        <v>22</v>
      </c>
      <c r="AF745" s="139">
        <f t="shared" si="4247"/>
        <v>22</v>
      </c>
      <c r="AG745" s="139">
        <f t="shared" si="4247"/>
        <v>44</v>
      </c>
      <c r="AH745" s="141" t="str">
        <f t="shared" si="4247"/>
        <v/>
      </c>
      <c r="AI745" s="139" t="str">
        <f t="shared" si="4247"/>
        <v/>
      </c>
      <c r="AJ745" s="139" t="str">
        <f t="shared" si="4247"/>
        <v/>
      </c>
      <c r="AK745" s="408"/>
      <c r="AL745" s="40">
        <f t="shared" si="4234"/>
        <v>0</v>
      </c>
      <c r="AM745" s="40">
        <f t="shared" si="4235"/>
        <v>0</v>
      </c>
      <c r="AN745" s="40">
        <f t="shared" si="4184"/>
        <v>0</v>
      </c>
      <c r="AO745" s="40">
        <f t="shared" si="4185"/>
        <v>0</v>
      </c>
      <c r="AP745" s="40">
        <f t="shared" si="4186"/>
        <v>0</v>
      </c>
      <c r="AQ745" s="40">
        <f t="shared" si="4187"/>
        <v>20</v>
      </c>
      <c r="AR745" s="40">
        <f t="shared" si="4188"/>
        <v>2</v>
      </c>
      <c r="AS745" s="40">
        <f t="shared" si="4189"/>
        <v>0</v>
      </c>
      <c r="AT745" s="40">
        <f t="shared" si="4190"/>
        <v>0</v>
      </c>
      <c r="AU745" s="40">
        <f t="shared" si="4191"/>
        <v>0</v>
      </c>
      <c r="AV745" s="40">
        <f t="shared" si="4192"/>
        <v>0</v>
      </c>
      <c r="AW745" s="40">
        <f t="shared" si="4193"/>
        <v>22</v>
      </c>
      <c r="AX745" s="40">
        <f t="shared" si="4236"/>
        <v>0</v>
      </c>
      <c r="AY745" s="40">
        <f t="shared" si="4194"/>
        <v>0</v>
      </c>
      <c r="AZ745" s="40">
        <f t="shared" si="4195"/>
        <v>0</v>
      </c>
      <c r="BA745" s="40">
        <f t="shared" si="4196"/>
        <v>0</v>
      </c>
      <c r="BB745" s="40">
        <f t="shared" si="4197"/>
        <v>0</v>
      </c>
      <c r="BC745" s="40">
        <f t="shared" si="4198"/>
        <v>0</v>
      </c>
      <c r="BD745" s="40">
        <f t="shared" si="4199"/>
        <v>22</v>
      </c>
      <c r="BE745" s="40">
        <f t="shared" si="4200"/>
        <v>0</v>
      </c>
      <c r="BF745" s="40">
        <f t="shared" si="4201"/>
        <v>0</v>
      </c>
      <c r="BG745" s="40">
        <f t="shared" si="4202"/>
        <v>0</v>
      </c>
      <c r="BH745" s="40">
        <f t="shared" si="4203"/>
        <v>0</v>
      </c>
      <c r="BI745" s="40">
        <f t="shared" si="4204"/>
        <v>22</v>
      </c>
      <c r="BJ745" s="40" t="e">
        <f>AH745-AG745</f>
        <v>#VALUE!</v>
      </c>
      <c r="BK745" s="40">
        <v>0</v>
      </c>
      <c r="BL745" s="40" t="e">
        <f t="shared" si="4205"/>
        <v>#VALUE!</v>
      </c>
      <c r="BM745" s="408"/>
      <c r="BN745" s="48">
        <f t="shared" si="4136"/>
        <v>0</v>
      </c>
      <c r="BO745" s="48">
        <f t="shared" si="4137"/>
        <v>0</v>
      </c>
      <c r="BP745" s="48">
        <f>SUM(AL745:AN745)</f>
        <v>0</v>
      </c>
      <c r="BQ745" s="48">
        <f t="shared" si="4139"/>
        <v>20</v>
      </c>
      <c r="BR745" s="48">
        <f t="shared" si="4140"/>
        <v>20</v>
      </c>
      <c r="BS745" s="48">
        <f>SUM(AO745:AQ745)</f>
        <v>20</v>
      </c>
      <c r="BT745" s="48">
        <f t="shared" si="4142"/>
        <v>2</v>
      </c>
      <c r="BU745" s="48">
        <f t="shared" si="4143"/>
        <v>2</v>
      </c>
      <c r="BV745" s="48">
        <f>SUM(AR745:AT745)</f>
        <v>2</v>
      </c>
      <c r="BW745" s="48">
        <f t="shared" si="4145"/>
        <v>22</v>
      </c>
      <c r="BX745" s="48">
        <f t="shared" si="4146"/>
        <v>22</v>
      </c>
      <c r="BY745" s="48">
        <f>SUM(AU745:AW745)</f>
        <v>22</v>
      </c>
      <c r="BZ745" s="48">
        <f t="shared" si="4148"/>
        <v>0</v>
      </c>
      <c r="CA745" s="48">
        <f t="shared" si="4149"/>
        <v>0</v>
      </c>
      <c r="CB745" s="48">
        <f>SUM(AX745:AZ745)</f>
        <v>0</v>
      </c>
      <c r="CC745" s="48">
        <f t="shared" si="4150"/>
        <v>0</v>
      </c>
      <c r="CD745" s="48">
        <f t="shared" si="4151"/>
        <v>0</v>
      </c>
      <c r="CE745" s="48">
        <f>SUM(BA745:BC745)</f>
        <v>0</v>
      </c>
      <c r="CF745" s="48">
        <f>CH745</f>
        <v>22</v>
      </c>
      <c r="CG745" s="48">
        <f>CH745</f>
        <v>22</v>
      </c>
      <c r="CH745" s="48">
        <f>SUM(BD745:BF745)</f>
        <v>22</v>
      </c>
      <c r="CI745" s="48">
        <f>CK745</f>
        <v>22</v>
      </c>
      <c r="CJ745" s="48">
        <f>CK745</f>
        <v>22</v>
      </c>
      <c r="CK745" s="48">
        <f>SUM(BG745:BI745)</f>
        <v>22</v>
      </c>
      <c r="CL745" s="48" t="e">
        <f>CN745</f>
        <v>#VALUE!</v>
      </c>
      <c r="CM745" s="48" t="e">
        <f>CN745</f>
        <v>#VALUE!</v>
      </c>
      <c r="CN745" s="48" t="e">
        <f>SUM(BJ745:BL745)</f>
        <v>#VALUE!</v>
      </c>
      <c r="CO745" s="406"/>
      <c r="CP745" s="48">
        <f t="shared" si="4237"/>
        <v>0</v>
      </c>
      <c r="CQ745" s="48">
        <f t="shared" si="4210"/>
        <v>0</v>
      </c>
      <c r="CR745" s="48">
        <f t="shared" si="4211"/>
        <v>0</v>
      </c>
      <c r="CS745" s="48">
        <f t="shared" si="4212"/>
        <v>0</v>
      </c>
      <c r="CT745" s="48">
        <f t="shared" si="4213"/>
        <v>0</v>
      </c>
      <c r="CU745" s="48">
        <f t="shared" si="4214"/>
        <v>20</v>
      </c>
      <c r="CV745" s="48">
        <f t="shared" si="4215"/>
        <v>22</v>
      </c>
      <c r="CW745" s="48">
        <f t="shared" si="4216"/>
        <v>22</v>
      </c>
      <c r="CX745" s="48">
        <f t="shared" si="4217"/>
        <v>22</v>
      </c>
      <c r="CY745" s="48">
        <f t="shared" si="4218"/>
        <v>22</v>
      </c>
      <c r="CZ745" s="48">
        <f t="shared" si="4219"/>
        <v>22</v>
      </c>
      <c r="DA745" s="48">
        <f t="shared" si="4220"/>
        <v>44</v>
      </c>
      <c r="DB745" s="48">
        <f t="shared" si="4238"/>
        <v>0</v>
      </c>
      <c r="DC745" s="48">
        <f t="shared" si="4221"/>
        <v>0</v>
      </c>
      <c r="DD745" s="48">
        <f t="shared" si="4222"/>
        <v>0</v>
      </c>
      <c r="DE745" s="48">
        <f t="shared" si="4223"/>
        <v>0</v>
      </c>
      <c r="DF745" s="48">
        <f t="shared" si="4224"/>
        <v>0</v>
      </c>
      <c r="DG745" s="48">
        <f t="shared" si="4225"/>
        <v>0</v>
      </c>
      <c r="DH745" s="48">
        <f t="shared" si="4226"/>
        <v>22</v>
      </c>
      <c r="DI745" s="48">
        <f t="shared" si="4227"/>
        <v>22</v>
      </c>
      <c r="DJ745" s="48">
        <f t="shared" si="4228"/>
        <v>22</v>
      </c>
      <c r="DK745" s="48">
        <f t="shared" si="4229"/>
        <v>22</v>
      </c>
      <c r="DL745" s="48">
        <f t="shared" si="4230"/>
        <v>22</v>
      </c>
      <c r="DM745" s="48">
        <f t="shared" si="4231"/>
        <v>44</v>
      </c>
      <c r="DN745" s="48" t="e">
        <f>DM745+BJ745</f>
        <v>#VALUE!</v>
      </c>
      <c r="DO745" s="48" t="e">
        <f t="shared" si="4239"/>
        <v>#VALUE!</v>
      </c>
      <c r="DP745" s="48" t="e">
        <f t="shared" si="4240"/>
        <v>#VALUE!</v>
      </c>
      <c r="DQ745" s="48"/>
      <c r="DR745" s="48"/>
      <c r="DS745" s="48"/>
      <c r="DT745" s="48"/>
      <c r="DU745" s="48"/>
      <c r="DV745" s="48"/>
      <c r="DW745" s="48"/>
      <c r="DX745" s="48"/>
      <c r="DY745" s="48"/>
      <c r="EA745" s="52">
        <f t="shared" si="4168"/>
        <v>44</v>
      </c>
      <c r="EB745" s="52">
        <f t="shared" si="4169"/>
        <v>44</v>
      </c>
      <c r="EC745" s="52"/>
      <c r="ED745" s="429"/>
      <c r="EE745" s="40">
        <f t="shared" si="4133"/>
        <v>0</v>
      </c>
      <c r="EF745" s="40" t="e">
        <f t="shared" si="4134"/>
        <v>#VALUE!</v>
      </c>
      <c r="EG745" s="51">
        <f t="shared" si="4170"/>
        <v>44</v>
      </c>
      <c r="EH745" s="54"/>
      <c r="EI745" s="54"/>
      <c r="EJ745" s="54"/>
      <c r="EK745" s="675"/>
      <c r="EL745" s="53"/>
      <c r="EM745" s="53"/>
      <c r="EN745" s="53"/>
      <c r="EO745" s="49"/>
      <c r="EP745" s="49"/>
      <c r="EQ745" s="49"/>
    </row>
    <row r="746" spans="1:149">
      <c r="A746" s="6" t="s">
        <v>23</v>
      </c>
      <c r="B746" s="2" t="s">
        <v>13</v>
      </c>
      <c r="C746" s="3" t="s">
        <v>52</v>
      </c>
      <c r="E746" s="3" t="s">
        <v>15</v>
      </c>
      <c r="G746" s="28" t="s">
        <v>91</v>
      </c>
      <c r="H746" s="28"/>
      <c r="I746" s="29"/>
      <c r="J746" s="139"/>
      <c r="K746" s="139"/>
      <c r="L746" s="139">
        <f t="shared" ref="L746:N751" si="4248">IF(L20="","",L20+L86+L152+L218+L284+L350+L416+L482+L548+L614+L680)</f>
        <v>132553</v>
      </c>
      <c r="M746" s="139">
        <f t="shared" si="4248"/>
        <v>132553</v>
      </c>
      <c r="N746" s="139">
        <f t="shared" si="4248"/>
        <v>132553</v>
      </c>
      <c r="O746" s="139">
        <f t="shared" si="4246"/>
        <v>265106</v>
      </c>
      <c r="P746" s="139">
        <f t="shared" si="4246"/>
        <v>265106</v>
      </c>
      <c r="Q746" s="139">
        <f t="shared" si="4246"/>
        <v>265106</v>
      </c>
      <c r="R746" s="139">
        <f t="shared" si="4246"/>
        <v>398659</v>
      </c>
      <c r="S746" s="139">
        <f t="shared" si="4246"/>
        <v>398659</v>
      </c>
      <c r="T746" s="139">
        <f t="shared" si="4246"/>
        <v>398659</v>
      </c>
      <c r="U746" s="139">
        <f t="shared" si="4246"/>
        <v>530218</v>
      </c>
      <c r="V746" s="141">
        <f t="shared" ref="V746:Z751" si="4249">IF(V20="","",V20+V86+V152+V218+V284+V350+V416+V482+V548+V614+V680)</f>
        <v>0</v>
      </c>
      <c r="W746" s="139">
        <f t="shared" si="4249"/>
        <v>0</v>
      </c>
      <c r="X746" s="139">
        <f t="shared" si="4249"/>
        <v>0</v>
      </c>
      <c r="Y746" s="139">
        <f t="shared" si="4249"/>
        <v>0</v>
      </c>
      <c r="Z746" s="139">
        <f t="shared" si="4249"/>
        <v>0</v>
      </c>
      <c r="AA746" s="139">
        <f t="shared" ref="AA746:AJ746" si="4250">IF(AA20="","",AA20+AA86+AA152+AA218+AA284+AA350+AA416+AA482+AA548+AA614+AA680)</f>
        <v>310740</v>
      </c>
      <c r="AB746" s="139">
        <f t="shared" si="4250"/>
        <v>310740</v>
      </c>
      <c r="AC746" s="139">
        <f t="shared" si="4250"/>
        <v>310740</v>
      </c>
      <c r="AD746" s="139">
        <f t="shared" si="4250"/>
        <v>310740</v>
      </c>
      <c r="AE746" s="139">
        <f t="shared" si="4250"/>
        <v>310740</v>
      </c>
      <c r="AF746" s="139">
        <f t="shared" si="4250"/>
        <v>310740</v>
      </c>
      <c r="AG746" s="139">
        <f t="shared" si="4250"/>
        <v>621477</v>
      </c>
      <c r="AH746" s="141" t="str">
        <f t="shared" si="4250"/>
        <v/>
      </c>
      <c r="AI746" s="139" t="str">
        <f t="shared" si="4250"/>
        <v/>
      </c>
      <c r="AJ746" s="139" t="str">
        <f t="shared" si="4250"/>
        <v/>
      </c>
      <c r="AK746" s="408"/>
      <c r="AL746" s="40" t="s">
        <v>97</v>
      </c>
      <c r="AM746" s="40" t="s">
        <v>97</v>
      </c>
      <c r="AN746" s="40" t="s">
        <v>97</v>
      </c>
      <c r="AO746" s="40" t="s">
        <v>97</v>
      </c>
      <c r="AP746" s="40" t="s">
        <v>97</v>
      </c>
      <c r="AQ746" s="40" t="s">
        <v>97</v>
      </c>
      <c r="AR746" s="40" t="s">
        <v>97</v>
      </c>
      <c r="AS746" s="40" t="s">
        <v>97</v>
      </c>
      <c r="AT746" s="40" t="s">
        <v>97</v>
      </c>
      <c r="AU746" s="40" t="s">
        <v>97</v>
      </c>
      <c r="AV746" s="40" t="s">
        <v>97</v>
      </c>
      <c r="AW746" s="40" t="s">
        <v>97</v>
      </c>
      <c r="AX746" s="40" t="s">
        <v>97</v>
      </c>
      <c r="AY746" s="40" t="s">
        <v>97</v>
      </c>
      <c r="AZ746" s="40" t="s">
        <v>97</v>
      </c>
      <c r="BA746" s="40" t="s">
        <v>97</v>
      </c>
      <c r="BB746" s="40" t="s">
        <v>97</v>
      </c>
      <c r="BC746" s="40" t="s">
        <v>97</v>
      </c>
      <c r="BD746" s="40" t="s">
        <v>97</v>
      </c>
      <c r="BE746" s="40" t="s">
        <v>97</v>
      </c>
      <c r="BF746" s="40" t="s">
        <v>97</v>
      </c>
      <c r="BG746" s="40" t="s">
        <v>97</v>
      </c>
      <c r="BH746" s="40" t="s">
        <v>97</v>
      </c>
      <c r="BI746" s="40" t="s">
        <v>97</v>
      </c>
      <c r="BJ746" s="40" t="s">
        <v>97</v>
      </c>
      <c r="BK746" s="40" t="s">
        <v>97</v>
      </c>
      <c r="BL746" s="40" t="s">
        <v>97</v>
      </c>
      <c r="BM746" s="408"/>
      <c r="BN746" s="40" t="s">
        <v>97</v>
      </c>
      <c r="BO746" s="40" t="s">
        <v>97</v>
      </c>
      <c r="BP746" s="40" t="s">
        <v>97</v>
      </c>
      <c r="BQ746" s="40" t="s">
        <v>97</v>
      </c>
      <c r="BR746" s="40" t="s">
        <v>97</v>
      </c>
      <c r="BS746" s="40" t="s">
        <v>97</v>
      </c>
      <c r="BT746" s="40" t="s">
        <v>97</v>
      </c>
      <c r="BU746" s="40" t="s">
        <v>97</v>
      </c>
      <c r="BV746" s="40" t="s">
        <v>97</v>
      </c>
      <c r="BW746" s="40" t="s">
        <v>97</v>
      </c>
      <c r="BX746" s="40" t="s">
        <v>97</v>
      </c>
      <c r="BY746" s="40" t="s">
        <v>97</v>
      </c>
      <c r="BZ746" s="40" t="s">
        <v>97</v>
      </c>
      <c r="CA746" s="40" t="s">
        <v>97</v>
      </c>
      <c r="CB746" s="40" t="s">
        <v>97</v>
      </c>
      <c r="CC746" s="40" t="s">
        <v>97</v>
      </c>
      <c r="CD746" s="40" t="s">
        <v>97</v>
      </c>
      <c r="CE746" s="40" t="s">
        <v>97</v>
      </c>
      <c r="CF746" s="40" t="s">
        <v>97</v>
      </c>
      <c r="CG746" s="40" t="s">
        <v>97</v>
      </c>
      <c r="CH746" s="40" t="s">
        <v>97</v>
      </c>
      <c r="CI746" s="40" t="s">
        <v>97</v>
      </c>
      <c r="CJ746" s="40" t="s">
        <v>97</v>
      </c>
      <c r="CK746" s="40" t="s">
        <v>97</v>
      </c>
      <c r="CL746" s="40" t="s">
        <v>97</v>
      </c>
      <c r="CM746" s="40" t="s">
        <v>97</v>
      </c>
      <c r="CN746" s="40" t="s">
        <v>97</v>
      </c>
      <c r="CO746" s="406"/>
      <c r="CP746" s="48">
        <f t="shared" ref="CP746:CY747" si="4251">J746</f>
        <v>0</v>
      </c>
      <c r="CQ746" s="48">
        <f t="shared" si="4251"/>
        <v>0</v>
      </c>
      <c r="CR746" s="48">
        <f t="shared" si="4251"/>
        <v>132553</v>
      </c>
      <c r="CS746" s="48">
        <f t="shared" si="4251"/>
        <v>132553</v>
      </c>
      <c r="CT746" s="48">
        <f t="shared" si="4251"/>
        <v>132553</v>
      </c>
      <c r="CU746" s="48">
        <f t="shared" si="4251"/>
        <v>265106</v>
      </c>
      <c r="CV746" s="48">
        <f t="shared" si="4251"/>
        <v>265106</v>
      </c>
      <c r="CW746" s="48">
        <f t="shared" si="4251"/>
        <v>265106</v>
      </c>
      <c r="CX746" s="48">
        <f t="shared" si="4251"/>
        <v>398659</v>
      </c>
      <c r="CY746" s="48">
        <f t="shared" si="4251"/>
        <v>398659</v>
      </c>
      <c r="CZ746" s="48">
        <f t="shared" ref="CZ746:DI747" si="4252">T746</f>
        <v>398659</v>
      </c>
      <c r="DA746" s="48">
        <f t="shared" si="4252"/>
        <v>530218</v>
      </c>
      <c r="DB746" s="48">
        <f t="shared" si="4252"/>
        <v>0</v>
      </c>
      <c r="DC746" s="48">
        <f t="shared" si="4252"/>
        <v>0</v>
      </c>
      <c r="DD746" s="48">
        <f t="shared" si="4252"/>
        <v>0</v>
      </c>
      <c r="DE746" s="48">
        <f t="shared" si="4252"/>
        <v>0</v>
      </c>
      <c r="DF746" s="48">
        <f t="shared" si="4252"/>
        <v>0</v>
      </c>
      <c r="DG746" s="48">
        <f t="shared" si="4252"/>
        <v>310740</v>
      </c>
      <c r="DH746" s="48">
        <f t="shared" si="4252"/>
        <v>310740</v>
      </c>
      <c r="DI746" s="48">
        <f t="shared" si="4252"/>
        <v>310740</v>
      </c>
      <c r="DJ746" s="48">
        <f t="shared" ref="DJ746:DP747" si="4253">AD746</f>
        <v>310740</v>
      </c>
      <c r="DK746" s="48">
        <f t="shared" si="4253"/>
        <v>310740</v>
      </c>
      <c r="DL746" s="48">
        <f t="shared" si="4253"/>
        <v>310740</v>
      </c>
      <c r="DM746" s="48">
        <f t="shared" si="4253"/>
        <v>621477</v>
      </c>
      <c r="DN746" s="48" t="str">
        <f t="shared" si="4253"/>
        <v/>
      </c>
      <c r="DO746" s="48" t="str">
        <f t="shared" si="4253"/>
        <v/>
      </c>
      <c r="DP746" s="48" t="str">
        <f t="shared" si="4253"/>
        <v/>
      </c>
      <c r="DQ746" s="48"/>
      <c r="DR746" s="48"/>
      <c r="DS746" s="48"/>
      <c r="DT746" s="48"/>
      <c r="DU746" s="48"/>
      <c r="DV746" s="48"/>
      <c r="DW746" s="48"/>
      <c r="DX746" s="48"/>
      <c r="DY746" s="48"/>
      <c r="EA746" s="52">
        <f t="shared" si="4168"/>
        <v>530218</v>
      </c>
      <c r="EB746" s="52">
        <f t="shared" si="4169"/>
        <v>621477</v>
      </c>
      <c r="EC746" s="52"/>
      <c r="ED746" s="429"/>
      <c r="EE746" s="40" t="str">
        <f>HLOOKUP($I$1,Month,19)</f>
        <v>N/A</v>
      </c>
      <c r="EF746" s="40" t="str">
        <f>HLOOKUP($I$1,Qtr,19)</f>
        <v>N/A</v>
      </c>
      <c r="EG746" s="51">
        <f>HLOOKUP($EJ$4,Budget,19)</f>
        <v>41153</v>
      </c>
      <c r="EH746" s="54"/>
      <c r="EI746" s="54"/>
      <c r="EJ746" s="54"/>
      <c r="EK746" s="675"/>
      <c r="EL746" s="53"/>
      <c r="EM746" s="53"/>
      <c r="EN746" s="53"/>
      <c r="EO746" s="49"/>
      <c r="EP746" s="49"/>
      <c r="EQ746" s="49"/>
    </row>
    <row r="747" spans="1:149" ht="13.5" thickBot="1">
      <c r="A747" s="6" t="s">
        <v>23</v>
      </c>
      <c r="B747" s="2" t="s">
        <v>14</v>
      </c>
      <c r="C747" s="3" t="s">
        <v>53</v>
      </c>
      <c r="E747" s="3" t="s">
        <v>15</v>
      </c>
      <c r="G747" s="28" t="s">
        <v>91</v>
      </c>
      <c r="H747" s="28"/>
      <c r="I747" s="29"/>
      <c r="J747" s="139"/>
      <c r="K747" s="139"/>
      <c r="L747" s="139">
        <f t="shared" si="4248"/>
        <v>170818</v>
      </c>
      <c r="M747" s="139">
        <f t="shared" si="4248"/>
        <v>170818</v>
      </c>
      <c r="N747" s="139">
        <f t="shared" si="4248"/>
        <v>170818</v>
      </c>
      <c r="O747" s="139">
        <f t="shared" si="4246"/>
        <v>341636</v>
      </c>
      <c r="P747" s="139">
        <f t="shared" si="4246"/>
        <v>341636</v>
      </c>
      <c r="Q747" s="139">
        <f t="shared" si="4246"/>
        <v>341636</v>
      </c>
      <c r="R747" s="139">
        <f t="shared" si="4246"/>
        <v>512454</v>
      </c>
      <c r="S747" s="139">
        <f t="shared" si="4246"/>
        <v>512454</v>
      </c>
      <c r="T747" s="139">
        <f t="shared" si="4246"/>
        <v>512454</v>
      </c>
      <c r="U747" s="139">
        <f t="shared" si="4246"/>
        <v>683270</v>
      </c>
      <c r="V747" s="149">
        <f t="shared" si="4249"/>
        <v>0</v>
      </c>
      <c r="W747" s="139">
        <f t="shared" si="4249"/>
        <v>0</v>
      </c>
      <c r="X747" s="139">
        <f t="shared" si="4249"/>
        <v>0</v>
      </c>
      <c r="Y747" s="139">
        <f t="shared" si="4249"/>
        <v>0</v>
      </c>
      <c r="Z747" s="139">
        <f t="shared" si="4249"/>
        <v>0</v>
      </c>
      <c r="AA747" s="139">
        <f t="shared" ref="AA747:AJ747" si="4254">IF(AA21="","",AA21+AA87+AA153+AA219+AA285+AA351+AA417+AA483+AA549+AA615+AA681)</f>
        <v>393667</v>
      </c>
      <c r="AB747" s="139">
        <f t="shared" si="4254"/>
        <v>393667</v>
      </c>
      <c r="AC747" s="139">
        <f t="shared" si="4254"/>
        <v>393667</v>
      </c>
      <c r="AD747" s="139">
        <f t="shared" si="4254"/>
        <v>393667</v>
      </c>
      <c r="AE747" s="139">
        <f t="shared" si="4254"/>
        <v>393667</v>
      </c>
      <c r="AF747" s="139">
        <f t="shared" si="4254"/>
        <v>393667</v>
      </c>
      <c r="AG747" s="139">
        <f t="shared" si="4254"/>
        <v>787333</v>
      </c>
      <c r="AH747" s="149" t="str">
        <f t="shared" si="4254"/>
        <v/>
      </c>
      <c r="AI747" s="139" t="str">
        <f t="shared" si="4254"/>
        <v/>
      </c>
      <c r="AJ747" s="139" t="str">
        <f t="shared" si="4254"/>
        <v/>
      </c>
      <c r="AK747" s="408"/>
      <c r="AL747" s="40" t="s">
        <v>97</v>
      </c>
      <c r="AM747" s="40" t="s">
        <v>97</v>
      </c>
      <c r="AN747" s="40" t="s">
        <v>97</v>
      </c>
      <c r="AO747" s="40" t="s">
        <v>97</v>
      </c>
      <c r="AP747" s="40" t="s">
        <v>97</v>
      </c>
      <c r="AQ747" s="40" t="s">
        <v>97</v>
      </c>
      <c r="AR747" s="40" t="s">
        <v>97</v>
      </c>
      <c r="AS747" s="40" t="s">
        <v>97</v>
      </c>
      <c r="AT747" s="40" t="s">
        <v>97</v>
      </c>
      <c r="AU747" s="40" t="s">
        <v>97</v>
      </c>
      <c r="AV747" s="40" t="s">
        <v>97</v>
      </c>
      <c r="AW747" s="40" t="s">
        <v>97</v>
      </c>
      <c r="AX747" s="40" t="s">
        <v>97</v>
      </c>
      <c r="AY747" s="40" t="s">
        <v>97</v>
      </c>
      <c r="AZ747" s="40" t="s">
        <v>97</v>
      </c>
      <c r="BA747" s="40" t="s">
        <v>97</v>
      </c>
      <c r="BB747" s="40" t="s">
        <v>97</v>
      </c>
      <c r="BC747" s="40" t="s">
        <v>97</v>
      </c>
      <c r="BD747" s="40" t="s">
        <v>97</v>
      </c>
      <c r="BE747" s="40" t="s">
        <v>97</v>
      </c>
      <c r="BF747" s="40" t="s">
        <v>97</v>
      </c>
      <c r="BG747" s="40" t="s">
        <v>97</v>
      </c>
      <c r="BH747" s="40" t="s">
        <v>97</v>
      </c>
      <c r="BI747" s="40" t="s">
        <v>97</v>
      </c>
      <c r="BJ747" s="40" t="s">
        <v>97</v>
      </c>
      <c r="BK747" s="40" t="s">
        <v>97</v>
      </c>
      <c r="BL747" s="40" t="s">
        <v>97</v>
      </c>
      <c r="BM747" s="408"/>
      <c r="BN747" s="40" t="s">
        <v>97</v>
      </c>
      <c r="BO747" s="40" t="s">
        <v>97</v>
      </c>
      <c r="BP747" s="40" t="s">
        <v>97</v>
      </c>
      <c r="BQ747" s="40" t="s">
        <v>97</v>
      </c>
      <c r="BR747" s="40" t="s">
        <v>97</v>
      </c>
      <c r="BS747" s="40" t="s">
        <v>97</v>
      </c>
      <c r="BT747" s="40" t="s">
        <v>97</v>
      </c>
      <c r="BU747" s="40" t="s">
        <v>97</v>
      </c>
      <c r="BV747" s="40" t="s">
        <v>97</v>
      </c>
      <c r="BW747" s="40" t="s">
        <v>97</v>
      </c>
      <c r="BX747" s="40" t="s">
        <v>97</v>
      </c>
      <c r="BY747" s="40" t="s">
        <v>97</v>
      </c>
      <c r="BZ747" s="40" t="s">
        <v>97</v>
      </c>
      <c r="CA747" s="40" t="s">
        <v>97</v>
      </c>
      <c r="CB747" s="40" t="s">
        <v>97</v>
      </c>
      <c r="CC747" s="40" t="s">
        <v>97</v>
      </c>
      <c r="CD747" s="40" t="s">
        <v>97</v>
      </c>
      <c r="CE747" s="40" t="s">
        <v>97</v>
      </c>
      <c r="CF747" s="40" t="s">
        <v>97</v>
      </c>
      <c r="CG747" s="40" t="s">
        <v>97</v>
      </c>
      <c r="CH747" s="40" t="s">
        <v>97</v>
      </c>
      <c r="CI747" s="40" t="s">
        <v>97</v>
      </c>
      <c r="CJ747" s="40" t="s">
        <v>97</v>
      </c>
      <c r="CK747" s="40" t="s">
        <v>97</v>
      </c>
      <c r="CL747" s="40" t="s">
        <v>97</v>
      </c>
      <c r="CM747" s="40" t="s">
        <v>97</v>
      </c>
      <c r="CN747" s="40" t="s">
        <v>97</v>
      </c>
      <c r="CO747" s="406"/>
      <c r="CP747" s="48">
        <f t="shared" si="4251"/>
        <v>0</v>
      </c>
      <c r="CQ747" s="48">
        <f t="shared" si="4251"/>
        <v>0</v>
      </c>
      <c r="CR747" s="48">
        <f t="shared" si="4251"/>
        <v>170818</v>
      </c>
      <c r="CS747" s="48">
        <f t="shared" si="4251"/>
        <v>170818</v>
      </c>
      <c r="CT747" s="48">
        <f t="shared" si="4251"/>
        <v>170818</v>
      </c>
      <c r="CU747" s="48">
        <f t="shared" si="4251"/>
        <v>341636</v>
      </c>
      <c r="CV747" s="48">
        <f t="shared" si="4251"/>
        <v>341636</v>
      </c>
      <c r="CW747" s="48">
        <f t="shared" si="4251"/>
        <v>341636</v>
      </c>
      <c r="CX747" s="48">
        <f t="shared" si="4251"/>
        <v>512454</v>
      </c>
      <c r="CY747" s="48">
        <f t="shared" si="4251"/>
        <v>512454</v>
      </c>
      <c r="CZ747" s="48">
        <f t="shared" si="4252"/>
        <v>512454</v>
      </c>
      <c r="DA747" s="48">
        <f t="shared" si="4252"/>
        <v>683270</v>
      </c>
      <c r="DB747" s="48">
        <f t="shared" si="4252"/>
        <v>0</v>
      </c>
      <c r="DC747" s="48">
        <f t="shared" si="4252"/>
        <v>0</v>
      </c>
      <c r="DD747" s="48">
        <f t="shared" si="4252"/>
        <v>0</v>
      </c>
      <c r="DE747" s="48">
        <f t="shared" si="4252"/>
        <v>0</v>
      </c>
      <c r="DF747" s="48">
        <f t="shared" si="4252"/>
        <v>0</v>
      </c>
      <c r="DG747" s="48">
        <f t="shared" si="4252"/>
        <v>393667</v>
      </c>
      <c r="DH747" s="48">
        <f t="shared" si="4252"/>
        <v>393667</v>
      </c>
      <c r="DI747" s="48">
        <f t="shared" si="4252"/>
        <v>393667</v>
      </c>
      <c r="DJ747" s="48">
        <f t="shared" si="4253"/>
        <v>393667</v>
      </c>
      <c r="DK747" s="48">
        <f t="shared" si="4253"/>
        <v>393667</v>
      </c>
      <c r="DL747" s="48">
        <f t="shared" si="4253"/>
        <v>393667</v>
      </c>
      <c r="DM747" s="48">
        <f t="shared" si="4253"/>
        <v>787333</v>
      </c>
      <c r="DN747" s="48" t="str">
        <f t="shared" si="4253"/>
        <v/>
      </c>
      <c r="DO747" s="48" t="str">
        <f t="shared" si="4253"/>
        <v/>
      </c>
      <c r="DP747" s="48" t="str">
        <f t="shared" si="4253"/>
        <v/>
      </c>
      <c r="DQ747" s="48"/>
      <c r="DR747" s="48"/>
      <c r="DS747" s="48"/>
      <c r="DT747" s="48"/>
      <c r="DU747" s="48"/>
      <c r="DV747" s="48"/>
      <c r="DW747" s="48"/>
      <c r="DX747" s="48"/>
      <c r="DY747" s="48"/>
      <c r="EA747" s="52">
        <f t="shared" si="4168"/>
        <v>683270</v>
      </c>
      <c r="EB747" s="52">
        <f t="shared" si="4169"/>
        <v>787333</v>
      </c>
      <c r="EC747" s="52"/>
      <c r="ED747" s="429"/>
      <c r="EE747" s="40" t="str">
        <f>HLOOKUP($I$1,Month,20)</f>
        <v>N/A</v>
      </c>
      <c r="EF747" s="40" t="str">
        <f>HLOOKUP($I$1,Qtr,20)</f>
        <v>N/A</v>
      </c>
      <c r="EG747" s="51">
        <f>HLOOKUP($EJ$4,Budget,20)</f>
        <v>81520</v>
      </c>
      <c r="EH747" s="54"/>
      <c r="EI747" s="54"/>
      <c r="EJ747" s="54"/>
      <c r="EK747" s="675"/>
      <c r="EL747" s="53"/>
      <c r="EM747" s="53"/>
      <c r="EN747" s="53"/>
      <c r="EO747" s="49"/>
      <c r="EP747" s="49"/>
      <c r="EQ747" s="49"/>
    </row>
    <row r="748" spans="1:149">
      <c r="A748" s="6" t="s">
        <v>23</v>
      </c>
      <c r="B748" s="2" t="s">
        <v>0</v>
      </c>
      <c r="C748" s="3" t="s">
        <v>40</v>
      </c>
      <c r="G748" s="43" t="s">
        <v>113</v>
      </c>
      <c r="H748" s="28"/>
      <c r="I748" s="29"/>
      <c r="J748" s="30">
        <f t="shared" ref="J748:K751" si="4255">IF(J22="","",J22+J88+J154+J220+J286+J352+J418+J484+J550+J616+J682)</f>
        <v>163.70003333333335</v>
      </c>
      <c r="K748" s="30">
        <f t="shared" si="4255"/>
        <v>183.92003333333338</v>
      </c>
      <c r="L748" s="30">
        <f t="shared" si="4248"/>
        <v>203.67003333333332</v>
      </c>
      <c r="M748" s="30">
        <f t="shared" si="4248"/>
        <v>226.91666333333333</v>
      </c>
      <c r="N748" s="30">
        <f t="shared" si="4248"/>
        <v>253.07666666333333</v>
      </c>
      <c r="O748" s="30">
        <f t="shared" si="4246"/>
        <v>272.82666666333336</v>
      </c>
      <c r="P748" s="30">
        <f t="shared" si="4246"/>
        <v>292.57666666333336</v>
      </c>
      <c r="Q748" s="30">
        <f t="shared" si="4246"/>
        <v>312.32666666333336</v>
      </c>
      <c r="R748" s="30">
        <f t="shared" si="4246"/>
        <v>332.07666666333336</v>
      </c>
      <c r="S748" s="30">
        <f t="shared" si="4246"/>
        <v>351.82666666333336</v>
      </c>
      <c r="T748" s="30">
        <f t="shared" si="4246"/>
        <v>371.57666666333336</v>
      </c>
      <c r="U748" s="30">
        <f t="shared" si="4246"/>
        <v>391.32666666333336</v>
      </c>
      <c r="V748" s="30">
        <f t="shared" si="4249"/>
        <v>190.83266666666665</v>
      </c>
      <c r="W748" s="30">
        <f t="shared" si="4249"/>
        <v>343.33166666666665</v>
      </c>
      <c r="X748" s="30">
        <f t="shared" si="4249"/>
        <v>495.83066666666662</v>
      </c>
      <c r="Y748" s="30">
        <f t="shared" si="4249"/>
        <v>648.32966666666664</v>
      </c>
      <c r="Z748" s="30">
        <f t="shared" si="4249"/>
        <v>800.82866666666666</v>
      </c>
      <c r="AA748" s="30">
        <f t="shared" ref="AA748:AJ748" si="4256">IF(AA22="","",AA22+AA88+AA154+AA220+AA286+AA352+AA418+AA484+AA550+AA616+AA682)</f>
        <v>953.32766666666669</v>
      </c>
      <c r="AB748" s="30">
        <f t="shared" si="4256"/>
        <v>1105.8266666666668</v>
      </c>
      <c r="AC748" s="30">
        <f t="shared" si="4256"/>
        <v>1258.3256666666666</v>
      </c>
      <c r="AD748" s="30">
        <f t="shared" si="4256"/>
        <v>1410.8246666666666</v>
      </c>
      <c r="AE748" s="30">
        <f t="shared" si="4256"/>
        <v>1563.3236666666664</v>
      </c>
      <c r="AF748" s="30">
        <f t="shared" si="4256"/>
        <v>1715.8226666666667</v>
      </c>
      <c r="AG748" s="30">
        <f t="shared" si="4256"/>
        <v>1868.3216666666665</v>
      </c>
      <c r="AH748" s="30">
        <f t="shared" si="4256"/>
        <v>199.41633333333337</v>
      </c>
      <c r="AI748" s="30">
        <f t="shared" si="4256"/>
        <v>324.83299999999997</v>
      </c>
      <c r="AJ748" s="30">
        <f t="shared" si="4256"/>
        <v>94.832999999999998</v>
      </c>
      <c r="AK748" s="408"/>
      <c r="AL748" s="48">
        <f t="shared" ref="AL748:AU750" si="4257">J748</f>
        <v>163.70003333333335</v>
      </c>
      <c r="AM748" s="48">
        <f t="shared" si="4257"/>
        <v>183.92003333333338</v>
      </c>
      <c r="AN748" s="48">
        <f t="shared" si="4257"/>
        <v>203.67003333333332</v>
      </c>
      <c r="AO748" s="48">
        <f t="shared" si="4257"/>
        <v>226.91666333333333</v>
      </c>
      <c r="AP748" s="48">
        <f t="shared" si="4257"/>
        <v>253.07666666333333</v>
      </c>
      <c r="AQ748" s="48">
        <f t="shared" si="4257"/>
        <v>272.82666666333336</v>
      </c>
      <c r="AR748" s="48">
        <f t="shared" si="4257"/>
        <v>292.57666666333336</v>
      </c>
      <c r="AS748" s="48">
        <f t="shared" si="4257"/>
        <v>312.32666666333336</v>
      </c>
      <c r="AT748" s="48">
        <f t="shared" si="4257"/>
        <v>332.07666666333336</v>
      </c>
      <c r="AU748" s="48">
        <f t="shared" si="4257"/>
        <v>351.82666666333336</v>
      </c>
      <c r="AV748" s="48">
        <f t="shared" ref="AV748:BE750" si="4258">T748</f>
        <v>371.57666666333336</v>
      </c>
      <c r="AW748" s="48">
        <f t="shared" si="4258"/>
        <v>391.32666666333336</v>
      </c>
      <c r="AX748" s="395">
        <f>2275/12</f>
        <v>189.58333333333334</v>
      </c>
      <c r="AY748" s="395">
        <f t="shared" ref="AY748:BI748" si="4259">2275/12</f>
        <v>189.58333333333334</v>
      </c>
      <c r="AZ748" s="395">
        <f t="shared" si="4259"/>
        <v>189.58333333333334</v>
      </c>
      <c r="BA748" s="395">
        <f t="shared" si="4259"/>
        <v>189.58333333333334</v>
      </c>
      <c r="BB748" s="395">
        <f t="shared" si="4259"/>
        <v>189.58333333333334</v>
      </c>
      <c r="BC748" s="395">
        <f t="shared" si="4259"/>
        <v>189.58333333333334</v>
      </c>
      <c r="BD748" s="395">
        <f t="shared" si="4259"/>
        <v>189.58333333333334</v>
      </c>
      <c r="BE748" s="395">
        <f t="shared" si="4259"/>
        <v>189.58333333333334</v>
      </c>
      <c r="BF748" s="395">
        <f t="shared" si="4259"/>
        <v>189.58333333333334</v>
      </c>
      <c r="BG748" s="395">
        <f t="shared" si="4259"/>
        <v>189.58333333333334</v>
      </c>
      <c r="BH748" s="395">
        <f t="shared" si="4259"/>
        <v>189.58333333333334</v>
      </c>
      <c r="BI748" s="395">
        <f t="shared" si="4259"/>
        <v>189.58333333333334</v>
      </c>
      <c r="BJ748" s="48">
        <f t="shared" ref="BF748:BL750" si="4260">AH748</f>
        <v>199.41633333333337</v>
      </c>
      <c r="BK748" s="48">
        <f t="shared" si="4260"/>
        <v>324.83299999999997</v>
      </c>
      <c r="BL748" s="48">
        <f t="shared" si="4260"/>
        <v>94.832999999999998</v>
      </c>
      <c r="BM748" s="408"/>
      <c r="BN748" s="48">
        <f>+AL748</f>
        <v>163.70003333333335</v>
      </c>
      <c r="BO748" s="48">
        <f>+BN748+AM748</f>
        <v>347.62006666666673</v>
      </c>
      <c r="BP748" s="48">
        <f>+BO748+AN748</f>
        <v>551.29010000000005</v>
      </c>
      <c r="BQ748" s="48">
        <f>AO748</f>
        <v>226.91666333333333</v>
      </c>
      <c r="BR748" s="48">
        <f>+BQ748+AP748</f>
        <v>479.99332999666666</v>
      </c>
      <c r="BS748" s="48">
        <f>+BR748+AQ748</f>
        <v>752.81999666000002</v>
      </c>
      <c r="BT748" s="48">
        <f>AR748</f>
        <v>292.57666666333336</v>
      </c>
      <c r="BU748" s="48">
        <f>+BT748+AS748</f>
        <v>604.90333332666671</v>
      </c>
      <c r="BV748" s="48">
        <f>+BU748+AT748</f>
        <v>936.97999999000012</v>
      </c>
      <c r="BW748" s="48">
        <f>AU748</f>
        <v>351.82666666333336</v>
      </c>
      <c r="BX748" s="48">
        <f>+BW748+AV748</f>
        <v>723.40333332666671</v>
      </c>
      <c r="BY748" s="48">
        <f>+BX748+AW748</f>
        <v>1114.7299999900001</v>
      </c>
      <c r="BZ748" s="48">
        <f>CB748</f>
        <v>568.75</v>
      </c>
      <c r="CA748" s="48">
        <f>CB748</f>
        <v>568.75</v>
      </c>
      <c r="CB748" s="48">
        <f>AX748*3</f>
        <v>568.75</v>
      </c>
      <c r="CC748" s="48">
        <f>CE748</f>
        <v>1137.5</v>
      </c>
      <c r="CD748" s="48">
        <f>CE748</f>
        <v>1137.5</v>
      </c>
      <c r="CE748" s="48">
        <f>AX748*6</f>
        <v>1137.5</v>
      </c>
      <c r="CF748" s="48">
        <f>CH748</f>
        <v>1706.25</v>
      </c>
      <c r="CG748" s="48">
        <f>CH748</f>
        <v>1706.25</v>
      </c>
      <c r="CH748" s="48">
        <f>AX748*9</f>
        <v>1706.25</v>
      </c>
      <c r="CI748" s="48">
        <f>CK748</f>
        <v>2275</v>
      </c>
      <c r="CJ748" s="48">
        <f>CK748</f>
        <v>2275</v>
      </c>
      <c r="CK748" s="48">
        <f>AX748*12</f>
        <v>2275</v>
      </c>
      <c r="CL748" s="48">
        <f>BJ748</f>
        <v>199.41633333333337</v>
      </c>
      <c r="CM748" s="48">
        <f>+CL748+BK748</f>
        <v>524.24933333333331</v>
      </c>
      <c r="CN748" s="48">
        <f>+CM748+BL748</f>
        <v>619.08233333333328</v>
      </c>
      <c r="CO748" s="406"/>
      <c r="CP748" s="40">
        <f>AL748</f>
        <v>163.70003333333335</v>
      </c>
      <c r="CQ748" s="40">
        <f t="shared" ref="CQ748:DA749" si="4261">CP748+AM748</f>
        <v>347.62006666666673</v>
      </c>
      <c r="CR748" s="40">
        <f t="shared" si="4261"/>
        <v>551.29010000000005</v>
      </c>
      <c r="CS748" s="40">
        <f t="shared" si="4261"/>
        <v>778.20676333333336</v>
      </c>
      <c r="CT748" s="40">
        <f t="shared" si="4261"/>
        <v>1031.2834299966667</v>
      </c>
      <c r="CU748" s="40">
        <f t="shared" si="4261"/>
        <v>1304.11009666</v>
      </c>
      <c r="CV748" s="40">
        <f t="shared" si="4261"/>
        <v>1596.6867633233333</v>
      </c>
      <c r="CW748" s="40">
        <f t="shared" si="4261"/>
        <v>1909.0134299866666</v>
      </c>
      <c r="CX748" s="40">
        <f t="shared" si="4261"/>
        <v>2241.0900966499999</v>
      </c>
      <c r="CY748" s="40">
        <f t="shared" si="4261"/>
        <v>2592.9167633133334</v>
      </c>
      <c r="CZ748" s="40">
        <f t="shared" si="4261"/>
        <v>2964.4934299766669</v>
      </c>
      <c r="DA748" s="40">
        <f t="shared" si="4261"/>
        <v>3355.8200966400004</v>
      </c>
      <c r="DB748" s="40">
        <f>AX748</f>
        <v>189.58333333333334</v>
      </c>
      <c r="DC748" s="40">
        <f t="shared" ref="DC748:DM749" si="4262">DB748+AY748</f>
        <v>379.16666666666669</v>
      </c>
      <c r="DD748" s="40">
        <f t="shared" si="4262"/>
        <v>568.75</v>
      </c>
      <c r="DE748" s="40">
        <f t="shared" si="4262"/>
        <v>758.33333333333337</v>
      </c>
      <c r="DF748" s="40">
        <f t="shared" si="4262"/>
        <v>947.91666666666674</v>
      </c>
      <c r="DG748" s="40">
        <f t="shared" si="4262"/>
        <v>1137.5</v>
      </c>
      <c r="DH748" s="40">
        <f t="shared" si="4262"/>
        <v>1327.0833333333333</v>
      </c>
      <c r="DI748" s="40">
        <f t="shared" si="4262"/>
        <v>1516.6666666666665</v>
      </c>
      <c r="DJ748" s="40">
        <f t="shared" si="4262"/>
        <v>1706.2499999999998</v>
      </c>
      <c r="DK748" s="40">
        <f t="shared" si="4262"/>
        <v>1895.833333333333</v>
      </c>
      <c r="DL748" s="40">
        <f t="shared" si="4262"/>
        <v>2085.4166666666665</v>
      </c>
      <c r="DM748" s="40">
        <f t="shared" si="4262"/>
        <v>2275</v>
      </c>
      <c r="DN748" s="40">
        <f>BJ748</f>
        <v>199.41633333333337</v>
      </c>
      <c r="DO748" s="40">
        <f>DN748+BK748</f>
        <v>524.24933333333331</v>
      </c>
      <c r="DP748" s="40">
        <f>DO748+BL748</f>
        <v>619.08233333333328</v>
      </c>
      <c r="DQ748" s="40"/>
      <c r="DR748" s="40"/>
      <c r="DS748" s="40"/>
      <c r="DT748" s="40"/>
      <c r="DU748" s="40"/>
      <c r="DV748" s="40"/>
      <c r="DW748" s="40"/>
      <c r="DX748" s="40"/>
      <c r="DY748" s="40"/>
      <c r="EA748" s="58">
        <f t="shared" si="4168"/>
        <v>3355.8200966400004</v>
      </c>
      <c r="EB748" s="58">
        <f t="shared" si="4169"/>
        <v>2275</v>
      </c>
      <c r="EC748" s="58"/>
      <c r="ED748" s="429"/>
      <c r="EE748" s="40">
        <f>HLOOKUP($I$1,Month,ROW()-1)</f>
        <v>324.83299999999997</v>
      </c>
      <c r="EF748" s="40">
        <f>HLOOKUP($I$1,Qtr,ROW()-1)</f>
        <v>524.24933333333331</v>
      </c>
      <c r="EG748" s="40">
        <f>HLOOKUP($EJ$4,Budget,ROW()-1)</f>
        <v>2275</v>
      </c>
      <c r="EH748" s="54"/>
      <c r="EI748" s="54"/>
      <c r="EJ748" s="54"/>
      <c r="EK748" s="675"/>
      <c r="EL748" s="53"/>
      <c r="EM748" s="53"/>
      <c r="EN748" s="53"/>
      <c r="EO748" s="49"/>
      <c r="EP748" s="49"/>
      <c r="EQ748" s="49"/>
    </row>
    <row r="749" spans="1:149">
      <c r="A749" s="6" t="s">
        <v>23</v>
      </c>
      <c r="B749" s="2" t="s">
        <v>1</v>
      </c>
      <c r="C749" s="3" t="s">
        <v>41</v>
      </c>
      <c r="G749" s="43" t="s">
        <v>113</v>
      </c>
      <c r="H749" s="28"/>
      <c r="I749" s="29"/>
      <c r="J749" s="30">
        <f t="shared" si="4255"/>
        <v>30.416669999999996</v>
      </c>
      <c r="K749" s="30">
        <f t="shared" si="4255"/>
        <v>30.416669999999996</v>
      </c>
      <c r="L749" s="30">
        <f t="shared" si="4248"/>
        <v>30.416670000000003</v>
      </c>
      <c r="M749" s="30">
        <f t="shared" si="4248"/>
        <v>45.86999966666334</v>
      </c>
      <c r="N749" s="30">
        <f t="shared" si="4248"/>
        <v>45.829993663330001</v>
      </c>
      <c r="O749" s="30">
        <f t="shared" si="4246"/>
        <v>45.830006663329996</v>
      </c>
      <c r="P749" s="30">
        <f t="shared" si="4246"/>
        <v>45.829966663330005</v>
      </c>
      <c r="Q749" s="30">
        <f t="shared" si="4246"/>
        <v>45.830366663330004</v>
      </c>
      <c r="R749" s="30">
        <f t="shared" si="4246"/>
        <v>45.829666663330002</v>
      </c>
      <c r="S749" s="30">
        <f t="shared" si="4246"/>
        <v>45.829966663329998</v>
      </c>
      <c r="T749" s="30">
        <f t="shared" si="4246"/>
        <v>45.830036663330006</v>
      </c>
      <c r="U749" s="30">
        <f t="shared" si="4246"/>
        <v>45.829996663329993</v>
      </c>
      <c r="V749" s="30">
        <f t="shared" si="4249"/>
        <v>45.850466663329996</v>
      </c>
      <c r="W749" s="30">
        <f t="shared" si="4249"/>
        <v>50.873566663329996</v>
      </c>
      <c r="X749" s="30">
        <f t="shared" si="4249"/>
        <v>55.896466663330003</v>
      </c>
      <c r="Y749" s="30">
        <f t="shared" si="4249"/>
        <v>68.41876666666667</v>
      </c>
      <c r="Z749" s="30">
        <f t="shared" si="4249"/>
        <v>73.441769999999991</v>
      </c>
      <c r="AA749" s="30">
        <f t="shared" ref="AA749:AJ749" si="4263">IF(AA23="","",AA23+AA89+AA155+AA221+AA287+AA353+AA419+AA485+AA551+AA617+AA683)</f>
        <v>78.464770000000001</v>
      </c>
      <c r="AB749" s="30">
        <f t="shared" si="4263"/>
        <v>83.357769999999988</v>
      </c>
      <c r="AC749" s="30">
        <f t="shared" si="4263"/>
        <v>88.340769999999992</v>
      </c>
      <c r="AD749" s="30">
        <f t="shared" si="4263"/>
        <v>93.363770000000002</v>
      </c>
      <c r="AE749" s="30">
        <f t="shared" si="4263"/>
        <v>98.386769999999999</v>
      </c>
      <c r="AF749" s="30">
        <f t="shared" si="4263"/>
        <v>103.40976999999999</v>
      </c>
      <c r="AG749" s="30">
        <f t="shared" si="4263"/>
        <v>108.43277</v>
      </c>
      <c r="AH749" s="30">
        <f t="shared" si="4263"/>
        <v>54.745569999999994</v>
      </c>
      <c r="AI749" s="30">
        <f t="shared" si="4263"/>
        <v>54.745569999999994</v>
      </c>
      <c r="AJ749" s="30">
        <f t="shared" si="4263"/>
        <v>54.745569999999994</v>
      </c>
      <c r="AK749" s="408"/>
      <c r="AL749" s="48">
        <f t="shared" si="4257"/>
        <v>30.416669999999996</v>
      </c>
      <c r="AM749" s="48">
        <f t="shared" si="4257"/>
        <v>30.416669999999996</v>
      </c>
      <c r="AN749" s="48">
        <f t="shared" si="4257"/>
        <v>30.416670000000003</v>
      </c>
      <c r="AO749" s="48">
        <f t="shared" si="4257"/>
        <v>45.86999966666334</v>
      </c>
      <c r="AP749" s="48">
        <f t="shared" si="4257"/>
        <v>45.829993663330001</v>
      </c>
      <c r="AQ749" s="48">
        <f t="shared" si="4257"/>
        <v>45.830006663329996</v>
      </c>
      <c r="AR749" s="48">
        <f t="shared" si="4257"/>
        <v>45.829966663330005</v>
      </c>
      <c r="AS749" s="48">
        <f t="shared" si="4257"/>
        <v>45.830366663330004</v>
      </c>
      <c r="AT749" s="48">
        <f t="shared" si="4257"/>
        <v>45.829666663330002</v>
      </c>
      <c r="AU749" s="48">
        <f t="shared" si="4257"/>
        <v>45.829966663329998</v>
      </c>
      <c r="AV749" s="48">
        <f t="shared" si="4258"/>
        <v>45.830036663330006</v>
      </c>
      <c r="AW749" s="48">
        <f t="shared" si="4258"/>
        <v>45.829996663329993</v>
      </c>
      <c r="AX749" s="48">
        <f t="shared" si="4258"/>
        <v>45.850466663329996</v>
      </c>
      <c r="AY749" s="48">
        <f t="shared" si="4258"/>
        <v>50.873566663329996</v>
      </c>
      <c r="AZ749" s="48">
        <f t="shared" si="4258"/>
        <v>55.896466663330003</v>
      </c>
      <c r="BA749" s="48">
        <f t="shared" si="4258"/>
        <v>68.41876666666667</v>
      </c>
      <c r="BB749" s="48">
        <f t="shared" si="4258"/>
        <v>73.441769999999991</v>
      </c>
      <c r="BC749" s="48">
        <f t="shared" si="4258"/>
        <v>78.464770000000001</v>
      </c>
      <c r="BD749" s="48">
        <f t="shared" si="4258"/>
        <v>83.357769999999988</v>
      </c>
      <c r="BE749" s="48">
        <f t="shared" si="4258"/>
        <v>88.340769999999992</v>
      </c>
      <c r="BF749" s="48">
        <f t="shared" si="4260"/>
        <v>93.363770000000002</v>
      </c>
      <c r="BG749" s="48">
        <f t="shared" si="4260"/>
        <v>98.386769999999999</v>
      </c>
      <c r="BH749" s="48">
        <f t="shared" si="4260"/>
        <v>103.40976999999999</v>
      </c>
      <c r="BI749" s="48">
        <f t="shared" si="4260"/>
        <v>108.43277</v>
      </c>
      <c r="BJ749" s="48">
        <f t="shared" si="4260"/>
        <v>54.745569999999994</v>
      </c>
      <c r="BK749" s="48">
        <f t="shared" si="4260"/>
        <v>54.745569999999994</v>
      </c>
      <c r="BL749" s="48">
        <f t="shared" si="4260"/>
        <v>54.745569999999994</v>
      </c>
      <c r="BM749" s="408"/>
      <c r="BN749" s="48">
        <f>+AL749</f>
        <v>30.416669999999996</v>
      </c>
      <c r="BO749" s="48">
        <f>+BN749+AM749</f>
        <v>60.833339999999993</v>
      </c>
      <c r="BP749" s="48">
        <f>+BO749+AN749</f>
        <v>91.250010000000003</v>
      </c>
      <c r="BQ749" s="48">
        <f>AO749</f>
        <v>45.86999966666334</v>
      </c>
      <c r="BR749" s="48">
        <f>+BQ749+AP749</f>
        <v>91.699993329993333</v>
      </c>
      <c r="BS749" s="48">
        <f>+BR749+AQ749</f>
        <v>137.52999999332332</v>
      </c>
      <c r="BT749" s="48">
        <f>AR749</f>
        <v>45.829966663330005</v>
      </c>
      <c r="BU749" s="48">
        <f>+BT749+AS749</f>
        <v>91.660333326660009</v>
      </c>
      <c r="BV749" s="48">
        <f>+BU749+AT749</f>
        <v>137.48999998999</v>
      </c>
      <c r="BW749" s="48">
        <f>AU749</f>
        <v>45.829966663329998</v>
      </c>
      <c r="BX749" s="48">
        <f>+BW749+AV749</f>
        <v>91.660003326660004</v>
      </c>
      <c r="BY749" s="48">
        <f>+BX749+AW749</f>
        <v>137.48999998999</v>
      </c>
      <c r="BZ749" s="48">
        <f>AX749</f>
        <v>45.850466663329996</v>
      </c>
      <c r="CA749" s="48">
        <f>+BZ749+AY749</f>
        <v>96.724033326659992</v>
      </c>
      <c r="CB749" s="48">
        <f>+CA749+AZ749</f>
        <v>152.62049998998998</v>
      </c>
      <c r="CC749" s="48">
        <f>BA749</f>
        <v>68.41876666666667</v>
      </c>
      <c r="CD749" s="48">
        <f>+CC749+BB749</f>
        <v>141.86053666666666</v>
      </c>
      <c r="CE749" s="48">
        <f>+CD749+BC749</f>
        <v>220.32530666666668</v>
      </c>
      <c r="CF749" s="48">
        <f>BD749</f>
        <v>83.357769999999988</v>
      </c>
      <c r="CG749" s="48">
        <f>+CF749+BE749</f>
        <v>171.69853999999998</v>
      </c>
      <c r="CH749" s="48">
        <f>+CG749+BF749</f>
        <v>265.06230999999997</v>
      </c>
      <c r="CI749" s="48">
        <f>BG749</f>
        <v>98.386769999999999</v>
      </c>
      <c r="CJ749" s="48">
        <f>+CI749+BH749</f>
        <v>201.79653999999999</v>
      </c>
      <c r="CK749" s="48">
        <f>+CJ749+BI749</f>
        <v>310.22931</v>
      </c>
      <c r="CL749" s="48">
        <f>BJ749</f>
        <v>54.745569999999994</v>
      </c>
      <c r="CM749" s="48">
        <f>+CL749+BK749</f>
        <v>109.49113999999999</v>
      </c>
      <c r="CN749" s="48">
        <f>+CM749+BL749</f>
        <v>164.23670999999999</v>
      </c>
      <c r="CO749" s="406"/>
      <c r="CP749" s="40">
        <f>AL749</f>
        <v>30.416669999999996</v>
      </c>
      <c r="CQ749" s="40">
        <f t="shared" si="4261"/>
        <v>60.833339999999993</v>
      </c>
      <c r="CR749" s="40">
        <f t="shared" si="4261"/>
        <v>91.250010000000003</v>
      </c>
      <c r="CS749" s="40">
        <f t="shared" si="4261"/>
        <v>137.12000966666335</v>
      </c>
      <c r="CT749" s="40">
        <f t="shared" si="4261"/>
        <v>182.95000332999336</v>
      </c>
      <c r="CU749" s="40">
        <f t="shared" si="4261"/>
        <v>228.78000999332335</v>
      </c>
      <c r="CV749" s="40">
        <f t="shared" si="4261"/>
        <v>274.60997665665337</v>
      </c>
      <c r="CW749" s="40">
        <f t="shared" si="4261"/>
        <v>320.44034331998336</v>
      </c>
      <c r="CX749" s="40">
        <f t="shared" si="4261"/>
        <v>366.27000998331334</v>
      </c>
      <c r="CY749" s="40">
        <f t="shared" si="4261"/>
        <v>412.09997664664331</v>
      </c>
      <c r="CZ749" s="40">
        <f t="shared" si="4261"/>
        <v>457.93001330997333</v>
      </c>
      <c r="DA749" s="40">
        <f t="shared" si="4261"/>
        <v>503.76000997330334</v>
      </c>
      <c r="DB749" s="40">
        <f>AX749</f>
        <v>45.850466663329996</v>
      </c>
      <c r="DC749" s="40">
        <f t="shared" si="4262"/>
        <v>96.724033326659992</v>
      </c>
      <c r="DD749" s="40">
        <f t="shared" si="4262"/>
        <v>152.62049998998998</v>
      </c>
      <c r="DE749" s="40">
        <f t="shared" si="4262"/>
        <v>221.03926665665665</v>
      </c>
      <c r="DF749" s="40">
        <f t="shared" si="4262"/>
        <v>294.48103665665667</v>
      </c>
      <c r="DG749" s="40">
        <f t="shared" si="4262"/>
        <v>372.94580665665666</v>
      </c>
      <c r="DH749" s="40">
        <f t="shared" si="4262"/>
        <v>456.30357665665667</v>
      </c>
      <c r="DI749" s="40">
        <f t="shared" si="4262"/>
        <v>544.64434665665669</v>
      </c>
      <c r="DJ749" s="40">
        <f t="shared" si="4262"/>
        <v>638.00811665665674</v>
      </c>
      <c r="DK749" s="40">
        <f t="shared" si="4262"/>
        <v>736.39488665665669</v>
      </c>
      <c r="DL749" s="40">
        <f t="shared" si="4262"/>
        <v>839.80465665665668</v>
      </c>
      <c r="DM749" s="40">
        <f t="shared" si="4262"/>
        <v>948.23742665665668</v>
      </c>
      <c r="DN749" s="40">
        <f>BJ749</f>
        <v>54.745569999999994</v>
      </c>
      <c r="DO749" s="40">
        <f>DN749+BK749</f>
        <v>109.49113999999999</v>
      </c>
      <c r="DP749" s="40">
        <f>DO749+BL749</f>
        <v>164.23670999999999</v>
      </c>
      <c r="DQ749" s="40"/>
      <c r="DR749" s="40"/>
      <c r="DS749" s="40"/>
      <c r="DT749" s="40"/>
      <c r="DU749" s="40"/>
      <c r="DV749" s="40"/>
      <c r="DW749" s="40"/>
      <c r="DX749" s="40"/>
      <c r="DY749" s="40"/>
      <c r="EA749" s="59">
        <f t="shared" si="4168"/>
        <v>503.76000997330334</v>
      </c>
      <c r="EB749" s="59">
        <f>IF(I727&gt;6/30/10,DM749,"")</f>
        <v>948.23742665665668</v>
      </c>
      <c r="EC749" s="59"/>
      <c r="ED749" s="429"/>
      <c r="EE749" s="40">
        <f>HLOOKUP($I$1,Month,ROW()-1)</f>
        <v>54.745569999999994</v>
      </c>
      <c r="EF749" s="40">
        <f>HLOOKUP($I$1,Qtr,ROW()-1)</f>
        <v>109.49113999999999</v>
      </c>
      <c r="EG749" s="40">
        <f>HLOOKUP($EJ$4,Budget,ROW()-1)</f>
        <v>948.23742665665668</v>
      </c>
      <c r="EH749" s="54"/>
      <c r="EI749" s="54"/>
      <c r="EJ749" s="54"/>
      <c r="EK749" s="675"/>
      <c r="EL749" s="53"/>
      <c r="EM749" s="53"/>
      <c r="EN749" s="53"/>
      <c r="EO749" s="49"/>
      <c r="EP749" s="49"/>
      <c r="EQ749" s="49"/>
    </row>
    <row r="750" spans="1:149">
      <c r="A750" s="6" t="s">
        <v>23</v>
      </c>
      <c r="B750" s="101" t="s">
        <v>144</v>
      </c>
      <c r="G750" s="43"/>
      <c r="H750" s="28"/>
      <c r="I750" s="29"/>
      <c r="J750" s="102">
        <f t="shared" si="4255"/>
        <v>0</v>
      </c>
      <c r="K750" s="102">
        <f t="shared" si="4255"/>
        <v>0</v>
      </c>
      <c r="L750" s="102">
        <f t="shared" si="4248"/>
        <v>2.3333333333333335</v>
      </c>
      <c r="M750" s="102">
        <f t="shared" si="4248"/>
        <v>2.3333333333333335</v>
      </c>
      <c r="N750" s="102">
        <f t="shared" si="4248"/>
        <v>2.3333333333333335</v>
      </c>
      <c r="O750" s="102">
        <f t="shared" si="4246"/>
        <v>2.3333333333333335</v>
      </c>
      <c r="P750" s="102">
        <f t="shared" si="4246"/>
        <v>4.666666666666667</v>
      </c>
      <c r="Q750" s="102">
        <f t="shared" si="4246"/>
        <v>4.666666666666667</v>
      </c>
      <c r="R750" s="102">
        <f t="shared" si="4246"/>
        <v>4.666666666666667</v>
      </c>
      <c r="S750" s="102">
        <f t="shared" si="4246"/>
        <v>4.666666666666667</v>
      </c>
      <c r="T750" s="102">
        <f t="shared" si="4246"/>
        <v>7</v>
      </c>
      <c r="U750" s="102">
        <f t="shared" si="4246"/>
        <v>7</v>
      </c>
      <c r="V750" s="102">
        <f t="shared" si="4249"/>
        <v>0</v>
      </c>
      <c r="W750" s="102">
        <f t="shared" si="4249"/>
        <v>4</v>
      </c>
      <c r="X750" s="102">
        <f t="shared" si="4249"/>
        <v>2.6666666666666665</v>
      </c>
      <c r="Y750" s="102">
        <f t="shared" si="4249"/>
        <v>2.6666666666666665</v>
      </c>
      <c r="Z750" s="102">
        <f t="shared" si="4249"/>
        <v>2.6666666666666665</v>
      </c>
      <c r="AA750" s="102">
        <f t="shared" ref="AA750:AJ750" si="4264">IF(AA24="","",AA24+AA90+AA156+AA222+AA288+AA354+AA420+AA486+AA552+AA618+AA684)</f>
        <v>2.6666666666666665</v>
      </c>
      <c r="AB750" s="102">
        <f t="shared" si="4264"/>
        <v>5.333333333333333</v>
      </c>
      <c r="AC750" s="102">
        <f t="shared" si="4264"/>
        <v>5.333333333333333</v>
      </c>
      <c r="AD750" s="102">
        <f t="shared" si="4264"/>
        <v>5.333333333333333</v>
      </c>
      <c r="AE750" s="102">
        <f t="shared" si="4264"/>
        <v>5.333333333333333</v>
      </c>
      <c r="AF750" s="102">
        <f t="shared" si="4264"/>
        <v>8</v>
      </c>
      <c r="AG750" s="102">
        <f t="shared" si="4264"/>
        <v>8</v>
      </c>
      <c r="AH750" s="102">
        <f t="shared" si="4264"/>
        <v>0</v>
      </c>
      <c r="AI750" s="102">
        <f t="shared" si="4264"/>
        <v>0</v>
      </c>
      <c r="AJ750" s="102">
        <f t="shared" si="4264"/>
        <v>0</v>
      </c>
      <c r="AK750" s="411"/>
      <c r="AL750" s="99">
        <f t="shared" si="4257"/>
        <v>0</v>
      </c>
      <c r="AM750" s="99">
        <f t="shared" si="4257"/>
        <v>0</v>
      </c>
      <c r="AN750" s="99">
        <f t="shared" si="4257"/>
        <v>2.3333333333333335</v>
      </c>
      <c r="AO750" s="99">
        <f t="shared" si="4257"/>
        <v>2.3333333333333335</v>
      </c>
      <c r="AP750" s="99">
        <f t="shared" si="4257"/>
        <v>2.3333333333333335</v>
      </c>
      <c r="AQ750" s="99">
        <f t="shared" si="4257"/>
        <v>2.3333333333333335</v>
      </c>
      <c r="AR750" s="99">
        <f t="shared" si="4257"/>
        <v>4.666666666666667</v>
      </c>
      <c r="AS750" s="99">
        <f t="shared" si="4257"/>
        <v>4.666666666666667</v>
      </c>
      <c r="AT750" s="99">
        <f t="shared" si="4257"/>
        <v>4.666666666666667</v>
      </c>
      <c r="AU750" s="99">
        <f t="shared" si="4257"/>
        <v>4.666666666666667</v>
      </c>
      <c r="AV750" s="99">
        <f t="shared" si="4258"/>
        <v>7</v>
      </c>
      <c r="AW750" s="99">
        <f t="shared" si="4258"/>
        <v>7</v>
      </c>
      <c r="AX750" s="99">
        <f t="shared" si="4258"/>
        <v>0</v>
      </c>
      <c r="AY750" s="99">
        <f t="shared" si="4258"/>
        <v>4</v>
      </c>
      <c r="AZ750" s="99">
        <f t="shared" si="4258"/>
        <v>2.6666666666666665</v>
      </c>
      <c r="BA750" s="99">
        <f t="shared" si="4258"/>
        <v>2.6666666666666665</v>
      </c>
      <c r="BB750" s="99">
        <f t="shared" si="4258"/>
        <v>2.6666666666666665</v>
      </c>
      <c r="BC750" s="99">
        <f t="shared" si="4258"/>
        <v>2.6666666666666665</v>
      </c>
      <c r="BD750" s="99">
        <f t="shared" si="4258"/>
        <v>5.333333333333333</v>
      </c>
      <c r="BE750" s="99">
        <f t="shared" si="4258"/>
        <v>5.333333333333333</v>
      </c>
      <c r="BF750" s="99">
        <f t="shared" si="4260"/>
        <v>5.333333333333333</v>
      </c>
      <c r="BG750" s="99">
        <f t="shared" si="4260"/>
        <v>5.333333333333333</v>
      </c>
      <c r="BH750" s="99">
        <f t="shared" si="4260"/>
        <v>8</v>
      </c>
      <c r="BI750" s="99">
        <f t="shared" si="4260"/>
        <v>8</v>
      </c>
      <c r="BJ750" s="99">
        <f t="shared" si="4260"/>
        <v>0</v>
      </c>
      <c r="BK750" s="99">
        <f t="shared" si="4260"/>
        <v>0</v>
      </c>
      <c r="BL750" s="99">
        <f t="shared" si="4260"/>
        <v>0</v>
      </c>
      <c r="BM750" s="411"/>
      <c r="BN750" s="99">
        <f>AL750</f>
        <v>0</v>
      </c>
      <c r="BO750" s="99">
        <f>AM750</f>
        <v>0</v>
      </c>
      <c r="BP750" s="99">
        <f>AN750</f>
        <v>2.3333333333333335</v>
      </c>
      <c r="BQ750" s="99">
        <f>AO750</f>
        <v>2.3333333333333335</v>
      </c>
      <c r="BR750" s="99">
        <f>AP750</f>
        <v>2.3333333333333335</v>
      </c>
      <c r="BS750" s="99">
        <f>AQ750</f>
        <v>2.3333333333333335</v>
      </c>
      <c r="BT750" s="99">
        <f>AR750</f>
        <v>4.666666666666667</v>
      </c>
      <c r="BU750" s="99">
        <f>AS750</f>
        <v>4.666666666666667</v>
      </c>
      <c r="BV750" s="99">
        <f>AT750</f>
        <v>4.666666666666667</v>
      </c>
      <c r="BW750" s="99">
        <f>AU750</f>
        <v>4.666666666666667</v>
      </c>
      <c r="BX750" s="99">
        <f>AV750</f>
        <v>7</v>
      </c>
      <c r="BY750" s="99">
        <f>AW750</f>
        <v>7</v>
      </c>
      <c r="BZ750" s="99">
        <f>AX750</f>
        <v>0</v>
      </c>
      <c r="CA750" s="99">
        <f>AY750</f>
        <v>4</v>
      </c>
      <c r="CB750" s="99">
        <f>AZ750</f>
        <v>2.6666666666666665</v>
      </c>
      <c r="CC750" s="99">
        <f>BA750</f>
        <v>2.6666666666666665</v>
      </c>
      <c r="CD750" s="99">
        <f>BB750</f>
        <v>2.6666666666666665</v>
      </c>
      <c r="CE750" s="99">
        <f>BC750</f>
        <v>2.6666666666666665</v>
      </c>
      <c r="CF750" s="99">
        <f>BD750</f>
        <v>5.333333333333333</v>
      </c>
      <c r="CG750" s="99">
        <f>BE750</f>
        <v>5.333333333333333</v>
      </c>
      <c r="CH750" s="99">
        <f>BF750</f>
        <v>5.333333333333333</v>
      </c>
      <c r="CI750" s="99">
        <f>BG750</f>
        <v>5.333333333333333</v>
      </c>
      <c r="CJ750" s="99">
        <f>BH750</f>
        <v>8</v>
      </c>
      <c r="CK750" s="99">
        <f>BI750</f>
        <v>8</v>
      </c>
      <c r="CL750" s="99">
        <f>BJ750</f>
        <v>0</v>
      </c>
      <c r="CM750" s="99">
        <f>BK750</f>
        <v>0</v>
      </c>
      <c r="CN750" s="99">
        <f>BL750</f>
        <v>0</v>
      </c>
      <c r="CO750" s="423"/>
      <c r="CP750" s="99">
        <f t="shared" ref="CP750:DP750" si="4265">BN750</f>
        <v>0</v>
      </c>
      <c r="CQ750" s="99">
        <f t="shared" si="4265"/>
        <v>0</v>
      </c>
      <c r="CR750" s="99">
        <f t="shared" si="4265"/>
        <v>2.3333333333333335</v>
      </c>
      <c r="CS750" s="99">
        <f t="shared" si="4265"/>
        <v>2.3333333333333335</v>
      </c>
      <c r="CT750" s="99">
        <f t="shared" si="4265"/>
        <v>2.3333333333333335</v>
      </c>
      <c r="CU750" s="99">
        <f t="shared" si="4265"/>
        <v>2.3333333333333335</v>
      </c>
      <c r="CV750" s="99">
        <f t="shared" si="4265"/>
        <v>4.666666666666667</v>
      </c>
      <c r="CW750" s="99">
        <f t="shared" si="4265"/>
        <v>4.666666666666667</v>
      </c>
      <c r="CX750" s="99">
        <f t="shared" si="4265"/>
        <v>4.666666666666667</v>
      </c>
      <c r="CY750" s="99">
        <f t="shared" si="4265"/>
        <v>4.666666666666667</v>
      </c>
      <c r="CZ750" s="99">
        <f t="shared" si="4265"/>
        <v>7</v>
      </c>
      <c r="DA750" s="99">
        <f t="shared" si="4265"/>
        <v>7</v>
      </c>
      <c r="DB750" s="99">
        <f t="shared" si="4265"/>
        <v>0</v>
      </c>
      <c r="DC750" s="99">
        <f t="shared" si="4265"/>
        <v>4</v>
      </c>
      <c r="DD750" s="99">
        <f t="shared" si="4265"/>
        <v>2.6666666666666665</v>
      </c>
      <c r="DE750" s="99">
        <f t="shared" si="4265"/>
        <v>2.6666666666666665</v>
      </c>
      <c r="DF750" s="99">
        <f t="shared" si="4265"/>
        <v>2.6666666666666665</v>
      </c>
      <c r="DG750" s="99">
        <f t="shared" si="4265"/>
        <v>2.6666666666666665</v>
      </c>
      <c r="DH750" s="99">
        <f t="shared" si="4265"/>
        <v>5.333333333333333</v>
      </c>
      <c r="DI750" s="99">
        <f t="shared" si="4265"/>
        <v>5.333333333333333</v>
      </c>
      <c r="DJ750" s="99">
        <f t="shared" si="4265"/>
        <v>5.333333333333333</v>
      </c>
      <c r="DK750" s="99">
        <f t="shared" si="4265"/>
        <v>5.333333333333333</v>
      </c>
      <c r="DL750" s="99">
        <f t="shared" si="4265"/>
        <v>8</v>
      </c>
      <c r="DM750" s="99">
        <f t="shared" si="4265"/>
        <v>8</v>
      </c>
      <c r="DN750" s="99">
        <f t="shared" si="4265"/>
        <v>0</v>
      </c>
      <c r="DO750" s="99">
        <f t="shared" si="4265"/>
        <v>0</v>
      </c>
      <c r="DP750" s="99">
        <f t="shared" si="4265"/>
        <v>0</v>
      </c>
      <c r="DQ750" s="99"/>
      <c r="DR750" s="99"/>
      <c r="DS750" s="99"/>
      <c r="DT750" s="99"/>
      <c r="DU750" s="99"/>
      <c r="DV750" s="99"/>
      <c r="DW750" s="99"/>
      <c r="DX750" s="99"/>
      <c r="DY750" s="99"/>
      <c r="EA750" s="40" t="str">
        <f>HLOOKUP($I$1,Month,19)</f>
        <v>N/A</v>
      </c>
      <c r="EB750" s="40" t="str">
        <f>HLOOKUP($I$1,Qtr,19)</f>
        <v>N/A</v>
      </c>
      <c r="EC750" s="40"/>
      <c r="ED750" s="429"/>
      <c r="EE750" s="99">
        <f>HLOOKUP($I$1,Month,ROW()-1)</f>
        <v>0</v>
      </c>
      <c r="EF750" s="99">
        <f>HLOOKUP($I$1,Qtr,ROW()-1)</f>
        <v>0</v>
      </c>
      <c r="EG750" s="127">
        <v>1</v>
      </c>
      <c r="EH750" s="54"/>
      <c r="EI750" s="54"/>
      <c r="EJ750" s="54"/>
      <c r="EK750" s="675"/>
      <c r="EL750" s="136"/>
      <c r="EM750" s="136"/>
      <c r="EN750" s="136"/>
      <c r="EO750" s="49"/>
      <c r="EP750" s="49"/>
      <c r="EQ750" s="49"/>
    </row>
    <row r="751" spans="1:149">
      <c r="A751" s="6" t="s">
        <v>23</v>
      </c>
      <c r="B751" s="2" t="s">
        <v>98</v>
      </c>
      <c r="G751" s="41" t="s">
        <v>92</v>
      </c>
      <c r="H751" s="28"/>
      <c r="I751" s="29"/>
      <c r="J751" s="32">
        <f t="shared" si="4255"/>
        <v>23.953125</v>
      </c>
      <c r="K751" s="102">
        <f t="shared" si="4255"/>
        <v>23.953125</v>
      </c>
      <c r="L751" s="32">
        <f t="shared" si="4248"/>
        <v>23.953125</v>
      </c>
      <c r="M751" s="32">
        <f t="shared" si="4248"/>
        <v>23.953125</v>
      </c>
      <c r="N751" s="32">
        <f t="shared" si="4248"/>
        <v>23.953125</v>
      </c>
      <c r="O751" s="32">
        <f t="shared" si="4246"/>
        <v>23.953125</v>
      </c>
      <c r="P751" s="32">
        <f t="shared" si="4246"/>
        <v>23.953125</v>
      </c>
      <c r="Q751" s="32">
        <f t="shared" si="4246"/>
        <v>23.953125</v>
      </c>
      <c r="R751" s="32">
        <f t="shared" si="4246"/>
        <v>23.953125</v>
      </c>
      <c r="S751" s="32">
        <f t="shared" si="4246"/>
        <v>23.953125</v>
      </c>
      <c r="T751" s="32">
        <f t="shared" si="4246"/>
        <v>23.953125</v>
      </c>
      <c r="U751" s="32">
        <f t="shared" si="4246"/>
        <v>23.763124999999999</v>
      </c>
      <c r="V751" s="32">
        <f t="shared" si="4249"/>
        <v>21.001269999999995</v>
      </c>
      <c r="W751" s="32">
        <f t="shared" si="4249"/>
        <v>42.002539999999996</v>
      </c>
      <c r="X751" s="32">
        <f t="shared" si="4249"/>
        <v>62.661809999999996</v>
      </c>
      <c r="Y751" s="32">
        <f t="shared" si="4249"/>
        <v>83.321079999999981</v>
      </c>
      <c r="Z751" s="32">
        <f t="shared" si="4249"/>
        <v>103.98035</v>
      </c>
      <c r="AA751" s="32">
        <f t="shared" ref="AA751:AJ751" si="4266">IF(AA25="","",AA25+AA91+AA157+AA223+AA289+AA355+AA421+AA487+AA553+AA619+AA685)</f>
        <v>124.63961999999999</v>
      </c>
      <c r="AB751" s="32">
        <f t="shared" si="4266"/>
        <v>145.29889</v>
      </c>
      <c r="AC751" s="32">
        <f t="shared" si="4266"/>
        <v>165.95815999999999</v>
      </c>
      <c r="AD751" s="32">
        <f t="shared" si="4266"/>
        <v>186.61742999999998</v>
      </c>
      <c r="AE751" s="32">
        <f t="shared" si="4266"/>
        <v>207.27670000000001</v>
      </c>
      <c r="AF751" s="32">
        <f t="shared" si="4266"/>
        <v>227.93597</v>
      </c>
      <c r="AG751" s="32">
        <f t="shared" si="4266"/>
        <v>248.59524000000002</v>
      </c>
      <c r="AH751" s="32">
        <f t="shared" si="4266"/>
        <v>0</v>
      </c>
      <c r="AI751" s="32">
        <f t="shared" si="4266"/>
        <v>0</v>
      </c>
      <c r="AJ751" s="32">
        <f t="shared" si="4266"/>
        <v>0</v>
      </c>
      <c r="AK751" s="408"/>
      <c r="AL751" s="56">
        <f>AL737*AL738</f>
        <v>23.953125</v>
      </c>
      <c r="AM751" s="56">
        <f>AM737*AM738</f>
        <v>23.953125</v>
      </c>
      <c r="AN751" s="56">
        <f>AN737*AN738</f>
        <v>23.953125</v>
      </c>
      <c r="AO751" s="56">
        <f>AO737*AO738</f>
        <v>23.953125</v>
      </c>
      <c r="AP751" s="56">
        <f t="shared" ref="AP751:BL751" si="4267">AP737*AP738</f>
        <v>23.953125</v>
      </c>
      <c r="AQ751" s="56">
        <f t="shared" si="4267"/>
        <v>23.953125</v>
      </c>
      <c r="AR751" s="56">
        <f t="shared" si="4267"/>
        <v>23.953125</v>
      </c>
      <c r="AS751" s="56">
        <f t="shared" si="4267"/>
        <v>23.953125</v>
      </c>
      <c r="AT751" s="56">
        <f t="shared" si="4267"/>
        <v>23.953125</v>
      </c>
      <c r="AU751" s="56">
        <f t="shared" si="4267"/>
        <v>23.953125</v>
      </c>
      <c r="AV751" s="56">
        <f t="shared" si="4267"/>
        <v>23.953125</v>
      </c>
      <c r="AW751" s="56">
        <f t="shared" si="4267"/>
        <v>23.763124999999999</v>
      </c>
      <c r="AX751" s="56">
        <f t="shared" si="4267"/>
        <v>21.001269999999995</v>
      </c>
      <c r="AY751" s="56">
        <f t="shared" si="4267"/>
        <v>21.001269999999998</v>
      </c>
      <c r="AZ751" s="56">
        <f t="shared" si="4267"/>
        <v>20.659270000000006</v>
      </c>
      <c r="BA751" s="56">
        <f t="shared" si="4267"/>
        <v>20.659269999999996</v>
      </c>
      <c r="BB751" s="56">
        <f t="shared" si="4267"/>
        <v>20.659269999999999</v>
      </c>
      <c r="BC751" s="56">
        <f t="shared" si="4267"/>
        <v>20.659269999999999</v>
      </c>
      <c r="BD751" s="56">
        <f t="shared" si="4267"/>
        <v>20.659269999999978</v>
      </c>
      <c r="BE751" s="56">
        <f t="shared" si="4267"/>
        <v>20.659270000000003</v>
      </c>
      <c r="BF751" s="56">
        <f t="shared" si="4267"/>
        <v>20.659270000000024</v>
      </c>
      <c r="BG751" s="56">
        <f t="shared" si="4267"/>
        <v>20.659269999999999</v>
      </c>
      <c r="BH751" s="56">
        <f t="shared" si="4267"/>
        <v>20.659269999999974</v>
      </c>
      <c r="BI751" s="56">
        <f t="shared" si="4267"/>
        <v>20.659270000000053</v>
      </c>
      <c r="BJ751" s="56" t="e">
        <f t="shared" si="4267"/>
        <v>#VALUE!</v>
      </c>
      <c r="BK751" s="56" t="e">
        <f t="shared" si="4267"/>
        <v>#VALUE!</v>
      </c>
      <c r="BL751" s="56" t="e">
        <f t="shared" si="4267"/>
        <v>#VALUE!</v>
      </c>
      <c r="BM751" s="408"/>
      <c r="BN751" s="56">
        <f>+AL751</f>
        <v>23.953125</v>
      </c>
      <c r="BO751" s="56">
        <f>+BN751+AM751</f>
        <v>47.90625</v>
      </c>
      <c r="BP751" s="56">
        <f>+BO751+AN751</f>
        <v>71.859375</v>
      </c>
      <c r="BQ751" s="56">
        <f>M751</f>
        <v>23.953125</v>
      </c>
      <c r="BR751" s="56">
        <f>+BQ751+AP751</f>
        <v>47.90625</v>
      </c>
      <c r="BS751" s="56">
        <f>+BR751+AQ751</f>
        <v>71.859375</v>
      </c>
      <c r="BT751" s="56">
        <f>P751</f>
        <v>23.953125</v>
      </c>
      <c r="BU751" s="56">
        <f>+BT751+AS751</f>
        <v>47.90625</v>
      </c>
      <c r="BV751" s="56">
        <f>+BU751+AT751</f>
        <v>71.859375</v>
      </c>
      <c r="BW751" s="56">
        <f>S751</f>
        <v>23.953125</v>
      </c>
      <c r="BX751" s="56">
        <f>+BW751+AV751</f>
        <v>47.90625</v>
      </c>
      <c r="BY751" s="56">
        <f>+BX751+AW751</f>
        <v>71.669375000000002</v>
      </c>
      <c r="BZ751" s="56">
        <f>V751</f>
        <v>21.001269999999995</v>
      </c>
      <c r="CA751" s="56">
        <f>+BZ751+AY751</f>
        <v>42.002539999999996</v>
      </c>
      <c r="CB751" s="56">
        <f>+CA751+AZ751</f>
        <v>62.661810000000003</v>
      </c>
      <c r="CC751" s="56">
        <f>Y751</f>
        <v>83.321079999999981</v>
      </c>
      <c r="CD751" s="56">
        <f>+CC751+BB751</f>
        <v>103.98034999999999</v>
      </c>
      <c r="CE751" s="56">
        <f>+CD751+BC751</f>
        <v>124.63961999999998</v>
      </c>
      <c r="CF751" s="56">
        <f>AB751</f>
        <v>145.29889</v>
      </c>
      <c r="CG751" s="56">
        <f>+CF751+BE751</f>
        <v>165.95815999999999</v>
      </c>
      <c r="CH751" s="56">
        <f>+CG751+BF751</f>
        <v>186.61743000000001</v>
      </c>
      <c r="CI751" s="56">
        <f>AE751</f>
        <v>207.27670000000001</v>
      </c>
      <c r="CJ751" s="56">
        <f>+CI751+BH751</f>
        <v>227.93596999999997</v>
      </c>
      <c r="CK751" s="56">
        <f>+CJ751+BI751</f>
        <v>248.59524000000002</v>
      </c>
      <c r="CL751" s="56">
        <f>AH751</f>
        <v>0</v>
      </c>
      <c r="CM751" s="56" t="e">
        <f>+CL751+BK751</f>
        <v>#VALUE!</v>
      </c>
      <c r="CN751" s="56" t="e">
        <f>+CM751+BL751</f>
        <v>#VALUE!</v>
      </c>
      <c r="CO751" s="406"/>
      <c r="CP751" s="60">
        <f>J751</f>
        <v>23.953125</v>
      </c>
      <c r="CQ751" s="60">
        <f t="shared" ref="CQ751:DA751" si="4268">CP751+K751</f>
        <v>47.90625</v>
      </c>
      <c r="CR751" s="60">
        <f t="shared" si="4268"/>
        <v>71.859375</v>
      </c>
      <c r="CS751" s="60">
        <f t="shared" si="4268"/>
        <v>95.8125</v>
      </c>
      <c r="CT751" s="60">
        <f t="shared" si="4268"/>
        <v>119.765625</v>
      </c>
      <c r="CU751" s="60">
        <f t="shared" si="4268"/>
        <v>143.71875</v>
      </c>
      <c r="CV751" s="60">
        <f t="shared" si="4268"/>
        <v>167.671875</v>
      </c>
      <c r="CW751" s="60">
        <f t="shared" si="4268"/>
        <v>191.625</v>
      </c>
      <c r="CX751" s="60">
        <f t="shared" si="4268"/>
        <v>215.578125</v>
      </c>
      <c r="CY751" s="60">
        <f t="shared" si="4268"/>
        <v>239.53125</v>
      </c>
      <c r="CZ751" s="60">
        <f t="shared" si="4268"/>
        <v>263.484375</v>
      </c>
      <c r="DA751" s="60">
        <f t="shared" si="4268"/>
        <v>287.2475</v>
      </c>
      <c r="DB751" s="60">
        <f>V751</f>
        <v>21.001269999999995</v>
      </c>
      <c r="DC751" s="60">
        <f t="shared" ref="DC751:DM751" si="4269">DB751+W751</f>
        <v>63.003809999999987</v>
      </c>
      <c r="DD751" s="60">
        <f t="shared" si="4269"/>
        <v>125.66561999999999</v>
      </c>
      <c r="DE751" s="60">
        <f t="shared" si="4269"/>
        <v>208.98669999999998</v>
      </c>
      <c r="DF751" s="60">
        <f t="shared" si="4269"/>
        <v>312.96704999999997</v>
      </c>
      <c r="DG751" s="60">
        <f t="shared" si="4269"/>
        <v>437.60666999999995</v>
      </c>
      <c r="DH751" s="60">
        <f t="shared" si="4269"/>
        <v>582.90555999999992</v>
      </c>
      <c r="DI751" s="60">
        <f t="shared" si="4269"/>
        <v>748.86371999999994</v>
      </c>
      <c r="DJ751" s="60">
        <f t="shared" si="4269"/>
        <v>935.48114999999996</v>
      </c>
      <c r="DK751" s="60">
        <f t="shared" si="4269"/>
        <v>1142.75785</v>
      </c>
      <c r="DL751" s="60">
        <f t="shared" si="4269"/>
        <v>1370.69382</v>
      </c>
      <c r="DM751" s="60">
        <f t="shared" si="4269"/>
        <v>1619.2890600000001</v>
      </c>
      <c r="DN751" s="60">
        <f>AH751</f>
        <v>0</v>
      </c>
      <c r="DO751" s="60">
        <f>DN751+AI751</f>
        <v>0</v>
      </c>
      <c r="DP751" s="60">
        <f>DO751+AJ751</f>
        <v>0</v>
      </c>
      <c r="DQ751" s="60"/>
      <c r="DR751" s="60"/>
      <c r="DS751" s="60"/>
      <c r="DT751" s="60"/>
      <c r="DU751" s="60"/>
      <c r="DV751" s="60"/>
      <c r="DW751" s="60"/>
      <c r="DX751" s="60"/>
      <c r="DY751" s="60"/>
      <c r="EA751" s="98">
        <v>0.95</v>
      </c>
      <c r="EB751" s="98">
        <v>0.95</v>
      </c>
      <c r="EC751" s="98"/>
      <c r="ED751" s="429"/>
      <c r="EE751" s="61" t="e">
        <f>HLOOKUP($I$1,Month,ROW()-1)</f>
        <v>#VALUE!</v>
      </c>
      <c r="EF751" s="61" t="e">
        <f>HLOOKUP($I$1,Qtr,ROW()-1)</f>
        <v>#VALUE!</v>
      </c>
      <c r="EG751" s="99">
        <f>HLOOKUP($EJ$4,Budget,ROW()-1)</f>
        <v>0.95</v>
      </c>
      <c r="EH751" s="54"/>
      <c r="EK751" s="675"/>
      <c r="EL751" s="136"/>
      <c r="EM751" s="136"/>
      <c r="EN751" s="136"/>
      <c r="EO751" s="49"/>
      <c r="EP751" s="49"/>
      <c r="EQ751" s="49"/>
    </row>
    <row r="752" spans="1:149">
      <c r="A752" s="6" t="s">
        <v>21</v>
      </c>
      <c r="G752" s="28"/>
      <c r="H752" s="28"/>
      <c r="I752" s="137"/>
      <c r="J752" s="137"/>
      <c r="K752" s="150"/>
      <c r="L752" s="137"/>
      <c r="M752" s="137"/>
      <c r="N752" s="137"/>
      <c r="O752" s="137"/>
      <c r="P752" s="137"/>
      <c r="Q752" s="137"/>
      <c r="R752" s="137"/>
      <c r="S752" s="137"/>
      <c r="T752" s="137"/>
      <c r="U752" s="137"/>
      <c r="V752" s="137"/>
      <c r="W752" s="137"/>
      <c r="X752" s="137"/>
      <c r="Y752" s="137"/>
      <c r="Z752" s="137"/>
      <c r="AA752" s="137"/>
      <c r="AB752" s="137"/>
      <c r="AC752" s="137"/>
      <c r="AD752" s="137"/>
      <c r="AE752" s="137"/>
      <c r="AF752" s="137"/>
      <c r="AG752" s="137"/>
      <c r="AH752" s="137"/>
      <c r="AI752" s="137"/>
      <c r="AJ752" s="137"/>
      <c r="AK752" s="406"/>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406"/>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406"/>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245"/>
      <c r="DR752" s="245"/>
      <c r="DS752" s="245"/>
      <c r="DT752" s="245"/>
      <c r="DU752" s="245"/>
      <c r="DV752" s="245"/>
      <c r="DW752" s="245"/>
      <c r="DX752" s="245"/>
      <c r="DY752" s="245"/>
      <c r="ED752" s="429"/>
      <c r="EE752" s="23"/>
      <c r="EF752" s="23"/>
      <c r="EG752" s="23"/>
      <c r="EH752" s="23"/>
      <c r="EK752" s="23"/>
    </row>
    <row r="753" spans="1:149" ht="12.75" customHeight="1">
      <c r="A753" s="6" t="s">
        <v>22</v>
      </c>
      <c r="B753" s="2" t="s">
        <v>0</v>
      </c>
      <c r="C753" s="3" t="s">
        <v>54</v>
      </c>
      <c r="E753" s="3" t="s">
        <v>16</v>
      </c>
      <c r="G753" s="137" t="s">
        <v>91</v>
      </c>
      <c r="H753" s="28"/>
      <c r="I753" s="138">
        <f>I27+I93+I159+I225+I291+I357+I423+I489+I555+I621+I687</f>
        <v>1677</v>
      </c>
      <c r="J753" s="30">
        <f t="shared" ref="J753:AJ753" si="4270">IF(J27="","",J27+J93+J159+J225+J291+J357+J423+J489+J555+J621+J687)</f>
        <v>1614</v>
      </c>
      <c r="K753" s="139">
        <f t="shared" si="4270"/>
        <v>1987</v>
      </c>
      <c r="L753" s="139">
        <f t="shared" si="4270"/>
        <v>2108</v>
      </c>
      <c r="M753" s="140">
        <f t="shared" si="4270"/>
        <v>358</v>
      </c>
      <c r="N753" s="139">
        <f t="shared" si="4270"/>
        <v>555</v>
      </c>
      <c r="O753" s="139">
        <f t="shared" si="4270"/>
        <v>692</v>
      </c>
      <c r="P753" s="139">
        <f t="shared" si="4270"/>
        <v>829</v>
      </c>
      <c r="Q753" s="139">
        <f t="shared" si="4270"/>
        <v>1026</v>
      </c>
      <c r="R753" s="139">
        <f t="shared" si="4270"/>
        <v>1235</v>
      </c>
      <c r="S753" s="139">
        <f t="shared" si="4270"/>
        <v>1462</v>
      </c>
      <c r="T753" s="139">
        <f t="shared" si="4270"/>
        <v>1629</v>
      </c>
      <c r="U753" s="280">
        <f t="shared" si="4270"/>
        <v>1876</v>
      </c>
      <c r="V753" s="151">
        <f t="shared" si="4270"/>
        <v>2110</v>
      </c>
      <c r="W753" s="139">
        <f t="shared" si="4270"/>
        <v>2312</v>
      </c>
      <c r="X753" s="139">
        <f t="shared" si="4270"/>
        <v>2522</v>
      </c>
      <c r="Y753" s="141">
        <f t="shared" si="4270"/>
        <v>501</v>
      </c>
      <c r="Z753" s="139">
        <f t="shared" si="4270"/>
        <v>793</v>
      </c>
      <c r="AA753" s="139">
        <f t="shared" si="4270"/>
        <v>1028</v>
      </c>
      <c r="AB753" s="139">
        <f t="shared" si="4270"/>
        <v>1252</v>
      </c>
      <c r="AC753" s="139">
        <f t="shared" si="4270"/>
        <v>1507</v>
      </c>
      <c r="AD753" s="139">
        <f t="shared" si="4270"/>
        <v>1796</v>
      </c>
      <c r="AE753" s="139">
        <f t="shared" si="4270"/>
        <v>1998</v>
      </c>
      <c r="AF753" s="139">
        <f t="shared" si="4270"/>
        <v>2219</v>
      </c>
      <c r="AG753" s="139">
        <f t="shared" si="4270"/>
        <v>2423</v>
      </c>
      <c r="AH753" s="139">
        <f t="shared" si="4270"/>
        <v>2596</v>
      </c>
      <c r="AI753" s="139">
        <f t="shared" si="4270"/>
        <v>2797</v>
      </c>
      <c r="AJ753" s="139" t="str">
        <f t="shared" si="4270"/>
        <v/>
      </c>
      <c r="AK753" s="408"/>
      <c r="AL753" s="21">
        <f t="shared" ref="AL753:AM757" si="4271">J753-I753</f>
        <v>-63</v>
      </c>
      <c r="AM753" s="21">
        <f t="shared" si="4271"/>
        <v>373</v>
      </c>
      <c r="AN753" s="21">
        <f t="shared" ref="AN753:AN761" si="4272">L753-K753</f>
        <v>121</v>
      </c>
      <c r="AO753" s="21">
        <f>M753</f>
        <v>358</v>
      </c>
      <c r="AP753" s="129">
        <f t="shared" ref="AP753:AP761" si="4273">IF(N753&lt;&gt;"",N753-M753,0)</f>
        <v>197</v>
      </c>
      <c r="AQ753" s="296">
        <f t="shared" ref="AQ753:AQ761" si="4274">IF(O753&lt;&gt;"",O753-N753,0)</f>
        <v>137</v>
      </c>
      <c r="AR753" s="296">
        <f t="shared" ref="AR753:AR769" si="4275">IF(P753&lt;&gt;"",P753-O753,0)</f>
        <v>137</v>
      </c>
      <c r="AS753" s="296">
        <f t="shared" ref="AS753:AS769" si="4276">IF(Q753&lt;&gt;"",Q753-P753,0)</f>
        <v>197</v>
      </c>
      <c r="AT753" s="296">
        <f t="shared" ref="AT753:AT769" si="4277">IF(R753&lt;&gt;"",R753-Q753,0)</f>
        <v>209</v>
      </c>
      <c r="AU753" s="296">
        <f t="shared" ref="AU753:AU769" si="4278">IF(S753&lt;&gt;"",S753-R753,0)</f>
        <v>227</v>
      </c>
      <c r="AV753" s="296">
        <f t="shared" ref="AV753:AV769" si="4279">IF(T753&lt;&gt;"",T753-S753,0)</f>
        <v>167</v>
      </c>
      <c r="AW753" s="296">
        <f t="shared" ref="AW753:AW769" si="4280">IF(U753&lt;&gt;"",U753-T753,0)</f>
        <v>247</v>
      </c>
      <c r="AX753" s="296">
        <f>IF(V753&lt;&gt;"",V753-U753,0)</f>
        <v>234</v>
      </c>
      <c r="AY753" s="296">
        <f t="shared" ref="AY753:AY769" si="4281">IF(W753&lt;&gt;"",W753-V753,0)</f>
        <v>202</v>
      </c>
      <c r="AZ753" s="296">
        <f t="shared" ref="AZ753:AZ769" si="4282">IF(X753&lt;&gt;"",X753-W753,0)</f>
        <v>210</v>
      </c>
      <c r="BA753" s="248">
        <f>Y753</f>
        <v>501</v>
      </c>
      <c r="BB753" s="296">
        <f t="shared" ref="BB753:BB769" si="4283">IF(Z753&lt;&gt;"",Z753-Y753,0)</f>
        <v>292</v>
      </c>
      <c r="BC753" s="296">
        <f t="shared" ref="BC753:BC769" si="4284">IF(AA753&lt;&gt;"",AA753-Z753,0)</f>
        <v>235</v>
      </c>
      <c r="BD753" s="296">
        <f t="shared" ref="BD753:BD769" si="4285">IF(AB753&lt;&gt;"",AB753-AA753,0)</f>
        <v>224</v>
      </c>
      <c r="BE753" s="296">
        <f t="shared" ref="BE753:BE769" si="4286">IF(AC753&lt;&gt;"",AC753-AB753,0)</f>
        <v>255</v>
      </c>
      <c r="BF753" s="131">
        <f t="shared" ref="BF753:BF769" si="4287">IF(AD753&lt;&gt;"",AD753-AC753,0)</f>
        <v>289</v>
      </c>
      <c r="BG753" s="131">
        <f t="shared" ref="BG753:BG769" si="4288">IF(AE753&lt;&gt;"",AE753-AD753,0)</f>
        <v>202</v>
      </c>
      <c r="BH753" s="131">
        <f t="shared" ref="BH753:BH769" si="4289">IF(AF753&lt;&gt;"",AF753-AE753,0)</f>
        <v>221</v>
      </c>
      <c r="BI753" s="131">
        <f t="shared" ref="BI753:BI769" si="4290">IF(AG753&lt;&gt;"",AG753-AF753,0)</f>
        <v>204</v>
      </c>
      <c r="BJ753" s="131">
        <f>IF(AH753&lt;&gt;"",AH753-AG753,0)</f>
        <v>173</v>
      </c>
      <c r="BK753" s="131">
        <f t="shared" ref="BK753:BK769" si="4291">IF(AI753&lt;&gt;"",AI753-AH753,0)</f>
        <v>201</v>
      </c>
      <c r="BL753" s="131">
        <f t="shared" ref="BL753:BL769" si="4292">IF(AJ753&lt;&gt;"",AJ753-AI753,0)</f>
        <v>0</v>
      </c>
      <c r="BM753" s="408"/>
      <c r="BN753" s="48">
        <f>BP753</f>
        <v>431</v>
      </c>
      <c r="BO753" s="48">
        <f>BP753</f>
        <v>431</v>
      </c>
      <c r="BP753" s="48">
        <f>SUM(AL753:AN753)</f>
        <v>431</v>
      </c>
      <c r="BQ753" s="48">
        <f>BS753</f>
        <v>692</v>
      </c>
      <c r="BR753" s="48">
        <f>BS753</f>
        <v>692</v>
      </c>
      <c r="BS753" s="48">
        <f>SUM(AO753:AQ753)</f>
        <v>692</v>
      </c>
      <c r="BT753" s="48">
        <f>BV753</f>
        <v>543</v>
      </c>
      <c r="BU753" s="48">
        <f>BV753</f>
        <v>543</v>
      </c>
      <c r="BV753" s="48">
        <f>SUM(AR753:AT753)</f>
        <v>543</v>
      </c>
      <c r="BW753" s="48">
        <f>BY753</f>
        <v>641</v>
      </c>
      <c r="BX753" s="48">
        <f>BY753</f>
        <v>641</v>
      </c>
      <c r="BY753" s="48">
        <f>SUM(AU753:AW753)</f>
        <v>641</v>
      </c>
      <c r="BZ753" s="48">
        <f>CB753</f>
        <v>646</v>
      </c>
      <c r="CA753" s="48">
        <f>CB753</f>
        <v>646</v>
      </c>
      <c r="CB753" s="48">
        <f>SUM(AX753:AZ753)</f>
        <v>646</v>
      </c>
      <c r="CC753" s="48">
        <f>CE753</f>
        <v>1028</v>
      </c>
      <c r="CD753" s="48">
        <f>CE753</f>
        <v>1028</v>
      </c>
      <c r="CE753" s="48">
        <f>SUM(BA753:BC753)</f>
        <v>1028</v>
      </c>
      <c r="CF753" s="48">
        <f>CH753</f>
        <v>768</v>
      </c>
      <c r="CG753" s="48">
        <f>CH753</f>
        <v>768</v>
      </c>
      <c r="CH753" s="48">
        <f>SUM(BD753:BF753)</f>
        <v>768</v>
      </c>
      <c r="CI753" s="48">
        <f>CK753</f>
        <v>627</v>
      </c>
      <c r="CJ753" s="48">
        <f>CK753</f>
        <v>627</v>
      </c>
      <c r="CK753" s="48">
        <f>SUM(BG753:BI753)</f>
        <v>627</v>
      </c>
      <c r="CL753" s="48">
        <f>CN753</f>
        <v>374</v>
      </c>
      <c r="CM753" s="48">
        <f>CN753</f>
        <v>374</v>
      </c>
      <c r="CN753" s="48">
        <f>SUM(BJ753:BL753)</f>
        <v>374</v>
      </c>
      <c r="CO753" s="406"/>
      <c r="CP753" s="21">
        <f t="shared" ref="CP753:CR757" si="4293">I753+AL753</f>
        <v>1614</v>
      </c>
      <c r="CQ753" s="21">
        <f t="shared" si="4293"/>
        <v>1987</v>
      </c>
      <c r="CR753" s="21">
        <f t="shared" si="4293"/>
        <v>2108</v>
      </c>
      <c r="CS753" s="21">
        <f>AO753</f>
        <v>358</v>
      </c>
      <c r="CT753" s="21">
        <f t="shared" ref="CT753:DD757" si="4294">M753+AP753</f>
        <v>555</v>
      </c>
      <c r="CU753" s="21">
        <f t="shared" si="4294"/>
        <v>692</v>
      </c>
      <c r="CV753" s="21">
        <f t="shared" si="4294"/>
        <v>829</v>
      </c>
      <c r="CW753" s="21">
        <f t="shared" si="4294"/>
        <v>1026</v>
      </c>
      <c r="CX753" s="21">
        <f t="shared" si="4294"/>
        <v>1235</v>
      </c>
      <c r="CY753" s="21">
        <f t="shared" si="4294"/>
        <v>1462</v>
      </c>
      <c r="CZ753" s="21">
        <f t="shared" si="4294"/>
        <v>1629</v>
      </c>
      <c r="DA753" s="21">
        <f t="shared" si="4294"/>
        <v>1876</v>
      </c>
      <c r="DB753" s="21">
        <f t="shared" si="4294"/>
        <v>2110</v>
      </c>
      <c r="DC753" s="21">
        <f t="shared" si="4294"/>
        <v>2312</v>
      </c>
      <c r="DD753" s="21">
        <f t="shared" si="4294"/>
        <v>2522</v>
      </c>
      <c r="DE753" s="21">
        <f>+BA753</f>
        <v>501</v>
      </c>
      <c r="DF753" s="21">
        <f t="shared" ref="DF753:DP757" si="4295">Y753+BB753</f>
        <v>793</v>
      </c>
      <c r="DG753" s="21">
        <f t="shared" si="4295"/>
        <v>1028</v>
      </c>
      <c r="DH753" s="21">
        <f t="shared" si="4295"/>
        <v>1252</v>
      </c>
      <c r="DI753" s="21">
        <f t="shared" si="4295"/>
        <v>1507</v>
      </c>
      <c r="DJ753" s="21">
        <f t="shared" si="4295"/>
        <v>1796</v>
      </c>
      <c r="DK753" s="21">
        <f t="shared" si="4295"/>
        <v>1998</v>
      </c>
      <c r="DL753" s="21">
        <f t="shared" si="4295"/>
        <v>2219</v>
      </c>
      <c r="DM753" s="21">
        <f t="shared" si="4295"/>
        <v>2423</v>
      </c>
      <c r="DN753" s="21">
        <f t="shared" si="4295"/>
        <v>2596</v>
      </c>
      <c r="DO753" s="21">
        <f t="shared" si="4295"/>
        <v>2797</v>
      </c>
      <c r="DP753" s="21">
        <f t="shared" si="4295"/>
        <v>2797</v>
      </c>
      <c r="DQ753" s="248"/>
      <c r="DR753" s="248"/>
      <c r="DS753" s="248"/>
      <c r="DT753" s="248"/>
      <c r="DU753" s="248"/>
      <c r="DV753" s="248"/>
      <c r="DW753" s="248"/>
      <c r="DX753" s="248"/>
      <c r="DY753" s="248"/>
      <c r="ED753" s="429"/>
      <c r="EE753" s="23"/>
      <c r="EF753" s="23"/>
      <c r="EG753" s="23"/>
      <c r="EH753" s="18">
        <f t="shared" ref="EH753:EH770" si="4296">HLOOKUP($I$1,Month,ROW()-1)</f>
        <v>201</v>
      </c>
      <c r="EI753" s="18">
        <f t="shared" ref="EI753:EI770" si="4297">HLOOKUP($I$1,Qtr,ROW()-1)</f>
        <v>374</v>
      </c>
      <c r="EJ753" s="18">
        <f t="shared" ref="EJ753:EJ775" si="4298">HLOOKUP($I$1,YTD,ROW()-1)</f>
        <v>2797</v>
      </c>
      <c r="EK753" s="24">
        <f>$EK$1/12</f>
        <v>0.91666666666666663</v>
      </c>
      <c r="EL753" s="14">
        <f t="shared" ref="EL753:EM759" si="4299">EH753/EE730</f>
        <v>1.0071048491346899</v>
      </c>
      <c r="EM753" s="14">
        <f t="shared" si="4299"/>
        <v>0.6246388284848664</v>
      </c>
      <c r="EN753" s="14">
        <f>EJ753/EG730</f>
        <v>1.168833556764274</v>
      </c>
      <c r="EO753" s="46" t="str">
        <f t="shared" ref="EO753:EP759" si="4300">IF(EH753&lt;0,,IF(EH753&lt;EE730,"È",IF(EH753=EE730,"Æ","Ç")))</f>
        <v>Ç</v>
      </c>
      <c r="EP753" s="46" t="str">
        <f t="shared" si="4300"/>
        <v>È</v>
      </c>
      <c r="EQ753" s="2">
        <f t="shared" ref="EQ753:EQ768" si="4301">IF(EL753&gt;=0.9,1,IF(EL753&lt;0.75,3,2))</f>
        <v>1</v>
      </c>
      <c r="ER753" s="2">
        <f t="shared" ref="ER753:ER768" si="4302">IF(EM753&gt;=0.9,1,IF(EM753&lt;0.75,3,2))</f>
        <v>3</v>
      </c>
      <c r="ES753" s="2">
        <f t="shared" ref="ES753:ES768" si="4303">IF(EN753&gt;=0.9,1,IF(EN753&lt;0.75,3,2))</f>
        <v>1</v>
      </c>
    </row>
    <row r="754" spans="1:149" ht="12.75" customHeight="1">
      <c r="A754" s="6" t="s">
        <v>22</v>
      </c>
      <c r="B754" s="2" t="s">
        <v>1</v>
      </c>
      <c r="C754" s="3" t="s">
        <v>55</v>
      </c>
      <c r="E754" s="3" t="s">
        <v>16</v>
      </c>
      <c r="G754" s="137" t="s">
        <v>91</v>
      </c>
      <c r="H754" s="28"/>
      <c r="I754" s="138">
        <f>I28+I94+I160+I226+I292+I358+I424+I490+I556+I622+I688</f>
        <v>448</v>
      </c>
      <c r="J754" s="139">
        <f t="shared" ref="J754:AJ754" si="4304">IF(J28="","",J28+J94+J160+J226+J292+J358+J424+J490+J556+J622+J688)</f>
        <v>480</v>
      </c>
      <c r="K754" s="139">
        <f t="shared" si="4304"/>
        <v>525</v>
      </c>
      <c r="L754" s="139">
        <f t="shared" si="4304"/>
        <v>544</v>
      </c>
      <c r="M754" s="140">
        <f t="shared" si="4304"/>
        <v>151</v>
      </c>
      <c r="N754" s="139">
        <f t="shared" si="4304"/>
        <v>228</v>
      </c>
      <c r="O754" s="139">
        <f t="shared" si="4304"/>
        <v>267</v>
      </c>
      <c r="P754" s="139">
        <f t="shared" si="4304"/>
        <v>302</v>
      </c>
      <c r="Q754" s="139">
        <f t="shared" si="4304"/>
        <v>348</v>
      </c>
      <c r="R754" s="139">
        <f t="shared" si="4304"/>
        <v>405</v>
      </c>
      <c r="S754" s="139">
        <f t="shared" si="4304"/>
        <v>446</v>
      </c>
      <c r="T754" s="139">
        <f t="shared" si="4304"/>
        <v>475</v>
      </c>
      <c r="U754" s="280">
        <f t="shared" si="4304"/>
        <v>537</v>
      </c>
      <c r="V754" s="151">
        <f t="shared" si="4304"/>
        <v>571</v>
      </c>
      <c r="W754" s="139">
        <f t="shared" si="4304"/>
        <v>611</v>
      </c>
      <c r="X754" s="139">
        <f t="shared" si="4304"/>
        <v>653</v>
      </c>
      <c r="Y754" s="141">
        <f t="shared" si="4304"/>
        <v>187</v>
      </c>
      <c r="Z754" s="139">
        <f t="shared" si="4304"/>
        <v>273</v>
      </c>
      <c r="AA754" s="139">
        <f t="shared" si="4304"/>
        <v>370</v>
      </c>
      <c r="AB754" s="139">
        <f t="shared" si="4304"/>
        <v>426</v>
      </c>
      <c r="AC754" s="139">
        <f t="shared" si="4304"/>
        <v>504</v>
      </c>
      <c r="AD754" s="139">
        <f t="shared" si="4304"/>
        <v>573</v>
      </c>
      <c r="AE754" s="139">
        <f t="shared" si="4304"/>
        <v>627</v>
      </c>
      <c r="AF754" s="139">
        <f t="shared" si="4304"/>
        <v>679</v>
      </c>
      <c r="AG754" s="139">
        <f t="shared" si="4304"/>
        <v>733</v>
      </c>
      <c r="AH754" s="139">
        <f t="shared" si="4304"/>
        <v>799</v>
      </c>
      <c r="AI754" s="139">
        <f t="shared" si="4304"/>
        <v>855</v>
      </c>
      <c r="AJ754" s="139" t="str">
        <f t="shared" si="4304"/>
        <v/>
      </c>
      <c r="AK754" s="408"/>
      <c r="AL754" s="21">
        <f t="shared" si="4271"/>
        <v>32</v>
      </c>
      <c r="AM754" s="21">
        <f t="shared" si="4271"/>
        <v>45</v>
      </c>
      <c r="AN754" s="21">
        <f t="shared" si="4272"/>
        <v>19</v>
      </c>
      <c r="AO754" s="21">
        <f>M754</f>
        <v>151</v>
      </c>
      <c r="AP754" s="129">
        <f t="shared" si="4273"/>
        <v>77</v>
      </c>
      <c r="AQ754" s="129">
        <f t="shared" si="4274"/>
        <v>39</v>
      </c>
      <c r="AR754" s="129">
        <f t="shared" si="4275"/>
        <v>35</v>
      </c>
      <c r="AS754" s="129">
        <f t="shared" si="4276"/>
        <v>46</v>
      </c>
      <c r="AT754" s="129">
        <f t="shared" si="4277"/>
        <v>57</v>
      </c>
      <c r="AU754" s="129">
        <f t="shared" si="4278"/>
        <v>41</v>
      </c>
      <c r="AV754" s="129">
        <f t="shared" si="4279"/>
        <v>29</v>
      </c>
      <c r="AW754" s="129">
        <f t="shared" si="4280"/>
        <v>62</v>
      </c>
      <c r="AX754" s="129">
        <f>IF(V754&lt;&gt;"",V754-U754,0)</f>
        <v>34</v>
      </c>
      <c r="AY754" s="129">
        <f t="shared" si="4281"/>
        <v>40</v>
      </c>
      <c r="AZ754" s="129">
        <f t="shared" si="4282"/>
        <v>42</v>
      </c>
      <c r="BA754" s="21">
        <f>Y754</f>
        <v>187</v>
      </c>
      <c r="BB754" s="129">
        <f t="shared" si="4283"/>
        <v>86</v>
      </c>
      <c r="BC754" s="129">
        <f t="shared" si="4284"/>
        <v>97</v>
      </c>
      <c r="BD754" s="129">
        <f t="shared" si="4285"/>
        <v>56</v>
      </c>
      <c r="BE754" s="129">
        <f t="shared" si="4286"/>
        <v>78</v>
      </c>
      <c r="BF754" s="129">
        <f t="shared" si="4287"/>
        <v>69</v>
      </c>
      <c r="BG754" s="129">
        <f t="shared" si="4288"/>
        <v>54</v>
      </c>
      <c r="BH754" s="129">
        <f t="shared" si="4289"/>
        <v>52</v>
      </c>
      <c r="BI754" s="129">
        <f t="shared" si="4290"/>
        <v>54</v>
      </c>
      <c r="BJ754" s="129">
        <f>IF(AH754&lt;&gt;"",AH754-AG754,0)</f>
        <v>66</v>
      </c>
      <c r="BK754" s="129">
        <f t="shared" si="4291"/>
        <v>56</v>
      </c>
      <c r="BL754" s="129">
        <f t="shared" si="4292"/>
        <v>0</v>
      </c>
      <c r="BM754" s="408"/>
      <c r="BN754" s="48">
        <f t="shared" ref="BN754:BN770" si="4305">BP754</f>
        <v>96</v>
      </c>
      <c r="BO754" s="48">
        <f t="shared" ref="BO754:BO770" si="4306">BP754</f>
        <v>96</v>
      </c>
      <c r="BP754" s="48">
        <f t="shared" ref="BP754:BP759" si="4307">SUM(AL754:AN754)</f>
        <v>96</v>
      </c>
      <c r="BQ754" s="48">
        <f t="shared" ref="BQ754:BQ770" si="4308">BS754</f>
        <v>267</v>
      </c>
      <c r="BR754" s="48">
        <f t="shared" ref="BR754:BR770" si="4309">BS754</f>
        <v>267</v>
      </c>
      <c r="BS754" s="48">
        <f t="shared" ref="BS754:BS759" si="4310">SUM(AO754:AQ754)</f>
        <v>267</v>
      </c>
      <c r="BT754" s="48">
        <f t="shared" ref="BT754:BT770" si="4311">BV754</f>
        <v>138</v>
      </c>
      <c r="BU754" s="48">
        <f t="shared" ref="BU754:BU770" si="4312">BV754</f>
        <v>138</v>
      </c>
      <c r="BV754" s="48">
        <f t="shared" ref="BV754:BV759" si="4313">SUM(AR754:AT754)</f>
        <v>138</v>
      </c>
      <c r="BW754" s="48">
        <f t="shared" ref="BW754:BW770" si="4314">BY754</f>
        <v>132</v>
      </c>
      <c r="BX754" s="48">
        <f t="shared" ref="BX754:BX770" si="4315">BY754</f>
        <v>132</v>
      </c>
      <c r="BY754" s="48">
        <f t="shared" ref="BY754:BY759" si="4316">SUM(AU754:AW754)</f>
        <v>132</v>
      </c>
      <c r="BZ754" s="48">
        <f t="shared" ref="BZ754:BZ770" si="4317">CB754</f>
        <v>116</v>
      </c>
      <c r="CA754" s="48">
        <f t="shared" ref="CA754:CA770" si="4318">CB754</f>
        <v>116</v>
      </c>
      <c r="CB754" s="48">
        <f t="shared" ref="CB754:CB759" si="4319">SUM(AX754:AZ754)</f>
        <v>116</v>
      </c>
      <c r="CC754" s="48">
        <f t="shared" ref="CC754:CC769" si="4320">CE754</f>
        <v>370</v>
      </c>
      <c r="CD754" s="48">
        <f t="shared" ref="CD754:CD769" si="4321">CE754</f>
        <v>370</v>
      </c>
      <c r="CE754" s="48">
        <f t="shared" ref="CE754:CE759" si="4322">SUM(BA754:BC754)</f>
        <v>370</v>
      </c>
      <c r="CF754" s="48">
        <f t="shared" ref="CF754:CF769" si="4323">CH754</f>
        <v>203</v>
      </c>
      <c r="CG754" s="48">
        <f t="shared" ref="CG754:CG769" si="4324">CH754</f>
        <v>203</v>
      </c>
      <c r="CH754" s="48">
        <f t="shared" ref="CH754:CH759" si="4325">SUM(BD754:BF754)</f>
        <v>203</v>
      </c>
      <c r="CI754" s="48">
        <f t="shared" ref="CI754:CI769" si="4326">CK754</f>
        <v>160</v>
      </c>
      <c r="CJ754" s="48">
        <f t="shared" ref="CJ754:CJ769" si="4327">CK754</f>
        <v>160</v>
      </c>
      <c r="CK754" s="48">
        <f t="shared" ref="CK754:CK759" si="4328">SUM(BG754:BI754)</f>
        <v>160</v>
      </c>
      <c r="CL754" s="48">
        <f t="shared" ref="CL754:CL769" si="4329">CN754</f>
        <v>122</v>
      </c>
      <c r="CM754" s="48">
        <f t="shared" ref="CM754:CM769" si="4330">CN754</f>
        <v>122</v>
      </c>
      <c r="CN754" s="48">
        <f t="shared" ref="CN754:CN759" si="4331">SUM(BJ754:BL754)</f>
        <v>122</v>
      </c>
      <c r="CO754" s="406"/>
      <c r="CP754" s="21">
        <f t="shared" si="4293"/>
        <v>480</v>
      </c>
      <c r="CQ754" s="21">
        <f t="shared" si="4293"/>
        <v>525</v>
      </c>
      <c r="CR754" s="21">
        <f t="shared" si="4293"/>
        <v>544</v>
      </c>
      <c r="CS754" s="21">
        <f>AO754</f>
        <v>151</v>
      </c>
      <c r="CT754" s="21">
        <f t="shared" si="4294"/>
        <v>228</v>
      </c>
      <c r="CU754" s="21">
        <f t="shared" si="4294"/>
        <v>267</v>
      </c>
      <c r="CV754" s="21">
        <f t="shared" si="4294"/>
        <v>302</v>
      </c>
      <c r="CW754" s="21">
        <f t="shared" si="4294"/>
        <v>348</v>
      </c>
      <c r="CX754" s="21">
        <f t="shared" si="4294"/>
        <v>405</v>
      </c>
      <c r="CY754" s="21">
        <f t="shared" si="4294"/>
        <v>446</v>
      </c>
      <c r="CZ754" s="21">
        <f t="shared" si="4294"/>
        <v>475</v>
      </c>
      <c r="DA754" s="21">
        <f t="shared" si="4294"/>
        <v>537</v>
      </c>
      <c r="DB754" s="21">
        <f t="shared" si="4294"/>
        <v>571</v>
      </c>
      <c r="DC754" s="21">
        <f t="shared" si="4294"/>
        <v>611</v>
      </c>
      <c r="DD754" s="21">
        <f t="shared" si="4294"/>
        <v>653</v>
      </c>
      <c r="DE754" s="21">
        <f>+BA754</f>
        <v>187</v>
      </c>
      <c r="DF754" s="21">
        <f t="shared" si="4295"/>
        <v>273</v>
      </c>
      <c r="DG754" s="21">
        <f t="shared" si="4295"/>
        <v>370</v>
      </c>
      <c r="DH754" s="21">
        <f t="shared" si="4295"/>
        <v>426</v>
      </c>
      <c r="DI754" s="21">
        <f t="shared" si="4295"/>
        <v>504</v>
      </c>
      <c r="DJ754" s="21">
        <f t="shared" si="4295"/>
        <v>573</v>
      </c>
      <c r="DK754" s="21">
        <f t="shared" si="4295"/>
        <v>627</v>
      </c>
      <c r="DL754" s="21">
        <f t="shared" si="4295"/>
        <v>679</v>
      </c>
      <c r="DM754" s="21">
        <f t="shared" si="4295"/>
        <v>733</v>
      </c>
      <c r="DN754" s="21">
        <f t="shared" si="4295"/>
        <v>799</v>
      </c>
      <c r="DO754" s="21">
        <f t="shared" si="4295"/>
        <v>855</v>
      </c>
      <c r="DP754" s="21">
        <f t="shared" si="4295"/>
        <v>855</v>
      </c>
      <c r="DQ754" s="248"/>
      <c r="DR754" s="248"/>
      <c r="DS754" s="248"/>
      <c r="DT754" s="248"/>
      <c r="DU754" s="248"/>
      <c r="DV754" s="248"/>
      <c r="DW754" s="248"/>
      <c r="DX754" s="248"/>
      <c r="DY754" s="248"/>
      <c r="ED754" s="429"/>
      <c r="EE754" s="23"/>
      <c r="EF754" s="23"/>
      <c r="EG754" s="23"/>
      <c r="EH754" s="18">
        <f t="shared" si="4296"/>
        <v>56</v>
      </c>
      <c r="EI754" s="18">
        <f t="shared" si="4297"/>
        <v>122</v>
      </c>
      <c r="EJ754" s="18">
        <f t="shared" si="4298"/>
        <v>855</v>
      </c>
      <c r="EK754" s="24">
        <f>$EK$1/12</f>
        <v>0.91666666666666663</v>
      </c>
      <c r="EL754" s="14">
        <f t="shared" si="4299"/>
        <v>0.98541463168280796</v>
      </c>
      <c r="EM754" s="14">
        <f t="shared" si="4299"/>
        <v>0.71559872062679841</v>
      </c>
      <c r="EN754" s="14">
        <f>EJ754/EG731</f>
        <v>1.2537641580462151</v>
      </c>
      <c r="EO754" s="46" t="str">
        <f>IF(EH754&lt;0,,IF(EH754&lt;EE731,"È",IF(EH754=EE731,"Æ","Ç")))</f>
        <v>È</v>
      </c>
      <c r="EP754" s="46" t="str">
        <f>IF(EI754&lt;0,,IF(EI754&lt;EF731,"È",IF(EI754=EF731,"Æ","Ç")))</f>
        <v>È</v>
      </c>
      <c r="EQ754" s="2">
        <f t="shared" si="4301"/>
        <v>1</v>
      </c>
      <c r="ER754" s="2">
        <f t="shared" si="4302"/>
        <v>3</v>
      </c>
      <c r="ES754" s="2">
        <f t="shared" si="4303"/>
        <v>1</v>
      </c>
    </row>
    <row r="755" spans="1:149" ht="12.75" customHeight="1">
      <c r="A755" s="6" t="s">
        <v>22</v>
      </c>
      <c r="B755" s="2" t="s">
        <v>2</v>
      </c>
      <c r="C755" s="3" t="s">
        <v>56</v>
      </c>
      <c r="E755" s="3" t="s">
        <v>16</v>
      </c>
      <c r="G755" s="137" t="s">
        <v>91</v>
      </c>
      <c r="H755" s="28"/>
      <c r="I755" s="138">
        <f>I29+I95+I161+I227+I293+I359+I425+I491+I557+I623+I689</f>
        <v>384</v>
      </c>
      <c r="J755" s="139">
        <f t="shared" ref="J755:AJ755" si="4332">IF(J29="","",J29+J95+J161+J227+J293+J359+J425+J491+J557+J623+J689)</f>
        <v>421</v>
      </c>
      <c r="K755" s="139">
        <f t="shared" si="4332"/>
        <v>476</v>
      </c>
      <c r="L755" s="139">
        <f t="shared" si="4332"/>
        <v>506</v>
      </c>
      <c r="M755" s="140">
        <f t="shared" si="4332"/>
        <v>28</v>
      </c>
      <c r="N755" s="139">
        <f t="shared" si="4332"/>
        <v>64</v>
      </c>
      <c r="O755" s="139">
        <f t="shared" si="4332"/>
        <v>141</v>
      </c>
      <c r="P755" s="139">
        <f t="shared" si="4332"/>
        <v>179</v>
      </c>
      <c r="Q755" s="139">
        <f t="shared" si="4332"/>
        <v>221</v>
      </c>
      <c r="R755" s="139">
        <f t="shared" si="4332"/>
        <v>278</v>
      </c>
      <c r="S755" s="139">
        <f t="shared" si="4332"/>
        <v>335</v>
      </c>
      <c r="T755" s="139">
        <f t="shared" si="4332"/>
        <v>378</v>
      </c>
      <c r="U755" s="280">
        <f t="shared" si="4332"/>
        <v>452</v>
      </c>
      <c r="V755" s="151">
        <f t="shared" si="4332"/>
        <v>514</v>
      </c>
      <c r="W755" s="139">
        <f t="shared" si="4332"/>
        <v>554</v>
      </c>
      <c r="X755" s="139">
        <f t="shared" si="4332"/>
        <v>602</v>
      </c>
      <c r="Y755" s="141">
        <f t="shared" si="4332"/>
        <v>44</v>
      </c>
      <c r="Z755" s="139">
        <f t="shared" si="4332"/>
        <v>102</v>
      </c>
      <c r="AA755" s="139">
        <f t="shared" si="4332"/>
        <v>216</v>
      </c>
      <c r="AB755" s="139">
        <f t="shared" si="4332"/>
        <v>286</v>
      </c>
      <c r="AC755" s="139">
        <f t="shared" si="4332"/>
        <v>365</v>
      </c>
      <c r="AD755" s="139">
        <f t="shared" si="4332"/>
        <v>442</v>
      </c>
      <c r="AE755" s="139">
        <f t="shared" si="4332"/>
        <v>497</v>
      </c>
      <c r="AF755" s="139">
        <f t="shared" si="4332"/>
        <v>499</v>
      </c>
      <c r="AG755" s="139">
        <f t="shared" si="4332"/>
        <v>641</v>
      </c>
      <c r="AH755" s="139">
        <f t="shared" si="4332"/>
        <v>724</v>
      </c>
      <c r="AI755" s="139">
        <f t="shared" si="4332"/>
        <v>787</v>
      </c>
      <c r="AJ755" s="139" t="str">
        <f t="shared" si="4332"/>
        <v/>
      </c>
      <c r="AK755" s="408"/>
      <c r="AL755" s="21">
        <f t="shared" si="4271"/>
        <v>37</v>
      </c>
      <c r="AM755" s="21">
        <f t="shared" si="4271"/>
        <v>55</v>
      </c>
      <c r="AN755" s="21">
        <f t="shared" si="4272"/>
        <v>30</v>
      </c>
      <c r="AO755" s="21">
        <f>M755</f>
        <v>28</v>
      </c>
      <c r="AP755" s="129">
        <f t="shared" si="4273"/>
        <v>36</v>
      </c>
      <c r="AQ755" s="129">
        <f t="shared" si="4274"/>
        <v>77</v>
      </c>
      <c r="AR755" s="129">
        <f t="shared" si="4275"/>
        <v>38</v>
      </c>
      <c r="AS755" s="129">
        <f t="shared" si="4276"/>
        <v>42</v>
      </c>
      <c r="AT755" s="129">
        <f t="shared" si="4277"/>
        <v>57</v>
      </c>
      <c r="AU755" s="129">
        <f t="shared" si="4278"/>
        <v>57</v>
      </c>
      <c r="AV755" s="129">
        <f t="shared" si="4279"/>
        <v>43</v>
      </c>
      <c r="AW755" s="129">
        <f t="shared" si="4280"/>
        <v>74</v>
      </c>
      <c r="AX755" s="129">
        <f>IF(V755&lt;&gt;"",V755-U755,0)</f>
        <v>62</v>
      </c>
      <c r="AY755" s="129">
        <f t="shared" si="4281"/>
        <v>40</v>
      </c>
      <c r="AZ755" s="129">
        <f t="shared" si="4282"/>
        <v>48</v>
      </c>
      <c r="BA755" s="21">
        <f>Y755</f>
        <v>44</v>
      </c>
      <c r="BB755" s="129">
        <f t="shared" si="4283"/>
        <v>58</v>
      </c>
      <c r="BC755" s="129">
        <f t="shared" si="4284"/>
        <v>114</v>
      </c>
      <c r="BD755" s="129">
        <f t="shared" si="4285"/>
        <v>70</v>
      </c>
      <c r="BE755" s="129">
        <f t="shared" si="4286"/>
        <v>79</v>
      </c>
      <c r="BF755" s="129">
        <f t="shared" si="4287"/>
        <v>77</v>
      </c>
      <c r="BG755" s="129">
        <f t="shared" si="4288"/>
        <v>55</v>
      </c>
      <c r="BH755" s="129">
        <f t="shared" si="4289"/>
        <v>2</v>
      </c>
      <c r="BI755" s="129">
        <f t="shared" si="4290"/>
        <v>142</v>
      </c>
      <c r="BJ755" s="129">
        <f>IF(AH755&lt;&gt;"",AH755-AG755,0)</f>
        <v>83</v>
      </c>
      <c r="BK755" s="129">
        <f t="shared" si="4291"/>
        <v>63</v>
      </c>
      <c r="BL755" s="129">
        <f t="shared" si="4292"/>
        <v>0</v>
      </c>
      <c r="BM755" s="408"/>
      <c r="BN755" s="48">
        <f t="shared" si="4305"/>
        <v>122</v>
      </c>
      <c r="BO755" s="48">
        <f t="shared" si="4306"/>
        <v>122</v>
      </c>
      <c r="BP755" s="48">
        <f t="shared" si="4307"/>
        <v>122</v>
      </c>
      <c r="BQ755" s="48">
        <f t="shared" si="4308"/>
        <v>141</v>
      </c>
      <c r="BR755" s="48">
        <f t="shared" si="4309"/>
        <v>141</v>
      </c>
      <c r="BS755" s="48">
        <f t="shared" si="4310"/>
        <v>141</v>
      </c>
      <c r="BT755" s="48">
        <f t="shared" si="4311"/>
        <v>137</v>
      </c>
      <c r="BU755" s="48">
        <f t="shared" si="4312"/>
        <v>137</v>
      </c>
      <c r="BV755" s="48">
        <f t="shared" si="4313"/>
        <v>137</v>
      </c>
      <c r="BW755" s="48">
        <f t="shared" si="4314"/>
        <v>174</v>
      </c>
      <c r="BX755" s="48">
        <f t="shared" si="4315"/>
        <v>174</v>
      </c>
      <c r="BY755" s="48">
        <f t="shared" si="4316"/>
        <v>174</v>
      </c>
      <c r="BZ755" s="48">
        <f t="shared" si="4317"/>
        <v>150</v>
      </c>
      <c r="CA755" s="48">
        <f t="shared" si="4318"/>
        <v>150</v>
      </c>
      <c r="CB755" s="48">
        <f t="shared" si="4319"/>
        <v>150</v>
      </c>
      <c r="CC755" s="48">
        <f t="shared" si="4320"/>
        <v>216</v>
      </c>
      <c r="CD755" s="48">
        <f t="shared" si="4321"/>
        <v>216</v>
      </c>
      <c r="CE755" s="48">
        <f t="shared" si="4322"/>
        <v>216</v>
      </c>
      <c r="CF755" s="48">
        <f t="shared" si="4323"/>
        <v>226</v>
      </c>
      <c r="CG755" s="48">
        <f t="shared" si="4324"/>
        <v>226</v>
      </c>
      <c r="CH755" s="48">
        <f t="shared" si="4325"/>
        <v>226</v>
      </c>
      <c r="CI755" s="48">
        <f t="shared" si="4326"/>
        <v>199</v>
      </c>
      <c r="CJ755" s="48">
        <f t="shared" si="4327"/>
        <v>199</v>
      </c>
      <c r="CK755" s="48">
        <f t="shared" si="4328"/>
        <v>199</v>
      </c>
      <c r="CL755" s="48">
        <f t="shared" si="4329"/>
        <v>146</v>
      </c>
      <c r="CM755" s="48">
        <f t="shared" si="4330"/>
        <v>146</v>
      </c>
      <c r="CN755" s="48">
        <f t="shared" si="4331"/>
        <v>146</v>
      </c>
      <c r="CO755" s="406"/>
      <c r="CP755" s="21">
        <f t="shared" si="4293"/>
        <v>421</v>
      </c>
      <c r="CQ755" s="21">
        <f t="shared" si="4293"/>
        <v>476</v>
      </c>
      <c r="CR755" s="21">
        <f t="shared" si="4293"/>
        <v>506</v>
      </c>
      <c r="CS755" s="21">
        <f>AO755</f>
        <v>28</v>
      </c>
      <c r="CT755" s="21">
        <f t="shared" si="4294"/>
        <v>64</v>
      </c>
      <c r="CU755" s="21">
        <f t="shared" si="4294"/>
        <v>141</v>
      </c>
      <c r="CV755" s="21">
        <f t="shared" si="4294"/>
        <v>179</v>
      </c>
      <c r="CW755" s="21">
        <f t="shared" si="4294"/>
        <v>221</v>
      </c>
      <c r="CX755" s="21">
        <f t="shared" si="4294"/>
        <v>278</v>
      </c>
      <c r="CY755" s="21">
        <f t="shared" si="4294"/>
        <v>335</v>
      </c>
      <c r="CZ755" s="21">
        <f t="shared" si="4294"/>
        <v>378</v>
      </c>
      <c r="DA755" s="21">
        <f t="shared" si="4294"/>
        <v>452</v>
      </c>
      <c r="DB755" s="21">
        <f t="shared" si="4294"/>
        <v>514</v>
      </c>
      <c r="DC755" s="21">
        <f t="shared" si="4294"/>
        <v>554</v>
      </c>
      <c r="DD755" s="21">
        <f t="shared" si="4294"/>
        <v>602</v>
      </c>
      <c r="DE755" s="21">
        <f>+BA755</f>
        <v>44</v>
      </c>
      <c r="DF755" s="21">
        <f t="shared" si="4295"/>
        <v>102</v>
      </c>
      <c r="DG755" s="21">
        <f t="shared" si="4295"/>
        <v>216</v>
      </c>
      <c r="DH755" s="21">
        <f t="shared" si="4295"/>
        <v>286</v>
      </c>
      <c r="DI755" s="21">
        <f t="shared" si="4295"/>
        <v>365</v>
      </c>
      <c r="DJ755" s="21">
        <f t="shared" si="4295"/>
        <v>442</v>
      </c>
      <c r="DK755" s="21">
        <f t="shared" si="4295"/>
        <v>497</v>
      </c>
      <c r="DL755" s="21">
        <f t="shared" si="4295"/>
        <v>499</v>
      </c>
      <c r="DM755" s="21">
        <f t="shared" si="4295"/>
        <v>641</v>
      </c>
      <c r="DN755" s="21">
        <f t="shared" si="4295"/>
        <v>724</v>
      </c>
      <c r="DO755" s="21">
        <f t="shared" si="4295"/>
        <v>787</v>
      </c>
      <c r="DP755" s="21">
        <f t="shared" si="4295"/>
        <v>787</v>
      </c>
      <c r="DQ755" s="248"/>
      <c r="DR755" s="248"/>
      <c r="DS755" s="248"/>
      <c r="DT755" s="248"/>
      <c r="DU755" s="248"/>
      <c r="DV755" s="248"/>
      <c r="DW755" s="248"/>
      <c r="DX755" s="248"/>
      <c r="DY755" s="248"/>
      <c r="ED755" s="429"/>
      <c r="EE755" s="23"/>
      <c r="EF755" s="23"/>
      <c r="EG755" s="23"/>
      <c r="EH755" s="18">
        <f t="shared" si="4296"/>
        <v>63</v>
      </c>
      <c r="EI755" s="18">
        <f t="shared" si="4297"/>
        <v>146</v>
      </c>
      <c r="EJ755" s="18">
        <f t="shared" si="4298"/>
        <v>787</v>
      </c>
      <c r="EK755" s="24">
        <f>$EK$1/12</f>
        <v>0.91666666666666663</v>
      </c>
      <c r="EL755" s="14">
        <f t="shared" si="4299"/>
        <v>1.2272728069657657</v>
      </c>
      <c r="EM755" s="14">
        <f t="shared" si="4299"/>
        <v>0.94805200961376701</v>
      </c>
      <c r="EN755" s="14">
        <f>EJ755/EG732</f>
        <v>1.3138565078042381</v>
      </c>
      <c r="EO755" s="46" t="str">
        <f t="shared" si="4300"/>
        <v>Ç</v>
      </c>
      <c r="EP755" s="46" t="str">
        <f t="shared" si="4300"/>
        <v>È</v>
      </c>
      <c r="EQ755" s="2">
        <f t="shared" si="4301"/>
        <v>1</v>
      </c>
      <c r="ER755" s="2">
        <f t="shared" si="4302"/>
        <v>1</v>
      </c>
      <c r="ES755" s="2">
        <f t="shared" si="4303"/>
        <v>1</v>
      </c>
    </row>
    <row r="756" spans="1:149" ht="12.75" customHeight="1">
      <c r="A756" s="6" t="s">
        <v>22</v>
      </c>
      <c r="B756" s="2" t="s">
        <v>3</v>
      </c>
      <c r="C756" s="3" t="s">
        <v>57</v>
      </c>
      <c r="E756" s="3" t="s">
        <v>16</v>
      </c>
      <c r="G756" s="137" t="s">
        <v>91</v>
      </c>
      <c r="H756" s="28"/>
      <c r="I756" s="138">
        <f>I30+I96+I162+I228+I294+I360+I426+I492+I558+I624+I690</f>
        <v>155</v>
      </c>
      <c r="J756" s="30">
        <f t="shared" ref="J756:AJ756" si="4333">IF(J30="","",J30+J96+J162+J228+J294+J360+J426+J492+J558+J624+J690)</f>
        <v>175</v>
      </c>
      <c r="K756" s="30">
        <f t="shared" si="4333"/>
        <v>190</v>
      </c>
      <c r="L756" s="30">
        <f t="shared" si="4333"/>
        <v>202</v>
      </c>
      <c r="M756" s="152">
        <f t="shared" si="4333"/>
        <v>21</v>
      </c>
      <c r="N756" s="30">
        <f t="shared" si="4333"/>
        <v>34</v>
      </c>
      <c r="O756" s="30">
        <f t="shared" si="4333"/>
        <v>39</v>
      </c>
      <c r="P756" s="30">
        <f t="shared" si="4333"/>
        <v>57</v>
      </c>
      <c r="Q756" s="30">
        <f t="shared" si="4333"/>
        <v>78</v>
      </c>
      <c r="R756" s="30">
        <f t="shared" si="4333"/>
        <v>99</v>
      </c>
      <c r="S756" s="30">
        <f t="shared" si="4333"/>
        <v>113</v>
      </c>
      <c r="T756" s="30">
        <f t="shared" si="4333"/>
        <v>129</v>
      </c>
      <c r="U756" s="281">
        <f t="shared" si="4333"/>
        <v>144</v>
      </c>
      <c r="V756" s="153">
        <f t="shared" si="4333"/>
        <v>167</v>
      </c>
      <c r="W756" s="30">
        <f t="shared" si="4333"/>
        <v>181</v>
      </c>
      <c r="X756" s="30">
        <f t="shared" si="4333"/>
        <v>200</v>
      </c>
      <c r="Y756" s="142">
        <f t="shared" si="4333"/>
        <v>16</v>
      </c>
      <c r="Z756" s="30">
        <f t="shared" si="4333"/>
        <v>28</v>
      </c>
      <c r="AA756" s="30">
        <f t="shared" si="4333"/>
        <v>56</v>
      </c>
      <c r="AB756" s="30">
        <f t="shared" si="4333"/>
        <v>75</v>
      </c>
      <c r="AC756" s="30">
        <f t="shared" si="4333"/>
        <v>97</v>
      </c>
      <c r="AD756" s="30">
        <f t="shared" si="4333"/>
        <v>138</v>
      </c>
      <c r="AE756" s="30">
        <f t="shared" si="4333"/>
        <v>165</v>
      </c>
      <c r="AF756" s="30">
        <f t="shared" si="4333"/>
        <v>185</v>
      </c>
      <c r="AG756" s="30">
        <f t="shared" si="4333"/>
        <v>201</v>
      </c>
      <c r="AH756" s="30">
        <f t="shared" si="4333"/>
        <v>225</v>
      </c>
      <c r="AI756" s="30">
        <f t="shared" si="4333"/>
        <v>245</v>
      </c>
      <c r="AJ756" s="30" t="str">
        <f t="shared" si="4333"/>
        <v/>
      </c>
      <c r="AK756" s="408"/>
      <c r="AL756" s="21">
        <f t="shared" si="4271"/>
        <v>20</v>
      </c>
      <c r="AM756" s="21">
        <f t="shared" si="4271"/>
        <v>15</v>
      </c>
      <c r="AN756" s="21">
        <f t="shared" si="4272"/>
        <v>12</v>
      </c>
      <c r="AO756" s="21">
        <f>M756</f>
        <v>21</v>
      </c>
      <c r="AP756" s="129">
        <f t="shared" si="4273"/>
        <v>13</v>
      </c>
      <c r="AQ756" s="129">
        <f t="shared" si="4274"/>
        <v>5</v>
      </c>
      <c r="AR756" s="129">
        <f t="shared" si="4275"/>
        <v>18</v>
      </c>
      <c r="AS756" s="129">
        <f t="shared" si="4276"/>
        <v>21</v>
      </c>
      <c r="AT756" s="129">
        <f t="shared" si="4277"/>
        <v>21</v>
      </c>
      <c r="AU756" s="129">
        <f t="shared" si="4278"/>
        <v>14</v>
      </c>
      <c r="AV756" s="129">
        <f t="shared" si="4279"/>
        <v>16</v>
      </c>
      <c r="AW756" s="129">
        <f t="shared" si="4280"/>
        <v>15</v>
      </c>
      <c r="AX756" s="129">
        <f>IF(V756&lt;&gt;"",V756-U756,0)</f>
        <v>23</v>
      </c>
      <c r="AY756" s="129">
        <f t="shared" si="4281"/>
        <v>14</v>
      </c>
      <c r="AZ756" s="129">
        <f t="shared" si="4282"/>
        <v>19</v>
      </c>
      <c r="BA756" s="21">
        <f>Y756</f>
        <v>16</v>
      </c>
      <c r="BB756" s="129">
        <f t="shared" si="4283"/>
        <v>12</v>
      </c>
      <c r="BC756" s="129">
        <f t="shared" si="4284"/>
        <v>28</v>
      </c>
      <c r="BD756" s="129">
        <f t="shared" si="4285"/>
        <v>19</v>
      </c>
      <c r="BE756" s="129">
        <f t="shared" si="4286"/>
        <v>22</v>
      </c>
      <c r="BF756" s="129">
        <f t="shared" si="4287"/>
        <v>41</v>
      </c>
      <c r="BG756" s="129">
        <f t="shared" si="4288"/>
        <v>27</v>
      </c>
      <c r="BH756" s="129">
        <f t="shared" si="4289"/>
        <v>20</v>
      </c>
      <c r="BI756" s="129">
        <f t="shared" si="4290"/>
        <v>16</v>
      </c>
      <c r="BJ756" s="129">
        <f>IF(AH756&lt;&gt;"",AH756-AG756,0)</f>
        <v>24</v>
      </c>
      <c r="BK756" s="129">
        <f t="shared" si="4291"/>
        <v>20</v>
      </c>
      <c r="BL756" s="129">
        <f t="shared" si="4292"/>
        <v>0</v>
      </c>
      <c r="BM756" s="408"/>
      <c r="BN756" s="48">
        <f t="shared" si="4305"/>
        <v>47</v>
      </c>
      <c r="BO756" s="48">
        <f t="shared" si="4306"/>
        <v>47</v>
      </c>
      <c r="BP756" s="48">
        <f t="shared" si="4307"/>
        <v>47</v>
      </c>
      <c r="BQ756" s="48">
        <f t="shared" si="4308"/>
        <v>39</v>
      </c>
      <c r="BR756" s="48">
        <f t="shared" si="4309"/>
        <v>39</v>
      </c>
      <c r="BS756" s="48">
        <f t="shared" si="4310"/>
        <v>39</v>
      </c>
      <c r="BT756" s="48">
        <f t="shared" si="4311"/>
        <v>60</v>
      </c>
      <c r="BU756" s="48">
        <f t="shared" si="4312"/>
        <v>60</v>
      </c>
      <c r="BV756" s="48">
        <f t="shared" si="4313"/>
        <v>60</v>
      </c>
      <c r="BW756" s="48">
        <f t="shared" si="4314"/>
        <v>45</v>
      </c>
      <c r="BX756" s="48">
        <f t="shared" si="4315"/>
        <v>45</v>
      </c>
      <c r="BY756" s="48">
        <f t="shared" si="4316"/>
        <v>45</v>
      </c>
      <c r="BZ756" s="48">
        <f t="shared" si="4317"/>
        <v>56</v>
      </c>
      <c r="CA756" s="48">
        <f t="shared" si="4318"/>
        <v>56</v>
      </c>
      <c r="CB756" s="48">
        <f t="shared" si="4319"/>
        <v>56</v>
      </c>
      <c r="CC756" s="48">
        <f t="shared" si="4320"/>
        <v>56</v>
      </c>
      <c r="CD756" s="48">
        <f t="shared" si="4321"/>
        <v>56</v>
      </c>
      <c r="CE756" s="48">
        <f t="shared" si="4322"/>
        <v>56</v>
      </c>
      <c r="CF756" s="48">
        <f t="shared" si="4323"/>
        <v>82</v>
      </c>
      <c r="CG756" s="48">
        <f t="shared" si="4324"/>
        <v>82</v>
      </c>
      <c r="CH756" s="48">
        <f t="shared" si="4325"/>
        <v>82</v>
      </c>
      <c r="CI756" s="48">
        <f t="shared" si="4326"/>
        <v>63</v>
      </c>
      <c r="CJ756" s="48">
        <f t="shared" si="4327"/>
        <v>63</v>
      </c>
      <c r="CK756" s="48">
        <f t="shared" si="4328"/>
        <v>63</v>
      </c>
      <c r="CL756" s="48">
        <f t="shared" si="4329"/>
        <v>44</v>
      </c>
      <c r="CM756" s="48">
        <f t="shared" si="4330"/>
        <v>44</v>
      </c>
      <c r="CN756" s="48">
        <f t="shared" si="4331"/>
        <v>44</v>
      </c>
      <c r="CO756" s="406"/>
      <c r="CP756" s="21">
        <f t="shared" si="4293"/>
        <v>175</v>
      </c>
      <c r="CQ756" s="21">
        <f t="shared" si="4293"/>
        <v>190</v>
      </c>
      <c r="CR756" s="21">
        <f t="shared" si="4293"/>
        <v>202</v>
      </c>
      <c r="CS756" s="21">
        <f>AO756</f>
        <v>21</v>
      </c>
      <c r="CT756" s="21">
        <f t="shared" si="4294"/>
        <v>34</v>
      </c>
      <c r="CU756" s="21">
        <f t="shared" si="4294"/>
        <v>39</v>
      </c>
      <c r="CV756" s="21">
        <f t="shared" si="4294"/>
        <v>57</v>
      </c>
      <c r="CW756" s="21">
        <f t="shared" si="4294"/>
        <v>78</v>
      </c>
      <c r="CX756" s="21">
        <f t="shared" si="4294"/>
        <v>99</v>
      </c>
      <c r="CY756" s="21">
        <f t="shared" si="4294"/>
        <v>113</v>
      </c>
      <c r="CZ756" s="21">
        <f t="shared" si="4294"/>
        <v>129</v>
      </c>
      <c r="DA756" s="21">
        <f t="shared" si="4294"/>
        <v>144</v>
      </c>
      <c r="DB756" s="21">
        <f t="shared" si="4294"/>
        <v>167</v>
      </c>
      <c r="DC756" s="21">
        <f t="shared" si="4294"/>
        <v>181</v>
      </c>
      <c r="DD756" s="21">
        <f t="shared" si="4294"/>
        <v>200</v>
      </c>
      <c r="DE756" s="21">
        <f>+BA756</f>
        <v>16</v>
      </c>
      <c r="DF756" s="21">
        <f t="shared" si="4295"/>
        <v>28</v>
      </c>
      <c r="DG756" s="21">
        <f t="shared" si="4295"/>
        <v>56</v>
      </c>
      <c r="DH756" s="21">
        <f t="shared" si="4295"/>
        <v>75</v>
      </c>
      <c r="DI756" s="21">
        <f t="shared" si="4295"/>
        <v>97</v>
      </c>
      <c r="DJ756" s="21">
        <f t="shared" si="4295"/>
        <v>138</v>
      </c>
      <c r="DK756" s="21">
        <f t="shared" si="4295"/>
        <v>165</v>
      </c>
      <c r="DL756" s="21">
        <f t="shared" si="4295"/>
        <v>185</v>
      </c>
      <c r="DM756" s="21">
        <f t="shared" si="4295"/>
        <v>201</v>
      </c>
      <c r="DN756" s="21">
        <f t="shared" si="4295"/>
        <v>225</v>
      </c>
      <c r="DO756" s="21">
        <f t="shared" si="4295"/>
        <v>245</v>
      </c>
      <c r="DP756" s="21">
        <f t="shared" si="4295"/>
        <v>245</v>
      </c>
      <c r="DQ756" s="248"/>
      <c r="DR756" s="248"/>
      <c r="DS756" s="248"/>
      <c r="DT756" s="248"/>
      <c r="DU756" s="248"/>
      <c r="DV756" s="248"/>
      <c r="DW756" s="248"/>
      <c r="DX756" s="248"/>
      <c r="DY756" s="248"/>
      <c r="ED756" s="429"/>
      <c r="EE756" s="23"/>
      <c r="EF756" s="23"/>
      <c r="EG756" s="23"/>
      <c r="EH756" s="18">
        <f t="shared" si="4296"/>
        <v>20</v>
      </c>
      <c r="EI756" s="18">
        <f t="shared" si="4297"/>
        <v>44</v>
      </c>
      <c r="EJ756" s="18">
        <f t="shared" si="4298"/>
        <v>245</v>
      </c>
      <c r="EK756" s="24">
        <f>$EK$1/12</f>
        <v>0.91666666666666663</v>
      </c>
      <c r="EL756" s="14">
        <f t="shared" si="4299"/>
        <v>1.2777976901251185</v>
      </c>
      <c r="EM756" s="14">
        <f t="shared" si="4299"/>
        <v>0.93705163942508518</v>
      </c>
      <c r="EN756" s="14">
        <f>EJ756/EG733</f>
        <v>1.3044184521862932</v>
      </c>
      <c r="EO756" s="46" t="str">
        <f t="shared" si="4300"/>
        <v>Ç</v>
      </c>
      <c r="EP756" s="46" t="str">
        <f>IF(EI756&lt;0,,IF(EI756&lt;EF733,"È",IF(EI756=EF733,"Æ","Ç")))</f>
        <v>È</v>
      </c>
      <c r="EQ756" s="2">
        <f t="shared" si="4301"/>
        <v>1</v>
      </c>
      <c r="ER756" s="2">
        <f t="shared" si="4302"/>
        <v>1</v>
      </c>
      <c r="ES756" s="2">
        <f t="shared" si="4303"/>
        <v>1</v>
      </c>
    </row>
    <row r="757" spans="1:149" ht="12.75" customHeight="1" thickBot="1">
      <c r="A757" s="6" t="s">
        <v>22</v>
      </c>
      <c r="B757" s="2" t="s">
        <v>94</v>
      </c>
      <c r="C757" s="3" t="s">
        <v>58</v>
      </c>
      <c r="E757" s="3" t="s">
        <v>16</v>
      </c>
      <c r="G757" s="137" t="s">
        <v>91</v>
      </c>
      <c r="H757" s="28"/>
      <c r="I757" s="143">
        <f>I31+I97+I163+I229+I295+I361+I427+I493+I559+I625+I691</f>
        <v>29.309162999999998</v>
      </c>
      <c r="J757" s="143">
        <f t="shared" ref="J757:AJ757" si="4334">IF(J31="","",J31+J97+J163+J229+J295+J361+J427+J493+J559+J625+J691)</f>
        <v>30.979162999999996</v>
      </c>
      <c r="K757" s="143">
        <f t="shared" si="4334"/>
        <v>32.626162999999991</v>
      </c>
      <c r="L757" s="143">
        <f t="shared" si="4334"/>
        <v>33.613163</v>
      </c>
      <c r="M757" s="144">
        <f t="shared" si="4334"/>
        <v>2.5738509999999999</v>
      </c>
      <c r="N757" s="143">
        <f t="shared" si="4334"/>
        <v>2.788951</v>
      </c>
      <c r="O757" s="143">
        <f t="shared" si="4334"/>
        <v>3.3860509999999997</v>
      </c>
      <c r="P757" s="143">
        <f t="shared" si="4334"/>
        <v>7.5213509999999992</v>
      </c>
      <c r="Q757" s="143">
        <f t="shared" si="4334"/>
        <v>14.348351000000001</v>
      </c>
      <c r="R757" s="143">
        <f t="shared" si="4334"/>
        <v>19.344351</v>
      </c>
      <c r="S757" s="143">
        <f t="shared" si="4334"/>
        <v>23.733000000000004</v>
      </c>
      <c r="T757" s="143">
        <f t="shared" si="4334"/>
        <v>24.298376999999999</v>
      </c>
      <c r="U757" s="282">
        <f t="shared" si="4334"/>
        <v>37.474576999999996</v>
      </c>
      <c r="V757" s="154">
        <f t="shared" si="4334"/>
        <v>36.929076999999999</v>
      </c>
      <c r="W757" s="143">
        <f t="shared" si="4334"/>
        <v>37.376926999999995</v>
      </c>
      <c r="X757" s="143">
        <f t="shared" si="4334"/>
        <v>44.359626999999989</v>
      </c>
      <c r="Y757" s="145">
        <f t="shared" si="4334"/>
        <v>10.03026</v>
      </c>
      <c r="Z757" s="143">
        <f t="shared" si="4334"/>
        <v>12.486609999999999</v>
      </c>
      <c r="AA757" s="143">
        <f t="shared" si="4334"/>
        <v>15.898408</v>
      </c>
      <c r="AB757" s="143">
        <f t="shared" si="4334"/>
        <v>19.068548</v>
      </c>
      <c r="AC757" s="143">
        <f t="shared" si="4334"/>
        <v>25.038198000000001</v>
      </c>
      <c r="AD757" s="143">
        <f t="shared" si="4334"/>
        <v>28.316606</v>
      </c>
      <c r="AE757" s="143">
        <f t="shared" si="4334"/>
        <v>29.627855999999998</v>
      </c>
      <c r="AF757" s="143">
        <f t="shared" si="4334"/>
        <v>33.019787999999991</v>
      </c>
      <c r="AG757" s="143">
        <f t="shared" si="4334"/>
        <v>37.00517</v>
      </c>
      <c r="AH757" s="143">
        <f t="shared" si="4334"/>
        <v>38.746000000000002</v>
      </c>
      <c r="AI757" s="143">
        <f t="shared" si="4334"/>
        <v>40.041424999999997</v>
      </c>
      <c r="AJ757" s="143" t="str">
        <f t="shared" si="4334"/>
        <v/>
      </c>
      <c r="AK757" s="416"/>
      <c r="AL757" s="116">
        <f t="shared" si="4271"/>
        <v>1.6699999999999982</v>
      </c>
      <c r="AM757" s="116">
        <f t="shared" si="4271"/>
        <v>1.6469999999999949</v>
      </c>
      <c r="AN757" s="116">
        <f t="shared" si="4272"/>
        <v>0.98700000000000898</v>
      </c>
      <c r="AO757" s="116">
        <f>M757</f>
        <v>2.5738509999999999</v>
      </c>
      <c r="AP757" s="259">
        <f>IF(N757&lt;&gt;"",N757-M757,1)</f>
        <v>0.21510000000000007</v>
      </c>
      <c r="AQ757" s="129">
        <f t="shared" si="4274"/>
        <v>0.59709999999999974</v>
      </c>
      <c r="AR757" s="129">
        <f t="shared" si="4275"/>
        <v>4.1352999999999991</v>
      </c>
      <c r="AS757" s="129">
        <f t="shared" si="4276"/>
        <v>6.8270000000000017</v>
      </c>
      <c r="AT757" s="129">
        <f t="shared" si="4277"/>
        <v>4.9959999999999987</v>
      </c>
      <c r="AU757" s="129">
        <f t="shared" si="4278"/>
        <v>4.3886490000000045</v>
      </c>
      <c r="AV757" s="285">
        <f t="shared" si="4279"/>
        <v>0.56537699999999447</v>
      </c>
      <c r="AW757" s="129">
        <f t="shared" si="4280"/>
        <v>13.176199999999998</v>
      </c>
      <c r="AX757" s="131">
        <f>IF(V757&lt;&gt;"",V757-U757,0)</f>
        <v>-0.54549999999999699</v>
      </c>
      <c r="AY757" s="131">
        <f t="shared" si="4281"/>
        <v>0.44784999999999542</v>
      </c>
      <c r="AZ757" s="131">
        <f t="shared" si="4282"/>
        <v>6.9826999999999941</v>
      </c>
      <c r="BA757" s="116">
        <f>Y757</f>
        <v>10.03026</v>
      </c>
      <c r="BB757" s="129">
        <f t="shared" si="4283"/>
        <v>2.4563499999999987</v>
      </c>
      <c r="BC757" s="129">
        <f t="shared" si="4284"/>
        <v>3.411798000000001</v>
      </c>
      <c r="BD757" s="129">
        <f t="shared" si="4285"/>
        <v>3.17014</v>
      </c>
      <c r="BE757" s="129">
        <f t="shared" si="4286"/>
        <v>5.9696500000000015</v>
      </c>
      <c r="BF757" s="129">
        <f t="shared" si="4287"/>
        <v>3.2784079999999989</v>
      </c>
      <c r="BG757" s="129">
        <f t="shared" si="4288"/>
        <v>1.3112499999999976</v>
      </c>
      <c r="BH757" s="129">
        <f t="shared" si="4289"/>
        <v>3.3919319999999935</v>
      </c>
      <c r="BI757" s="129">
        <f t="shared" si="4290"/>
        <v>3.9853820000000084</v>
      </c>
      <c r="BJ757" s="129">
        <f>IF(AH757&lt;&gt;"",AH757-AG757,0)</f>
        <v>1.7408300000000025</v>
      </c>
      <c r="BK757" s="129">
        <f t="shared" si="4291"/>
        <v>1.2954249999999945</v>
      </c>
      <c r="BL757" s="129">
        <f t="shared" si="4292"/>
        <v>0</v>
      </c>
      <c r="BM757" s="409"/>
      <c r="BN757" s="119">
        <f t="shared" si="4305"/>
        <v>4.304000000000002</v>
      </c>
      <c r="BO757" s="119">
        <f t="shared" si="4306"/>
        <v>4.304000000000002</v>
      </c>
      <c r="BP757" s="119">
        <f t="shared" si="4307"/>
        <v>4.304000000000002</v>
      </c>
      <c r="BQ757" s="119">
        <f t="shared" si="4308"/>
        <v>3.3860509999999997</v>
      </c>
      <c r="BR757" s="119">
        <f t="shared" si="4309"/>
        <v>3.3860509999999997</v>
      </c>
      <c r="BS757" s="119">
        <f t="shared" si="4310"/>
        <v>3.3860509999999997</v>
      </c>
      <c r="BT757" s="119">
        <f t="shared" si="4311"/>
        <v>15.958299999999999</v>
      </c>
      <c r="BU757" s="119">
        <f t="shared" si="4312"/>
        <v>15.958299999999999</v>
      </c>
      <c r="BV757" s="119">
        <f t="shared" si="4313"/>
        <v>15.958299999999999</v>
      </c>
      <c r="BW757" s="119">
        <f t="shared" si="4314"/>
        <v>18.130225999999997</v>
      </c>
      <c r="BX757" s="119">
        <f t="shared" si="4315"/>
        <v>18.130225999999997</v>
      </c>
      <c r="BY757" s="119">
        <f t="shared" si="4316"/>
        <v>18.130225999999997</v>
      </c>
      <c r="BZ757" s="119">
        <f t="shared" si="4317"/>
        <v>6.8850499999999926</v>
      </c>
      <c r="CA757" s="119">
        <f t="shared" si="4318"/>
        <v>6.8850499999999926</v>
      </c>
      <c r="CB757" s="119">
        <f t="shared" si="4319"/>
        <v>6.8850499999999926</v>
      </c>
      <c r="CC757" s="119">
        <f t="shared" si="4320"/>
        <v>15.898408</v>
      </c>
      <c r="CD757" s="119">
        <f t="shared" si="4321"/>
        <v>15.898408</v>
      </c>
      <c r="CE757" s="119">
        <f t="shared" si="4322"/>
        <v>15.898408</v>
      </c>
      <c r="CF757" s="119">
        <f t="shared" si="4323"/>
        <v>12.418198</v>
      </c>
      <c r="CG757" s="119">
        <f t="shared" si="4324"/>
        <v>12.418198</v>
      </c>
      <c r="CH757" s="119">
        <f t="shared" si="4325"/>
        <v>12.418198</v>
      </c>
      <c r="CI757" s="119">
        <f t="shared" si="4326"/>
        <v>8.6885639999999995</v>
      </c>
      <c r="CJ757" s="119">
        <f t="shared" si="4327"/>
        <v>8.6885639999999995</v>
      </c>
      <c r="CK757" s="119">
        <f t="shared" si="4328"/>
        <v>8.6885639999999995</v>
      </c>
      <c r="CL757" s="119">
        <f t="shared" si="4329"/>
        <v>3.036254999999997</v>
      </c>
      <c r="CM757" s="119">
        <f t="shared" si="4330"/>
        <v>3.036254999999997</v>
      </c>
      <c r="CN757" s="119">
        <f t="shared" si="4331"/>
        <v>3.036254999999997</v>
      </c>
      <c r="CO757" s="421"/>
      <c r="CP757" s="116">
        <f t="shared" si="4293"/>
        <v>30.979162999999996</v>
      </c>
      <c r="CQ757" s="116">
        <f t="shared" si="4293"/>
        <v>32.626162999999991</v>
      </c>
      <c r="CR757" s="116">
        <f t="shared" si="4293"/>
        <v>33.613163</v>
      </c>
      <c r="CS757" s="116">
        <f>AO757</f>
        <v>2.5738509999999999</v>
      </c>
      <c r="CT757" s="116">
        <f t="shared" si="4294"/>
        <v>2.788951</v>
      </c>
      <c r="CU757" s="116">
        <f t="shared" si="4294"/>
        <v>3.3860509999999997</v>
      </c>
      <c r="CV757" s="116">
        <f t="shared" si="4294"/>
        <v>7.5213509999999992</v>
      </c>
      <c r="CW757" s="116">
        <f t="shared" si="4294"/>
        <v>14.348351000000001</v>
      </c>
      <c r="CX757" s="116">
        <f t="shared" si="4294"/>
        <v>19.344351</v>
      </c>
      <c r="CY757" s="116">
        <f t="shared" si="4294"/>
        <v>23.733000000000004</v>
      </c>
      <c r="CZ757" s="116">
        <f t="shared" si="4294"/>
        <v>24.298376999999999</v>
      </c>
      <c r="DA757" s="116">
        <f t="shared" si="4294"/>
        <v>37.474576999999996</v>
      </c>
      <c r="DB757" s="116">
        <f t="shared" si="4294"/>
        <v>36.929076999999999</v>
      </c>
      <c r="DC757" s="116">
        <f t="shared" si="4294"/>
        <v>37.376926999999995</v>
      </c>
      <c r="DD757" s="116">
        <f t="shared" si="4294"/>
        <v>44.359626999999989</v>
      </c>
      <c r="DE757" s="116">
        <f>+BA757</f>
        <v>10.03026</v>
      </c>
      <c r="DF757" s="116">
        <f t="shared" si="4295"/>
        <v>12.486609999999999</v>
      </c>
      <c r="DG757" s="116">
        <f t="shared" si="4295"/>
        <v>15.898408</v>
      </c>
      <c r="DH757" s="116">
        <f t="shared" si="4295"/>
        <v>19.068548</v>
      </c>
      <c r="DI757" s="116">
        <f t="shared" si="4295"/>
        <v>25.038198000000001</v>
      </c>
      <c r="DJ757" s="116">
        <f t="shared" si="4295"/>
        <v>28.316606</v>
      </c>
      <c r="DK757" s="116">
        <f t="shared" si="4295"/>
        <v>29.627855999999998</v>
      </c>
      <c r="DL757" s="116">
        <f t="shared" si="4295"/>
        <v>33.019787999999991</v>
      </c>
      <c r="DM757" s="116">
        <f t="shared" si="4295"/>
        <v>37.00517</v>
      </c>
      <c r="DN757" s="116">
        <f t="shared" si="4295"/>
        <v>38.746000000000002</v>
      </c>
      <c r="DO757" s="116">
        <f t="shared" si="4295"/>
        <v>40.041424999999997</v>
      </c>
      <c r="DP757" s="116">
        <f t="shared" si="4295"/>
        <v>40.041424999999997</v>
      </c>
      <c r="DQ757" s="243"/>
      <c r="DR757" s="243"/>
      <c r="DS757" s="243"/>
      <c r="DT757" s="243"/>
      <c r="DU757" s="243"/>
      <c r="DV757" s="243"/>
      <c r="DW757" s="243"/>
      <c r="DX757" s="243"/>
      <c r="DY757" s="243"/>
      <c r="DZ757" s="124"/>
      <c r="EA757" s="124"/>
      <c r="EB757" s="124"/>
      <c r="EC757" s="124"/>
      <c r="ED757" s="431"/>
      <c r="EE757" s="125"/>
      <c r="EF757" s="125"/>
      <c r="EG757" s="125"/>
      <c r="EH757" s="116">
        <f t="shared" si="4296"/>
        <v>1.2954249999999945</v>
      </c>
      <c r="EI757" s="116">
        <f t="shared" si="4297"/>
        <v>3.036254999999997</v>
      </c>
      <c r="EJ757" s="116">
        <f t="shared" si="4298"/>
        <v>40.041424999999997</v>
      </c>
      <c r="EK757" s="24">
        <f>$EK$1/12</f>
        <v>0.91666666666666663</v>
      </c>
      <c r="EL757" s="14">
        <f t="shared" si="4299"/>
        <v>0.44438791839803699</v>
      </c>
      <c r="EM757" s="14">
        <f t="shared" si="4299"/>
        <v>0.34718979978916487</v>
      </c>
      <c r="EN757" s="14">
        <f>EJ757/EG734</f>
        <v>1.1445357979605824</v>
      </c>
      <c r="EO757" s="46" t="str">
        <f t="shared" si="4300"/>
        <v>È</v>
      </c>
      <c r="EP757" s="46" t="str">
        <f>IF(EI757&lt;0,,IF(EI757&gt;EF734,"È",IF(EI757=EF734,"Æ","Ç")))</f>
        <v>Ç</v>
      </c>
      <c r="EQ757" s="2">
        <f t="shared" si="4301"/>
        <v>3</v>
      </c>
      <c r="ER757" s="2">
        <f t="shared" si="4302"/>
        <v>3</v>
      </c>
      <c r="ES757" s="2">
        <f t="shared" si="4303"/>
        <v>1</v>
      </c>
    </row>
    <row r="758" spans="1:149" ht="12.75" customHeight="1">
      <c r="A758" s="6" t="s">
        <v>23</v>
      </c>
      <c r="B758" s="2" t="s">
        <v>5</v>
      </c>
      <c r="C758" s="3" t="s">
        <v>61</v>
      </c>
      <c r="E758" s="3" t="s">
        <v>16</v>
      </c>
      <c r="G758" s="28" t="s">
        <v>91</v>
      </c>
      <c r="H758" s="28"/>
      <c r="I758" s="29"/>
      <c r="J758" s="139">
        <f t="shared" ref="J758:AJ758" si="4335">IF(J32="","",J32+J98+J164+J230+J296+J362+J428+J494+J560+J626+J692)</f>
        <v>120</v>
      </c>
      <c r="K758" s="139">
        <f t="shared" si="4335"/>
        <v>250</v>
      </c>
      <c r="L758" s="139">
        <f t="shared" si="4335"/>
        <v>359</v>
      </c>
      <c r="M758" s="139">
        <f t="shared" si="4335"/>
        <v>499</v>
      </c>
      <c r="N758" s="139">
        <f t="shared" si="4335"/>
        <v>601</v>
      </c>
      <c r="O758" s="139">
        <f t="shared" si="4335"/>
        <v>692</v>
      </c>
      <c r="P758" s="139">
        <f t="shared" si="4335"/>
        <v>788</v>
      </c>
      <c r="Q758" s="139">
        <f t="shared" si="4335"/>
        <v>930</v>
      </c>
      <c r="R758" s="139">
        <f t="shared" si="4335"/>
        <v>1088</v>
      </c>
      <c r="S758" s="139">
        <f t="shared" si="4335"/>
        <v>1281</v>
      </c>
      <c r="T758" s="139">
        <f t="shared" si="4335"/>
        <v>1432</v>
      </c>
      <c r="U758" s="280">
        <f t="shared" si="4335"/>
        <v>1602</v>
      </c>
      <c r="V758" s="141">
        <f t="shared" si="4335"/>
        <v>191</v>
      </c>
      <c r="W758" s="139">
        <f t="shared" si="4335"/>
        <v>372</v>
      </c>
      <c r="X758" s="139">
        <f t="shared" si="4335"/>
        <v>567</v>
      </c>
      <c r="Y758" s="139">
        <f t="shared" si="4335"/>
        <v>767</v>
      </c>
      <c r="Z758" s="139">
        <f t="shared" si="4335"/>
        <v>916</v>
      </c>
      <c r="AA758" s="139">
        <f t="shared" si="4335"/>
        <v>1060</v>
      </c>
      <c r="AB758" s="139">
        <f t="shared" si="4335"/>
        <v>1224</v>
      </c>
      <c r="AC758" s="139">
        <f t="shared" si="4335"/>
        <v>1422</v>
      </c>
      <c r="AD758" s="139">
        <f t="shared" si="4335"/>
        <v>1640</v>
      </c>
      <c r="AE758" s="139">
        <f t="shared" si="4335"/>
        <v>1807</v>
      </c>
      <c r="AF758" s="139">
        <f t="shared" si="4335"/>
        <v>1993</v>
      </c>
      <c r="AG758" s="139">
        <f t="shared" si="4335"/>
        <v>2158</v>
      </c>
      <c r="AH758" s="141">
        <f t="shared" si="4335"/>
        <v>151</v>
      </c>
      <c r="AI758" s="139">
        <f t="shared" si="4335"/>
        <v>320</v>
      </c>
      <c r="AJ758" s="139" t="str">
        <f t="shared" si="4335"/>
        <v/>
      </c>
      <c r="AK758" s="408"/>
      <c r="AL758" s="19">
        <f t="shared" ref="AL758:AL774" si="4336">J758</f>
        <v>120</v>
      </c>
      <c r="AM758" s="19">
        <f>K758-J758</f>
        <v>130</v>
      </c>
      <c r="AN758" s="19">
        <f t="shared" si="4272"/>
        <v>109</v>
      </c>
      <c r="AO758" s="19">
        <f>M758-L758</f>
        <v>140</v>
      </c>
      <c r="AP758" s="129">
        <f t="shared" si="4273"/>
        <v>102</v>
      </c>
      <c r="AQ758" s="129">
        <f t="shared" si="4274"/>
        <v>91</v>
      </c>
      <c r="AR758" s="129">
        <f t="shared" si="4275"/>
        <v>96</v>
      </c>
      <c r="AS758" s="129">
        <f t="shared" si="4276"/>
        <v>142</v>
      </c>
      <c r="AT758" s="129">
        <f t="shared" si="4277"/>
        <v>158</v>
      </c>
      <c r="AU758" s="129">
        <f t="shared" si="4278"/>
        <v>193</v>
      </c>
      <c r="AV758" s="129">
        <f t="shared" si="4279"/>
        <v>151</v>
      </c>
      <c r="AW758" s="129">
        <f t="shared" si="4280"/>
        <v>170</v>
      </c>
      <c r="AX758" s="19">
        <f t="shared" ref="AX758:AX770" si="4337">V758</f>
        <v>191</v>
      </c>
      <c r="AY758" s="129">
        <f t="shared" si="4281"/>
        <v>181</v>
      </c>
      <c r="AZ758" s="129">
        <f t="shared" si="4282"/>
        <v>195</v>
      </c>
      <c r="BA758" s="129">
        <f t="shared" ref="BA758:BA769" si="4338">IF(Y758&lt;&gt;"",Y758-X758,0)</f>
        <v>200</v>
      </c>
      <c r="BB758" s="129">
        <f t="shared" si="4283"/>
        <v>149</v>
      </c>
      <c r="BC758" s="129">
        <f t="shared" si="4284"/>
        <v>144</v>
      </c>
      <c r="BD758" s="129">
        <f t="shared" si="4285"/>
        <v>164</v>
      </c>
      <c r="BE758" s="129">
        <f t="shared" si="4286"/>
        <v>198</v>
      </c>
      <c r="BF758" s="129">
        <f t="shared" si="4287"/>
        <v>218</v>
      </c>
      <c r="BG758" s="129">
        <f t="shared" si="4288"/>
        <v>167</v>
      </c>
      <c r="BH758" s="129">
        <f t="shared" si="4289"/>
        <v>186</v>
      </c>
      <c r="BI758" s="129">
        <f t="shared" si="4290"/>
        <v>165</v>
      </c>
      <c r="BJ758" s="19">
        <f t="shared" ref="BJ758:BJ769" si="4339">AH758</f>
        <v>151</v>
      </c>
      <c r="BK758" s="129">
        <f t="shared" si="4291"/>
        <v>169</v>
      </c>
      <c r="BL758" s="129">
        <f t="shared" si="4292"/>
        <v>0</v>
      </c>
      <c r="BM758" s="408"/>
      <c r="BN758" s="48">
        <f t="shared" si="4305"/>
        <v>359</v>
      </c>
      <c r="BO758" s="48">
        <f t="shared" si="4306"/>
        <v>359</v>
      </c>
      <c r="BP758" s="48">
        <f t="shared" si="4307"/>
        <v>359</v>
      </c>
      <c r="BQ758" s="48">
        <f t="shared" si="4308"/>
        <v>333</v>
      </c>
      <c r="BR758" s="48">
        <f t="shared" si="4309"/>
        <v>333</v>
      </c>
      <c r="BS758" s="48">
        <f t="shared" si="4310"/>
        <v>333</v>
      </c>
      <c r="BT758" s="48">
        <f t="shared" si="4311"/>
        <v>396</v>
      </c>
      <c r="BU758" s="48">
        <f t="shared" si="4312"/>
        <v>396</v>
      </c>
      <c r="BV758" s="48">
        <f t="shared" si="4313"/>
        <v>396</v>
      </c>
      <c r="BW758" s="48">
        <f t="shared" si="4314"/>
        <v>514</v>
      </c>
      <c r="BX758" s="48">
        <f t="shared" si="4315"/>
        <v>514</v>
      </c>
      <c r="BY758" s="48">
        <f t="shared" si="4316"/>
        <v>514</v>
      </c>
      <c r="BZ758" s="48">
        <f t="shared" si="4317"/>
        <v>567</v>
      </c>
      <c r="CA758" s="48">
        <f t="shared" si="4318"/>
        <v>567</v>
      </c>
      <c r="CB758" s="48">
        <f t="shared" si="4319"/>
        <v>567</v>
      </c>
      <c r="CC758" s="48">
        <f t="shared" si="4320"/>
        <v>493</v>
      </c>
      <c r="CD758" s="48">
        <f t="shared" si="4321"/>
        <v>493</v>
      </c>
      <c r="CE758" s="48">
        <f t="shared" si="4322"/>
        <v>493</v>
      </c>
      <c r="CF758" s="48">
        <f t="shared" si="4323"/>
        <v>580</v>
      </c>
      <c r="CG758" s="48">
        <f t="shared" si="4324"/>
        <v>580</v>
      </c>
      <c r="CH758" s="48">
        <f t="shared" si="4325"/>
        <v>580</v>
      </c>
      <c r="CI758" s="48">
        <f t="shared" si="4326"/>
        <v>518</v>
      </c>
      <c r="CJ758" s="48">
        <f t="shared" si="4327"/>
        <v>518</v>
      </c>
      <c r="CK758" s="48">
        <f t="shared" si="4328"/>
        <v>518</v>
      </c>
      <c r="CL758" s="48">
        <f t="shared" si="4329"/>
        <v>320</v>
      </c>
      <c r="CM758" s="48">
        <f t="shared" si="4330"/>
        <v>320</v>
      </c>
      <c r="CN758" s="48">
        <f t="shared" si="4331"/>
        <v>320</v>
      </c>
      <c r="CO758" s="406"/>
      <c r="CP758" s="21">
        <f>+AL758</f>
        <v>120</v>
      </c>
      <c r="CQ758" s="21">
        <f t="shared" ref="CQ758:DA758" si="4340">+CP758+AM758</f>
        <v>250</v>
      </c>
      <c r="CR758" s="21">
        <f t="shared" si="4340"/>
        <v>359</v>
      </c>
      <c r="CS758" s="21">
        <f t="shared" si="4340"/>
        <v>499</v>
      </c>
      <c r="CT758" s="21">
        <f t="shared" si="4340"/>
        <v>601</v>
      </c>
      <c r="CU758" s="21">
        <f t="shared" si="4340"/>
        <v>692</v>
      </c>
      <c r="CV758" s="21">
        <f t="shared" si="4340"/>
        <v>788</v>
      </c>
      <c r="CW758" s="21">
        <f t="shared" si="4340"/>
        <v>930</v>
      </c>
      <c r="CX758" s="21">
        <f t="shared" si="4340"/>
        <v>1088</v>
      </c>
      <c r="CY758" s="21">
        <f t="shared" si="4340"/>
        <v>1281</v>
      </c>
      <c r="CZ758" s="21">
        <f t="shared" si="4340"/>
        <v>1432</v>
      </c>
      <c r="DA758" s="21">
        <f t="shared" si="4340"/>
        <v>1602</v>
      </c>
      <c r="DB758" s="21">
        <f>AX758</f>
        <v>191</v>
      </c>
      <c r="DC758" s="21">
        <f t="shared" ref="DC758:DM758" si="4341">+DB758+AY758</f>
        <v>372</v>
      </c>
      <c r="DD758" s="21">
        <f t="shared" si="4341"/>
        <v>567</v>
      </c>
      <c r="DE758" s="21">
        <f t="shared" si="4341"/>
        <v>767</v>
      </c>
      <c r="DF758" s="21">
        <f t="shared" si="4341"/>
        <v>916</v>
      </c>
      <c r="DG758" s="21">
        <f t="shared" si="4341"/>
        <v>1060</v>
      </c>
      <c r="DH758" s="21">
        <f t="shared" si="4341"/>
        <v>1224</v>
      </c>
      <c r="DI758" s="21">
        <f t="shared" si="4341"/>
        <v>1422</v>
      </c>
      <c r="DJ758" s="21">
        <f t="shared" si="4341"/>
        <v>1640</v>
      </c>
      <c r="DK758" s="21">
        <f t="shared" si="4341"/>
        <v>1807</v>
      </c>
      <c r="DL758" s="21">
        <f t="shared" si="4341"/>
        <v>1993</v>
      </c>
      <c r="DM758" s="21">
        <f t="shared" si="4341"/>
        <v>2158</v>
      </c>
      <c r="DN758" s="21">
        <f>+BJ758</f>
        <v>151</v>
      </c>
      <c r="DO758" s="21">
        <f>+DN758+BK758</f>
        <v>320</v>
      </c>
      <c r="DP758" s="21">
        <f>+DO758+BL758</f>
        <v>320</v>
      </c>
      <c r="DQ758" s="248"/>
      <c r="DR758" s="248"/>
      <c r="DS758" s="248"/>
      <c r="DT758" s="248"/>
      <c r="DU758" s="248"/>
      <c r="DV758" s="248"/>
      <c r="DW758" s="248"/>
      <c r="DX758" s="248"/>
      <c r="DY758" s="248"/>
      <c r="ED758" s="429"/>
      <c r="EE758" s="23"/>
      <c r="EF758" s="23"/>
      <c r="EG758" s="23"/>
      <c r="EH758" s="18">
        <f t="shared" si="4296"/>
        <v>169</v>
      </c>
      <c r="EI758" s="18">
        <f t="shared" si="4297"/>
        <v>320</v>
      </c>
      <c r="EJ758" s="18">
        <f t="shared" si="4298"/>
        <v>320</v>
      </c>
      <c r="EK758" s="24">
        <f>$EK$2/12</f>
        <v>0.16666666666666666</v>
      </c>
      <c r="EL758" s="14">
        <f t="shared" si="4299"/>
        <v>0.60213776722090262</v>
      </c>
      <c r="EM758" s="14" t="e">
        <f t="shared" si="4299"/>
        <v>#VALUE!</v>
      </c>
      <c r="EN758" s="14">
        <f>EJ758/EK758/EG735</f>
        <v>1.3833017201659485</v>
      </c>
      <c r="EO758" s="46" t="str">
        <f t="shared" si="4300"/>
        <v>È</v>
      </c>
      <c r="EP758" s="46" t="e">
        <f t="shared" si="4300"/>
        <v>#VALUE!</v>
      </c>
      <c r="EQ758" s="2">
        <f t="shared" si="4301"/>
        <v>3</v>
      </c>
      <c r="ER758" s="2" t="e">
        <f t="shared" si="4302"/>
        <v>#VALUE!</v>
      </c>
      <c r="ES758" s="2">
        <f t="shared" si="4303"/>
        <v>1</v>
      </c>
    </row>
    <row r="759" spans="1:149" ht="12.75" customHeight="1">
      <c r="A759" s="6" t="s">
        <v>23</v>
      </c>
      <c r="B759" s="2" t="s">
        <v>4</v>
      </c>
      <c r="C759" s="3" t="s">
        <v>62</v>
      </c>
      <c r="E759" s="3" t="s">
        <v>16</v>
      </c>
      <c r="G759" s="28" t="s">
        <v>91</v>
      </c>
      <c r="H759" s="28"/>
      <c r="I759" s="29"/>
      <c r="J759" s="139">
        <f t="shared" ref="J759:AJ759" si="4342">IF(J33="","",J33+J99+J165+J231+J297+J363+J429+J495+J561+J627+J693)</f>
        <v>51</v>
      </c>
      <c r="K759" s="139">
        <f t="shared" si="4342"/>
        <v>96</v>
      </c>
      <c r="L759" s="139">
        <f t="shared" si="4342"/>
        <v>149</v>
      </c>
      <c r="M759" s="139">
        <f t="shared" si="4342"/>
        <v>230</v>
      </c>
      <c r="N759" s="139">
        <f t="shared" si="4342"/>
        <v>283</v>
      </c>
      <c r="O759" s="139">
        <f t="shared" si="4342"/>
        <v>328</v>
      </c>
      <c r="P759" s="139">
        <f t="shared" si="4342"/>
        <v>379</v>
      </c>
      <c r="Q759" s="139">
        <f t="shared" si="4342"/>
        <v>454</v>
      </c>
      <c r="R759" s="139">
        <f t="shared" si="4342"/>
        <v>520</v>
      </c>
      <c r="S759" s="139">
        <f t="shared" si="4342"/>
        <v>599</v>
      </c>
      <c r="T759" s="139">
        <f t="shared" si="4342"/>
        <v>683</v>
      </c>
      <c r="U759" s="280">
        <f t="shared" si="4342"/>
        <v>766</v>
      </c>
      <c r="V759" s="141">
        <f t="shared" si="4342"/>
        <v>77</v>
      </c>
      <c r="W759" s="139">
        <f t="shared" si="4342"/>
        <v>155</v>
      </c>
      <c r="X759" s="139">
        <f t="shared" si="4342"/>
        <v>232</v>
      </c>
      <c r="Y759" s="139">
        <f t="shared" si="4342"/>
        <v>314</v>
      </c>
      <c r="Z759" s="139">
        <f t="shared" si="4342"/>
        <v>380</v>
      </c>
      <c r="AA759" s="139">
        <f t="shared" si="4342"/>
        <v>455</v>
      </c>
      <c r="AB759" s="139">
        <f t="shared" si="4342"/>
        <v>523</v>
      </c>
      <c r="AC759" s="139">
        <f t="shared" si="4342"/>
        <v>600</v>
      </c>
      <c r="AD759" s="139">
        <f t="shared" si="4342"/>
        <v>700</v>
      </c>
      <c r="AE759" s="139">
        <f t="shared" si="4342"/>
        <v>779</v>
      </c>
      <c r="AF759" s="572">
        <f>IF(AF33="","",AF33+AF99+AF165+AF231+AF297+AF363+AF429+AF495+AF561+AF627+AF693)+AF3</f>
        <v>852</v>
      </c>
      <c r="AG759" s="139">
        <f t="shared" si="4342"/>
        <v>926</v>
      </c>
      <c r="AH759" s="141">
        <f t="shared" si="4342"/>
        <v>65</v>
      </c>
      <c r="AI759" s="139">
        <f t="shared" si="4342"/>
        <v>137</v>
      </c>
      <c r="AJ759" s="139" t="str">
        <f t="shared" si="4342"/>
        <v/>
      </c>
      <c r="AK759" s="408"/>
      <c r="AL759" s="19">
        <f t="shared" si="4336"/>
        <v>51</v>
      </c>
      <c r="AM759" s="19">
        <f>K759-J759</f>
        <v>45</v>
      </c>
      <c r="AN759" s="19">
        <f t="shared" si="4272"/>
        <v>53</v>
      </c>
      <c r="AO759" s="19">
        <f>M759-L759</f>
        <v>81</v>
      </c>
      <c r="AP759" s="129">
        <f t="shared" si="4273"/>
        <v>53</v>
      </c>
      <c r="AQ759" s="129">
        <f t="shared" si="4274"/>
        <v>45</v>
      </c>
      <c r="AR759" s="129">
        <f t="shared" si="4275"/>
        <v>51</v>
      </c>
      <c r="AS759" s="129">
        <f t="shared" si="4276"/>
        <v>75</v>
      </c>
      <c r="AT759" s="129">
        <f t="shared" si="4277"/>
        <v>66</v>
      </c>
      <c r="AU759" s="129">
        <f t="shared" si="4278"/>
        <v>79</v>
      </c>
      <c r="AV759" s="129">
        <f t="shared" si="4279"/>
        <v>84</v>
      </c>
      <c r="AW759" s="129">
        <f t="shared" si="4280"/>
        <v>83</v>
      </c>
      <c r="AX759" s="19">
        <f t="shared" si="4337"/>
        <v>77</v>
      </c>
      <c r="AY759" s="129">
        <f t="shared" si="4281"/>
        <v>78</v>
      </c>
      <c r="AZ759" s="129">
        <f t="shared" si="4282"/>
        <v>77</v>
      </c>
      <c r="BA759" s="129">
        <f t="shared" si="4338"/>
        <v>82</v>
      </c>
      <c r="BB759" s="129">
        <f t="shared" si="4283"/>
        <v>66</v>
      </c>
      <c r="BC759" s="129">
        <f t="shared" si="4284"/>
        <v>75</v>
      </c>
      <c r="BD759" s="129">
        <f t="shared" si="4285"/>
        <v>68</v>
      </c>
      <c r="BE759" s="129">
        <f t="shared" si="4286"/>
        <v>77</v>
      </c>
      <c r="BF759" s="129">
        <f t="shared" si="4287"/>
        <v>100</v>
      </c>
      <c r="BG759" s="129">
        <f t="shared" si="4288"/>
        <v>79</v>
      </c>
      <c r="BH759" s="129">
        <f t="shared" si="4289"/>
        <v>73</v>
      </c>
      <c r="BI759" s="129">
        <f t="shared" si="4290"/>
        <v>74</v>
      </c>
      <c r="BJ759" s="19">
        <f t="shared" si="4339"/>
        <v>65</v>
      </c>
      <c r="BK759" s="129">
        <f t="shared" si="4291"/>
        <v>72</v>
      </c>
      <c r="BL759" s="129">
        <f t="shared" si="4292"/>
        <v>0</v>
      </c>
      <c r="BM759" s="408"/>
      <c r="BN759" s="48">
        <f t="shared" si="4305"/>
        <v>149</v>
      </c>
      <c r="BO759" s="48">
        <f t="shared" si="4306"/>
        <v>149</v>
      </c>
      <c r="BP759" s="48">
        <f t="shared" si="4307"/>
        <v>149</v>
      </c>
      <c r="BQ759" s="48">
        <f t="shared" si="4308"/>
        <v>179</v>
      </c>
      <c r="BR759" s="48">
        <f t="shared" si="4309"/>
        <v>179</v>
      </c>
      <c r="BS759" s="48">
        <f t="shared" si="4310"/>
        <v>179</v>
      </c>
      <c r="BT759" s="48">
        <f t="shared" si="4311"/>
        <v>192</v>
      </c>
      <c r="BU759" s="48">
        <f t="shared" si="4312"/>
        <v>192</v>
      </c>
      <c r="BV759" s="48">
        <f t="shared" si="4313"/>
        <v>192</v>
      </c>
      <c r="BW759" s="48">
        <f t="shared" si="4314"/>
        <v>246</v>
      </c>
      <c r="BX759" s="48">
        <f t="shared" si="4315"/>
        <v>246</v>
      </c>
      <c r="BY759" s="48">
        <f t="shared" si="4316"/>
        <v>246</v>
      </c>
      <c r="BZ759" s="48">
        <f t="shared" si="4317"/>
        <v>232</v>
      </c>
      <c r="CA759" s="48">
        <f t="shared" si="4318"/>
        <v>232</v>
      </c>
      <c r="CB759" s="48">
        <f t="shared" si="4319"/>
        <v>232</v>
      </c>
      <c r="CC759" s="48">
        <f t="shared" si="4320"/>
        <v>223</v>
      </c>
      <c r="CD759" s="48">
        <f t="shared" si="4321"/>
        <v>223</v>
      </c>
      <c r="CE759" s="48">
        <f t="shared" si="4322"/>
        <v>223</v>
      </c>
      <c r="CF759" s="48">
        <f t="shared" si="4323"/>
        <v>245</v>
      </c>
      <c r="CG759" s="48">
        <f t="shared" si="4324"/>
        <v>245</v>
      </c>
      <c r="CH759" s="48">
        <f t="shared" si="4325"/>
        <v>245</v>
      </c>
      <c r="CI759" s="48">
        <f t="shared" si="4326"/>
        <v>226</v>
      </c>
      <c r="CJ759" s="48">
        <f t="shared" si="4327"/>
        <v>226</v>
      </c>
      <c r="CK759" s="48">
        <f t="shared" si="4328"/>
        <v>226</v>
      </c>
      <c r="CL759" s="48">
        <f t="shared" si="4329"/>
        <v>137</v>
      </c>
      <c r="CM759" s="48">
        <f t="shared" si="4330"/>
        <v>137</v>
      </c>
      <c r="CN759" s="48">
        <f t="shared" si="4331"/>
        <v>137</v>
      </c>
      <c r="CO759" s="406"/>
      <c r="CP759" s="21">
        <f>+AL759</f>
        <v>51</v>
      </c>
      <c r="CQ759" s="21">
        <f t="shared" ref="CQ759:CR761" si="4343">+CP759+AM759</f>
        <v>96</v>
      </c>
      <c r="CR759" s="21">
        <f t="shared" si="4343"/>
        <v>149</v>
      </c>
      <c r="CS759" s="21">
        <f t="shared" ref="CS759:DA761" si="4344">L759+AO759</f>
        <v>230</v>
      </c>
      <c r="CT759" s="21">
        <f t="shared" si="4344"/>
        <v>283</v>
      </c>
      <c r="CU759" s="21">
        <f t="shared" si="4344"/>
        <v>328</v>
      </c>
      <c r="CV759" s="21">
        <f t="shared" si="4344"/>
        <v>379</v>
      </c>
      <c r="CW759" s="21">
        <f t="shared" si="4344"/>
        <v>454</v>
      </c>
      <c r="CX759" s="21">
        <f t="shared" si="4344"/>
        <v>520</v>
      </c>
      <c r="CY759" s="21">
        <f t="shared" si="4344"/>
        <v>599</v>
      </c>
      <c r="CZ759" s="21">
        <f t="shared" si="4344"/>
        <v>683</v>
      </c>
      <c r="DA759" s="21">
        <f t="shared" si="4344"/>
        <v>766</v>
      </c>
      <c r="DB759" s="21">
        <f>AX759</f>
        <v>77</v>
      </c>
      <c r="DC759" s="21">
        <f t="shared" ref="DC759:DM761" si="4345">V759+AY759</f>
        <v>155</v>
      </c>
      <c r="DD759" s="21">
        <f t="shared" si="4345"/>
        <v>232</v>
      </c>
      <c r="DE759" s="21">
        <f t="shared" si="4345"/>
        <v>314</v>
      </c>
      <c r="DF759" s="21">
        <f t="shared" si="4345"/>
        <v>380</v>
      </c>
      <c r="DG759" s="21">
        <f t="shared" si="4345"/>
        <v>455</v>
      </c>
      <c r="DH759" s="21">
        <f t="shared" si="4345"/>
        <v>523</v>
      </c>
      <c r="DI759" s="21">
        <f t="shared" si="4345"/>
        <v>600</v>
      </c>
      <c r="DJ759" s="21">
        <f t="shared" si="4345"/>
        <v>700</v>
      </c>
      <c r="DK759" s="21">
        <f t="shared" si="4345"/>
        <v>779</v>
      </c>
      <c r="DL759" s="21">
        <f t="shared" si="4345"/>
        <v>852</v>
      </c>
      <c r="DM759" s="21">
        <f t="shared" si="4345"/>
        <v>926</v>
      </c>
      <c r="DN759" s="21">
        <f>BJ759</f>
        <v>65</v>
      </c>
      <c r="DO759" s="21">
        <f t="shared" ref="DO759:DP761" si="4346">AH759+BK759</f>
        <v>137</v>
      </c>
      <c r="DP759" s="21">
        <f t="shared" si="4346"/>
        <v>137</v>
      </c>
      <c r="DQ759" s="248"/>
      <c r="DR759" s="248"/>
      <c r="DS759" s="248"/>
      <c r="DT759" s="248"/>
      <c r="DU759" s="248"/>
      <c r="DV759" s="248"/>
      <c r="DW759" s="248"/>
      <c r="DX759" s="248"/>
      <c r="DY759" s="248"/>
      <c r="ED759" s="429"/>
      <c r="EE759" s="23"/>
      <c r="EF759" s="23"/>
      <c r="EG759" s="23"/>
      <c r="EH759" s="18">
        <f t="shared" si="4296"/>
        <v>72</v>
      </c>
      <c r="EI759" s="18">
        <f t="shared" si="4297"/>
        <v>137</v>
      </c>
      <c r="EJ759" s="18">
        <f t="shared" si="4298"/>
        <v>137</v>
      </c>
      <c r="EK759" s="24">
        <f t="shared" ref="EK759:EK775" si="4347">$EK$2/12</f>
        <v>0.16666666666666666</v>
      </c>
      <c r="EL759" s="14">
        <f t="shared" si="4299"/>
        <v>0.65653495440729481</v>
      </c>
      <c r="EM759" s="14" t="e">
        <f t="shared" si="4299"/>
        <v>#VALUE!</v>
      </c>
      <c r="EN759" s="14">
        <f>EJ759/EK759/EG736</f>
        <v>1.4184712247587967</v>
      </c>
      <c r="EO759" s="46" t="str">
        <f t="shared" si="4300"/>
        <v>È</v>
      </c>
      <c r="EP759" s="46" t="e">
        <f t="shared" si="4300"/>
        <v>#VALUE!</v>
      </c>
      <c r="EQ759" s="2">
        <f t="shared" si="4301"/>
        <v>3</v>
      </c>
      <c r="ER759" s="2" t="e">
        <f t="shared" si="4302"/>
        <v>#VALUE!</v>
      </c>
      <c r="ES759" s="2">
        <f t="shared" si="4303"/>
        <v>1</v>
      </c>
    </row>
    <row r="760" spans="1:149" ht="12.75" customHeight="1">
      <c r="A760" s="6" t="s">
        <v>23</v>
      </c>
      <c r="B760" s="2" t="s">
        <v>162</v>
      </c>
      <c r="C760" s="3" t="s">
        <v>62</v>
      </c>
      <c r="E760" s="3" t="s">
        <v>16</v>
      </c>
      <c r="G760" s="28" t="s">
        <v>91</v>
      </c>
      <c r="H760" s="28"/>
      <c r="I760" s="29"/>
      <c r="J760" s="139">
        <f t="shared" ref="J760:AJ760" si="4348">IF(J34="","",J34+J100+J166+J232+J298+J364+J430+J496+J562+J628+J694)</f>
        <v>359</v>
      </c>
      <c r="K760" s="139">
        <f t="shared" si="4348"/>
        <v>580</v>
      </c>
      <c r="L760" s="139">
        <f t="shared" si="4348"/>
        <v>741</v>
      </c>
      <c r="M760" s="139">
        <f t="shared" si="4348"/>
        <v>937</v>
      </c>
      <c r="N760" s="139">
        <f t="shared" si="4348"/>
        <v>1063</v>
      </c>
      <c r="O760" s="139">
        <f t="shared" si="4348"/>
        <v>1176</v>
      </c>
      <c r="P760" s="139">
        <f t="shared" si="4348"/>
        <v>1296</v>
      </c>
      <c r="Q760" s="139">
        <f t="shared" si="4348"/>
        <v>1460</v>
      </c>
      <c r="R760" s="139">
        <f t="shared" si="4348"/>
        <v>1645</v>
      </c>
      <c r="S760" s="139">
        <f t="shared" si="4348"/>
        <v>1866</v>
      </c>
      <c r="T760" s="139">
        <f t="shared" si="4348"/>
        <v>2029</v>
      </c>
      <c r="U760" s="280">
        <f t="shared" si="4348"/>
        <v>2236</v>
      </c>
      <c r="V760" s="141">
        <f t="shared" si="4348"/>
        <v>396</v>
      </c>
      <c r="W760" s="139">
        <f t="shared" si="4348"/>
        <v>727</v>
      </c>
      <c r="X760" s="139">
        <f t="shared" si="4348"/>
        <v>1004</v>
      </c>
      <c r="Y760" s="139">
        <f t="shared" si="4348"/>
        <v>1299</v>
      </c>
      <c r="Z760" s="139">
        <f t="shared" si="4348"/>
        <v>1486</v>
      </c>
      <c r="AA760" s="139">
        <f t="shared" si="4348"/>
        <v>1670</v>
      </c>
      <c r="AB760" s="139">
        <f t="shared" si="4348"/>
        <v>1863</v>
      </c>
      <c r="AC760" s="139">
        <f t="shared" si="4348"/>
        <v>2096</v>
      </c>
      <c r="AD760" s="139">
        <f t="shared" si="4348"/>
        <v>2352</v>
      </c>
      <c r="AE760" s="139">
        <f t="shared" si="4348"/>
        <v>2542</v>
      </c>
      <c r="AF760" s="139">
        <f t="shared" si="4348"/>
        <v>2754</v>
      </c>
      <c r="AG760" s="139">
        <f t="shared" si="4348"/>
        <v>2947</v>
      </c>
      <c r="AH760" s="141">
        <f t="shared" si="4348"/>
        <v>433</v>
      </c>
      <c r="AI760" s="139">
        <f t="shared" si="4348"/>
        <v>817</v>
      </c>
      <c r="AJ760" s="139" t="str">
        <f t="shared" si="4348"/>
        <v/>
      </c>
      <c r="AK760" s="408"/>
      <c r="AL760" s="19">
        <f t="shared" si="4336"/>
        <v>359</v>
      </c>
      <c r="AM760" s="19">
        <f>K760-J760</f>
        <v>221</v>
      </c>
      <c r="AN760" s="19">
        <f t="shared" si="4272"/>
        <v>161</v>
      </c>
      <c r="AO760" s="19">
        <f>M760-L760</f>
        <v>196</v>
      </c>
      <c r="AP760" s="129">
        <f t="shared" si="4273"/>
        <v>126</v>
      </c>
      <c r="AQ760" s="129">
        <f t="shared" si="4274"/>
        <v>113</v>
      </c>
      <c r="AR760" s="129">
        <f t="shared" si="4275"/>
        <v>120</v>
      </c>
      <c r="AS760" s="129">
        <f t="shared" si="4276"/>
        <v>164</v>
      </c>
      <c r="AT760" s="129">
        <f t="shared" si="4277"/>
        <v>185</v>
      </c>
      <c r="AU760" s="129">
        <f t="shared" si="4278"/>
        <v>221</v>
      </c>
      <c r="AV760" s="129">
        <f t="shared" si="4279"/>
        <v>163</v>
      </c>
      <c r="AW760" s="129">
        <f t="shared" si="4280"/>
        <v>207</v>
      </c>
      <c r="AX760" s="19">
        <f t="shared" si="4337"/>
        <v>396</v>
      </c>
      <c r="AY760" s="129">
        <f t="shared" si="4281"/>
        <v>331</v>
      </c>
      <c r="AZ760" s="129">
        <f t="shared" si="4282"/>
        <v>277</v>
      </c>
      <c r="BA760" s="129">
        <f t="shared" si="4338"/>
        <v>295</v>
      </c>
      <c r="BB760" s="129">
        <f t="shared" si="4283"/>
        <v>187</v>
      </c>
      <c r="BC760" s="129">
        <f t="shared" si="4284"/>
        <v>184</v>
      </c>
      <c r="BD760" s="129">
        <f t="shared" si="4285"/>
        <v>193</v>
      </c>
      <c r="BE760" s="129">
        <f t="shared" si="4286"/>
        <v>233</v>
      </c>
      <c r="BF760" s="129">
        <f t="shared" si="4287"/>
        <v>256</v>
      </c>
      <c r="BG760" s="129">
        <f t="shared" si="4288"/>
        <v>190</v>
      </c>
      <c r="BH760" s="129">
        <f t="shared" si="4289"/>
        <v>212</v>
      </c>
      <c r="BI760" s="129">
        <f t="shared" si="4290"/>
        <v>193</v>
      </c>
      <c r="BJ760" s="19">
        <f t="shared" si="4339"/>
        <v>433</v>
      </c>
      <c r="BK760" s="129">
        <f t="shared" si="4291"/>
        <v>384</v>
      </c>
      <c r="BL760" s="129">
        <f t="shared" si="4292"/>
        <v>0</v>
      </c>
      <c r="BM760" s="408"/>
      <c r="BN760" s="48">
        <f t="shared" si="4305"/>
        <v>741</v>
      </c>
      <c r="BO760" s="48">
        <f t="shared" si="4306"/>
        <v>741</v>
      </c>
      <c r="BP760" s="48">
        <f>SUM(AL760:AN760)</f>
        <v>741</v>
      </c>
      <c r="BQ760" s="48">
        <f t="shared" si="4308"/>
        <v>435</v>
      </c>
      <c r="BR760" s="48">
        <f t="shared" si="4309"/>
        <v>435</v>
      </c>
      <c r="BS760" s="48">
        <f>SUM(AO760:AQ760)</f>
        <v>435</v>
      </c>
      <c r="BT760" s="48">
        <f t="shared" si="4311"/>
        <v>469</v>
      </c>
      <c r="BU760" s="48">
        <f t="shared" si="4312"/>
        <v>469</v>
      </c>
      <c r="BV760" s="48">
        <f>SUM(AR760:AT760)</f>
        <v>469</v>
      </c>
      <c r="BW760" s="48">
        <f t="shared" si="4314"/>
        <v>591</v>
      </c>
      <c r="BX760" s="48">
        <f t="shared" si="4315"/>
        <v>591</v>
      </c>
      <c r="BY760" s="48">
        <f>SUM(AU760:AW760)</f>
        <v>591</v>
      </c>
      <c r="BZ760" s="48">
        <f t="shared" si="4317"/>
        <v>1004</v>
      </c>
      <c r="CA760" s="48">
        <f t="shared" si="4318"/>
        <v>1004</v>
      </c>
      <c r="CB760" s="48">
        <f>SUM(AX760:AZ760)</f>
        <v>1004</v>
      </c>
      <c r="CC760" s="48">
        <f t="shared" si="4320"/>
        <v>666</v>
      </c>
      <c r="CD760" s="48">
        <f t="shared" si="4321"/>
        <v>666</v>
      </c>
      <c r="CE760" s="48">
        <f>SUM(BA760:BC760)</f>
        <v>666</v>
      </c>
      <c r="CF760" s="48">
        <f t="shared" si="4323"/>
        <v>682</v>
      </c>
      <c r="CG760" s="48">
        <f t="shared" si="4324"/>
        <v>682</v>
      </c>
      <c r="CH760" s="48">
        <f>SUM(BD760:BF760)</f>
        <v>682</v>
      </c>
      <c r="CI760" s="48">
        <f t="shared" si="4326"/>
        <v>595</v>
      </c>
      <c r="CJ760" s="48">
        <f t="shared" si="4327"/>
        <v>595</v>
      </c>
      <c r="CK760" s="48">
        <f>SUM(BG760:BI760)</f>
        <v>595</v>
      </c>
      <c r="CL760" s="48">
        <f t="shared" si="4329"/>
        <v>817</v>
      </c>
      <c r="CM760" s="48">
        <f t="shared" si="4330"/>
        <v>817</v>
      </c>
      <c r="CN760" s="48">
        <f>SUM(BJ760:BL760)</f>
        <v>817</v>
      </c>
      <c r="CO760" s="406"/>
      <c r="CP760" s="21">
        <f>+AL760</f>
        <v>359</v>
      </c>
      <c r="CQ760" s="21">
        <f t="shared" si="4343"/>
        <v>580</v>
      </c>
      <c r="CR760" s="21">
        <f t="shared" si="4343"/>
        <v>741</v>
      </c>
      <c r="CS760" s="21">
        <f t="shared" si="4344"/>
        <v>937</v>
      </c>
      <c r="CT760" s="21">
        <f t="shared" si="4344"/>
        <v>1063</v>
      </c>
      <c r="CU760" s="21">
        <f t="shared" si="4344"/>
        <v>1176</v>
      </c>
      <c r="CV760" s="21">
        <f t="shared" si="4344"/>
        <v>1296</v>
      </c>
      <c r="CW760" s="21">
        <f t="shared" si="4344"/>
        <v>1460</v>
      </c>
      <c r="CX760" s="21">
        <f t="shared" si="4344"/>
        <v>1645</v>
      </c>
      <c r="CY760" s="21">
        <f t="shared" si="4344"/>
        <v>1866</v>
      </c>
      <c r="CZ760" s="21">
        <f t="shared" si="4344"/>
        <v>2029</v>
      </c>
      <c r="DA760" s="21">
        <f t="shared" si="4344"/>
        <v>2236</v>
      </c>
      <c r="DB760" s="21">
        <f>AX760</f>
        <v>396</v>
      </c>
      <c r="DC760" s="21">
        <f t="shared" si="4345"/>
        <v>727</v>
      </c>
      <c r="DD760" s="21">
        <f t="shared" si="4345"/>
        <v>1004</v>
      </c>
      <c r="DE760" s="21">
        <f t="shared" si="4345"/>
        <v>1299</v>
      </c>
      <c r="DF760" s="21">
        <f t="shared" si="4345"/>
        <v>1486</v>
      </c>
      <c r="DG760" s="21">
        <f t="shared" si="4345"/>
        <v>1670</v>
      </c>
      <c r="DH760" s="21">
        <f t="shared" si="4345"/>
        <v>1863</v>
      </c>
      <c r="DI760" s="21">
        <f t="shared" si="4345"/>
        <v>2096</v>
      </c>
      <c r="DJ760" s="21">
        <f t="shared" si="4345"/>
        <v>2352</v>
      </c>
      <c r="DK760" s="21">
        <f t="shared" si="4345"/>
        <v>2542</v>
      </c>
      <c r="DL760" s="21">
        <f t="shared" si="4345"/>
        <v>2754</v>
      </c>
      <c r="DM760" s="21">
        <f t="shared" si="4345"/>
        <v>2947</v>
      </c>
      <c r="DN760" s="21">
        <f>BJ760</f>
        <v>433</v>
      </c>
      <c r="DO760" s="21">
        <f t="shared" si="4346"/>
        <v>817</v>
      </c>
      <c r="DP760" s="21">
        <f t="shared" si="4346"/>
        <v>817</v>
      </c>
      <c r="DQ760" s="248"/>
      <c r="DR760" s="248"/>
      <c r="DS760" s="248"/>
      <c r="DT760" s="248"/>
      <c r="DU760" s="248"/>
      <c r="DV760" s="248"/>
      <c r="DW760" s="248"/>
      <c r="DX760" s="248"/>
      <c r="DY760" s="248"/>
      <c r="ED760" s="429"/>
      <c r="EE760" s="23"/>
      <c r="EF760" s="23"/>
      <c r="EG760" s="23"/>
      <c r="EH760" s="18">
        <f t="shared" si="4296"/>
        <v>384</v>
      </c>
      <c r="EI760" s="18">
        <f t="shared" si="4297"/>
        <v>817</v>
      </c>
      <c r="EJ760" s="288">
        <f t="shared" si="4298"/>
        <v>817</v>
      </c>
      <c r="EK760" s="24">
        <f t="shared" si="4347"/>
        <v>0.16666666666666666</v>
      </c>
      <c r="EL760" s="14"/>
      <c r="EM760" s="14"/>
      <c r="EN760" s="14"/>
      <c r="EO760" s="46" t="str">
        <f>IF(EH760&lt;0,,IF(EH760&lt;EE738,"È",IF(EH760=EE738,"Æ","Ç")))</f>
        <v>È</v>
      </c>
      <c r="EP760" s="46" t="e">
        <f>IF(EI760&lt;0,,IF(EI760&lt;EF738,"È",IF(EI760=EF738,"Æ","Ç")))</f>
        <v>#VALUE!</v>
      </c>
      <c r="EQ760" s="2">
        <f t="shared" si="4301"/>
        <v>3</v>
      </c>
      <c r="ER760" s="2">
        <f t="shared" si="4302"/>
        <v>3</v>
      </c>
      <c r="ES760" s="2">
        <f t="shared" si="4303"/>
        <v>3</v>
      </c>
    </row>
    <row r="761" spans="1:149" ht="12.75" customHeight="1">
      <c r="A761" s="6" t="s">
        <v>23</v>
      </c>
      <c r="B761" s="2" t="s">
        <v>163</v>
      </c>
      <c r="C761" s="3" t="s">
        <v>62</v>
      </c>
      <c r="E761" s="3" t="s">
        <v>16</v>
      </c>
      <c r="G761" s="28" t="s">
        <v>91</v>
      </c>
      <c r="H761" s="155"/>
      <c r="I761" s="156"/>
      <c r="J761" s="138">
        <f t="shared" ref="J761:AJ761" si="4349">IF(J35="","",J35+J101+J167+J233+J299+J365+J431+J497+J563+J629+J695)</f>
        <v>171</v>
      </c>
      <c r="K761" s="138">
        <f t="shared" si="4349"/>
        <v>247</v>
      </c>
      <c r="L761" s="138">
        <f t="shared" si="4349"/>
        <v>285</v>
      </c>
      <c r="M761" s="138">
        <f t="shared" si="4349"/>
        <v>329</v>
      </c>
      <c r="N761" s="138">
        <f t="shared" si="4349"/>
        <v>360</v>
      </c>
      <c r="O761" s="138">
        <f t="shared" si="4349"/>
        <v>388</v>
      </c>
      <c r="P761" s="138">
        <f t="shared" si="4349"/>
        <v>417</v>
      </c>
      <c r="Q761" s="138">
        <f t="shared" si="4349"/>
        <v>451</v>
      </c>
      <c r="R761" s="138">
        <f t="shared" si="4349"/>
        <v>496</v>
      </c>
      <c r="S761" s="138">
        <f t="shared" si="4349"/>
        <v>534</v>
      </c>
      <c r="T761" s="138">
        <f t="shared" si="4349"/>
        <v>563</v>
      </c>
      <c r="U761" s="283">
        <f t="shared" si="4349"/>
        <v>616</v>
      </c>
      <c r="V761" s="157">
        <f t="shared" si="4349"/>
        <v>119</v>
      </c>
      <c r="W761" s="138">
        <f t="shared" si="4349"/>
        <v>263</v>
      </c>
      <c r="X761" s="138">
        <f t="shared" si="4349"/>
        <v>331</v>
      </c>
      <c r="Y761" s="138">
        <f t="shared" si="4349"/>
        <v>401</v>
      </c>
      <c r="Z761" s="138">
        <f t="shared" si="4349"/>
        <v>459</v>
      </c>
      <c r="AA761" s="138">
        <f t="shared" si="4349"/>
        <v>520</v>
      </c>
      <c r="AB761" s="138">
        <f t="shared" si="4349"/>
        <v>562</v>
      </c>
      <c r="AC761" s="138">
        <f t="shared" si="4349"/>
        <v>630</v>
      </c>
      <c r="AD761" s="138">
        <f t="shared" si="4349"/>
        <v>688</v>
      </c>
      <c r="AE761" s="138">
        <f t="shared" si="4349"/>
        <v>737</v>
      </c>
      <c r="AF761" s="138">
        <f t="shared" si="4349"/>
        <v>785</v>
      </c>
      <c r="AG761" s="138">
        <f t="shared" si="4349"/>
        <v>837</v>
      </c>
      <c r="AH761" s="157">
        <f t="shared" si="4349"/>
        <v>192</v>
      </c>
      <c r="AI761" s="138">
        <f t="shared" si="4349"/>
        <v>355</v>
      </c>
      <c r="AJ761" s="138" t="str">
        <f t="shared" si="4349"/>
        <v/>
      </c>
      <c r="AK761" s="408"/>
      <c r="AL761" s="19">
        <f t="shared" si="4336"/>
        <v>171</v>
      </c>
      <c r="AM761" s="19">
        <f>K761-J761</f>
        <v>76</v>
      </c>
      <c r="AN761" s="19">
        <f t="shared" si="4272"/>
        <v>38</v>
      </c>
      <c r="AO761" s="19">
        <f>M761-L761</f>
        <v>44</v>
      </c>
      <c r="AP761" s="129">
        <f t="shared" si="4273"/>
        <v>31</v>
      </c>
      <c r="AQ761" s="129">
        <f t="shared" si="4274"/>
        <v>28</v>
      </c>
      <c r="AR761" s="129">
        <f t="shared" si="4275"/>
        <v>29</v>
      </c>
      <c r="AS761" s="129">
        <f t="shared" si="4276"/>
        <v>34</v>
      </c>
      <c r="AT761" s="129">
        <f t="shared" si="4277"/>
        <v>45</v>
      </c>
      <c r="AU761" s="129">
        <f t="shared" si="4278"/>
        <v>38</v>
      </c>
      <c r="AV761" s="129">
        <f t="shared" si="4279"/>
        <v>29</v>
      </c>
      <c r="AW761" s="129">
        <f t="shared" si="4280"/>
        <v>53</v>
      </c>
      <c r="AX761" s="19">
        <f t="shared" si="4337"/>
        <v>119</v>
      </c>
      <c r="AY761" s="129">
        <f t="shared" si="4281"/>
        <v>144</v>
      </c>
      <c r="AZ761" s="129">
        <f t="shared" si="4282"/>
        <v>68</v>
      </c>
      <c r="BA761" s="129">
        <f t="shared" si="4338"/>
        <v>70</v>
      </c>
      <c r="BB761" s="129">
        <f t="shared" si="4283"/>
        <v>58</v>
      </c>
      <c r="BC761" s="129">
        <f t="shared" si="4284"/>
        <v>61</v>
      </c>
      <c r="BD761" s="129">
        <f t="shared" si="4285"/>
        <v>42</v>
      </c>
      <c r="BE761" s="129">
        <f t="shared" si="4286"/>
        <v>68</v>
      </c>
      <c r="BF761" s="129">
        <f t="shared" si="4287"/>
        <v>58</v>
      </c>
      <c r="BG761" s="129">
        <f t="shared" si="4288"/>
        <v>49</v>
      </c>
      <c r="BH761" s="129">
        <f t="shared" si="4289"/>
        <v>48</v>
      </c>
      <c r="BI761" s="129">
        <f t="shared" si="4290"/>
        <v>52</v>
      </c>
      <c r="BJ761" s="19">
        <f t="shared" si="4339"/>
        <v>192</v>
      </c>
      <c r="BK761" s="129">
        <f t="shared" si="4291"/>
        <v>163</v>
      </c>
      <c r="BL761" s="129">
        <f t="shared" si="4292"/>
        <v>0</v>
      </c>
      <c r="BM761" s="408"/>
      <c r="BN761" s="48">
        <f t="shared" si="4305"/>
        <v>285</v>
      </c>
      <c r="BO761" s="48">
        <f t="shared" si="4306"/>
        <v>285</v>
      </c>
      <c r="BP761" s="48">
        <f>SUM(AL761:AN761)</f>
        <v>285</v>
      </c>
      <c r="BQ761" s="48">
        <f t="shared" si="4308"/>
        <v>103</v>
      </c>
      <c r="BR761" s="48">
        <f t="shared" si="4309"/>
        <v>103</v>
      </c>
      <c r="BS761" s="48">
        <f>SUM(AO761:AQ761)</f>
        <v>103</v>
      </c>
      <c r="BT761" s="48">
        <f t="shared" si="4311"/>
        <v>108</v>
      </c>
      <c r="BU761" s="48">
        <f t="shared" si="4312"/>
        <v>108</v>
      </c>
      <c r="BV761" s="48">
        <f>SUM(AR761:AT761)</f>
        <v>108</v>
      </c>
      <c r="BW761" s="48">
        <f t="shared" si="4314"/>
        <v>120</v>
      </c>
      <c r="BX761" s="48">
        <f t="shared" si="4315"/>
        <v>120</v>
      </c>
      <c r="BY761" s="48">
        <f>SUM(AU761:AW761)</f>
        <v>120</v>
      </c>
      <c r="BZ761" s="48">
        <f t="shared" si="4317"/>
        <v>331</v>
      </c>
      <c r="CA761" s="48">
        <f t="shared" si="4318"/>
        <v>331</v>
      </c>
      <c r="CB761" s="48">
        <f>SUM(AX761:AZ761)</f>
        <v>331</v>
      </c>
      <c r="CC761" s="48">
        <f t="shared" si="4320"/>
        <v>189</v>
      </c>
      <c r="CD761" s="48">
        <f t="shared" si="4321"/>
        <v>189</v>
      </c>
      <c r="CE761" s="48">
        <f>SUM(BA761:BC761)</f>
        <v>189</v>
      </c>
      <c r="CF761" s="48">
        <f t="shared" si="4323"/>
        <v>168</v>
      </c>
      <c r="CG761" s="48">
        <f t="shared" si="4324"/>
        <v>168</v>
      </c>
      <c r="CH761" s="48">
        <f>SUM(BD761:BF761)</f>
        <v>168</v>
      </c>
      <c r="CI761" s="48">
        <f t="shared" si="4326"/>
        <v>149</v>
      </c>
      <c r="CJ761" s="48">
        <f t="shared" si="4327"/>
        <v>149</v>
      </c>
      <c r="CK761" s="48">
        <f>SUM(BG761:BI761)</f>
        <v>149</v>
      </c>
      <c r="CL761" s="48">
        <f t="shared" si="4329"/>
        <v>355</v>
      </c>
      <c r="CM761" s="48">
        <f t="shared" si="4330"/>
        <v>355</v>
      </c>
      <c r="CN761" s="48">
        <f>SUM(BJ761:BL761)</f>
        <v>355</v>
      </c>
      <c r="CO761" s="406"/>
      <c r="CP761" s="21">
        <f>+AL761</f>
        <v>171</v>
      </c>
      <c r="CQ761" s="21">
        <f t="shared" si="4343"/>
        <v>247</v>
      </c>
      <c r="CR761" s="21">
        <f t="shared" si="4343"/>
        <v>285</v>
      </c>
      <c r="CS761" s="21">
        <f t="shared" si="4344"/>
        <v>329</v>
      </c>
      <c r="CT761" s="21">
        <f t="shared" si="4344"/>
        <v>360</v>
      </c>
      <c r="CU761" s="21">
        <f t="shared" si="4344"/>
        <v>388</v>
      </c>
      <c r="CV761" s="21">
        <f t="shared" si="4344"/>
        <v>417</v>
      </c>
      <c r="CW761" s="21">
        <f t="shared" si="4344"/>
        <v>451</v>
      </c>
      <c r="CX761" s="21">
        <f t="shared" si="4344"/>
        <v>496</v>
      </c>
      <c r="CY761" s="21">
        <f t="shared" si="4344"/>
        <v>534</v>
      </c>
      <c r="CZ761" s="21">
        <f t="shared" si="4344"/>
        <v>563</v>
      </c>
      <c r="DA761" s="21">
        <f t="shared" si="4344"/>
        <v>616</v>
      </c>
      <c r="DB761" s="21">
        <f>AX761</f>
        <v>119</v>
      </c>
      <c r="DC761" s="21">
        <f t="shared" si="4345"/>
        <v>263</v>
      </c>
      <c r="DD761" s="21">
        <f t="shared" si="4345"/>
        <v>331</v>
      </c>
      <c r="DE761" s="21">
        <f t="shared" si="4345"/>
        <v>401</v>
      </c>
      <c r="DF761" s="21">
        <f t="shared" si="4345"/>
        <v>459</v>
      </c>
      <c r="DG761" s="21">
        <f t="shared" si="4345"/>
        <v>520</v>
      </c>
      <c r="DH761" s="21">
        <f t="shared" si="4345"/>
        <v>562</v>
      </c>
      <c r="DI761" s="21">
        <f t="shared" si="4345"/>
        <v>630</v>
      </c>
      <c r="DJ761" s="21">
        <f t="shared" si="4345"/>
        <v>688</v>
      </c>
      <c r="DK761" s="21">
        <f t="shared" si="4345"/>
        <v>737</v>
      </c>
      <c r="DL761" s="21">
        <f t="shared" si="4345"/>
        <v>785</v>
      </c>
      <c r="DM761" s="21">
        <f t="shared" si="4345"/>
        <v>837</v>
      </c>
      <c r="DN761" s="21">
        <f>BJ761</f>
        <v>192</v>
      </c>
      <c r="DO761" s="21">
        <f t="shared" si="4346"/>
        <v>355</v>
      </c>
      <c r="DP761" s="21">
        <f t="shared" si="4346"/>
        <v>355</v>
      </c>
      <c r="DQ761" s="248"/>
      <c r="DR761" s="248"/>
      <c r="DS761" s="248"/>
      <c r="DT761" s="248"/>
      <c r="DU761" s="248"/>
      <c r="DV761" s="248"/>
      <c r="DW761" s="248"/>
      <c r="DX761" s="248"/>
      <c r="DY761" s="248"/>
      <c r="ED761" s="429"/>
      <c r="EE761" s="23"/>
      <c r="EF761" s="23"/>
      <c r="EG761" s="23"/>
      <c r="EH761" s="18">
        <f t="shared" si="4296"/>
        <v>163</v>
      </c>
      <c r="EI761" s="18">
        <f t="shared" si="4297"/>
        <v>355</v>
      </c>
      <c r="EJ761" s="288">
        <f t="shared" si="4298"/>
        <v>355</v>
      </c>
      <c r="EK761" s="24">
        <f t="shared" si="4347"/>
        <v>0.16666666666666666</v>
      </c>
      <c r="EL761" s="14"/>
      <c r="EM761" s="14"/>
      <c r="EN761" s="14"/>
      <c r="EO761" s="46" t="str">
        <f>IF(EH761&lt;0,,IF(EH761&lt;EE737,"È",IF(EH761=EE737,"Æ","Ç")))</f>
        <v>È</v>
      </c>
      <c r="EP761" s="46" t="str">
        <f>IF(EI761&lt;0,,IF(EI761&lt;EF737,"È",IF(EI761=EF737,"Æ","Ç")))</f>
        <v>Ç</v>
      </c>
      <c r="EQ761" s="2">
        <f t="shared" si="4301"/>
        <v>3</v>
      </c>
      <c r="ER761" s="2">
        <f t="shared" si="4302"/>
        <v>3</v>
      </c>
      <c r="ES761" s="2">
        <f t="shared" si="4303"/>
        <v>3</v>
      </c>
    </row>
    <row r="762" spans="1:149" ht="12.75" customHeight="1">
      <c r="A762" s="6" t="s">
        <v>23</v>
      </c>
      <c r="B762" s="2" t="s">
        <v>6</v>
      </c>
      <c r="C762" s="3" t="s">
        <v>63</v>
      </c>
      <c r="E762" s="3" t="s">
        <v>16</v>
      </c>
      <c r="G762" s="28" t="s">
        <v>89</v>
      </c>
      <c r="H762" s="28"/>
      <c r="I762" s="29"/>
      <c r="J762" s="139">
        <f t="shared" ref="J762:AJ762" si="4350">IF(J36="","",J36+J102+J168+J234+J300+J366+J432+J498+J564+J630+J696)</f>
        <v>3</v>
      </c>
      <c r="K762" s="139">
        <f t="shared" si="4350"/>
        <v>18</v>
      </c>
      <c r="L762" s="139">
        <f t="shared" si="4350"/>
        <v>15</v>
      </c>
      <c r="M762" s="139">
        <f t="shared" si="4350"/>
        <v>19</v>
      </c>
      <c r="N762" s="139">
        <f t="shared" si="4350"/>
        <v>25</v>
      </c>
      <c r="O762" s="139">
        <f t="shared" si="4350"/>
        <v>26</v>
      </c>
      <c r="P762" s="139">
        <f t="shared" si="4350"/>
        <v>20</v>
      </c>
      <c r="Q762" s="139">
        <f t="shared" si="4350"/>
        <v>25</v>
      </c>
      <c r="R762" s="139">
        <f t="shared" si="4350"/>
        <v>33</v>
      </c>
      <c r="S762" s="139">
        <f t="shared" si="4350"/>
        <v>38.002000000000002</v>
      </c>
      <c r="T762" s="139">
        <f t="shared" si="4350"/>
        <v>37</v>
      </c>
      <c r="U762" s="280">
        <f t="shared" si="4350"/>
        <v>32</v>
      </c>
      <c r="V762" s="141">
        <f t="shared" si="4350"/>
        <v>38</v>
      </c>
      <c r="W762" s="139">
        <f t="shared" si="4350"/>
        <v>45</v>
      </c>
      <c r="X762" s="139">
        <f t="shared" si="4350"/>
        <v>32</v>
      </c>
      <c r="Y762" s="139">
        <f t="shared" si="4350"/>
        <v>38</v>
      </c>
      <c r="Z762" s="139">
        <f t="shared" si="4350"/>
        <v>36</v>
      </c>
      <c r="AA762" s="139">
        <f t="shared" si="4350"/>
        <v>33.000100000000003</v>
      </c>
      <c r="AB762" s="139">
        <f t="shared" si="4350"/>
        <v>23.000600000000002</v>
      </c>
      <c r="AC762" s="139">
        <f t="shared" si="4350"/>
        <v>46</v>
      </c>
      <c r="AD762" s="139">
        <f t="shared" si="4350"/>
        <v>50</v>
      </c>
      <c r="AE762" s="139">
        <f t="shared" si="4350"/>
        <v>67</v>
      </c>
      <c r="AF762" s="253">
        <f t="shared" si="4350"/>
        <v>48</v>
      </c>
      <c r="AG762" s="139">
        <f t="shared" si="4350"/>
        <v>57</v>
      </c>
      <c r="AH762" s="141">
        <f t="shared" si="4350"/>
        <v>54</v>
      </c>
      <c r="AI762" s="139">
        <f t="shared" si="4350"/>
        <v>41</v>
      </c>
      <c r="AJ762" s="139" t="str">
        <f t="shared" si="4350"/>
        <v/>
      </c>
      <c r="AK762" s="408"/>
      <c r="AL762" s="19">
        <f t="shared" si="4336"/>
        <v>3</v>
      </c>
      <c r="AM762" s="19">
        <f t="shared" ref="AM762:AO763" si="4351">K762</f>
        <v>18</v>
      </c>
      <c r="AN762" s="19">
        <f t="shared" si="4351"/>
        <v>15</v>
      </c>
      <c r="AO762" s="246">
        <f t="shared" ref="AO762:AW762" si="4352">M762</f>
        <v>19</v>
      </c>
      <c r="AP762" s="246">
        <f t="shared" si="4352"/>
        <v>25</v>
      </c>
      <c r="AQ762" s="246">
        <f t="shared" si="4352"/>
        <v>26</v>
      </c>
      <c r="AR762" s="246">
        <f t="shared" si="4352"/>
        <v>20</v>
      </c>
      <c r="AS762" s="246">
        <f t="shared" si="4352"/>
        <v>25</v>
      </c>
      <c r="AT762" s="246">
        <f t="shared" si="4352"/>
        <v>33</v>
      </c>
      <c r="AU762" s="246">
        <f t="shared" si="4352"/>
        <v>38.002000000000002</v>
      </c>
      <c r="AV762" s="246">
        <f t="shared" si="4352"/>
        <v>37</v>
      </c>
      <c r="AW762" s="246">
        <f t="shared" si="4352"/>
        <v>32</v>
      </c>
      <c r="AX762" s="19">
        <f t="shared" si="4337"/>
        <v>38</v>
      </c>
      <c r="AY762" s="246">
        <f t="shared" ref="AY762:BI762" si="4353">W762</f>
        <v>45</v>
      </c>
      <c r="AZ762" s="246">
        <f t="shared" si="4353"/>
        <v>32</v>
      </c>
      <c r="BA762" s="246">
        <f t="shared" si="4353"/>
        <v>38</v>
      </c>
      <c r="BB762" s="246">
        <f t="shared" si="4353"/>
        <v>36</v>
      </c>
      <c r="BC762" s="246">
        <f t="shared" si="4353"/>
        <v>33.000100000000003</v>
      </c>
      <c r="BD762" s="246">
        <f t="shared" si="4353"/>
        <v>23.000600000000002</v>
      </c>
      <c r="BE762" s="246">
        <f t="shared" si="4353"/>
        <v>46</v>
      </c>
      <c r="BF762" s="246">
        <f t="shared" si="4353"/>
        <v>50</v>
      </c>
      <c r="BG762" s="246">
        <f t="shared" si="4353"/>
        <v>67</v>
      </c>
      <c r="BH762" s="246">
        <f t="shared" si="4353"/>
        <v>48</v>
      </c>
      <c r="BI762" s="246">
        <f t="shared" si="4353"/>
        <v>57</v>
      </c>
      <c r="BJ762" s="19">
        <f t="shared" si="4339"/>
        <v>54</v>
      </c>
      <c r="BK762" s="129">
        <f t="shared" si="4291"/>
        <v>-13</v>
      </c>
      <c r="BL762" s="129">
        <f t="shared" si="4292"/>
        <v>0</v>
      </c>
      <c r="BM762" s="408"/>
      <c r="BN762" s="48">
        <f t="shared" si="4305"/>
        <v>36</v>
      </c>
      <c r="BO762" s="48">
        <f t="shared" si="4306"/>
        <v>36</v>
      </c>
      <c r="BP762" s="48">
        <f>SUM(AL762:AN762)</f>
        <v>36</v>
      </c>
      <c r="BQ762" s="48">
        <f t="shared" si="4308"/>
        <v>70</v>
      </c>
      <c r="BR762" s="48">
        <f t="shared" si="4309"/>
        <v>70</v>
      </c>
      <c r="BS762" s="48">
        <f>SUM(AO762:AQ762)</f>
        <v>70</v>
      </c>
      <c r="BT762" s="48">
        <f t="shared" si="4311"/>
        <v>78</v>
      </c>
      <c r="BU762" s="48">
        <f t="shared" si="4312"/>
        <v>78</v>
      </c>
      <c r="BV762" s="48">
        <f>SUM(AR762:AT762)</f>
        <v>78</v>
      </c>
      <c r="BW762" s="48">
        <f t="shared" si="4314"/>
        <v>107.00200000000001</v>
      </c>
      <c r="BX762" s="48">
        <f t="shared" si="4315"/>
        <v>107.00200000000001</v>
      </c>
      <c r="BY762" s="48">
        <f>SUM(AU762:AW762)</f>
        <v>107.00200000000001</v>
      </c>
      <c r="BZ762" s="48">
        <f t="shared" si="4317"/>
        <v>115</v>
      </c>
      <c r="CA762" s="48">
        <f t="shared" si="4318"/>
        <v>115</v>
      </c>
      <c r="CB762" s="48">
        <f>SUM(AX762:AZ762)</f>
        <v>115</v>
      </c>
      <c r="CC762" s="48">
        <f t="shared" si="4320"/>
        <v>107.0001</v>
      </c>
      <c r="CD762" s="48">
        <f t="shared" si="4321"/>
        <v>107.0001</v>
      </c>
      <c r="CE762" s="48">
        <f>SUM(BA762:BC762)</f>
        <v>107.0001</v>
      </c>
      <c r="CF762" s="48">
        <f t="shared" si="4323"/>
        <v>119.00060000000001</v>
      </c>
      <c r="CG762" s="48">
        <f t="shared" si="4324"/>
        <v>119.00060000000001</v>
      </c>
      <c r="CH762" s="48">
        <f>SUM(BD762:BF762)</f>
        <v>119.00060000000001</v>
      </c>
      <c r="CI762" s="48">
        <f t="shared" si="4326"/>
        <v>172</v>
      </c>
      <c r="CJ762" s="48">
        <f t="shared" si="4327"/>
        <v>172</v>
      </c>
      <c r="CK762" s="48">
        <f>SUM(BG762:BI762)</f>
        <v>172</v>
      </c>
      <c r="CL762" s="48">
        <f t="shared" si="4329"/>
        <v>41</v>
      </c>
      <c r="CM762" s="48">
        <f t="shared" si="4330"/>
        <v>41</v>
      </c>
      <c r="CN762" s="48">
        <f>SUM(BJ762:BL762)</f>
        <v>41</v>
      </c>
      <c r="CO762" s="406"/>
      <c r="CP762" s="21">
        <f>+J762</f>
        <v>3</v>
      </c>
      <c r="CQ762" s="21">
        <f t="shared" ref="CQ762:DA762" si="4354">+CP762+K762</f>
        <v>21</v>
      </c>
      <c r="CR762" s="21">
        <f t="shared" si="4354"/>
        <v>36</v>
      </c>
      <c r="CS762" s="21">
        <f t="shared" si="4354"/>
        <v>55</v>
      </c>
      <c r="CT762" s="21">
        <f t="shared" si="4354"/>
        <v>80</v>
      </c>
      <c r="CU762" s="21">
        <f t="shared" si="4354"/>
        <v>106</v>
      </c>
      <c r="CV762" s="21">
        <f t="shared" si="4354"/>
        <v>126</v>
      </c>
      <c r="CW762" s="21">
        <f t="shared" si="4354"/>
        <v>151</v>
      </c>
      <c r="CX762" s="21">
        <f t="shared" si="4354"/>
        <v>184</v>
      </c>
      <c r="CY762" s="21">
        <f t="shared" si="4354"/>
        <v>222.00200000000001</v>
      </c>
      <c r="CZ762" s="21">
        <f t="shared" si="4354"/>
        <v>259.00200000000001</v>
      </c>
      <c r="DA762" s="21">
        <f t="shared" si="4354"/>
        <v>291.00200000000001</v>
      </c>
      <c r="DB762" s="21">
        <f>+V762</f>
        <v>38</v>
      </c>
      <c r="DC762" s="21">
        <f t="shared" ref="DC762:DM762" si="4355">+DB762+W762</f>
        <v>83</v>
      </c>
      <c r="DD762" s="21">
        <f t="shared" si="4355"/>
        <v>115</v>
      </c>
      <c r="DE762" s="21">
        <f t="shared" si="4355"/>
        <v>153</v>
      </c>
      <c r="DF762" s="21">
        <f t="shared" si="4355"/>
        <v>189</v>
      </c>
      <c r="DG762" s="21">
        <f t="shared" si="4355"/>
        <v>222.0001</v>
      </c>
      <c r="DH762" s="21">
        <f t="shared" si="4355"/>
        <v>245.00069999999999</v>
      </c>
      <c r="DI762" s="21">
        <f t="shared" si="4355"/>
        <v>291.00069999999999</v>
      </c>
      <c r="DJ762" s="21">
        <f t="shared" si="4355"/>
        <v>341.00069999999999</v>
      </c>
      <c r="DK762" s="21">
        <f t="shared" si="4355"/>
        <v>408.00069999999999</v>
      </c>
      <c r="DL762" s="21">
        <f t="shared" si="4355"/>
        <v>456.00069999999999</v>
      </c>
      <c r="DM762" s="21">
        <f t="shared" si="4355"/>
        <v>513.00070000000005</v>
      </c>
      <c r="DN762" s="21">
        <f>BJ762</f>
        <v>54</v>
      </c>
      <c r="DO762" s="21">
        <f>DN762+BK762</f>
        <v>41</v>
      </c>
      <c r="DP762" s="21">
        <f>DO762+BL762</f>
        <v>41</v>
      </c>
      <c r="DQ762" s="248"/>
      <c r="DR762" s="248"/>
      <c r="DS762" s="248"/>
      <c r="DT762" s="248"/>
      <c r="DU762" s="248"/>
      <c r="DV762" s="248"/>
      <c r="DW762" s="248"/>
      <c r="DX762" s="248"/>
      <c r="DY762" s="248"/>
      <c r="ED762" s="429"/>
      <c r="EE762" s="23"/>
      <c r="EF762" s="23"/>
      <c r="EG762" s="23"/>
      <c r="EH762" s="18">
        <f t="shared" si="4296"/>
        <v>-13</v>
      </c>
      <c r="EI762" s="18">
        <f>HLOOKUP($I$1,Qtr,ROW()-1)</f>
        <v>41</v>
      </c>
      <c r="EJ762" s="18">
        <f t="shared" si="4298"/>
        <v>41</v>
      </c>
      <c r="EK762" s="24">
        <f t="shared" si="4347"/>
        <v>0.16666666666666666</v>
      </c>
      <c r="EL762" s="14" t="e">
        <f t="shared" ref="EL762:EN769" si="4356">EH762/EE737</f>
        <v>#VALUE!</v>
      </c>
      <c r="EM762" s="14" t="e">
        <f t="shared" si="4356"/>
        <v>#DIV/0!</v>
      </c>
      <c r="EN762" s="14">
        <f>EJ762/EK762/EG737</f>
        <v>0.94008236038630488</v>
      </c>
      <c r="EO762" s="46">
        <f t="shared" ref="EO762:EO775" si="4357">IF(EH762&lt;0,,IF(EH762&lt;EE737,"È",IF(EH762=EE737,"Æ","Ç")))</f>
        <v>0</v>
      </c>
      <c r="EP762" s="46" t="str">
        <f t="shared" ref="EP762:EP774" si="4358">IF(EI762&lt;0,,IF(EI762&lt;EF737,"È",IF(EI762=EF737,"Æ","Ç")))</f>
        <v>Ç</v>
      </c>
      <c r="EQ762" s="2" t="e">
        <f t="shared" si="4301"/>
        <v>#VALUE!</v>
      </c>
      <c r="ER762" s="2" t="e">
        <f t="shared" si="4302"/>
        <v>#DIV/0!</v>
      </c>
      <c r="ES762" s="2">
        <f t="shared" si="4303"/>
        <v>1</v>
      </c>
    </row>
    <row r="763" spans="1:149" ht="12.75" customHeight="1">
      <c r="A763" s="15" t="s">
        <v>23</v>
      </c>
      <c r="B763" s="14" t="s">
        <v>7</v>
      </c>
      <c r="C763" s="16" t="s">
        <v>64</v>
      </c>
      <c r="D763" s="16"/>
      <c r="E763" s="16" t="s">
        <v>16</v>
      </c>
      <c r="F763" s="16"/>
      <c r="G763" s="146" t="s">
        <v>89</v>
      </c>
      <c r="H763" s="146"/>
      <c r="I763" s="147"/>
      <c r="J763" s="158">
        <f>IF(J762&lt;&gt;"",IF(J762=0,0,J775/J762),"")</f>
        <v>1</v>
      </c>
      <c r="K763" s="32">
        <f>IF(K762&lt;&gt;"",IF(K762=0,0,K775/K762),"")</f>
        <v>0.96666666666666656</v>
      </c>
      <c r="L763" s="32">
        <f>IF(L762&lt;&gt;"",IF(L762=0,0,L775/L762),"")</f>
        <v>0.88</v>
      </c>
      <c r="M763" s="32">
        <f>IF(M762&lt;&gt;"",IF(M762=0,0,M775/M762),"")</f>
        <v>0.98947368421052639</v>
      </c>
      <c r="N763" s="32">
        <f>IF(N762&lt;&gt;"",IF(N762=0,0,N775/N762),"")</f>
        <v>1</v>
      </c>
      <c r="O763" s="32">
        <f t="shared" ref="O763:AJ763" si="4359">IF(O762&lt;&gt;"",IF(O762=0,0,O775/O762),"")</f>
        <v>0.99230769230769234</v>
      </c>
      <c r="P763" s="32">
        <f t="shared" si="4359"/>
        <v>0.97</v>
      </c>
      <c r="Q763" s="32">
        <f t="shared" si="4359"/>
        <v>0.9675999999999999</v>
      </c>
      <c r="R763" s="32">
        <f t="shared" si="4359"/>
        <v>0.97575757575757582</v>
      </c>
      <c r="S763" s="32">
        <f t="shared" si="4359"/>
        <v>0.92626703857691706</v>
      </c>
      <c r="T763" s="32">
        <f t="shared" si="4359"/>
        <v>0.94054054054054048</v>
      </c>
      <c r="U763" s="284">
        <f>IF(U762&lt;&gt;"",IF(U762=0,0,U775/U762),"")</f>
        <v>0.96249999999999991</v>
      </c>
      <c r="V763" s="148">
        <f t="shared" si="4359"/>
        <v>0.97342105263157885</v>
      </c>
      <c r="W763" s="32">
        <f t="shared" si="4359"/>
        <v>0.93777777777777782</v>
      </c>
      <c r="X763" s="32">
        <f t="shared" si="4359"/>
        <v>0.90593749999999995</v>
      </c>
      <c r="Y763" s="32">
        <f t="shared" si="4359"/>
        <v>0.97289473684210526</v>
      </c>
      <c r="Z763" s="32">
        <f t="shared" si="4359"/>
        <v>0.96638888888888885</v>
      </c>
      <c r="AA763" s="32">
        <f t="shared" si="4359"/>
        <v>0.9269668879791273</v>
      </c>
      <c r="AB763" s="32">
        <f t="shared" si="4359"/>
        <v>0.99997391372398969</v>
      </c>
      <c r="AC763" s="32">
        <f t="shared" si="4359"/>
        <v>0.96869565217391307</v>
      </c>
      <c r="AD763" s="32">
        <f t="shared" si="4359"/>
        <v>0.98480000000000001</v>
      </c>
      <c r="AE763" s="32">
        <f t="shared" si="4359"/>
        <v>0.99641791044776107</v>
      </c>
      <c r="AF763" s="227">
        <f t="shared" si="4359"/>
        <v>0.94999999999999984</v>
      </c>
      <c r="AG763" s="32">
        <f t="shared" si="4359"/>
        <v>0.9726315789473684</v>
      </c>
      <c r="AH763" s="227">
        <f t="shared" si="4359"/>
        <v>0.95111111111111113</v>
      </c>
      <c r="AI763" s="227">
        <f t="shared" si="4359"/>
        <v>1</v>
      </c>
      <c r="AJ763" s="32" t="str">
        <f t="shared" si="4359"/>
        <v/>
      </c>
      <c r="AK763" s="412"/>
      <c r="AL763" s="14">
        <f t="shared" si="4336"/>
        <v>1</v>
      </c>
      <c r="AM763" s="14">
        <f t="shared" si="4351"/>
        <v>0.96666666666666656</v>
      </c>
      <c r="AN763" s="14">
        <f t="shared" si="4351"/>
        <v>0.88</v>
      </c>
      <c r="AO763" s="14">
        <f t="shared" si="4351"/>
        <v>0.98947368421052639</v>
      </c>
      <c r="AP763" s="289">
        <f>IF(N763&lt;&gt;"",N763-M763,0)</f>
        <v>1.0526315789473606E-2</v>
      </c>
      <c r="AQ763" s="289">
        <f t="shared" ref="AQ763:AW763" si="4360">IF(O763&lt;&gt;"",O763,0)</f>
        <v>0.99230769230769234</v>
      </c>
      <c r="AR763" s="289">
        <f t="shared" si="4360"/>
        <v>0.97</v>
      </c>
      <c r="AS763" s="289">
        <f t="shared" si="4360"/>
        <v>0.9675999999999999</v>
      </c>
      <c r="AT763" s="289">
        <f t="shared" si="4360"/>
        <v>0.97575757575757582</v>
      </c>
      <c r="AU763" s="289">
        <f t="shared" si="4360"/>
        <v>0.92626703857691706</v>
      </c>
      <c r="AV763" s="289">
        <f t="shared" si="4360"/>
        <v>0.94054054054054048</v>
      </c>
      <c r="AW763" s="289">
        <f t="shared" si="4360"/>
        <v>0.96249999999999991</v>
      </c>
      <c r="AX763" s="289">
        <f t="shared" ref="AX763:BI763" si="4361">IF(V763&lt;&gt;"",V763,0)</f>
        <v>0.97342105263157885</v>
      </c>
      <c r="AY763" s="289">
        <f t="shared" si="4361"/>
        <v>0.93777777777777782</v>
      </c>
      <c r="AZ763" s="289">
        <f t="shared" si="4361"/>
        <v>0.90593749999999995</v>
      </c>
      <c r="BA763" s="289">
        <f t="shared" si="4361"/>
        <v>0.97289473684210526</v>
      </c>
      <c r="BB763" s="289">
        <f t="shared" si="4361"/>
        <v>0.96638888888888885</v>
      </c>
      <c r="BC763" s="289">
        <f t="shared" si="4361"/>
        <v>0.9269668879791273</v>
      </c>
      <c r="BD763" s="289">
        <f t="shared" si="4361"/>
        <v>0.99997391372398969</v>
      </c>
      <c r="BE763" s="289">
        <f t="shared" si="4361"/>
        <v>0.96869565217391307</v>
      </c>
      <c r="BF763" s="289">
        <f t="shared" si="4361"/>
        <v>0.98480000000000001</v>
      </c>
      <c r="BG763" s="289">
        <f t="shared" si="4361"/>
        <v>0.99641791044776107</v>
      </c>
      <c r="BH763" s="289">
        <f t="shared" si="4361"/>
        <v>0.94999999999999984</v>
      </c>
      <c r="BI763" s="289">
        <f t="shared" si="4361"/>
        <v>0.9726315789473684</v>
      </c>
      <c r="BJ763" s="14">
        <f t="shared" si="4339"/>
        <v>0.95111111111111113</v>
      </c>
      <c r="BK763" s="129">
        <f t="shared" si="4291"/>
        <v>4.8888888888888871E-2</v>
      </c>
      <c r="BL763" s="129">
        <f t="shared" si="4292"/>
        <v>0</v>
      </c>
      <c r="BM763" s="410"/>
      <c r="BN763" s="56">
        <f t="shared" si="4305"/>
        <v>0.93333333333333313</v>
      </c>
      <c r="BO763" s="56">
        <f t="shared" si="4306"/>
        <v>0.93333333333333313</v>
      </c>
      <c r="BP763" s="56">
        <f>(AL763*AL762+AM763*AM762+AN763*AN762)/BP762</f>
        <v>0.93333333333333313</v>
      </c>
      <c r="BQ763" s="56">
        <f t="shared" si="4308"/>
        <v>0.64090225563909775</v>
      </c>
      <c r="BR763" s="56">
        <f t="shared" si="4309"/>
        <v>0.64090225563909775</v>
      </c>
      <c r="BS763" s="56">
        <f>(AO763*AO762+AP763*AP762+AQ763*AQ762)/BS762</f>
        <v>0.64090225563909775</v>
      </c>
      <c r="BT763" s="56">
        <f t="shared" si="4311"/>
        <v>0.97166666666666657</v>
      </c>
      <c r="BU763" s="56">
        <f t="shared" si="4312"/>
        <v>0.97166666666666657</v>
      </c>
      <c r="BV763" s="56">
        <f>(AR763*AR762+AS763*AS762+AT763*AT762)/BV762</f>
        <v>0.97166666666666657</v>
      </c>
      <c r="BW763" s="56">
        <f t="shared" si="4314"/>
        <v>0.94203846657071821</v>
      </c>
      <c r="BX763" s="56">
        <f t="shared" si="4315"/>
        <v>0.94203846657071821</v>
      </c>
      <c r="BY763" s="56">
        <f>(AU763*AU762+AV763*AV762+AW763*AW762)/BY762</f>
        <v>0.94203846657071821</v>
      </c>
      <c r="BZ763" s="56">
        <f t="shared" si="4317"/>
        <v>0.94069565217391293</v>
      </c>
      <c r="CA763" s="56">
        <f t="shared" si="4318"/>
        <v>0.94069565217391293</v>
      </c>
      <c r="CB763" s="56">
        <f>(AX763*AX762+AY763*AY762+AZ763*AZ762)/CB762</f>
        <v>0.94069565217391293</v>
      </c>
      <c r="CC763" s="56">
        <f>+CC775/CC762</f>
        <v>0.34551369578159269</v>
      </c>
      <c r="CD763" s="56">
        <f t="shared" ref="CD763:CN763" si="4362">+CD775/CD762</f>
        <v>0.67065357882843091</v>
      </c>
      <c r="CE763" s="56">
        <f t="shared" si="4362"/>
        <v>0.95654116211106333</v>
      </c>
      <c r="CF763" s="56">
        <f t="shared" si="4362"/>
        <v>0.19327633642183314</v>
      </c>
      <c r="CG763" s="56">
        <f t="shared" si="4362"/>
        <v>0.5677282299416978</v>
      </c>
      <c r="CH763" s="56">
        <f t="shared" si="4362"/>
        <v>0.981507656263918</v>
      </c>
      <c r="CI763" s="56">
        <f t="shared" si="4362"/>
        <v>0.38813953488372088</v>
      </c>
      <c r="CJ763" s="56">
        <f t="shared" si="4362"/>
        <v>0.65325581395348831</v>
      </c>
      <c r="CK763" s="56">
        <f t="shared" si="4362"/>
        <v>0.97558139534883714</v>
      </c>
      <c r="CL763" s="56">
        <f t="shared" si="4362"/>
        <v>1.2526829268292683</v>
      </c>
      <c r="CM763" s="56">
        <f t="shared" si="4362"/>
        <v>1.2371815718157182</v>
      </c>
      <c r="CN763" s="56">
        <f t="shared" si="4362"/>
        <v>1.2371815718157182</v>
      </c>
      <c r="CO763" s="422"/>
      <c r="CP763" s="25">
        <f>J763</f>
        <v>1</v>
      </c>
      <c r="CQ763" s="25">
        <f t="shared" ref="CQ763:DP763" si="4363">CQ775/CQ762</f>
        <v>0.97142857142857131</v>
      </c>
      <c r="CR763" s="25">
        <f t="shared" si="4363"/>
        <v>0.93333333333333313</v>
      </c>
      <c r="CS763" s="25">
        <f t="shared" si="4363"/>
        <v>0.95272727272727253</v>
      </c>
      <c r="CT763" s="25">
        <f t="shared" si="4363"/>
        <v>0.96749999999999992</v>
      </c>
      <c r="CU763" s="25">
        <f t="shared" si="4363"/>
        <v>0.97358490566037725</v>
      </c>
      <c r="CV763" s="25">
        <f t="shared" si="4363"/>
        <v>0.973015873015873</v>
      </c>
      <c r="CW763" s="25">
        <f t="shared" si="4363"/>
        <v>0.97211920529801321</v>
      </c>
      <c r="CX763" s="25">
        <f t="shared" si="4363"/>
        <v>0.9727717391304348</v>
      </c>
      <c r="CY763" s="25">
        <f t="shared" si="4363"/>
        <v>0.9648111278276772</v>
      </c>
      <c r="CZ763" s="25">
        <f t="shared" si="4363"/>
        <v>0.961343927846117</v>
      </c>
      <c r="DA763" s="25">
        <f t="shared" si="4363"/>
        <v>0.96147105518175136</v>
      </c>
      <c r="DB763" s="25">
        <f t="shared" si="4363"/>
        <v>0.97342105263157885</v>
      </c>
      <c r="DC763" s="25">
        <f t="shared" si="4363"/>
        <v>0.95409638554216869</v>
      </c>
      <c r="DD763" s="25">
        <f t="shared" si="4363"/>
        <v>0.94069565217391293</v>
      </c>
      <c r="DE763" s="25">
        <f t="shared" si="4363"/>
        <v>0.94869281045751619</v>
      </c>
      <c r="DF763" s="25">
        <f t="shared" si="4363"/>
        <v>0.95206349206349195</v>
      </c>
      <c r="DG763" s="25">
        <f t="shared" si="4363"/>
        <v>0.94833290615634847</v>
      </c>
      <c r="DH763" s="25">
        <f t="shared" si="4363"/>
        <v>0.95318095009524451</v>
      </c>
      <c r="DI763" s="25">
        <f t="shared" si="4363"/>
        <v>0.955633440057017</v>
      </c>
      <c r="DJ763" s="25">
        <f t="shared" si="4363"/>
        <v>0.95991005297056575</v>
      </c>
      <c r="DK763" s="25">
        <f t="shared" si="4363"/>
        <v>0.96590520555479431</v>
      </c>
      <c r="DL763" s="25">
        <f t="shared" si="4363"/>
        <v>0.96423097596122098</v>
      </c>
      <c r="DM763" s="25">
        <f t="shared" si="4363"/>
        <v>0.96516437501937113</v>
      </c>
      <c r="DN763" s="25">
        <f t="shared" si="4363"/>
        <v>0.95111111111111113</v>
      </c>
      <c r="DO763" s="25">
        <f t="shared" si="4363"/>
        <v>2.2526829268292681</v>
      </c>
      <c r="DP763" s="25">
        <f t="shared" si="4363"/>
        <v>2.2526829268292681</v>
      </c>
      <c r="DQ763" s="377"/>
      <c r="DR763" s="377"/>
      <c r="DS763" s="377"/>
      <c r="DT763" s="377"/>
      <c r="DU763" s="377"/>
      <c r="DV763" s="377"/>
      <c r="DW763" s="377"/>
      <c r="DX763" s="377"/>
      <c r="DY763" s="377"/>
      <c r="DZ763" s="14"/>
      <c r="EA763" s="14"/>
      <c r="EB763" s="14"/>
      <c r="EC763" s="14"/>
      <c r="ED763" s="430"/>
      <c r="EE763" s="24"/>
      <c r="EF763" s="24"/>
      <c r="EG763" s="24"/>
      <c r="EH763" s="25">
        <f t="shared" si="4296"/>
        <v>4.8888888888888871E-2</v>
      </c>
      <c r="EI763" s="377">
        <f>HLOOKUP($I$1,Qtr,ROW()-1)</f>
        <v>1.2371815718157182</v>
      </c>
      <c r="EJ763" s="250">
        <f>HLOOKUP($I$1,YTD,ROW()-1)</f>
        <v>2.2526829268292681</v>
      </c>
      <c r="EK763" s="24">
        <f t="shared" si="4347"/>
        <v>0.16666666666666666</v>
      </c>
      <c r="EL763" s="14">
        <f>EH763</f>
        <v>4.8888888888888871E-2</v>
      </c>
      <c r="EM763" s="14">
        <f>EI763</f>
        <v>1.2371815718157182</v>
      </c>
      <c r="EN763" s="14">
        <f>EJ763</f>
        <v>2.2526829268292681</v>
      </c>
      <c r="EO763" s="46" t="str">
        <f>IF(EH763&lt;0,,IF(EH763&lt;EE738,"È",IF(EH763=EE738,"Æ","Ç")))</f>
        <v>È</v>
      </c>
      <c r="EP763" s="46" t="e">
        <f>IF(EI763&lt;0,,IF(EI763&gt;EF738,"È",IF(EI763=EF738,"Æ","Ç")))</f>
        <v>#VALUE!</v>
      </c>
      <c r="EQ763" s="2">
        <f t="shared" si="4301"/>
        <v>3</v>
      </c>
      <c r="ER763" s="2">
        <f t="shared" si="4302"/>
        <v>1</v>
      </c>
      <c r="ES763" s="2">
        <f t="shared" si="4303"/>
        <v>1</v>
      </c>
    </row>
    <row r="764" spans="1:149" ht="12.75" customHeight="1">
      <c r="A764" s="6" t="s">
        <v>23</v>
      </c>
      <c r="B764" s="2" t="s">
        <v>8</v>
      </c>
      <c r="C764" s="3" t="s">
        <v>87</v>
      </c>
      <c r="E764" s="3" t="s">
        <v>16</v>
      </c>
      <c r="G764" s="28" t="s">
        <v>91</v>
      </c>
      <c r="H764" s="28"/>
      <c r="I764" s="29"/>
      <c r="J764" s="139">
        <f t="shared" ref="J764:AJ764" si="4364">IF(J38="","",J38+J104+J170+J236+J302+J368+J434+J500+J566+J632+J698)</f>
        <v>0</v>
      </c>
      <c r="K764" s="139">
        <f t="shared" si="4364"/>
        <v>0</v>
      </c>
      <c r="L764" s="139">
        <f t="shared" si="4364"/>
        <v>0</v>
      </c>
      <c r="M764" s="139">
        <f t="shared" si="4364"/>
        <v>1</v>
      </c>
      <c r="N764" s="139">
        <f t="shared" si="4364"/>
        <v>3</v>
      </c>
      <c r="O764" s="139">
        <f t="shared" si="4364"/>
        <v>9</v>
      </c>
      <c r="P764" s="139">
        <f t="shared" si="4364"/>
        <v>24</v>
      </c>
      <c r="Q764" s="139">
        <f t="shared" si="4364"/>
        <v>40</v>
      </c>
      <c r="R764" s="139">
        <f t="shared" si="4364"/>
        <v>78</v>
      </c>
      <c r="S764" s="139">
        <f t="shared" si="4364"/>
        <v>81</v>
      </c>
      <c r="T764" s="139">
        <f t="shared" si="4364"/>
        <v>88</v>
      </c>
      <c r="U764" s="280">
        <f t="shared" si="4364"/>
        <v>115</v>
      </c>
      <c r="V764" s="141">
        <f t="shared" si="4364"/>
        <v>35</v>
      </c>
      <c r="W764" s="139">
        <f t="shared" si="4364"/>
        <v>67</v>
      </c>
      <c r="X764" s="139">
        <f t="shared" si="4364"/>
        <v>104</v>
      </c>
      <c r="Y764" s="139">
        <f t="shared" si="4364"/>
        <v>147</v>
      </c>
      <c r="Z764" s="139">
        <f t="shared" si="4364"/>
        <v>169</v>
      </c>
      <c r="AA764" s="139">
        <f t="shared" si="4364"/>
        <v>176</v>
      </c>
      <c r="AB764" s="139">
        <f t="shared" si="4364"/>
        <v>193</v>
      </c>
      <c r="AC764" s="139">
        <f t="shared" si="4364"/>
        <v>201</v>
      </c>
      <c r="AD764" s="139">
        <f t="shared" si="4364"/>
        <v>214</v>
      </c>
      <c r="AE764" s="139">
        <f t="shared" si="4364"/>
        <v>222</v>
      </c>
      <c r="AF764" s="253">
        <f t="shared" si="4364"/>
        <v>235</v>
      </c>
      <c r="AG764" s="139">
        <f t="shared" si="4364"/>
        <v>259</v>
      </c>
      <c r="AH764" s="141">
        <f t="shared" si="4364"/>
        <v>3</v>
      </c>
      <c r="AI764" s="139">
        <f t="shared" si="4364"/>
        <v>5</v>
      </c>
      <c r="AJ764" s="139" t="str">
        <f t="shared" si="4364"/>
        <v/>
      </c>
      <c r="AK764" s="408"/>
      <c r="AL764" s="19">
        <f t="shared" si="4336"/>
        <v>0</v>
      </c>
      <c r="AM764" s="19">
        <f>K764-J764</f>
        <v>0</v>
      </c>
      <c r="AN764" s="19">
        <f t="shared" ref="AN764:AN770" si="4365">L764-K764</f>
        <v>0</v>
      </c>
      <c r="AO764" s="19">
        <f t="shared" ref="AO764:AO770" si="4366">M764-L764</f>
        <v>1</v>
      </c>
      <c r="AP764" s="129">
        <f t="shared" ref="AP764:AP769" si="4367">IF(N764&lt;&gt;"",N764-M764,0)</f>
        <v>2</v>
      </c>
      <c r="AQ764" s="129">
        <f t="shared" ref="AQ764:AQ772" si="4368">IF(O764&lt;&gt;"",O764-N764,0)</f>
        <v>6</v>
      </c>
      <c r="AR764" s="129">
        <f t="shared" si="4275"/>
        <v>15</v>
      </c>
      <c r="AS764" s="129">
        <f t="shared" si="4276"/>
        <v>16</v>
      </c>
      <c r="AT764" s="129">
        <f t="shared" si="4277"/>
        <v>38</v>
      </c>
      <c r="AU764" s="129">
        <f t="shared" si="4278"/>
        <v>3</v>
      </c>
      <c r="AV764" s="129">
        <f t="shared" si="4279"/>
        <v>7</v>
      </c>
      <c r="AW764" s="129">
        <f t="shared" si="4280"/>
        <v>27</v>
      </c>
      <c r="AX764" s="19">
        <f t="shared" si="4337"/>
        <v>35</v>
      </c>
      <c r="AY764" s="129">
        <f t="shared" si="4281"/>
        <v>32</v>
      </c>
      <c r="AZ764" s="129">
        <f t="shared" si="4282"/>
        <v>37</v>
      </c>
      <c r="BA764" s="129">
        <f t="shared" si="4338"/>
        <v>43</v>
      </c>
      <c r="BB764" s="129">
        <f t="shared" si="4283"/>
        <v>22</v>
      </c>
      <c r="BC764" s="129">
        <f t="shared" si="4284"/>
        <v>7</v>
      </c>
      <c r="BD764" s="129">
        <f t="shared" si="4285"/>
        <v>17</v>
      </c>
      <c r="BE764" s="129">
        <f t="shared" si="4286"/>
        <v>8</v>
      </c>
      <c r="BF764" s="129">
        <f t="shared" si="4287"/>
        <v>13</v>
      </c>
      <c r="BG764" s="129">
        <f t="shared" si="4288"/>
        <v>8</v>
      </c>
      <c r="BH764" s="129">
        <f t="shared" si="4289"/>
        <v>13</v>
      </c>
      <c r="BI764" s="129">
        <f t="shared" si="4290"/>
        <v>24</v>
      </c>
      <c r="BJ764" s="19">
        <f t="shared" si="4339"/>
        <v>3</v>
      </c>
      <c r="BK764" s="129">
        <f t="shared" si="4291"/>
        <v>2</v>
      </c>
      <c r="BL764" s="129">
        <f t="shared" si="4292"/>
        <v>0</v>
      </c>
      <c r="BM764" s="408"/>
      <c r="BN764" s="48">
        <f t="shared" si="4305"/>
        <v>0</v>
      </c>
      <c r="BO764" s="48">
        <f t="shared" si="4306"/>
        <v>0</v>
      </c>
      <c r="BP764" s="48">
        <f t="shared" ref="BP764:BP769" si="4369">SUM(AL764:AN764)</f>
        <v>0</v>
      </c>
      <c r="BQ764" s="48">
        <f t="shared" si="4308"/>
        <v>9</v>
      </c>
      <c r="BR764" s="48">
        <f t="shared" si="4309"/>
        <v>9</v>
      </c>
      <c r="BS764" s="48">
        <f t="shared" ref="BS764:BS769" si="4370">SUM(AO764:AQ764)</f>
        <v>9</v>
      </c>
      <c r="BT764" s="48">
        <f t="shared" si="4311"/>
        <v>69</v>
      </c>
      <c r="BU764" s="48">
        <f t="shared" si="4312"/>
        <v>69</v>
      </c>
      <c r="BV764" s="48">
        <f t="shared" ref="BV764:BV769" si="4371">SUM(AR764:AT764)</f>
        <v>69</v>
      </c>
      <c r="BW764" s="48">
        <f t="shared" si="4314"/>
        <v>37</v>
      </c>
      <c r="BX764" s="48">
        <f t="shared" si="4315"/>
        <v>37</v>
      </c>
      <c r="BY764" s="48">
        <f t="shared" ref="BY764:BY769" si="4372">SUM(AU764:AW764)</f>
        <v>37</v>
      </c>
      <c r="BZ764" s="48">
        <f t="shared" si="4317"/>
        <v>104</v>
      </c>
      <c r="CA764" s="48">
        <f t="shared" si="4318"/>
        <v>104</v>
      </c>
      <c r="CB764" s="48">
        <f t="shared" ref="CB764:CB769" si="4373">SUM(AX764:AZ764)</f>
        <v>104</v>
      </c>
      <c r="CC764" s="48">
        <f t="shared" si="4320"/>
        <v>72</v>
      </c>
      <c r="CD764" s="48">
        <f t="shared" si="4321"/>
        <v>72</v>
      </c>
      <c r="CE764" s="48">
        <f t="shared" ref="CE764:CE770" si="4374">SUM(BA764:BC764)</f>
        <v>72</v>
      </c>
      <c r="CF764" s="48">
        <f t="shared" si="4323"/>
        <v>38</v>
      </c>
      <c r="CG764" s="48">
        <f t="shared" si="4324"/>
        <v>38</v>
      </c>
      <c r="CH764" s="48">
        <f t="shared" ref="CH764:CH770" si="4375">SUM(BD764:BF764)</f>
        <v>38</v>
      </c>
      <c r="CI764" s="48">
        <f t="shared" si="4326"/>
        <v>45</v>
      </c>
      <c r="CJ764" s="48">
        <f t="shared" si="4327"/>
        <v>45</v>
      </c>
      <c r="CK764" s="48">
        <f t="shared" ref="CK764:CK770" si="4376">SUM(BG764:BI764)</f>
        <v>45</v>
      </c>
      <c r="CL764" s="48">
        <f t="shared" si="4329"/>
        <v>5</v>
      </c>
      <c r="CM764" s="48">
        <f t="shared" si="4330"/>
        <v>5</v>
      </c>
      <c r="CN764" s="48">
        <f t="shared" ref="CN764:CN770" si="4377">SUM(BJ764:BL764)</f>
        <v>5</v>
      </c>
      <c r="CO764" s="406"/>
      <c r="CP764" s="21">
        <f>AL764</f>
        <v>0</v>
      </c>
      <c r="CQ764" s="21">
        <f>CP764+AM764</f>
        <v>0</v>
      </c>
      <c r="CR764" s="21">
        <f t="shared" ref="CR764:CR770" si="4378">CQ764+AN764</f>
        <v>0</v>
      </c>
      <c r="CS764" s="21">
        <f t="shared" ref="CS764:CS770" si="4379">CR764+AO764</f>
        <v>1</v>
      </c>
      <c r="CT764" s="21">
        <f t="shared" ref="CT764:CT770" si="4380">CS764+AP764</f>
        <v>3</v>
      </c>
      <c r="CU764" s="21">
        <f t="shared" ref="CU764:CU770" si="4381">CT764+AQ764</f>
        <v>9</v>
      </c>
      <c r="CV764" s="21">
        <f t="shared" ref="CV764:CV770" si="4382">CU764+AR764</f>
        <v>24</v>
      </c>
      <c r="CW764" s="21">
        <f t="shared" ref="CW764:CW770" si="4383">CV764+AS764</f>
        <v>40</v>
      </c>
      <c r="CX764" s="21">
        <f t="shared" ref="CX764:CX770" si="4384">CW764+AT764</f>
        <v>78</v>
      </c>
      <c r="CY764" s="21">
        <f t="shared" ref="CY764:CY770" si="4385">CX764+AU764</f>
        <v>81</v>
      </c>
      <c r="CZ764" s="21">
        <f t="shared" ref="CZ764:CZ770" si="4386">CY764+AV764</f>
        <v>88</v>
      </c>
      <c r="DA764" s="21">
        <f t="shared" ref="DA764:DA770" si="4387">CZ764+AW764</f>
        <v>115</v>
      </c>
      <c r="DB764" s="21">
        <f>AX764</f>
        <v>35</v>
      </c>
      <c r="DC764" s="21">
        <f t="shared" ref="DC764:DC770" si="4388">DB764+AY764</f>
        <v>67</v>
      </c>
      <c r="DD764" s="21">
        <f t="shared" ref="DD764:DD770" si="4389">DC764+AZ764</f>
        <v>104</v>
      </c>
      <c r="DE764" s="21">
        <f t="shared" ref="DE764:DE770" si="4390">DD764+BA764</f>
        <v>147</v>
      </c>
      <c r="DF764" s="21">
        <f t="shared" ref="DF764:DF770" si="4391">DE764+BB764</f>
        <v>169</v>
      </c>
      <c r="DG764" s="21">
        <f t="shared" ref="DG764:DG770" si="4392">DF764+BC764</f>
        <v>176</v>
      </c>
      <c r="DH764" s="21">
        <f t="shared" ref="DH764:DH770" si="4393">DG764+BD764</f>
        <v>193</v>
      </c>
      <c r="DI764" s="21">
        <f t="shared" ref="DI764:DI770" si="4394">DH764+BE764</f>
        <v>201</v>
      </c>
      <c r="DJ764" s="21">
        <f t="shared" ref="DJ764:DJ770" si="4395">DI764+BF764</f>
        <v>214</v>
      </c>
      <c r="DK764" s="21">
        <f t="shared" ref="DK764:DK770" si="4396">DJ764+BG764</f>
        <v>222</v>
      </c>
      <c r="DL764" s="21">
        <f t="shared" ref="DL764:DL770" si="4397">DK764+BH764</f>
        <v>235</v>
      </c>
      <c r="DM764" s="21">
        <f t="shared" ref="DM764:DM770" si="4398">DL764+BI764</f>
        <v>259</v>
      </c>
      <c r="DN764" s="21">
        <f t="shared" ref="DN764:DN769" si="4399">BJ764</f>
        <v>3</v>
      </c>
      <c r="DO764" s="21">
        <f t="shared" ref="DO764:DO770" si="4400">DN764+BK764</f>
        <v>5</v>
      </c>
      <c r="DP764" s="21">
        <f t="shared" ref="DP764:DP770" si="4401">DO764+BL764</f>
        <v>5</v>
      </c>
      <c r="DQ764" s="248"/>
      <c r="DR764" s="248"/>
      <c r="DS764" s="248"/>
      <c r="DT764" s="248"/>
      <c r="DU764" s="248"/>
      <c r="DV764" s="248"/>
      <c r="DW764" s="248"/>
      <c r="DX764" s="248"/>
      <c r="DY764" s="248"/>
      <c r="ED764" s="429"/>
      <c r="EE764" s="23"/>
      <c r="EF764" s="23"/>
      <c r="EG764" s="23"/>
      <c r="EH764" s="18">
        <f t="shared" si="4296"/>
        <v>2</v>
      </c>
      <c r="EI764" s="18">
        <f t="shared" si="4297"/>
        <v>5</v>
      </c>
      <c r="EJ764" s="18">
        <f t="shared" si="4298"/>
        <v>5</v>
      </c>
      <c r="EK764" s="24">
        <f t="shared" si="4347"/>
        <v>0.16666666666666666</v>
      </c>
      <c r="EL764" s="14" t="e">
        <f t="shared" si="4356"/>
        <v>#DIV/0!</v>
      </c>
      <c r="EM764" s="14" t="e">
        <f t="shared" si="4356"/>
        <v>#VALUE!</v>
      </c>
      <c r="EN764" s="14">
        <f>EJ764/EK764/EG739</f>
        <v>0.12768608771446019</v>
      </c>
      <c r="EO764" s="46" t="str">
        <f>IF(EH764&lt;0,,IF(EH764&gt;EE739,"È",IF(EH764=EE739,"Æ","Ç")))</f>
        <v>È</v>
      </c>
      <c r="EP764" s="46" t="e">
        <f t="shared" si="4358"/>
        <v>#VALUE!</v>
      </c>
      <c r="EQ764" s="2" t="e">
        <f t="shared" si="4301"/>
        <v>#DIV/0!</v>
      </c>
      <c r="ER764" s="2" t="e">
        <f t="shared" si="4302"/>
        <v>#VALUE!</v>
      </c>
      <c r="ES764" s="2">
        <f t="shared" si="4303"/>
        <v>3</v>
      </c>
    </row>
    <row r="765" spans="1:149" ht="12.75" customHeight="1">
      <c r="A765" s="6" t="s">
        <v>23</v>
      </c>
      <c r="B765" s="2" t="s">
        <v>9</v>
      </c>
      <c r="C765" s="3" t="s">
        <v>65</v>
      </c>
      <c r="E765" s="3" t="s">
        <v>16</v>
      </c>
      <c r="G765" s="28" t="s">
        <v>91</v>
      </c>
      <c r="H765" s="28"/>
      <c r="I765" s="29"/>
      <c r="J765" s="139">
        <f t="shared" ref="J765:AJ765" si="4402">IF(J39="","",J39+J105+J171+J237+J303+J369+J435+J501+J567+J633+J699)</f>
        <v>600.79999999999995</v>
      </c>
      <c r="K765" s="139">
        <f t="shared" si="4402"/>
        <v>1292.9199999999998</v>
      </c>
      <c r="L765" s="139">
        <f t="shared" si="4402"/>
        <v>1830.5700000000002</v>
      </c>
      <c r="M765" s="139">
        <f t="shared" si="4402"/>
        <v>2612.7600000000002</v>
      </c>
      <c r="N765" s="139">
        <f t="shared" si="4402"/>
        <v>3442.1699999999996</v>
      </c>
      <c r="O765" s="139">
        <f t="shared" si="4402"/>
        <v>4256.1799999999994</v>
      </c>
      <c r="P765" s="139">
        <f t="shared" si="4402"/>
        <v>4725.5200000000004</v>
      </c>
      <c r="Q765" s="139">
        <f t="shared" si="4402"/>
        <v>5352.26</v>
      </c>
      <c r="R765" s="139">
        <f t="shared" si="4402"/>
        <v>6079.59</v>
      </c>
      <c r="S765" s="139">
        <f t="shared" si="4402"/>
        <v>7089.7300000000014</v>
      </c>
      <c r="T765" s="139">
        <f t="shared" si="4402"/>
        <v>7684.2300000000005</v>
      </c>
      <c r="U765" s="280">
        <f t="shared" si="4402"/>
        <v>8804.2800000000007</v>
      </c>
      <c r="V765" s="141">
        <f t="shared" si="4402"/>
        <v>1016.11</v>
      </c>
      <c r="W765" s="139">
        <f t="shared" si="4402"/>
        <v>2047.81</v>
      </c>
      <c r="X765" s="139">
        <f t="shared" si="4402"/>
        <v>3286.1</v>
      </c>
      <c r="Y765" s="139">
        <f t="shared" si="4402"/>
        <v>4417.71</v>
      </c>
      <c r="Z765" s="139">
        <f t="shared" si="4402"/>
        <v>5553.96</v>
      </c>
      <c r="AA765" s="139">
        <f t="shared" si="4402"/>
        <v>7015.24</v>
      </c>
      <c r="AB765" s="139">
        <f t="shared" si="4402"/>
        <v>8139.3300000000008</v>
      </c>
      <c r="AC765" s="139">
        <f t="shared" si="4402"/>
        <v>9535.0199999999986</v>
      </c>
      <c r="AD765" s="139">
        <f t="shared" si="4402"/>
        <v>11432.73</v>
      </c>
      <c r="AE765" s="139">
        <f t="shared" si="4402"/>
        <v>13080.699999999997</v>
      </c>
      <c r="AF765" s="139">
        <f t="shared" si="4402"/>
        <v>14238.069999999998</v>
      </c>
      <c r="AG765" s="139">
        <f t="shared" si="4402"/>
        <v>15805.07</v>
      </c>
      <c r="AH765" s="141">
        <f t="shared" si="4402"/>
        <v>1349.97</v>
      </c>
      <c r="AI765" s="139">
        <f t="shared" si="4402"/>
        <v>2605.2300000000005</v>
      </c>
      <c r="AJ765" s="139" t="str">
        <f t="shared" si="4402"/>
        <v/>
      </c>
      <c r="AK765" s="408"/>
      <c r="AL765" s="19">
        <f t="shared" si="4336"/>
        <v>600.79999999999995</v>
      </c>
      <c r="AM765" s="19">
        <f t="shared" ref="AM765:AM770" si="4403">K765-J765</f>
        <v>692.11999999999989</v>
      </c>
      <c r="AN765" s="19">
        <f t="shared" si="4365"/>
        <v>537.65000000000032</v>
      </c>
      <c r="AO765" s="19">
        <f t="shared" si="4366"/>
        <v>782.19</v>
      </c>
      <c r="AP765" s="130">
        <f t="shared" si="4367"/>
        <v>829.4099999999994</v>
      </c>
      <c r="AQ765" s="130">
        <f t="shared" si="4368"/>
        <v>814.00999999999976</v>
      </c>
      <c r="AR765" s="130">
        <f t="shared" si="4275"/>
        <v>469.34000000000106</v>
      </c>
      <c r="AS765" s="130">
        <f t="shared" si="4276"/>
        <v>626.73999999999978</v>
      </c>
      <c r="AT765" s="130">
        <f t="shared" si="4277"/>
        <v>727.32999999999993</v>
      </c>
      <c r="AU765" s="130">
        <f t="shared" si="4278"/>
        <v>1010.1400000000012</v>
      </c>
      <c r="AV765" s="130">
        <f t="shared" si="4279"/>
        <v>594.49999999999909</v>
      </c>
      <c r="AW765" s="130">
        <f t="shared" si="4280"/>
        <v>1120.0500000000002</v>
      </c>
      <c r="AX765" s="19">
        <f t="shared" si="4337"/>
        <v>1016.11</v>
      </c>
      <c r="AY765" s="130">
        <f t="shared" si="4281"/>
        <v>1031.6999999999998</v>
      </c>
      <c r="AZ765" s="130">
        <f t="shared" si="4282"/>
        <v>1238.29</v>
      </c>
      <c r="BA765" s="130">
        <f t="shared" si="4338"/>
        <v>1131.6100000000001</v>
      </c>
      <c r="BB765" s="130">
        <f t="shared" si="4283"/>
        <v>1136.25</v>
      </c>
      <c r="BC765" s="130">
        <f t="shared" si="4284"/>
        <v>1461.2799999999997</v>
      </c>
      <c r="BD765" s="130">
        <f t="shared" si="4285"/>
        <v>1124.0900000000011</v>
      </c>
      <c r="BE765" s="130">
        <f t="shared" si="4286"/>
        <v>1395.6899999999978</v>
      </c>
      <c r="BF765" s="130">
        <f t="shared" si="4287"/>
        <v>1897.7100000000009</v>
      </c>
      <c r="BG765" s="130">
        <f t="shared" si="4288"/>
        <v>1647.9699999999975</v>
      </c>
      <c r="BH765" s="130">
        <f t="shared" si="4289"/>
        <v>1157.3700000000008</v>
      </c>
      <c r="BI765" s="130">
        <f t="shared" si="4290"/>
        <v>1567.0000000000018</v>
      </c>
      <c r="BJ765" s="19">
        <f t="shared" si="4339"/>
        <v>1349.97</v>
      </c>
      <c r="BK765" s="130">
        <f t="shared" si="4291"/>
        <v>1255.2600000000004</v>
      </c>
      <c r="BL765" s="130">
        <f t="shared" si="4292"/>
        <v>0</v>
      </c>
      <c r="BM765" s="408"/>
      <c r="BN765" s="48">
        <f t="shared" si="4305"/>
        <v>1830.5700000000002</v>
      </c>
      <c r="BO765" s="48">
        <f t="shared" si="4306"/>
        <v>1830.5700000000002</v>
      </c>
      <c r="BP765" s="48">
        <f t="shared" si="4369"/>
        <v>1830.5700000000002</v>
      </c>
      <c r="BQ765" s="48">
        <f t="shared" si="4308"/>
        <v>2425.6099999999992</v>
      </c>
      <c r="BR765" s="48">
        <f t="shared" si="4309"/>
        <v>2425.6099999999992</v>
      </c>
      <c r="BS765" s="48">
        <f t="shared" si="4370"/>
        <v>2425.6099999999992</v>
      </c>
      <c r="BT765" s="48">
        <f t="shared" si="4311"/>
        <v>1823.4100000000008</v>
      </c>
      <c r="BU765" s="48">
        <f t="shared" si="4312"/>
        <v>1823.4100000000008</v>
      </c>
      <c r="BV765" s="48">
        <f t="shared" si="4371"/>
        <v>1823.4100000000008</v>
      </c>
      <c r="BW765" s="48">
        <f t="shared" si="4314"/>
        <v>2724.6900000000005</v>
      </c>
      <c r="BX765" s="48">
        <f t="shared" si="4315"/>
        <v>2724.6900000000005</v>
      </c>
      <c r="BY765" s="48">
        <f t="shared" si="4372"/>
        <v>2724.6900000000005</v>
      </c>
      <c r="BZ765" s="48">
        <f t="shared" si="4317"/>
        <v>3286.1</v>
      </c>
      <c r="CA765" s="48">
        <f t="shared" si="4318"/>
        <v>3286.1</v>
      </c>
      <c r="CB765" s="48">
        <f t="shared" si="4373"/>
        <v>3286.1</v>
      </c>
      <c r="CC765" s="48">
        <f t="shared" si="4320"/>
        <v>3729.14</v>
      </c>
      <c r="CD765" s="48">
        <f t="shared" si="4321"/>
        <v>3729.14</v>
      </c>
      <c r="CE765" s="48">
        <f t="shared" si="4374"/>
        <v>3729.14</v>
      </c>
      <c r="CF765" s="48">
        <f t="shared" si="4323"/>
        <v>4417.49</v>
      </c>
      <c r="CG765" s="48">
        <f t="shared" si="4324"/>
        <v>4417.49</v>
      </c>
      <c r="CH765" s="48">
        <f t="shared" si="4375"/>
        <v>4417.49</v>
      </c>
      <c r="CI765" s="48">
        <f t="shared" si="4326"/>
        <v>4372.34</v>
      </c>
      <c r="CJ765" s="48">
        <f t="shared" si="4327"/>
        <v>4372.34</v>
      </c>
      <c r="CK765" s="48">
        <f t="shared" si="4376"/>
        <v>4372.34</v>
      </c>
      <c r="CL765" s="48">
        <f t="shared" si="4329"/>
        <v>2605.2300000000005</v>
      </c>
      <c r="CM765" s="48">
        <f t="shared" si="4330"/>
        <v>2605.2300000000005</v>
      </c>
      <c r="CN765" s="48">
        <f t="shared" si="4377"/>
        <v>2605.2300000000005</v>
      </c>
      <c r="CO765" s="406"/>
      <c r="CP765" s="21">
        <f t="shared" ref="CP765:CP770" si="4404">AL765</f>
        <v>600.79999999999995</v>
      </c>
      <c r="CQ765" s="21">
        <f t="shared" ref="CQ765:CQ770" si="4405">CP765+AM765</f>
        <v>1292.9199999999998</v>
      </c>
      <c r="CR765" s="21">
        <f t="shared" si="4378"/>
        <v>1830.5700000000002</v>
      </c>
      <c r="CS765" s="21">
        <f t="shared" si="4379"/>
        <v>2612.7600000000002</v>
      </c>
      <c r="CT765" s="21">
        <f t="shared" si="4380"/>
        <v>3442.1699999999996</v>
      </c>
      <c r="CU765" s="21">
        <f t="shared" si="4381"/>
        <v>4256.1799999999994</v>
      </c>
      <c r="CV765" s="21">
        <f t="shared" si="4382"/>
        <v>4725.5200000000004</v>
      </c>
      <c r="CW765" s="21">
        <f t="shared" si="4383"/>
        <v>5352.26</v>
      </c>
      <c r="CX765" s="21">
        <f t="shared" si="4384"/>
        <v>6079.59</v>
      </c>
      <c r="CY765" s="21">
        <f t="shared" si="4385"/>
        <v>7089.7300000000014</v>
      </c>
      <c r="CZ765" s="21">
        <f t="shared" si="4386"/>
        <v>7684.2300000000005</v>
      </c>
      <c r="DA765" s="21">
        <f t="shared" si="4387"/>
        <v>8804.2800000000007</v>
      </c>
      <c r="DB765" s="21">
        <f t="shared" ref="DB765:DB770" si="4406">AX765</f>
        <v>1016.11</v>
      </c>
      <c r="DC765" s="21">
        <f t="shared" si="4388"/>
        <v>2047.81</v>
      </c>
      <c r="DD765" s="21">
        <f t="shared" si="4389"/>
        <v>3286.1</v>
      </c>
      <c r="DE765" s="21">
        <f t="shared" si="4390"/>
        <v>4417.71</v>
      </c>
      <c r="DF765" s="21">
        <f t="shared" si="4391"/>
        <v>5553.96</v>
      </c>
      <c r="DG765" s="21">
        <f t="shared" si="4392"/>
        <v>7015.24</v>
      </c>
      <c r="DH765" s="21">
        <f t="shared" si="4393"/>
        <v>8139.3300000000008</v>
      </c>
      <c r="DI765" s="21">
        <f t="shared" si="4394"/>
        <v>9535.0199999999986</v>
      </c>
      <c r="DJ765" s="21">
        <f t="shared" si="4395"/>
        <v>11432.73</v>
      </c>
      <c r="DK765" s="21">
        <f t="shared" si="4396"/>
        <v>13080.699999999997</v>
      </c>
      <c r="DL765" s="21">
        <f t="shared" si="4397"/>
        <v>14238.069999999998</v>
      </c>
      <c r="DM765" s="21">
        <f t="shared" si="4398"/>
        <v>15805.07</v>
      </c>
      <c r="DN765" s="21">
        <f t="shared" si="4399"/>
        <v>1349.97</v>
      </c>
      <c r="DO765" s="21">
        <f t="shared" si="4400"/>
        <v>2605.2300000000005</v>
      </c>
      <c r="DP765" s="21">
        <f t="shared" si="4401"/>
        <v>2605.2300000000005</v>
      </c>
      <c r="DQ765" s="248"/>
      <c r="DR765" s="248"/>
      <c r="DS765" s="248"/>
      <c r="DT765" s="248"/>
      <c r="DU765" s="248"/>
      <c r="DV765" s="248"/>
      <c r="DW765" s="248"/>
      <c r="DX765" s="248"/>
      <c r="DY765" s="248"/>
      <c r="ED765" s="429"/>
      <c r="EE765" s="23"/>
      <c r="EF765" s="23"/>
      <c r="EG765" s="23"/>
      <c r="EH765" s="18">
        <f t="shared" si="4296"/>
        <v>1255.2600000000004</v>
      </c>
      <c r="EI765" s="18">
        <f t="shared" si="4297"/>
        <v>2605.2300000000005</v>
      </c>
      <c r="EJ765" s="18">
        <f t="shared" si="4298"/>
        <v>2605.2300000000005</v>
      </c>
      <c r="EK765" s="24">
        <f t="shared" si="4347"/>
        <v>0.16666666666666666</v>
      </c>
      <c r="EL765" s="14">
        <f t="shared" si="4356"/>
        <v>0.65503217950948012</v>
      </c>
      <c r="EM765" s="14">
        <f t="shared" si="4356"/>
        <v>0.68713893223729039</v>
      </c>
      <c r="EN765" s="14">
        <f>EJ765/EK765/EG740</f>
        <v>1.2605448242113881</v>
      </c>
      <c r="EO765" s="46" t="str">
        <f t="shared" si="4357"/>
        <v>È</v>
      </c>
      <c r="EP765" s="46" t="str">
        <f t="shared" si="4358"/>
        <v>È</v>
      </c>
      <c r="EQ765" s="2">
        <f t="shared" si="4301"/>
        <v>3</v>
      </c>
      <c r="ER765" s="2">
        <f t="shared" si="4302"/>
        <v>3</v>
      </c>
      <c r="ES765" s="2">
        <f t="shared" si="4303"/>
        <v>1</v>
      </c>
    </row>
    <row r="766" spans="1:149" ht="12.75" customHeight="1">
      <c r="A766" s="6" t="s">
        <v>23</v>
      </c>
      <c r="B766" s="2" t="s">
        <v>10</v>
      </c>
      <c r="C766" s="3" t="s">
        <v>66</v>
      </c>
      <c r="E766" s="3" t="s">
        <v>16</v>
      </c>
      <c r="G766" s="28" t="s">
        <v>91</v>
      </c>
      <c r="H766" s="28"/>
      <c r="I766" s="29"/>
      <c r="J766" s="139">
        <f t="shared" ref="J766:AJ766" si="4407">IF(J40="","",J40+J106+J172+J238+J304+J370+J436+J502+J568+J634+J700)</f>
        <v>86.77000000000001</v>
      </c>
      <c r="K766" s="139">
        <f t="shared" si="4407"/>
        <v>218.39000000000001</v>
      </c>
      <c r="L766" s="139">
        <f t="shared" si="4407"/>
        <v>308.48999999999995</v>
      </c>
      <c r="M766" s="139">
        <f t="shared" si="4407"/>
        <v>397.09</v>
      </c>
      <c r="N766" s="139">
        <f t="shared" si="4407"/>
        <v>482.99</v>
      </c>
      <c r="O766" s="139">
        <f t="shared" si="4407"/>
        <v>536.21</v>
      </c>
      <c r="P766" s="139">
        <f t="shared" si="4407"/>
        <v>593.78</v>
      </c>
      <c r="Q766" s="139">
        <f t="shared" si="4407"/>
        <v>681.31999999999994</v>
      </c>
      <c r="R766" s="139">
        <f t="shared" si="4407"/>
        <v>842.16</v>
      </c>
      <c r="S766" s="139">
        <f t="shared" si="4407"/>
        <v>965.18999999999994</v>
      </c>
      <c r="T766" s="139">
        <f t="shared" si="4407"/>
        <v>1015.09</v>
      </c>
      <c r="U766" s="280">
        <f t="shared" si="4407"/>
        <v>1172.5500000000002</v>
      </c>
      <c r="V766" s="141">
        <f t="shared" si="4407"/>
        <v>161.76</v>
      </c>
      <c r="W766" s="139">
        <f t="shared" si="4407"/>
        <v>451.58000000000004</v>
      </c>
      <c r="X766" s="139">
        <f t="shared" si="4407"/>
        <v>711.91000000000008</v>
      </c>
      <c r="Y766" s="139">
        <f t="shared" si="4407"/>
        <v>983.94999999999982</v>
      </c>
      <c r="Z766" s="139">
        <f t="shared" si="4407"/>
        <v>1269.7900000000002</v>
      </c>
      <c r="AA766" s="139">
        <f t="shared" si="4407"/>
        <v>1697.85</v>
      </c>
      <c r="AB766" s="139">
        <f t="shared" si="4407"/>
        <v>2079.52</v>
      </c>
      <c r="AC766" s="139">
        <f t="shared" si="4407"/>
        <v>2413.4</v>
      </c>
      <c r="AD766" s="139">
        <f t="shared" si="4407"/>
        <v>3015.66</v>
      </c>
      <c r="AE766" s="139">
        <f t="shared" si="4407"/>
        <v>3730.13</v>
      </c>
      <c r="AF766" s="139">
        <f t="shared" si="4407"/>
        <v>3956.4200000000005</v>
      </c>
      <c r="AG766" s="139">
        <f t="shared" si="4407"/>
        <v>4314.57</v>
      </c>
      <c r="AH766" s="141">
        <f t="shared" si="4407"/>
        <v>206.15</v>
      </c>
      <c r="AI766" s="139">
        <f t="shared" si="4407"/>
        <v>499.68</v>
      </c>
      <c r="AJ766" s="139" t="str">
        <f t="shared" si="4407"/>
        <v/>
      </c>
      <c r="AK766" s="408"/>
      <c r="AL766" s="19">
        <f t="shared" si="4336"/>
        <v>86.77000000000001</v>
      </c>
      <c r="AM766" s="19">
        <f t="shared" si="4403"/>
        <v>131.62</v>
      </c>
      <c r="AN766" s="19">
        <f t="shared" si="4365"/>
        <v>90.099999999999937</v>
      </c>
      <c r="AO766" s="19">
        <f t="shared" si="4366"/>
        <v>88.600000000000023</v>
      </c>
      <c r="AP766" s="129">
        <f t="shared" si="4367"/>
        <v>85.900000000000034</v>
      </c>
      <c r="AQ766" s="129">
        <f t="shared" si="4368"/>
        <v>53.220000000000027</v>
      </c>
      <c r="AR766" s="129">
        <f t="shared" si="4275"/>
        <v>57.569999999999936</v>
      </c>
      <c r="AS766" s="129">
        <f t="shared" si="4276"/>
        <v>87.539999999999964</v>
      </c>
      <c r="AT766" s="129">
        <f t="shared" si="4277"/>
        <v>160.84000000000003</v>
      </c>
      <c r="AU766" s="129">
        <f t="shared" si="4278"/>
        <v>123.02999999999997</v>
      </c>
      <c r="AV766" s="129">
        <f t="shared" si="4279"/>
        <v>49.900000000000091</v>
      </c>
      <c r="AW766" s="129">
        <f t="shared" si="4280"/>
        <v>157.46000000000015</v>
      </c>
      <c r="AX766" s="19">
        <f t="shared" si="4337"/>
        <v>161.76</v>
      </c>
      <c r="AY766" s="129">
        <f t="shared" si="4281"/>
        <v>289.82000000000005</v>
      </c>
      <c r="AZ766" s="129">
        <f t="shared" si="4282"/>
        <v>260.33000000000004</v>
      </c>
      <c r="BA766" s="129">
        <f t="shared" si="4338"/>
        <v>272.03999999999974</v>
      </c>
      <c r="BB766" s="129">
        <f t="shared" si="4283"/>
        <v>285.84000000000037</v>
      </c>
      <c r="BC766" s="129">
        <f t="shared" si="4284"/>
        <v>428.05999999999972</v>
      </c>
      <c r="BD766" s="129">
        <f t="shared" si="4285"/>
        <v>381.67000000000007</v>
      </c>
      <c r="BE766" s="129">
        <f t="shared" si="4286"/>
        <v>333.88000000000011</v>
      </c>
      <c r="BF766" s="129">
        <f t="shared" si="4287"/>
        <v>602.25999999999976</v>
      </c>
      <c r="BG766" s="129">
        <f t="shared" si="4288"/>
        <v>714.47000000000025</v>
      </c>
      <c r="BH766" s="129">
        <f t="shared" si="4289"/>
        <v>226.29000000000042</v>
      </c>
      <c r="BI766" s="129">
        <f t="shared" si="4290"/>
        <v>358.14999999999918</v>
      </c>
      <c r="BJ766" s="19">
        <f t="shared" si="4339"/>
        <v>206.15</v>
      </c>
      <c r="BK766" s="129">
        <f t="shared" si="4291"/>
        <v>293.52999999999997</v>
      </c>
      <c r="BL766" s="129">
        <f t="shared" si="4292"/>
        <v>0</v>
      </c>
      <c r="BM766" s="408"/>
      <c r="BN766" s="48">
        <f t="shared" si="4305"/>
        <v>308.48999999999995</v>
      </c>
      <c r="BO766" s="48">
        <f t="shared" si="4306"/>
        <v>308.48999999999995</v>
      </c>
      <c r="BP766" s="48">
        <f t="shared" si="4369"/>
        <v>308.48999999999995</v>
      </c>
      <c r="BQ766" s="48">
        <f t="shared" si="4308"/>
        <v>227.72000000000008</v>
      </c>
      <c r="BR766" s="48">
        <f t="shared" si="4309"/>
        <v>227.72000000000008</v>
      </c>
      <c r="BS766" s="48">
        <f t="shared" si="4370"/>
        <v>227.72000000000008</v>
      </c>
      <c r="BT766" s="48">
        <f t="shared" si="4311"/>
        <v>305.94999999999993</v>
      </c>
      <c r="BU766" s="48">
        <f t="shared" si="4312"/>
        <v>305.94999999999993</v>
      </c>
      <c r="BV766" s="48">
        <f t="shared" si="4371"/>
        <v>305.94999999999993</v>
      </c>
      <c r="BW766" s="48">
        <f t="shared" si="4314"/>
        <v>330.39000000000021</v>
      </c>
      <c r="BX766" s="48">
        <f t="shared" si="4315"/>
        <v>330.39000000000021</v>
      </c>
      <c r="BY766" s="48">
        <f t="shared" si="4372"/>
        <v>330.39000000000021</v>
      </c>
      <c r="BZ766" s="48">
        <f t="shared" si="4317"/>
        <v>711.91000000000008</v>
      </c>
      <c r="CA766" s="48">
        <f t="shared" si="4318"/>
        <v>711.91000000000008</v>
      </c>
      <c r="CB766" s="48">
        <f t="shared" si="4373"/>
        <v>711.91000000000008</v>
      </c>
      <c r="CC766" s="48">
        <f t="shared" si="4320"/>
        <v>985.93999999999983</v>
      </c>
      <c r="CD766" s="48">
        <f t="shared" si="4321"/>
        <v>985.93999999999983</v>
      </c>
      <c r="CE766" s="48">
        <f t="shared" si="4374"/>
        <v>985.93999999999983</v>
      </c>
      <c r="CF766" s="48">
        <f t="shared" si="4323"/>
        <v>1317.81</v>
      </c>
      <c r="CG766" s="48">
        <f t="shared" si="4324"/>
        <v>1317.81</v>
      </c>
      <c r="CH766" s="48">
        <f t="shared" si="4375"/>
        <v>1317.81</v>
      </c>
      <c r="CI766" s="48">
        <f t="shared" si="4326"/>
        <v>1298.9099999999999</v>
      </c>
      <c r="CJ766" s="48">
        <f t="shared" si="4327"/>
        <v>1298.9099999999999</v>
      </c>
      <c r="CK766" s="48">
        <f t="shared" si="4376"/>
        <v>1298.9099999999999</v>
      </c>
      <c r="CL766" s="48">
        <f t="shared" si="4329"/>
        <v>499.67999999999995</v>
      </c>
      <c r="CM766" s="48">
        <f t="shared" si="4330"/>
        <v>499.67999999999995</v>
      </c>
      <c r="CN766" s="48">
        <f t="shared" si="4377"/>
        <v>499.67999999999995</v>
      </c>
      <c r="CO766" s="406"/>
      <c r="CP766" s="21">
        <f t="shared" si="4404"/>
        <v>86.77000000000001</v>
      </c>
      <c r="CQ766" s="21">
        <f t="shared" si="4405"/>
        <v>218.39000000000001</v>
      </c>
      <c r="CR766" s="21">
        <f t="shared" si="4378"/>
        <v>308.48999999999995</v>
      </c>
      <c r="CS766" s="21">
        <f t="shared" si="4379"/>
        <v>397.09</v>
      </c>
      <c r="CT766" s="21">
        <f t="shared" si="4380"/>
        <v>482.99</v>
      </c>
      <c r="CU766" s="21">
        <f t="shared" si="4381"/>
        <v>536.21</v>
      </c>
      <c r="CV766" s="21">
        <f t="shared" si="4382"/>
        <v>593.78</v>
      </c>
      <c r="CW766" s="21">
        <f t="shared" si="4383"/>
        <v>681.31999999999994</v>
      </c>
      <c r="CX766" s="21">
        <f t="shared" si="4384"/>
        <v>842.16</v>
      </c>
      <c r="CY766" s="21">
        <f t="shared" si="4385"/>
        <v>965.18999999999994</v>
      </c>
      <c r="CZ766" s="21">
        <f t="shared" si="4386"/>
        <v>1015.09</v>
      </c>
      <c r="DA766" s="21">
        <f t="shared" si="4387"/>
        <v>1172.5500000000002</v>
      </c>
      <c r="DB766" s="21">
        <f t="shared" si="4406"/>
        <v>161.76</v>
      </c>
      <c r="DC766" s="21">
        <f t="shared" si="4388"/>
        <v>451.58000000000004</v>
      </c>
      <c r="DD766" s="21">
        <f t="shared" si="4389"/>
        <v>711.91000000000008</v>
      </c>
      <c r="DE766" s="21">
        <f t="shared" si="4390"/>
        <v>983.94999999999982</v>
      </c>
      <c r="DF766" s="21">
        <f t="shared" si="4391"/>
        <v>1269.7900000000002</v>
      </c>
      <c r="DG766" s="21">
        <f t="shared" si="4392"/>
        <v>1697.85</v>
      </c>
      <c r="DH766" s="21">
        <f t="shared" si="4393"/>
        <v>2079.52</v>
      </c>
      <c r="DI766" s="21">
        <f t="shared" si="4394"/>
        <v>2413.4</v>
      </c>
      <c r="DJ766" s="21">
        <f t="shared" si="4395"/>
        <v>3015.66</v>
      </c>
      <c r="DK766" s="21">
        <f t="shared" si="4396"/>
        <v>3730.13</v>
      </c>
      <c r="DL766" s="21">
        <f t="shared" si="4397"/>
        <v>3956.4200000000005</v>
      </c>
      <c r="DM766" s="21">
        <f t="shared" si="4398"/>
        <v>4314.57</v>
      </c>
      <c r="DN766" s="21">
        <f t="shared" si="4399"/>
        <v>206.15</v>
      </c>
      <c r="DO766" s="21">
        <f t="shared" si="4400"/>
        <v>499.67999999999995</v>
      </c>
      <c r="DP766" s="21">
        <f t="shared" si="4401"/>
        <v>499.67999999999995</v>
      </c>
      <c r="DQ766" s="248"/>
      <c r="DR766" s="248"/>
      <c r="DS766" s="248"/>
      <c r="DT766" s="248"/>
      <c r="DU766" s="248"/>
      <c r="DV766" s="248"/>
      <c r="DW766" s="248"/>
      <c r="DX766" s="248"/>
      <c r="DY766" s="248"/>
      <c r="ED766" s="429"/>
      <c r="EE766" s="23"/>
      <c r="EF766" s="23"/>
      <c r="EG766" s="23"/>
      <c r="EH766" s="18">
        <f t="shared" si="4296"/>
        <v>293.52999999999997</v>
      </c>
      <c r="EI766" s="18">
        <f t="shared" si="4297"/>
        <v>499.67999999999995</v>
      </c>
      <c r="EJ766" s="18">
        <f t="shared" si="4298"/>
        <v>499.67999999999995</v>
      </c>
      <c r="EK766" s="24">
        <f t="shared" si="4347"/>
        <v>0.16666666666666666</v>
      </c>
      <c r="EL766" s="14" t="e">
        <f t="shared" si="4356"/>
        <v>#DIV/0!</v>
      </c>
      <c r="EM766" s="14" t="e">
        <f t="shared" si="4356"/>
        <v>#VALUE!</v>
      </c>
      <c r="EN766" s="14">
        <f>EJ766/EK766/EG741</f>
        <v>1.542228912618568</v>
      </c>
      <c r="EO766" s="46" t="str">
        <f t="shared" si="4357"/>
        <v>Ç</v>
      </c>
      <c r="EP766" s="46" t="e">
        <f t="shared" si="4358"/>
        <v>#VALUE!</v>
      </c>
      <c r="EQ766" s="2" t="e">
        <f t="shared" si="4301"/>
        <v>#DIV/0!</v>
      </c>
      <c r="ER766" s="2" t="e">
        <f t="shared" si="4302"/>
        <v>#VALUE!</v>
      </c>
      <c r="ES766" s="2">
        <f t="shared" si="4303"/>
        <v>1</v>
      </c>
    </row>
    <row r="767" spans="1:149" ht="12.75" customHeight="1">
      <c r="A767" s="6" t="s">
        <v>23</v>
      </c>
      <c r="B767" s="2" t="s">
        <v>11</v>
      </c>
      <c r="C767" s="3" t="s">
        <v>67</v>
      </c>
      <c r="E767" s="3" t="s">
        <v>16</v>
      </c>
      <c r="G767" s="28" t="s">
        <v>91</v>
      </c>
      <c r="H767" s="28"/>
      <c r="I767" s="29"/>
      <c r="J767" s="139">
        <f t="shared" ref="J767:AJ767" si="4408">IF(J41="","",J41+J107+J173+J239+J305+J371+J437+J503+J569+J635+J701)</f>
        <v>138</v>
      </c>
      <c r="K767" s="139">
        <f t="shared" si="4408"/>
        <v>287</v>
      </c>
      <c r="L767" s="139">
        <f t="shared" si="4408"/>
        <v>412</v>
      </c>
      <c r="M767" s="139">
        <f t="shared" si="4408"/>
        <v>565</v>
      </c>
      <c r="N767" s="139">
        <f t="shared" si="4408"/>
        <v>678</v>
      </c>
      <c r="O767" s="139">
        <f t="shared" si="4408"/>
        <v>788</v>
      </c>
      <c r="P767" s="139">
        <f t="shared" si="4408"/>
        <v>911</v>
      </c>
      <c r="Q767" s="139">
        <f t="shared" si="4408"/>
        <v>1095</v>
      </c>
      <c r="R767" s="139">
        <f t="shared" si="4408"/>
        <v>1306</v>
      </c>
      <c r="S767" s="139">
        <f t="shared" si="4408"/>
        <v>1535</v>
      </c>
      <c r="T767" s="139">
        <f t="shared" si="4408"/>
        <v>1722</v>
      </c>
      <c r="U767" s="280">
        <f t="shared" si="4408"/>
        <v>1953</v>
      </c>
      <c r="V767" s="141">
        <f t="shared" si="4408"/>
        <v>230</v>
      </c>
      <c r="W767" s="139">
        <f t="shared" si="4408"/>
        <v>435</v>
      </c>
      <c r="X767" s="139">
        <f t="shared" si="4408"/>
        <v>673</v>
      </c>
      <c r="Y767" s="139">
        <f t="shared" si="4408"/>
        <v>948</v>
      </c>
      <c r="Z767" s="139">
        <f t="shared" si="4408"/>
        <v>1170</v>
      </c>
      <c r="AA767" s="139">
        <f t="shared" si="4408"/>
        <v>1389</v>
      </c>
      <c r="AB767" s="139">
        <f t="shared" si="4408"/>
        <v>1630</v>
      </c>
      <c r="AC767" s="139">
        <f t="shared" si="4408"/>
        <v>1882</v>
      </c>
      <c r="AD767" s="139">
        <f t="shared" si="4408"/>
        <v>2177</v>
      </c>
      <c r="AE767" s="139">
        <f t="shared" si="4408"/>
        <v>2404</v>
      </c>
      <c r="AF767" s="139">
        <f t="shared" si="4408"/>
        <v>2639</v>
      </c>
      <c r="AG767" s="139">
        <f t="shared" si="4408"/>
        <v>2888</v>
      </c>
      <c r="AH767" s="141">
        <f t="shared" si="4408"/>
        <v>222</v>
      </c>
      <c r="AI767" s="139">
        <f t="shared" si="4408"/>
        <v>488</v>
      </c>
      <c r="AJ767" s="139" t="str">
        <f t="shared" si="4408"/>
        <v/>
      </c>
      <c r="AK767" s="408"/>
      <c r="AL767" s="19">
        <f t="shared" si="4336"/>
        <v>138</v>
      </c>
      <c r="AM767" s="19">
        <f t="shared" si="4403"/>
        <v>149</v>
      </c>
      <c r="AN767" s="19">
        <f t="shared" si="4365"/>
        <v>125</v>
      </c>
      <c r="AO767" s="19">
        <f t="shared" si="4366"/>
        <v>153</v>
      </c>
      <c r="AP767" s="129">
        <f t="shared" si="4367"/>
        <v>113</v>
      </c>
      <c r="AQ767" s="129">
        <f t="shared" si="4368"/>
        <v>110</v>
      </c>
      <c r="AR767" s="129">
        <f t="shared" si="4275"/>
        <v>123</v>
      </c>
      <c r="AS767" s="129">
        <f t="shared" si="4276"/>
        <v>184</v>
      </c>
      <c r="AT767" s="129">
        <f t="shared" si="4277"/>
        <v>211</v>
      </c>
      <c r="AU767" s="129">
        <f t="shared" si="4278"/>
        <v>229</v>
      </c>
      <c r="AV767" s="129">
        <f t="shared" si="4279"/>
        <v>187</v>
      </c>
      <c r="AW767" s="129">
        <f t="shared" si="4280"/>
        <v>231</v>
      </c>
      <c r="AX767" s="19">
        <f t="shared" si="4337"/>
        <v>230</v>
      </c>
      <c r="AY767" s="129">
        <f t="shared" si="4281"/>
        <v>205</v>
      </c>
      <c r="AZ767" s="129">
        <f t="shared" si="4282"/>
        <v>238</v>
      </c>
      <c r="BA767" s="129">
        <f t="shared" si="4338"/>
        <v>275</v>
      </c>
      <c r="BB767" s="129">
        <f t="shared" si="4283"/>
        <v>222</v>
      </c>
      <c r="BC767" s="129">
        <f t="shared" si="4284"/>
        <v>219</v>
      </c>
      <c r="BD767" s="129">
        <f t="shared" si="4285"/>
        <v>241</v>
      </c>
      <c r="BE767" s="129">
        <f t="shared" si="4286"/>
        <v>252</v>
      </c>
      <c r="BF767" s="129">
        <f t="shared" si="4287"/>
        <v>295</v>
      </c>
      <c r="BG767" s="129">
        <f t="shared" si="4288"/>
        <v>227</v>
      </c>
      <c r="BH767" s="129">
        <f t="shared" si="4289"/>
        <v>235</v>
      </c>
      <c r="BI767" s="129">
        <f t="shared" si="4290"/>
        <v>249</v>
      </c>
      <c r="BJ767" s="19">
        <f t="shared" si="4339"/>
        <v>222</v>
      </c>
      <c r="BK767" s="129">
        <f t="shared" si="4291"/>
        <v>266</v>
      </c>
      <c r="BL767" s="129">
        <f t="shared" si="4292"/>
        <v>0</v>
      </c>
      <c r="BM767" s="408"/>
      <c r="BN767" s="48">
        <f t="shared" si="4305"/>
        <v>412</v>
      </c>
      <c r="BO767" s="48">
        <f t="shared" si="4306"/>
        <v>412</v>
      </c>
      <c r="BP767" s="48">
        <f t="shared" si="4369"/>
        <v>412</v>
      </c>
      <c r="BQ767" s="48">
        <f t="shared" si="4308"/>
        <v>376</v>
      </c>
      <c r="BR767" s="48">
        <f t="shared" si="4309"/>
        <v>376</v>
      </c>
      <c r="BS767" s="48">
        <f t="shared" si="4370"/>
        <v>376</v>
      </c>
      <c r="BT767" s="48">
        <f t="shared" si="4311"/>
        <v>518</v>
      </c>
      <c r="BU767" s="48">
        <f t="shared" si="4312"/>
        <v>518</v>
      </c>
      <c r="BV767" s="48">
        <f t="shared" si="4371"/>
        <v>518</v>
      </c>
      <c r="BW767" s="48">
        <f t="shared" si="4314"/>
        <v>647</v>
      </c>
      <c r="BX767" s="48">
        <f t="shared" si="4315"/>
        <v>647</v>
      </c>
      <c r="BY767" s="48">
        <f t="shared" si="4372"/>
        <v>647</v>
      </c>
      <c r="BZ767" s="48">
        <f t="shared" si="4317"/>
        <v>673</v>
      </c>
      <c r="CA767" s="48">
        <f t="shared" si="4318"/>
        <v>673</v>
      </c>
      <c r="CB767" s="48">
        <f t="shared" si="4373"/>
        <v>673</v>
      </c>
      <c r="CC767" s="48">
        <f t="shared" si="4320"/>
        <v>716</v>
      </c>
      <c r="CD767" s="48">
        <f t="shared" si="4321"/>
        <v>716</v>
      </c>
      <c r="CE767" s="48">
        <f t="shared" si="4374"/>
        <v>716</v>
      </c>
      <c r="CF767" s="48">
        <f t="shared" si="4323"/>
        <v>788</v>
      </c>
      <c r="CG767" s="48">
        <f t="shared" si="4324"/>
        <v>788</v>
      </c>
      <c r="CH767" s="48">
        <f t="shared" si="4375"/>
        <v>788</v>
      </c>
      <c r="CI767" s="48">
        <f t="shared" si="4326"/>
        <v>711</v>
      </c>
      <c r="CJ767" s="48">
        <f t="shared" si="4327"/>
        <v>711</v>
      </c>
      <c r="CK767" s="48">
        <f t="shared" si="4376"/>
        <v>711</v>
      </c>
      <c r="CL767" s="48">
        <f t="shared" si="4329"/>
        <v>488</v>
      </c>
      <c r="CM767" s="48">
        <f t="shared" si="4330"/>
        <v>488</v>
      </c>
      <c r="CN767" s="48">
        <f t="shared" si="4377"/>
        <v>488</v>
      </c>
      <c r="CO767" s="406"/>
      <c r="CP767" s="21">
        <f t="shared" si="4404"/>
        <v>138</v>
      </c>
      <c r="CQ767" s="21">
        <f t="shared" si="4405"/>
        <v>287</v>
      </c>
      <c r="CR767" s="21">
        <f t="shared" si="4378"/>
        <v>412</v>
      </c>
      <c r="CS767" s="21">
        <f t="shared" si="4379"/>
        <v>565</v>
      </c>
      <c r="CT767" s="21">
        <f t="shared" si="4380"/>
        <v>678</v>
      </c>
      <c r="CU767" s="21">
        <f t="shared" si="4381"/>
        <v>788</v>
      </c>
      <c r="CV767" s="21">
        <f t="shared" si="4382"/>
        <v>911</v>
      </c>
      <c r="CW767" s="21">
        <f t="shared" si="4383"/>
        <v>1095</v>
      </c>
      <c r="CX767" s="21">
        <f t="shared" si="4384"/>
        <v>1306</v>
      </c>
      <c r="CY767" s="21">
        <f t="shared" si="4385"/>
        <v>1535</v>
      </c>
      <c r="CZ767" s="21">
        <f t="shared" si="4386"/>
        <v>1722</v>
      </c>
      <c r="DA767" s="21">
        <f t="shared" si="4387"/>
        <v>1953</v>
      </c>
      <c r="DB767" s="21">
        <f t="shared" si="4406"/>
        <v>230</v>
      </c>
      <c r="DC767" s="21">
        <f t="shared" si="4388"/>
        <v>435</v>
      </c>
      <c r="DD767" s="21">
        <f t="shared" si="4389"/>
        <v>673</v>
      </c>
      <c r="DE767" s="21">
        <f t="shared" si="4390"/>
        <v>948</v>
      </c>
      <c r="DF767" s="21">
        <f t="shared" si="4391"/>
        <v>1170</v>
      </c>
      <c r="DG767" s="21">
        <f t="shared" si="4392"/>
        <v>1389</v>
      </c>
      <c r="DH767" s="21">
        <f t="shared" si="4393"/>
        <v>1630</v>
      </c>
      <c r="DI767" s="21">
        <f t="shared" si="4394"/>
        <v>1882</v>
      </c>
      <c r="DJ767" s="21">
        <f t="shared" si="4395"/>
        <v>2177</v>
      </c>
      <c r="DK767" s="21">
        <f t="shared" si="4396"/>
        <v>2404</v>
      </c>
      <c r="DL767" s="21">
        <f t="shared" si="4397"/>
        <v>2639</v>
      </c>
      <c r="DM767" s="21">
        <f t="shared" si="4398"/>
        <v>2888</v>
      </c>
      <c r="DN767" s="21">
        <f t="shared" si="4399"/>
        <v>222</v>
      </c>
      <c r="DO767" s="21">
        <f t="shared" si="4400"/>
        <v>488</v>
      </c>
      <c r="DP767" s="21">
        <f t="shared" si="4401"/>
        <v>488</v>
      </c>
      <c r="DQ767" s="248"/>
      <c r="DR767" s="248"/>
      <c r="DS767" s="248"/>
      <c r="DT767" s="248"/>
      <c r="DU767" s="248"/>
      <c r="DV767" s="248"/>
      <c r="DW767" s="248"/>
      <c r="DX767" s="248"/>
      <c r="DY767" s="248"/>
      <c r="ED767" s="429"/>
      <c r="EE767" s="23"/>
      <c r="EF767" s="23"/>
      <c r="EG767" s="23"/>
      <c r="EH767" s="18">
        <f t="shared" si="4296"/>
        <v>266</v>
      </c>
      <c r="EI767" s="18">
        <f t="shared" si="4297"/>
        <v>488</v>
      </c>
      <c r="EJ767" s="18">
        <f t="shared" si="4298"/>
        <v>488</v>
      </c>
      <c r="EK767" s="24">
        <f t="shared" si="4347"/>
        <v>0.16666666666666666</v>
      </c>
      <c r="EL767" s="14" t="e">
        <f t="shared" si="4356"/>
        <v>#DIV/0!</v>
      </c>
      <c r="EM767" s="14" t="e">
        <f t="shared" si="4356"/>
        <v>#VALUE!</v>
      </c>
      <c r="EN767" s="14">
        <f>EJ767/EG742</f>
        <v>0.39102813612771692</v>
      </c>
      <c r="EO767" s="46" t="str">
        <f t="shared" si="4357"/>
        <v>Ç</v>
      </c>
      <c r="EP767" s="46" t="str">
        <f t="shared" si="4358"/>
        <v>È</v>
      </c>
      <c r="EQ767" s="2" t="e">
        <f t="shared" si="4301"/>
        <v>#DIV/0!</v>
      </c>
      <c r="ER767" s="2" t="e">
        <f t="shared" si="4302"/>
        <v>#VALUE!</v>
      </c>
      <c r="ES767" s="2">
        <f t="shared" si="4303"/>
        <v>3</v>
      </c>
    </row>
    <row r="768" spans="1:149" ht="12.75" customHeight="1">
      <c r="A768" s="6" t="s">
        <v>23</v>
      </c>
      <c r="B768" s="2" t="s">
        <v>12</v>
      </c>
      <c r="C768" s="3" t="s">
        <v>68</v>
      </c>
      <c r="E768" s="3" t="s">
        <v>16</v>
      </c>
      <c r="G768" s="28" t="s">
        <v>91</v>
      </c>
      <c r="H768" s="28"/>
      <c r="I768" s="29"/>
      <c r="J768" s="139">
        <f t="shared" ref="J768:AJ768" si="4409">IF(J42="","",J42+J108+J174+J240+J306+J372+J438+J504+J570+J636+J702)</f>
        <v>74</v>
      </c>
      <c r="K768" s="139">
        <f t="shared" si="4409"/>
        <v>160</v>
      </c>
      <c r="L768" s="139">
        <f t="shared" si="4409"/>
        <v>231</v>
      </c>
      <c r="M768" s="139">
        <f t="shared" si="4409"/>
        <v>337</v>
      </c>
      <c r="N768" s="139">
        <f t="shared" si="4409"/>
        <v>393</v>
      </c>
      <c r="O768" s="139">
        <f t="shared" si="4409"/>
        <v>505</v>
      </c>
      <c r="P768" s="139">
        <f t="shared" si="4409"/>
        <v>584</v>
      </c>
      <c r="Q768" s="139">
        <f t="shared" si="4409"/>
        <v>753</v>
      </c>
      <c r="R768" s="139">
        <f t="shared" si="4409"/>
        <v>1053</v>
      </c>
      <c r="S768" s="139">
        <f t="shared" si="4409"/>
        <v>1245</v>
      </c>
      <c r="T768" s="139">
        <f t="shared" si="4409"/>
        <v>1413</v>
      </c>
      <c r="U768" s="280">
        <f t="shared" si="4409"/>
        <v>1711</v>
      </c>
      <c r="V768" s="141">
        <f t="shared" si="4409"/>
        <v>332</v>
      </c>
      <c r="W768" s="139">
        <f t="shared" si="4409"/>
        <v>736</v>
      </c>
      <c r="X768" s="139">
        <f t="shared" si="4409"/>
        <v>1083</v>
      </c>
      <c r="Y768" s="139">
        <f t="shared" si="4409"/>
        <v>1435</v>
      </c>
      <c r="Z768" s="139">
        <f t="shared" si="4409"/>
        <v>1683</v>
      </c>
      <c r="AA768" s="139">
        <f t="shared" si="4409"/>
        <v>1983</v>
      </c>
      <c r="AB768" s="139">
        <f t="shared" si="4409"/>
        <v>2302</v>
      </c>
      <c r="AC768" s="139">
        <f t="shared" si="4409"/>
        <v>2558</v>
      </c>
      <c r="AD768" s="139">
        <f t="shared" si="4409"/>
        <v>2849</v>
      </c>
      <c r="AE768" s="139">
        <f t="shared" si="4409"/>
        <v>3192</v>
      </c>
      <c r="AF768" s="139">
        <f t="shared" si="4409"/>
        <v>3447</v>
      </c>
      <c r="AG768" s="139">
        <f t="shared" si="4409"/>
        <v>3781</v>
      </c>
      <c r="AH768" s="141">
        <f t="shared" si="4409"/>
        <v>241</v>
      </c>
      <c r="AI768" s="139">
        <f t="shared" si="4409"/>
        <v>548</v>
      </c>
      <c r="AJ768" s="139" t="str">
        <f t="shared" si="4409"/>
        <v/>
      </c>
      <c r="AK768" s="408"/>
      <c r="AL768" s="19">
        <f t="shared" si="4336"/>
        <v>74</v>
      </c>
      <c r="AM768" s="19">
        <f t="shared" si="4403"/>
        <v>86</v>
      </c>
      <c r="AN768" s="19">
        <f t="shared" si="4365"/>
        <v>71</v>
      </c>
      <c r="AO768" s="19">
        <f t="shared" si="4366"/>
        <v>106</v>
      </c>
      <c r="AP768" s="129">
        <f t="shared" si="4367"/>
        <v>56</v>
      </c>
      <c r="AQ768" s="129">
        <f t="shared" si="4368"/>
        <v>112</v>
      </c>
      <c r="AR768" s="129">
        <f t="shared" si="4275"/>
        <v>79</v>
      </c>
      <c r="AS768" s="129">
        <f t="shared" si="4276"/>
        <v>169</v>
      </c>
      <c r="AT768" s="129">
        <f t="shared" si="4277"/>
        <v>300</v>
      </c>
      <c r="AU768" s="129">
        <f t="shared" si="4278"/>
        <v>192</v>
      </c>
      <c r="AV768" s="129">
        <f t="shared" si="4279"/>
        <v>168</v>
      </c>
      <c r="AW768" s="129">
        <f t="shared" si="4280"/>
        <v>298</v>
      </c>
      <c r="AX768" s="19">
        <f t="shared" si="4337"/>
        <v>332</v>
      </c>
      <c r="AY768" s="129">
        <f t="shared" si="4281"/>
        <v>404</v>
      </c>
      <c r="AZ768" s="129">
        <f t="shared" si="4282"/>
        <v>347</v>
      </c>
      <c r="BA768" s="129">
        <f t="shared" si="4338"/>
        <v>352</v>
      </c>
      <c r="BB768" s="129">
        <f t="shared" si="4283"/>
        <v>248</v>
      </c>
      <c r="BC768" s="129">
        <f t="shared" si="4284"/>
        <v>300</v>
      </c>
      <c r="BD768" s="129">
        <f t="shared" si="4285"/>
        <v>319</v>
      </c>
      <c r="BE768" s="129">
        <f t="shared" si="4286"/>
        <v>256</v>
      </c>
      <c r="BF768" s="129">
        <f t="shared" si="4287"/>
        <v>291</v>
      </c>
      <c r="BG768" s="129">
        <f t="shared" si="4288"/>
        <v>343</v>
      </c>
      <c r="BH768" s="129">
        <f t="shared" si="4289"/>
        <v>255</v>
      </c>
      <c r="BI768" s="129">
        <f t="shared" si="4290"/>
        <v>334</v>
      </c>
      <c r="BJ768" s="19">
        <f t="shared" si="4339"/>
        <v>241</v>
      </c>
      <c r="BK768" s="129">
        <f t="shared" si="4291"/>
        <v>307</v>
      </c>
      <c r="BL768" s="129">
        <f t="shared" si="4292"/>
        <v>0</v>
      </c>
      <c r="BM768" s="408"/>
      <c r="BN768" s="48">
        <f t="shared" si="4305"/>
        <v>231</v>
      </c>
      <c r="BO768" s="48">
        <f t="shared" si="4306"/>
        <v>231</v>
      </c>
      <c r="BP768" s="48">
        <f t="shared" si="4369"/>
        <v>231</v>
      </c>
      <c r="BQ768" s="48">
        <f t="shared" si="4308"/>
        <v>274</v>
      </c>
      <c r="BR768" s="48">
        <f t="shared" si="4309"/>
        <v>274</v>
      </c>
      <c r="BS768" s="48">
        <f t="shared" si="4370"/>
        <v>274</v>
      </c>
      <c r="BT768" s="48">
        <f t="shared" si="4311"/>
        <v>548</v>
      </c>
      <c r="BU768" s="48">
        <f t="shared" si="4312"/>
        <v>548</v>
      </c>
      <c r="BV768" s="48">
        <f t="shared" si="4371"/>
        <v>548</v>
      </c>
      <c r="BW768" s="48">
        <f t="shared" si="4314"/>
        <v>658</v>
      </c>
      <c r="BX768" s="48">
        <f t="shared" si="4315"/>
        <v>658</v>
      </c>
      <c r="BY768" s="48">
        <f t="shared" si="4372"/>
        <v>658</v>
      </c>
      <c r="BZ768" s="48">
        <f t="shared" si="4317"/>
        <v>1083</v>
      </c>
      <c r="CA768" s="48">
        <f t="shared" si="4318"/>
        <v>1083</v>
      </c>
      <c r="CB768" s="48">
        <f t="shared" si="4373"/>
        <v>1083</v>
      </c>
      <c r="CC768" s="48">
        <f t="shared" si="4320"/>
        <v>900</v>
      </c>
      <c r="CD768" s="48">
        <f t="shared" si="4321"/>
        <v>900</v>
      </c>
      <c r="CE768" s="48">
        <f t="shared" si="4374"/>
        <v>900</v>
      </c>
      <c r="CF768" s="48">
        <f t="shared" si="4323"/>
        <v>866</v>
      </c>
      <c r="CG768" s="48">
        <f t="shared" si="4324"/>
        <v>866</v>
      </c>
      <c r="CH768" s="48">
        <f t="shared" si="4375"/>
        <v>866</v>
      </c>
      <c r="CI768" s="48">
        <f t="shared" si="4326"/>
        <v>932</v>
      </c>
      <c r="CJ768" s="48">
        <f t="shared" si="4327"/>
        <v>932</v>
      </c>
      <c r="CK768" s="48">
        <f t="shared" si="4376"/>
        <v>932</v>
      </c>
      <c r="CL768" s="48">
        <f t="shared" si="4329"/>
        <v>548</v>
      </c>
      <c r="CM768" s="48">
        <f t="shared" si="4330"/>
        <v>548</v>
      </c>
      <c r="CN768" s="48">
        <f t="shared" si="4377"/>
        <v>548</v>
      </c>
      <c r="CO768" s="406"/>
      <c r="CP768" s="21">
        <f t="shared" si="4404"/>
        <v>74</v>
      </c>
      <c r="CQ768" s="21">
        <f t="shared" si="4405"/>
        <v>160</v>
      </c>
      <c r="CR768" s="21">
        <f t="shared" si="4378"/>
        <v>231</v>
      </c>
      <c r="CS768" s="21">
        <f t="shared" si="4379"/>
        <v>337</v>
      </c>
      <c r="CT768" s="21">
        <f t="shared" si="4380"/>
        <v>393</v>
      </c>
      <c r="CU768" s="21">
        <f t="shared" si="4381"/>
        <v>505</v>
      </c>
      <c r="CV768" s="21">
        <f t="shared" si="4382"/>
        <v>584</v>
      </c>
      <c r="CW768" s="21">
        <f t="shared" si="4383"/>
        <v>753</v>
      </c>
      <c r="CX768" s="21">
        <f t="shared" si="4384"/>
        <v>1053</v>
      </c>
      <c r="CY768" s="21">
        <f t="shared" si="4385"/>
        <v>1245</v>
      </c>
      <c r="CZ768" s="21">
        <f t="shared" si="4386"/>
        <v>1413</v>
      </c>
      <c r="DA768" s="21">
        <f t="shared" si="4387"/>
        <v>1711</v>
      </c>
      <c r="DB768" s="21">
        <f t="shared" si="4406"/>
        <v>332</v>
      </c>
      <c r="DC768" s="21">
        <f t="shared" si="4388"/>
        <v>736</v>
      </c>
      <c r="DD768" s="21">
        <f t="shared" si="4389"/>
        <v>1083</v>
      </c>
      <c r="DE768" s="21">
        <f t="shared" si="4390"/>
        <v>1435</v>
      </c>
      <c r="DF768" s="21">
        <f t="shared" si="4391"/>
        <v>1683</v>
      </c>
      <c r="DG768" s="21">
        <f t="shared" si="4392"/>
        <v>1983</v>
      </c>
      <c r="DH768" s="21">
        <f t="shared" si="4393"/>
        <v>2302</v>
      </c>
      <c r="DI768" s="21">
        <f t="shared" si="4394"/>
        <v>2558</v>
      </c>
      <c r="DJ768" s="21">
        <f t="shared" si="4395"/>
        <v>2849</v>
      </c>
      <c r="DK768" s="21">
        <f t="shared" si="4396"/>
        <v>3192</v>
      </c>
      <c r="DL768" s="21">
        <f t="shared" si="4397"/>
        <v>3447</v>
      </c>
      <c r="DM768" s="21">
        <f t="shared" si="4398"/>
        <v>3781</v>
      </c>
      <c r="DN768" s="21">
        <f t="shared" si="4399"/>
        <v>241</v>
      </c>
      <c r="DO768" s="21">
        <f t="shared" si="4400"/>
        <v>548</v>
      </c>
      <c r="DP768" s="21">
        <f t="shared" si="4401"/>
        <v>548</v>
      </c>
      <c r="DQ768" s="248"/>
      <c r="DR768" s="248"/>
      <c r="DS768" s="248"/>
      <c r="DT768" s="248"/>
      <c r="DU768" s="248"/>
      <c r="DV768" s="248"/>
      <c r="DW768" s="248"/>
      <c r="DX768" s="248"/>
      <c r="DY768" s="248"/>
      <c r="ED768" s="429"/>
      <c r="EE768" s="23"/>
      <c r="EF768" s="23"/>
      <c r="EG768" s="23"/>
      <c r="EH768" s="18">
        <f t="shared" si="4296"/>
        <v>307</v>
      </c>
      <c r="EI768" s="18">
        <f t="shared" si="4297"/>
        <v>548</v>
      </c>
      <c r="EJ768" s="18">
        <f t="shared" si="4298"/>
        <v>548</v>
      </c>
      <c r="EK768" s="24">
        <f t="shared" si="4347"/>
        <v>0.16666666666666666</v>
      </c>
      <c r="EL768" s="14" t="e">
        <f t="shared" si="4356"/>
        <v>#DIV/0!</v>
      </c>
      <c r="EM768" s="14" t="e">
        <f t="shared" si="4356"/>
        <v>#VALUE!</v>
      </c>
      <c r="EN768" s="14">
        <f t="shared" si="4356"/>
        <v>0.38591667969683197</v>
      </c>
      <c r="EO768" s="46" t="str">
        <f t="shared" si="4357"/>
        <v>Ç</v>
      </c>
      <c r="EP768" s="46" t="str">
        <f t="shared" si="4358"/>
        <v>È</v>
      </c>
      <c r="EQ768" s="2" t="e">
        <f t="shared" si="4301"/>
        <v>#DIV/0!</v>
      </c>
      <c r="ER768" s="2" t="e">
        <f t="shared" si="4302"/>
        <v>#VALUE!</v>
      </c>
      <c r="ES768" s="2">
        <f t="shared" si="4303"/>
        <v>3</v>
      </c>
    </row>
    <row r="769" spans="1:149" ht="12.75" customHeight="1">
      <c r="A769" s="6" t="s">
        <v>23</v>
      </c>
      <c r="B769" s="2" t="s">
        <v>17</v>
      </c>
      <c r="C769" s="3" t="s">
        <v>69</v>
      </c>
      <c r="E769" s="3" t="s">
        <v>18</v>
      </c>
      <c r="G769" s="28" t="s">
        <v>91</v>
      </c>
      <c r="H769" s="28"/>
      <c r="I769" s="29"/>
      <c r="J769" s="139">
        <f t="shared" ref="J769:J775" si="4410">IF(J43="","",J43+J109+J175+J241+J307+J373+J439+J505+J571+J637+J703)</f>
        <v>0</v>
      </c>
      <c r="K769" s="139"/>
      <c r="L769" s="139">
        <f t="shared" ref="L769:AJ769" si="4411">IF(L43="","",L43+L109+L175+L241+L307+L373+L439+L505+L571+L637+L703)</f>
        <v>26</v>
      </c>
      <c r="M769" s="139">
        <f t="shared" si="4411"/>
        <v>26</v>
      </c>
      <c r="N769" s="139">
        <f t="shared" si="4411"/>
        <v>26</v>
      </c>
      <c r="O769" s="139">
        <f t="shared" si="4411"/>
        <v>26</v>
      </c>
      <c r="P769" s="139">
        <f t="shared" si="4411"/>
        <v>51</v>
      </c>
      <c r="Q769" s="139">
        <f t="shared" si="4411"/>
        <v>51</v>
      </c>
      <c r="R769" s="139">
        <f t="shared" si="4411"/>
        <v>51</v>
      </c>
      <c r="S769" s="139">
        <f t="shared" si="4411"/>
        <v>51</v>
      </c>
      <c r="T769" s="139">
        <f t="shared" si="4411"/>
        <v>84</v>
      </c>
      <c r="U769" s="280">
        <f t="shared" si="4411"/>
        <v>86</v>
      </c>
      <c r="V769" s="141">
        <f t="shared" si="4411"/>
        <v>0</v>
      </c>
      <c r="W769" s="139">
        <f t="shared" si="4411"/>
        <v>26</v>
      </c>
      <c r="X769" s="139">
        <f t="shared" si="4411"/>
        <v>26</v>
      </c>
      <c r="Y769" s="139">
        <f t="shared" si="4411"/>
        <v>26</v>
      </c>
      <c r="Z769" s="139">
        <f t="shared" si="4411"/>
        <v>26</v>
      </c>
      <c r="AA769" s="139">
        <f t="shared" si="4411"/>
        <v>26</v>
      </c>
      <c r="AB769" s="139">
        <f t="shared" si="4411"/>
        <v>56</v>
      </c>
      <c r="AC769" s="139">
        <f t="shared" si="4411"/>
        <v>56</v>
      </c>
      <c r="AD769" s="139">
        <f t="shared" si="4411"/>
        <v>56</v>
      </c>
      <c r="AE769" s="139">
        <f t="shared" si="4411"/>
        <v>56</v>
      </c>
      <c r="AF769" s="139" t="str">
        <f t="shared" si="4411"/>
        <v/>
      </c>
      <c r="AG769" s="139">
        <f t="shared" si="4411"/>
        <v>22</v>
      </c>
      <c r="AH769" s="141" t="str">
        <f t="shared" si="4411"/>
        <v/>
      </c>
      <c r="AI769" s="139" t="str">
        <f t="shared" si="4411"/>
        <v/>
      </c>
      <c r="AJ769" s="139" t="str">
        <f t="shared" si="4411"/>
        <v/>
      </c>
      <c r="AK769" s="408"/>
      <c r="AL769" s="19">
        <f t="shared" si="4336"/>
        <v>0</v>
      </c>
      <c r="AM769" s="19">
        <f t="shared" si="4403"/>
        <v>0</v>
      </c>
      <c r="AN769" s="19">
        <f t="shared" si="4365"/>
        <v>26</v>
      </c>
      <c r="AO769" s="19">
        <f t="shared" si="4366"/>
        <v>0</v>
      </c>
      <c r="AP769" s="129">
        <f t="shared" si="4367"/>
        <v>0</v>
      </c>
      <c r="AQ769" s="129">
        <f t="shared" si="4368"/>
        <v>0</v>
      </c>
      <c r="AR769" s="129">
        <f t="shared" si="4275"/>
        <v>25</v>
      </c>
      <c r="AS769" s="129">
        <f t="shared" si="4276"/>
        <v>0</v>
      </c>
      <c r="AT769" s="129">
        <f t="shared" si="4277"/>
        <v>0</v>
      </c>
      <c r="AU769" s="129">
        <f t="shared" si="4278"/>
        <v>0</v>
      </c>
      <c r="AV769" s="129">
        <f t="shared" si="4279"/>
        <v>33</v>
      </c>
      <c r="AW769" s="129">
        <f t="shared" si="4280"/>
        <v>2</v>
      </c>
      <c r="AX769" s="19">
        <f t="shared" si="4337"/>
        <v>0</v>
      </c>
      <c r="AY769" s="129">
        <f t="shared" si="4281"/>
        <v>26</v>
      </c>
      <c r="AZ769" s="129">
        <f t="shared" si="4282"/>
        <v>0</v>
      </c>
      <c r="BA769" s="129">
        <f t="shared" si="4338"/>
        <v>0</v>
      </c>
      <c r="BB769" s="129">
        <f t="shared" si="4283"/>
        <v>0</v>
      </c>
      <c r="BC769" s="129">
        <f t="shared" si="4284"/>
        <v>0</v>
      </c>
      <c r="BD769" s="129">
        <f t="shared" si="4285"/>
        <v>30</v>
      </c>
      <c r="BE769" s="129">
        <f t="shared" si="4286"/>
        <v>0</v>
      </c>
      <c r="BF769" s="129">
        <f t="shared" si="4287"/>
        <v>0</v>
      </c>
      <c r="BG769" s="129">
        <f t="shared" si="4288"/>
        <v>0</v>
      </c>
      <c r="BH769" s="129">
        <f t="shared" si="4289"/>
        <v>0</v>
      </c>
      <c r="BI769" s="129" t="e">
        <f t="shared" si="4290"/>
        <v>#VALUE!</v>
      </c>
      <c r="BJ769" s="19" t="str">
        <f t="shared" si="4339"/>
        <v/>
      </c>
      <c r="BK769" s="129">
        <f t="shared" si="4291"/>
        <v>0</v>
      </c>
      <c r="BL769" s="129">
        <f t="shared" si="4292"/>
        <v>0</v>
      </c>
      <c r="BM769" s="408"/>
      <c r="BN769" s="48">
        <f t="shared" si="4305"/>
        <v>26</v>
      </c>
      <c r="BO769" s="48">
        <f t="shared" si="4306"/>
        <v>26</v>
      </c>
      <c r="BP769" s="48">
        <f t="shared" si="4369"/>
        <v>26</v>
      </c>
      <c r="BQ769" s="48">
        <f t="shared" si="4308"/>
        <v>0</v>
      </c>
      <c r="BR769" s="48">
        <f t="shared" si="4309"/>
        <v>0</v>
      </c>
      <c r="BS769" s="48">
        <f t="shared" si="4370"/>
        <v>0</v>
      </c>
      <c r="BT769" s="48">
        <f t="shared" si="4311"/>
        <v>25</v>
      </c>
      <c r="BU769" s="48">
        <f t="shared" si="4312"/>
        <v>25</v>
      </c>
      <c r="BV769" s="48">
        <f t="shared" si="4371"/>
        <v>25</v>
      </c>
      <c r="BW769" s="48">
        <f t="shared" si="4314"/>
        <v>35</v>
      </c>
      <c r="BX769" s="48">
        <f t="shared" si="4315"/>
        <v>35</v>
      </c>
      <c r="BY769" s="48">
        <f t="shared" si="4372"/>
        <v>35</v>
      </c>
      <c r="BZ769" s="48">
        <f t="shared" si="4317"/>
        <v>26</v>
      </c>
      <c r="CA769" s="48">
        <f t="shared" si="4318"/>
        <v>26</v>
      </c>
      <c r="CB769" s="48">
        <f t="shared" si="4373"/>
        <v>26</v>
      </c>
      <c r="CC769" s="48">
        <f t="shared" si="4320"/>
        <v>0</v>
      </c>
      <c r="CD769" s="48">
        <f t="shared" si="4321"/>
        <v>0</v>
      </c>
      <c r="CE769" s="48">
        <f t="shared" si="4374"/>
        <v>0</v>
      </c>
      <c r="CF769" s="48">
        <f t="shared" si="4323"/>
        <v>30</v>
      </c>
      <c r="CG769" s="48">
        <f t="shared" si="4324"/>
        <v>30</v>
      </c>
      <c r="CH769" s="48">
        <f t="shared" si="4375"/>
        <v>30</v>
      </c>
      <c r="CI769" s="48" t="e">
        <f t="shared" si="4326"/>
        <v>#VALUE!</v>
      </c>
      <c r="CJ769" s="48" t="e">
        <f t="shared" si="4327"/>
        <v>#VALUE!</v>
      </c>
      <c r="CK769" s="48" t="e">
        <f t="shared" si="4376"/>
        <v>#VALUE!</v>
      </c>
      <c r="CL769" s="48">
        <f t="shared" si="4329"/>
        <v>0</v>
      </c>
      <c r="CM769" s="48">
        <f t="shared" si="4330"/>
        <v>0</v>
      </c>
      <c r="CN769" s="48">
        <f t="shared" si="4377"/>
        <v>0</v>
      </c>
      <c r="CO769" s="406"/>
      <c r="CP769" s="21">
        <f t="shared" si="4404"/>
        <v>0</v>
      </c>
      <c r="CQ769" s="21">
        <f t="shared" si="4405"/>
        <v>0</v>
      </c>
      <c r="CR769" s="21">
        <f t="shared" si="4378"/>
        <v>26</v>
      </c>
      <c r="CS769" s="21">
        <f t="shared" si="4379"/>
        <v>26</v>
      </c>
      <c r="CT769" s="21">
        <f t="shared" si="4380"/>
        <v>26</v>
      </c>
      <c r="CU769" s="21">
        <f t="shared" si="4381"/>
        <v>26</v>
      </c>
      <c r="CV769" s="21">
        <f t="shared" si="4382"/>
        <v>51</v>
      </c>
      <c r="CW769" s="21">
        <f t="shared" si="4383"/>
        <v>51</v>
      </c>
      <c r="CX769" s="21">
        <f t="shared" si="4384"/>
        <v>51</v>
      </c>
      <c r="CY769" s="21">
        <f t="shared" si="4385"/>
        <v>51</v>
      </c>
      <c r="CZ769" s="21">
        <f t="shared" si="4386"/>
        <v>84</v>
      </c>
      <c r="DA769" s="21">
        <f t="shared" si="4387"/>
        <v>86</v>
      </c>
      <c r="DB769" s="21">
        <f t="shared" si="4406"/>
        <v>0</v>
      </c>
      <c r="DC769" s="21">
        <f t="shared" si="4388"/>
        <v>26</v>
      </c>
      <c r="DD769" s="21">
        <f t="shared" si="4389"/>
        <v>26</v>
      </c>
      <c r="DE769" s="21">
        <f t="shared" si="4390"/>
        <v>26</v>
      </c>
      <c r="DF769" s="21">
        <f t="shared" si="4391"/>
        <v>26</v>
      </c>
      <c r="DG769" s="21">
        <f t="shared" si="4392"/>
        <v>26</v>
      </c>
      <c r="DH769" s="21">
        <f t="shared" si="4393"/>
        <v>56</v>
      </c>
      <c r="DI769" s="21">
        <f t="shared" si="4394"/>
        <v>56</v>
      </c>
      <c r="DJ769" s="21">
        <f t="shared" si="4395"/>
        <v>56</v>
      </c>
      <c r="DK769" s="21">
        <f t="shared" si="4396"/>
        <v>56</v>
      </c>
      <c r="DL769" s="21">
        <f t="shared" si="4397"/>
        <v>56</v>
      </c>
      <c r="DM769" s="21" t="e">
        <f t="shared" si="4398"/>
        <v>#VALUE!</v>
      </c>
      <c r="DN769" s="21" t="str">
        <f t="shared" si="4399"/>
        <v/>
      </c>
      <c r="DO769" s="21" t="e">
        <f t="shared" si="4400"/>
        <v>#VALUE!</v>
      </c>
      <c r="DP769" s="21" t="e">
        <f t="shared" si="4401"/>
        <v>#VALUE!</v>
      </c>
      <c r="DQ769" s="248"/>
      <c r="DR769" s="248"/>
      <c r="DS769" s="248"/>
      <c r="DT769" s="248"/>
      <c r="DU769" s="248"/>
      <c r="DV769" s="248"/>
      <c r="DW769" s="248"/>
      <c r="DX769" s="248"/>
      <c r="DY769" s="248"/>
      <c r="ED769" s="429"/>
      <c r="EE769" s="23"/>
      <c r="EF769" s="23"/>
      <c r="EG769" s="23"/>
      <c r="EH769" s="18">
        <f t="shared" si="4296"/>
        <v>0</v>
      </c>
      <c r="EI769" s="18">
        <f t="shared" si="4297"/>
        <v>0</v>
      </c>
      <c r="EJ769" s="18" t="e">
        <f t="shared" si="4298"/>
        <v>#VALUE!</v>
      </c>
      <c r="EK769" s="24">
        <f t="shared" si="4347"/>
        <v>0.16666666666666666</v>
      </c>
      <c r="EL769" s="14">
        <f>IF(EE744=0,0,EH769/EE744)</f>
        <v>0</v>
      </c>
      <c r="EM769" s="14" t="e">
        <f>IF(EF744=0,"",EI769/EF744)</f>
        <v>#VALUE!</v>
      </c>
      <c r="EN769" s="14" t="e">
        <f t="shared" si="4356"/>
        <v>#VALUE!</v>
      </c>
      <c r="EO769" s="46" t="str">
        <f t="shared" si="4357"/>
        <v>Æ</v>
      </c>
      <c r="EP769" s="46" t="e">
        <f t="shared" si="4358"/>
        <v>#VALUE!</v>
      </c>
      <c r="EQ769" s="24" t="str">
        <f>IF(EJ744&lt;&gt;0,EM769/EJ744,"N/A")</f>
        <v>N/A</v>
      </c>
      <c r="ER769" s="2" t="e">
        <f>IF(EM769&gt;=0.9,1,IF(EM769&gt;0.75,2,3))</f>
        <v>#VALUE!</v>
      </c>
      <c r="ES769" s="2" t="e">
        <f>IF(EN769="","",IF(EN769&gt;=0.9,1,IF(EN769&lt;0.75,3,2)))</f>
        <v>#VALUE!</v>
      </c>
    </row>
    <row r="770" spans="1:149" ht="12.75" customHeight="1">
      <c r="A770" s="6" t="s">
        <v>23</v>
      </c>
      <c r="B770" s="324" t="s">
        <v>202</v>
      </c>
      <c r="C770" s="3" t="s">
        <v>70</v>
      </c>
      <c r="E770" s="3" t="s">
        <v>15</v>
      </c>
      <c r="G770" s="28" t="s">
        <v>91</v>
      </c>
      <c r="H770" s="28"/>
      <c r="I770" s="29"/>
      <c r="J770" s="139">
        <f t="shared" si="4410"/>
        <v>0</v>
      </c>
      <c r="K770" s="139"/>
      <c r="L770" s="139">
        <f t="shared" ref="L770:AJ770" si="4412">IF(L44="","",L44+L110+L176+L242+L308+L374+L440+L506+L572+L638+L704)</f>
        <v>0</v>
      </c>
      <c r="M770" s="139">
        <f t="shared" si="4412"/>
        <v>0</v>
      </c>
      <c r="N770" s="139">
        <f t="shared" si="4412"/>
        <v>0</v>
      </c>
      <c r="O770" s="139">
        <f t="shared" si="4412"/>
        <v>7</v>
      </c>
      <c r="P770" s="139">
        <f t="shared" si="4412"/>
        <v>14</v>
      </c>
      <c r="Q770" s="139">
        <f t="shared" si="4412"/>
        <v>18</v>
      </c>
      <c r="R770" s="139">
        <f t="shared" si="4412"/>
        <v>24</v>
      </c>
      <c r="S770" s="139">
        <f t="shared" si="4412"/>
        <v>24</v>
      </c>
      <c r="T770" s="139">
        <f t="shared" si="4412"/>
        <v>24</v>
      </c>
      <c r="U770" s="280">
        <f t="shared" si="4412"/>
        <v>46</v>
      </c>
      <c r="V770" s="141">
        <f t="shared" si="4412"/>
        <v>0</v>
      </c>
      <c r="W770" s="139">
        <f t="shared" si="4412"/>
        <v>0</v>
      </c>
      <c r="X770" s="139">
        <f t="shared" si="4412"/>
        <v>0</v>
      </c>
      <c r="Y770" s="139">
        <f t="shared" si="4412"/>
        <v>0</v>
      </c>
      <c r="Z770" s="139">
        <f t="shared" si="4412"/>
        <v>0</v>
      </c>
      <c r="AA770" s="139">
        <f t="shared" si="4412"/>
        <v>0</v>
      </c>
      <c r="AB770" s="139">
        <f t="shared" si="4412"/>
        <v>12</v>
      </c>
      <c r="AC770" s="139">
        <f t="shared" si="4412"/>
        <v>23</v>
      </c>
      <c r="AD770" s="139">
        <f t="shared" si="4412"/>
        <v>23</v>
      </c>
      <c r="AE770" s="139">
        <f t="shared" si="4412"/>
        <v>23</v>
      </c>
      <c r="AF770" s="139">
        <f t="shared" si="4412"/>
        <v>23</v>
      </c>
      <c r="AG770" s="139" t="str">
        <f t="shared" si="4412"/>
        <v/>
      </c>
      <c r="AH770" s="141" t="str">
        <f t="shared" si="4412"/>
        <v/>
      </c>
      <c r="AI770" s="139" t="str">
        <f t="shared" si="4412"/>
        <v/>
      </c>
      <c r="AJ770" s="139" t="str">
        <f t="shared" si="4412"/>
        <v/>
      </c>
      <c r="AK770" s="408"/>
      <c r="AL770" s="40">
        <f t="shared" si="4336"/>
        <v>0</v>
      </c>
      <c r="AM770" s="40">
        <f t="shared" si="4403"/>
        <v>0</v>
      </c>
      <c r="AN770" s="40">
        <f t="shared" si="4365"/>
        <v>0</v>
      </c>
      <c r="AO770" s="40">
        <f t="shared" si="4366"/>
        <v>0</v>
      </c>
      <c r="AP770" s="40">
        <f t="shared" ref="AP770:AW770" si="4413">N770-M770</f>
        <v>0</v>
      </c>
      <c r="AQ770" s="40">
        <f t="shared" si="4413"/>
        <v>7</v>
      </c>
      <c r="AR770" s="40">
        <f t="shared" si="4413"/>
        <v>7</v>
      </c>
      <c r="AS770" s="40">
        <f t="shared" si="4413"/>
        <v>4</v>
      </c>
      <c r="AT770" s="40">
        <f t="shared" si="4413"/>
        <v>6</v>
      </c>
      <c r="AU770" s="40">
        <f t="shared" si="4413"/>
        <v>0</v>
      </c>
      <c r="AV770" s="40">
        <f t="shared" si="4413"/>
        <v>0</v>
      </c>
      <c r="AW770" s="40">
        <f t="shared" si="4413"/>
        <v>22</v>
      </c>
      <c r="AX770" s="40">
        <f t="shared" si="4337"/>
        <v>0</v>
      </c>
      <c r="AY770" s="40">
        <f t="shared" ref="AY770:BL770" si="4414">W770-V770</f>
        <v>0</v>
      </c>
      <c r="AZ770" s="40">
        <f t="shared" si="4414"/>
        <v>0</v>
      </c>
      <c r="BA770" s="40">
        <f t="shared" si="4414"/>
        <v>0</v>
      </c>
      <c r="BB770" s="40">
        <f t="shared" si="4414"/>
        <v>0</v>
      </c>
      <c r="BC770" s="40">
        <f t="shared" si="4414"/>
        <v>0</v>
      </c>
      <c r="BD770" s="40">
        <f t="shared" si="4414"/>
        <v>12</v>
      </c>
      <c r="BE770" s="40">
        <f t="shared" si="4414"/>
        <v>11</v>
      </c>
      <c r="BF770" s="40">
        <f t="shared" si="4414"/>
        <v>0</v>
      </c>
      <c r="BG770" s="40">
        <f t="shared" si="4414"/>
        <v>0</v>
      </c>
      <c r="BH770" s="40">
        <f t="shared" si="4414"/>
        <v>0</v>
      </c>
      <c r="BI770" s="40" t="e">
        <f t="shared" si="4414"/>
        <v>#VALUE!</v>
      </c>
      <c r="BJ770" s="40" t="e">
        <f t="shared" si="4414"/>
        <v>#VALUE!</v>
      </c>
      <c r="BK770" s="40" t="e">
        <f t="shared" si="4414"/>
        <v>#VALUE!</v>
      </c>
      <c r="BL770" s="40" t="e">
        <f t="shared" si="4414"/>
        <v>#VALUE!</v>
      </c>
      <c r="BM770" s="408"/>
      <c r="BN770" s="48">
        <f t="shared" si="4305"/>
        <v>0</v>
      </c>
      <c r="BO770" s="48">
        <f t="shared" si="4306"/>
        <v>0</v>
      </c>
      <c r="BP770" s="48">
        <f>SUM(AL770:AN770)</f>
        <v>0</v>
      </c>
      <c r="BQ770" s="48">
        <f t="shared" si="4308"/>
        <v>7</v>
      </c>
      <c r="BR770" s="48">
        <f t="shared" si="4309"/>
        <v>7</v>
      </c>
      <c r="BS770" s="48">
        <f>SUM(AO770:AQ770)</f>
        <v>7</v>
      </c>
      <c r="BT770" s="48">
        <f t="shared" si="4311"/>
        <v>17</v>
      </c>
      <c r="BU770" s="48">
        <f t="shared" si="4312"/>
        <v>17</v>
      </c>
      <c r="BV770" s="48">
        <f>SUM(AR770:AT770)</f>
        <v>17</v>
      </c>
      <c r="BW770" s="48">
        <f t="shared" si="4314"/>
        <v>22</v>
      </c>
      <c r="BX770" s="48">
        <f t="shared" si="4315"/>
        <v>22</v>
      </c>
      <c r="BY770" s="48">
        <f>SUM(AU770:AW770)</f>
        <v>22</v>
      </c>
      <c r="BZ770" s="48">
        <f t="shared" si="4317"/>
        <v>0</v>
      </c>
      <c r="CA770" s="48">
        <f t="shared" si="4318"/>
        <v>0</v>
      </c>
      <c r="CB770" s="48">
        <f>SUM(AX770:AZ770)</f>
        <v>0</v>
      </c>
      <c r="CC770" s="48">
        <f>SUM(AY770:BA770)</f>
        <v>0</v>
      </c>
      <c r="CD770" s="48">
        <f>SUM(AZ770:BB770)</f>
        <v>0</v>
      </c>
      <c r="CE770" s="48">
        <f t="shared" si="4374"/>
        <v>0</v>
      </c>
      <c r="CF770" s="48">
        <f>SUM(BB770:BD770)</f>
        <v>12</v>
      </c>
      <c r="CG770" s="48">
        <f>SUM(BC770:BE770)</f>
        <v>23</v>
      </c>
      <c r="CH770" s="48">
        <f t="shared" si="4375"/>
        <v>23</v>
      </c>
      <c r="CI770" s="48">
        <f>SUM(BE770:BG770)</f>
        <v>11</v>
      </c>
      <c r="CJ770" s="48">
        <f>SUM(BF770:BH770)</f>
        <v>0</v>
      </c>
      <c r="CK770" s="48" t="e">
        <f t="shared" si="4376"/>
        <v>#VALUE!</v>
      </c>
      <c r="CL770" s="48" t="e">
        <f>SUM(BH770:BJ770)</f>
        <v>#VALUE!</v>
      </c>
      <c r="CM770" s="48" t="e">
        <f>SUM(BI770:BK770)</f>
        <v>#VALUE!</v>
      </c>
      <c r="CN770" s="48" t="e">
        <f t="shared" si="4377"/>
        <v>#VALUE!</v>
      </c>
      <c r="CO770" s="406"/>
      <c r="CP770" s="48">
        <f t="shared" si="4404"/>
        <v>0</v>
      </c>
      <c r="CQ770" s="48">
        <f t="shared" si="4405"/>
        <v>0</v>
      </c>
      <c r="CR770" s="48">
        <f t="shared" si="4378"/>
        <v>0</v>
      </c>
      <c r="CS770" s="48">
        <f t="shared" si="4379"/>
        <v>0</v>
      </c>
      <c r="CT770" s="48">
        <f t="shared" si="4380"/>
        <v>0</v>
      </c>
      <c r="CU770" s="48">
        <f t="shared" si="4381"/>
        <v>7</v>
      </c>
      <c r="CV770" s="48">
        <f t="shared" si="4382"/>
        <v>14</v>
      </c>
      <c r="CW770" s="48">
        <f t="shared" si="4383"/>
        <v>18</v>
      </c>
      <c r="CX770" s="48">
        <f t="shared" si="4384"/>
        <v>24</v>
      </c>
      <c r="CY770" s="48">
        <f t="shared" si="4385"/>
        <v>24</v>
      </c>
      <c r="CZ770" s="48">
        <f t="shared" si="4386"/>
        <v>24</v>
      </c>
      <c r="DA770" s="48">
        <f t="shared" si="4387"/>
        <v>46</v>
      </c>
      <c r="DB770" s="48">
        <f t="shared" si="4406"/>
        <v>0</v>
      </c>
      <c r="DC770" s="48">
        <f t="shared" si="4388"/>
        <v>0</v>
      </c>
      <c r="DD770" s="48">
        <f t="shared" si="4389"/>
        <v>0</v>
      </c>
      <c r="DE770" s="48">
        <f t="shared" si="4390"/>
        <v>0</v>
      </c>
      <c r="DF770" s="48">
        <f t="shared" si="4391"/>
        <v>0</v>
      </c>
      <c r="DG770" s="48">
        <f t="shared" si="4392"/>
        <v>0</v>
      </c>
      <c r="DH770" s="48">
        <f t="shared" si="4393"/>
        <v>12</v>
      </c>
      <c r="DI770" s="48">
        <f t="shared" si="4394"/>
        <v>23</v>
      </c>
      <c r="DJ770" s="48">
        <f t="shared" si="4395"/>
        <v>23</v>
      </c>
      <c r="DK770" s="48">
        <f t="shared" si="4396"/>
        <v>23</v>
      </c>
      <c r="DL770" s="48">
        <f t="shared" si="4397"/>
        <v>23</v>
      </c>
      <c r="DM770" s="48" t="e">
        <f t="shared" si="4398"/>
        <v>#VALUE!</v>
      </c>
      <c r="DN770" s="48" t="e">
        <f>DM770+BJ770</f>
        <v>#VALUE!</v>
      </c>
      <c r="DO770" s="48" t="e">
        <f t="shared" si="4400"/>
        <v>#VALUE!</v>
      </c>
      <c r="DP770" s="48" t="e">
        <f t="shared" si="4401"/>
        <v>#VALUE!</v>
      </c>
      <c r="DQ770" s="48"/>
      <c r="DR770" s="48"/>
      <c r="DS770" s="48"/>
      <c r="DT770" s="48"/>
      <c r="DU770" s="48"/>
      <c r="DV770" s="48"/>
      <c r="DW770" s="48"/>
      <c r="DX770" s="48"/>
      <c r="DY770" s="48"/>
      <c r="ED770" s="429"/>
      <c r="EE770" s="23"/>
      <c r="EF770" s="23"/>
      <c r="EG770" s="23"/>
      <c r="EH770" s="18" t="e">
        <f t="shared" si="4296"/>
        <v>#VALUE!</v>
      </c>
      <c r="EI770" s="18" t="e">
        <f t="shared" si="4297"/>
        <v>#VALUE!</v>
      </c>
      <c r="EJ770" s="18" t="e">
        <f t="shared" si="4298"/>
        <v>#VALUE!</v>
      </c>
      <c r="EK770" s="24">
        <f>IF(EK728&lt;6,0.5,IF(AND(EK728&gt;=6,EK728&lt;12),0.5,1))</f>
        <v>0.5</v>
      </c>
      <c r="EL770" s="14">
        <f>IF(EE745=0,0,EH770/EE745)</f>
        <v>0</v>
      </c>
      <c r="EM770" s="14" t="e">
        <f>IF(EF745=0,0,EI770/EF745)</f>
        <v>#VALUE!</v>
      </c>
      <c r="EN770" s="14" t="e">
        <f>IF(EG745="","",EJ770/EG745)</f>
        <v>#VALUE!</v>
      </c>
      <c r="EO770" s="46" t="e">
        <f t="shared" si="4357"/>
        <v>#VALUE!</v>
      </c>
      <c r="EP770" s="46" t="e">
        <f t="shared" si="4358"/>
        <v>#VALUE!</v>
      </c>
      <c r="EQ770" s="24" t="str">
        <f>IF(EJ745&lt;&gt;0,EM770/EJ745,"N/A")</f>
        <v>N/A</v>
      </c>
      <c r="ER770" s="24" t="str">
        <f>IF(EK745&lt;&gt;0,EN770/EK745,"N/A")</f>
        <v>N/A</v>
      </c>
      <c r="ES770" s="2" t="str">
        <f>IF($EJ$6&lt;6,"",IF(EN770&gt;0.9*EK770,1,IF(EN770&lt;0.75*EK770,3,2)))</f>
        <v/>
      </c>
    </row>
    <row r="771" spans="1:149">
      <c r="A771" s="6" t="s">
        <v>23</v>
      </c>
      <c r="B771" s="2" t="s">
        <v>13</v>
      </c>
      <c r="C771" s="3" t="s">
        <v>71</v>
      </c>
      <c r="E771" s="3" t="s">
        <v>15</v>
      </c>
      <c r="G771" s="28" t="s">
        <v>91</v>
      </c>
      <c r="H771" s="28"/>
      <c r="I771" s="29"/>
      <c r="J771" s="139">
        <f t="shared" si="4410"/>
        <v>0</v>
      </c>
      <c r="K771" s="139">
        <f>IF(K45="","",K45+K111+K177+K243+K309+K375+K441+K507+K573+K639+K705)</f>
        <v>0</v>
      </c>
      <c r="L771" s="139">
        <f t="shared" ref="L771:AJ771" si="4415">IF(L45="","",L45+L111+L177+L243+L309+L375+L441+L507+L573+L639+L705)</f>
        <v>91059.040000000008</v>
      </c>
      <c r="M771" s="139">
        <f t="shared" si="4415"/>
        <v>91059.040000000008</v>
      </c>
      <c r="N771" s="139">
        <f t="shared" si="4415"/>
        <v>91059.040000000008</v>
      </c>
      <c r="O771" s="139">
        <f t="shared" si="4415"/>
        <v>105261.11000000002</v>
      </c>
      <c r="P771" s="139">
        <f t="shared" si="4415"/>
        <v>228966.69</v>
      </c>
      <c r="Q771" s="139">
        <f t="shared" si="4415"/>
        <v>228966.37</v>
      </c>
      <c r="R771" s="139">
        <f t="shared" si="4415"/>
        <v>272045.09999999998</v>
      </c>
      <c r="S771" s="139">
        <f t="shared" si="4415"/>
        <v>272044.86</v>
      </c>
      <c r="T771" s="139">
        <f t="shared" si="4415"/>
        <v>272044.86</v>
      </c>
      <c r="U771" s="280">
        <f t="shared" si="4415"/>
        <v>272044.86</v>
      </c>
      <c r="V771" s="141">
        <f t="shared" si="4415"/>
        <v>0</v>
      </c>
      <c r="W771" s="139">
        <f t="shared" si="4415"/>
        <v>0</v>
      </c>
      <c r="X771" s="139">
        <f t="shared" si="4415"/>
        <v>0</v>
      </c>
      <c r="Y771" s="139">
        <f t="shared" si="4415"/>
        <v>0</v>
      </c>
      <c r="Z771" s="139">
        <f t="shared" si="4415"/>
        <v>0</v>
      </c>
      <c r="AA771" s="139">
        <f t="shared" si="4415"/>
        <v>0</v>
      </c>
      <c r="AB771" s="139">
        <f t="shared" si="4415"/>
        <v>563741.25</v>
      </c>
      <c r="AC771" s="139">
        <f t="shared" si="4415"/>
        <v>0</v>
      </c>
      <c r="AD771" s="139">
        <f t="shared" si="4415"/>
        <v>0</v>
      </c>
      <c r="AE771" s="139">
        <f t="shared" si="4415"/>
        <v>0</v>
      </c>
      <c r="AF771" s="139">
        <f t="shared" si="4415"/>
        <v>0</v>
      </c>
      <c r="AG771" s="139">
        <f t="shared" si="4415"/>
        <v>98522.23</v>
      </c>
      <c r="AH771" s="141">
        <f t="shared" si="4415"/>
        <v>339900.45999999996</v>
      </c>
      <c r="AI771" s="139" t="str">
        <f t="shared" si="4415"/>
        <v/>
      </c>
      <c r="AJ771" s="139" t="str">
        <f t="shared" si="4415"/>
        <v/>
      </c>
      <c r="AK771" s="408"/>
      <c r="AL771" s="19">
        <f t="shared" si="4336"/>
        <v>0</v>
      </c>
      <c r="AM771" s="19"/>
      <c r="AN771" s="19"/>
      <c r="AO771" s="19"/>
      <c r="AP771" s="19"/>
      <c r="AQ771" s="19">
        <f t="shared" si="4368"/>
        <v>14202.070000000007</v>
      </c>
      <c r="AR771" s="19"/>
      <c r="AS771" s="19"/>
      <c r="AT771" s="19"/>
      <c r="AU771" s="19"/>
      <c r="AV771" s="19"/>
      <c r="AW771" s="19"/>
      <c r="AX771" s="19"/>
      <c r="AY771" s="19"/>
      <c r="AZ771" s="19"/>
      <c r="BA771" s="19"/>
      <c r="BB771" s="19"/>
      <c r="BC771" s="19"/>
      <c r="BD771" s="19"/>
      <c r="BE771" s="19"/>
      <c r="BF771" s="19"/>
      <c r="BG771" s="19"/>
      <c r="BH771" s="19"/>
      <c r="BI771" s="19"/>
      <c r="BJ771" s="19"/>
      <c r="BK771" s="19"/>
      <c r="BL771" s="19"/>
      <c r="BM771" s="408"/>
      <c r="BN771" s="40" t="s">
        <v>97</v>
      </c>
      <c r="BO771" s="40" t="s">
        <v>97</v>
      </c>
      <c r="BP771" s="40" t="s">
        <v>97</v>
      </c>
      <c r="BQ771" s="40" t="s">
        <v>97</v>
      </c>
      <c r="BR771" s="40" t="s">
        <v>97</v>
      </c>
      <c r="BS771" s="40" t="s">
        <v>97</v>
      </c>
      <c r="BT771" s="40" t="s">
        <v>97</v>
      </c>
      <c r="BU771" s="40" t="s">
        <v>97</v>
      </c>
      <c r="BV771" s="40" t="s">
        <v>97</v>
      </c>
      <c r="BW771" s="40" t="s">
        <v>97</v>
      </c>
      <c r="BX771" s="40" t="s">
        <v>97</v>
      </c>
      <c r="BY771" s="40" t="s">
        <v>97</v>
      </c>
      <c r="BZ771" s="40" t="s">
        <v>97</v>
      </c>
      <c r="CA771" s="40" t="s">
        <v>97</v>
      </c>
      <c r="CB771" s="40" t="s">
        <v>97</v>
      </c>
      <c r="CC771" s="40" t="s">
        <v>97</v>
      </c>
      <c r="CD771" s="40" t="s">
        <v>97</v>
      </c>
      <c r="CE771" s="40" t="s">
        <v>97</v>
      </c>
      <c r="CF771" s="40" t="s">
        <v>97</v>
      </c>
      <c r="CG771" s="40" t="s">
        <v>97</v>
      </c>
      <c r="CH771" s="40" t="s">
        <v>97</v>
      </c>
      <c r="CI771" s="40" t="s">
        <v>97</v>
      </c>
      <c r="CJ771" s="40" t="s">
        <v>97</v>
      </c>
      <c r="CK771" s="40" t="s">
        <v>97</v>
      </c>
      <c r="CL771" s="40" t="s">
        <v>97</v>
      </c>
      <c r="CM771" s="40" t="s">
        <v>97</v>
      </c>
      <c r="CN771" s="40" t="s">
        <v>97</v>
      </c>
      <c r="CO771" s="408"/>
      <c r="CP771" s="21">
        <f t="shared" ref="CP771:CY772" si="4416">J771</f>
        <v>0</v>
      </c>
      <c r="CQ771" s="21">
        <f t="shared" si="4416"/>
        <v>0</v>
      </c>
      <c r="CR771" s="21">
        <f t="shared" si="4416"/>
        <v>91059.040000000008</v>
      </c>
      <c r="CS771" s="21">
        <f t="shared" si="4416"/>
        <v>91059.040000000008</v>
      </c>
      <c r="CT771" s="21">
        <f t="shared" si="4416"/>
        <v>91059.040000000008</v>
      </c>
      <c r="CU771" s="21">
        <f t="shared" si="4416"/>
        <v>105261.11000000002</v>
      </c>
      <c r="CV771" s="21">
        <f t="shared" si="4416"/>
        <v>228966.69</v>
      </c>
      <c r="CW771" s="21">
        <f t="shared" si="4416"/>
        <v>228966.37</v>
      </c>
      <c r="CX771" s="21">
        <f t="shared" si="4416"/>
        <v>272045.09999999998</v>
      </c>
      <c r="CY771" s="21">
        <f t="shared" si="4416"/>
        <v>272044.86</v>
      </c>
      <c r="CZ771" s="21">
        <f t="shared" ref="CZ771:DI772" si="4417">T771</f>
        <v>272044.86</v>
      </c>
      <c r="DA771" s="21">
        <f t="shared" si="4417"/>
        <v>272044.86</v>
      </c>
      <c r="DB771" s="21">
        <f t="shared" si="4417"/>
        <v>0</v>
      </c>
      <c r="DC771" s="21">
        <f t="shared" si="4417"/>
        <v>0</v>
      </c>
      <c r="DD771" s="21">
        <f t="shared" si="4417"/>
        <v>0</v>
      </c>
      <c r="DE771" s="21">
        <f t="shared" si="4417"/>
        <v>0</v>
      </c>
      <c r="DF771" s="21">
        <f t="shared" si="4417"/>
        <v>0</v>
      </c>
      <c r="DG771" s="21">
        <f t="shared" si="4417"/>
        <v>0</v>
      </c>
      <c r="DH771" s="21">
        <f t="shared" si="4417"/>
        <v>563741.25</v>
      </c>
      <c r="DI771" s="21">
        <f t="shared" si="4417"/>
        <v>0</v>
      </c>
      <c r="DJ771" s="21">
        <f t="shared" ref="DJ771:DP772" si="4418">AD771</f>
        <v>0</v>
      </c>
      <c r="DK771" s="21">
        <f t="shared" si="4418"/>
        <v>0</v>
      </c>
      <c r="DL771" s="21">
        <f t="shared" si="4418"/>
        <v>0</v>
      </c>
      <c r="DM771" s="21">
        <f t="shared" si="4418"/>
        <v>98522.23</v>
      </c>
      <c r="DN771" s="21">
        <f t="shared" si="4418"/>
        <v>339900.45999999996</v>
      </c>
      <c r="DO771" s="21" t="str">
        <f t="shared" si="4418"/>
        <v/>
      </c>
      <c r="DP771" s="21" t="str">
        <f t="shared" si="4418"/>
        <v/>
      </c>
      <c r="DQ771" s="248"/>
      <c r="DR771" s="248"/>
      <c r="DS771" s="248"/>
      <c r="DT771" s="248"/>
      <c r="DU771" s="248"/>
      <c r="DV771" s="248"/>
      <c r="DW771" s="248"/>
      <c r="DX771" s="248"/>
      <c r="DY771" s="248"/>
      <c r="ED771" s="429"/>
      <c r="EE771" s="23"/>
      <c r="EF771" s="23"/>
      <c r="EG771" s="23"/>
      <c r="EH771" s="24" t="s">
        <v>97</v>
      </c>
      <c r="EI771" s="24" t="s">
        <v>97</v>
      </c>
      <c r="EJ771" s="18" t="str">
        <f t="shared" si="4298"/>
        <v/>
      </c>
      <c r="EK771" s="24">
        <f t="shared" si="4347"/>
        <v>0.16666666666666666</v>
      </c>
      <c r="EL771" s="24" t="s">
        <v>97</v>
      </c>
      <c r="EM771" s="24" t="s">
        <v>97</v>
      </c>
      <c r="EN771" s="24" t="e">
        <f>EJ771/EG746</f>
        <v>#VALUE!</v>
      </c>
      <c r="EO771" s="46" t="str">
        <f t="shared" si="4357"/>
        <v>Æ</v>
      </c>
      <c r="EP771" s="46" t="str">
        <f t="shared" si="4358"/>
        <v>Æ</v>
      </c>
      <c r="EQ771" s="24" t="s">
        <v>97</v>
      </c>
      <c r="ER771" s="24" t="s">
        <v>97</v>
      </c>
      <c r="ES771" s="2" t="e">
        <f>IF(EN771&gt;=0.9,1,IF(EN771&lt;0.75,2,3))</f>
        <v>#VALUE!</v>
      </c>
    </row>
    <row r="772" spans="1:149" ht="13.5" thickBot="1">
      <c r="A772" s="6" t="s">
        <v>23</v>
      </c>
      <c r="B772" s="2" t="s">
        <v>14</v>
      </c>
      <c r="C772" s="3" t="s">
        <v>72</v>
      </c>
      <c r="E772" s="3" t="s">
        <v>15</v>
      </c>
      <c r="G772" s="28" t="s">
        <v>91</v>
      </c>
      <c r="H772" s="28"/>
      <c r="I772" s="29"/>
      <c r="J772" s="139">
        <f t="shared" si="4410"/>
        <v>0</v>
      </c>
      <c r="K772" s="139">
        <f>IF(K46="","",K46+K112+K178+K244+K310+K376+K442+K508+K574+K640+K706)</f>
        <v>0</v>
      </c>
      <c r="L772" s="139">
        <f t="shared" ref="L772:AJ772" si="4419">IF(L46="","",L46+L112+L178+L244+L310+L376+L442+L508+L574+L640+L706)</f>
        <v>121531.81</v>
      </c>
      <c r="M772" s="139">
        <f t="shared" si="4419"/>
        <v>121531.81</v>
      </c>
      <c r="N772" s="139">
        <f t="shared" si="4419"/>
        <v>121531.81</v>
      </c>
      <c r="O772" s="139">
        <f t="shared" si="4419"/>
        <v>150840.72999999998</v>
      </c>
      <c r="P772" s="139">
        <f t="shared" si="4419"/>
        <v>294972.14</v>
      </c>
      <c r="Q772" s="139">
        <f t="shared" si="4419"/>
        <v>294972.41000000003</v>
      </c>
      <c r="R772" s="139">
        <f t="shared" si="4419"/>
        <v>328347.47000000003</v>
      </c>
      <c r="S772" s="139">
        <f t="shared" si="4419"/>
        <v>328348.42000000004</v>
      </c>
      <c r="T772" s="139">
        <f t="shared" si="4419"/>
        <v>328348.42000000004</v>
      </c>
      <c r="U772" s="280">
        <f t="shared" si="4419"/>
        <v>328348.42000000004</v>
      </c>
      <c r="V772" s="149">
        <f t="shared" si="4419"/>
        <v>0</v>
      </c>
      <c r="W772" s="139">
        <f t="shared" si="4419"/>
        <v>0</v>
      </c>
      <c r="X772" s="139">
        <f t="shared" si="4419"/>
        <v>0</v>
      </c>
      <c r="Y772" s="139">
        <f t="shared" si="4419"/>
        <v>0</v>
      </c>
      <c r="Z772" s="139">
        <f t="shared" si="4419"/>
        <v>0</v>
      </c>
      <c r="AA772" s="139">
        <f t="shared" si="4419"/>
        <v>0</v>
      </c>
      <c r="AB772" s="139">
        <f t="shared" si="4419"/>
        <v>756703.76</v>
      </c>
      <c r="AC772" s="139">
        <f t="shared" si="4419"/>
        <v>0</v>
      </c>
      <c r="AD772" s="139">
        <f t="shared" si="4419"/>
        <v>0</v>
      </c>
      <c r="AE772" s="139">
        <f t="shared" si="4419"/>
        <v>0</v>
      </c>
      <c r="AF772" s="139">
        <f t="shared" si="4419"/>
        <v>0</v>
      </c>
      <c r="AG772" s="139">
        <f t="shared" si="4419"/>
        <v>89067.62</v>
      </c>
      <c r="AH772" s="149">
        <f t="shared" si="4419"/>
        <v>361776.64999999997</v>
      </c>
      <c r="AI772" s="139" t="str">
        <f t="shared" si="4419"/>
        <v/>
      </c>
      <c r="AJ772" s="139" t="str">
        <f t="shared" si="4419"/>
        <v/>
      </c>
      <c r="AK772" s="408"/>
      <c r="AL772" s="19">
        <f t="shared" si="4336"/>
        <v>0</v>
      </c>
      <c r="AM772" s="19"/>
      <c r="AN772" s="19"/>
      <c r="AO772" s="19"/>
      <c r="AP772" s="19"/>
      <c r="AQ772" s="19">
        <f t="shared" si="4368"/>
        <v>29308.919999999984</v>
      </c>
      <c r="AR772" s="19"/>
      <c r="AS772" s="19"/>
      <c r="AT772" s="19"/>
      <c r="AU772" s="19"/>
      <c r="AV772" s="19"/>
      <c r="AW772" s="19"/>
      <c r="AX772" s="19"/>
      <c r="AY772" s="19"/>
      <c r="AZ772" s="19"/>
      <c r="BA772" s="19"/>
      <c r="BB772" s="19"/>
      <c r="BC772" s="19"/>
      <c r="BD772" s="19"/>
      <c r="BE772" s="19"/>
      <c r="BF772" s="19"/>
      <c r="BG772" s="19"/>
      <c r="BH772" s="19"/>
      <c r="BI772" s="19"/>
      <c r="BJ772" s="19"/>
      <c r="BK772" s="19"/>
      <c r="BL772" s="19"/>
      <c r="BM772" s="408"/>
      <c r="BN772" s="40" t="s">
        <v>97</v>
      </c>
      <c r="BO772" s="40" t="s">
        <v>97</v>
      </c>
      <c r="BP772" s="40" t="s">
        <v>97</v>
      </c>
      <c r="BQ772" s="40" t="s">
        <v>97</v>
      </c>
      <c r="BR772" s="40" t="s">
        <v>97</v>
      </c>
      <c r="BS772" s="40" t="s">
        <v>97</v>
      </c>
      <c r="BT772" s="40" t="s">
        <v>97</v>
      </c>
      <c r="BU772" s="40" t="s">
        <v>97</v>
      </c>
      <c r="BV772" s="40" t="s">
        <v>97</v>
      </c>
      <c r="BW772" s="40" t="s">
        <v>97</v>
      </c>
      <c r="BX772" s="40" t="s">
        <v>97</v>
      </c>
      <c r="BY772" s="40" t="s">
        <v>97</v>
      </c>
      <c r="BZ772" s="40" t="s">
        <v>97</v>
      </c>
      <c r="CA772" s="40" t="s">
        <v>97</v>
      </c>
      <c r="CB772" s="40" t="s">
        <v>97</v>
      </c>
      <c r="CC772" s="40" t="s">
        <v>97</v>
      </c>
      <c r="CD772" s="40" t="s">
        <v>97</v>
      </c>
      <c r="CE772" s="40" t="s">
        <v>97</v>
      </c>
      <c r="CF772" s="40" t="s">
        <v>97</v>
      </c>
      <c r="CG772" s="40" t="s">
        <v>97</v>
      </c>
      <c r="CH772" s="40" t="s">
        <v>97</v>
      </c>
      <c r="CI772" s="40" t="s">
        <v>97</v>
      </c>
      <c r="CJ772" s="40" t="s">
        <v>97</v>
      </c>
      <c r="CK772" s="40" t="s">
        <v>97</v>
      </c>
      <c r="CL772" s="40" t="s">
        <v>97</v>
      </c>
      <c r="CM772" s="40" t="s">
        <v>97</v>
      </c>
      <c r="CN772" s="40" t="s">
        <v>97</v>
      </c>
      <c r="CO772" s="408"/>
      <c r="CP772" s="21">
        <f t="shared" si="4416"/>
        <v>0</v>
      </c>
      <c r="CQ772" s="21">
        <f t="shared" si="4416"/>
        <v>0</v>
      </c>
      <c r="CR772" s="21">
        <f t="shared" si="4416"/>
        <v>121531.81</v>
      </c>
      <c r="CS772" s="21">
        <f t="shared" si="4416"/>
        <v>121531.81</v>
      </c>
      <c r="CT772" s="21">
        <f t="shared" si="4416"/>
        <v>121531.81</v>
      </c>
      <c r="CU772" s="21">
        <f t="shared" si="4416"/>
        <v>150840.72999999998</v>
      </c>
      <c r="CV772" s="21">
        <f t="shared" si="4416"/>
        <v>294972.14</v>
      </c>
      <c r="CW772" s="21">
        <f t="shared" si="4416"/>
        <v>294972.41000000003</v>
      </c>
      <c r="CX772" s="21">
        <f t="shared" si="4416"/>
        <v>328347.47000000003</v>
      </c>
      <c r="CY772" s="21">
        <f t="shared" si="4416"/>
        <v>328348.42000000004</v>
      </c>
      <c r="CZ772" s="21">
        <f t="shared" si="4417"/>
        <v>328348.42000000004</v>
      </c>
      <c r="DA772" s="21">
        <f t="shared" si="4417"/>
        <v>328348.42000000004</v>
      </c>
      <c r="DB772" s="21">
        <f t="shared" si="4417"/>
        <v>0</v>
      </c>
      <c r="DC772" s="21">
        <f t="shared" si="4417"/>
        <v>0</v>
      </c>
      <c r="DD772" s="21">
        <f t="shared" si="4417"/>
        <v>0</v>
      </c>
      <c r="DE772" s="21">
        <f t="shared" si="4417"/>
        <v>0</v>
      </c>
      <c r="DF772" s="21">
        <f t="shared" si="4417"/>
        <v>0</v>
      </c>
      <c r="DG772" s="21">
        <f t="shared" si="4417"/>
        <v>0</v>
      </c>
      <c r="DH772" s="21">
        <f t="shared" si="4417"/>
        <v>756703.76</v>
      </c>
      <c r="DI772" s="21">
        <f t="shared" si="4417"/>
        <v>0</v>
      </c>
      <c r="DJ772" s="21">
        <f t="shared" si="4418"/>
        <v>0</v>
      </c>
      <c r="DK772" s="21">
        <f t="shared" si="4418"/>
        <v>0</v>
      </c>
      <c r="DL772" s="21">
        <f t="shared" si="4418"/>
        <v>0</v>
      </c>
      <c r="DM772" s="21">
        <f t="shared" si="4418"/>
        <v>89067.62</v>
      </c>
      <c r="DN772" s="21">
        <f t="shared" si="4418"/>
        <v>361776.64999999997</v>
      </c>
      <c r="DO772" s="21" t="str">
        <f t="shared" si="4418"/>
        <v/>
      </c>
      <c r="DP772" s="21" t="str">
        <f t="shared" si="4418"/>
        <v/>
      </c>
      <c r="DQ772" s="248"/>
      <c r="DR772" s="248"/>
      <c r="DS772" s="248"/>
      <c r="DT772" s="248"/>
      <c r="DU772" s="248"/>
      <c r="DV772" s="248"/>
      <c r="DW772" s="248"/>
      <c r="DX772" s="248"/>
      <c r="DY772" s="248"/>
      <c r="ED772" s="429"/>
      <c r="EE772" s="23"/>
      <c r="EF772" s="23"/>
      <c r="EG772" s="23"/>
      <c r="EH772" s="24" t="s">
        <v>97</v>
      </c>
      <c r="EI772" s="24" t="s">
        <v>97</v>
      </c>
      <c r="EJ772" s="18" t="str">
        <f t="shared" si="4298"/>
        <v/>
      </c>
      <c r="EK772" s="24">
        <f t="shared" si="4347"/>
        <v>0.16666666666666666</v>
      </c>
      <c r="EL772" s="24" t="s">
        <v>97</v>
      </c>
      <c r="EM772" s="24" t="s">
        <v>97</v>
      </c>
      <c r="EN772" s="24" t="e">
        <f>EJ772/EG747</f>
        <v>#VALUE!</v>
      </c>
      <c r="EO772" s="46" t="str">
        <f t="shared" si="4357"/>
        <v>Æ</v>
      </c>
      <c r="EP772" s="46" t="str">
        <f t="shared" si="4358"/>
        <v>Æ</v>
      </c>
      <c r="EQ772" s="24" t="s">
        <v>97</v>
      </c>
      <c r="ER772" s="24" t="s">
        <v>97</v>
      </c>
      <c r="ES772" s="2" t="e">
        <f>IF(EN772&gt;=0.9,1,IF(EN772&lt;0.75,2,3))</f>
        <v>#VALUE!</v>
      </c>
    </row>
    <row r="773" spans="1:149">
      <c r="A773" s="6" t="s">
        <v>23</v>
      </c>
      <c r="B773" s="2" t="s">
        <v>0</v>
      </c>
      <c r="C773" s="3" t="s">
        <v>59</v>
      </c>
      <c r="E773" s="3" t="s">
        <v>16</v>
      </c>
      <c r="G773" s="28" t="s">
        <v>92</v>
      </c>
      <c r="H773" s="28"/>
      <c r="I773" s="29"/>
      <c r="J773" s="30">
        <f t="shared" si="4410"/>
        <v>359</v>
      </c>
      <c r="K773" s="30">
        <f>IF(K47="","",K47+K113+K179+K245+K311+K377+K443+K509+K575+K641+K707)</f>
        <v>221</v>
      </c>
      <c r="L773" s="30">
        <f t="shared" ref="L773:AJ773" si="4420">IF(L47="","",L47+L113+L179+L245+L311+L377+L443+L509+L575+L641+L707)</f>
        <v>161</v>
      </c>
      <c r="M773" s="30">
        <f t="shared" si="4420"/>
        <v>406</v>
      </c>
      <c r="N773" s="30">
        <f t="shared" si="4420"/>
        <v>126</v>
      </c>
      <c r="O773" s="30">
        <f t="shared" si="4420"/>
        <v>113</v>
      </c>
      <c r="P773" s="30">
        <f t="shared" si="4420"/>
        <v>120</v>
      </c>
      <c r="Q773" s="30">
        <f t="shared" si="4420"/>
        <v>164</v>
      </c>
      <c r="R773" s="30">
        <f t="shared" si="4420"/>
        <v>185</v>
      </c>
      <c r="S773" s="30">
        <f t="shared" si="4420"/>
        <v>221</v>
      </c>
      <c r="T773" s="30">
        <f t="shared" si="4420"/>
        <v>163</v>
      </c>
      <c r="U773" s="281">
        <f t="shared" si="4420"/>
        <v>207</v>
      </c>
      <c r="V773" s="30">
        <f t="shared" si="4420"/>
        <v>234</v>
      </c>
      <c r="W773" s="30">
        <f t="shared" si="4420"/>
        <v>331</v>
      </c>
      <c r="X773" s="30">
        <f t="shared" si="4420"/>
        <v>277</v>
      </c>
      <c r="Y773" s="30">
        <f t="shared" si="4420"/>
        <v>366</v>
      </c>
      <c r="Z773" s="30">
        <f t="shared" si="4420"/>
        <v>187</v>
      </c>
      <c r="AA773" s="30">
        <f t="shared" si="4420"/>
        <v>184</v>
      </c>
      <c r="AB773" s="30">
        <f t="shared" si="4420"/>
        <v>193</v>
      </c>
      <c r="AC773" s="30">
        <f t="shared" si="4420"/>
        <v>233</v>
      </c>
      <c r="AD773" s="30">
        <f t="shared" si="4420"/>
        <v>256</v>
      </c>
      <c r="AE773" s="30">
        <f t="shared" si="4420"/>
        <v>190</v>
      </c>
      <c r="AF773" s="30">
        <f t="shared" si="4420"/>
        <v>212</v>
      </c>
      <c r="AG773" s="30">
        <f t="shared" si="4420"/>
        <v>193</v>
      </c>
      <c r="AH773" s="30">
        <f t="shared" si="4420"/>
        <v>433</v>
      </c>
      <c r="AI773" s="30">
        <f t="shared" si="4420"/>
        <v>384</v>
      </c>
      <c r="AJ773" s="30" t="str">
        <f t="shared" si="4420"/>
        <v/>
      </c>
      <c r="AK773" s="408"/>
      <c r="AL773" s="48">
        <f t="shared" si="4336"/>
        <v>359</v>
      </c>
      <c r="AM773" s="48">
        <f t="shared" ref="AM773:AV774" si="4421">K773</f>
        <v>221</v>
      </c>
      <c r="AN773" s="48">
        <f t="shared" si="4421"/>
        <v>161</v>
      </c>
      <c r="AO773" s="48">
        <f t="shared" si="4421"/>
        <v>406</v>
      </c>
      <c r="AP773" s="48">
        <f t="shared" si="4421"/>
        <v>126</v>
      </c>
      <c r="AQ773" s="48">
        <f t="shared" si="4421"/>
        <v>113</v>
      </c>
      <c r="AR773" s="48">
        <f t="shared" si="4421"/>
        <v>120</v>
      </c>
      <c r="AS773" s="48">
        <f t="shared" si="4421"/>
        <v>164</v>
      </c>
      <c r="AT773" s="48">
        <f t="shared" si="4421"/>
        <v>185</v>
      </c>
      <c r="AU773" s="48">
        <f t="shared" si="4421"/>
        <v>221</v>
      </c>
      <c r="AV773" s="48">
        <f t="shared" si="4421"/>
        <v>163</v>
      </c>
      <c r="AW773" s="48">
        <f t="shared" ref="AW773:BF774" si="4422">U773</f>
        <v>207</v>
      </c>
      <c r="AX773" s="48">
        <f t="shared" si="4422"/>
        <v>234</v>
      </c>
      <c r="AY773" s="48">
        <f t="shared" si="4422"/>
        <v>331</v>
      </c>
      <c r="AZ773" s="48">
        <f t="shared" si="4422"/>
        <v>277</v>
      </c>
      <c r="BA773" s="48">
        <f t="shared" si="4422"/>
        <v>366</v>
      </c>
      <c r="BB773" s="48">
        <f t="shared" si="4422"/>
        <v>187</v>
      </c>
      <c r="BC773" s="48">
        <f t="shared" si="4422"/>
        <v>184</v>
      </c>
      <c r="BD773" s="48">
        <f t="shared" si="4422"/>
        <v>193</v>
      </c>
      <c r="BE773" s="48">
        <f t="shared" si="4422"/>
        <v>233</v>
      </c>
      <c r="BF773" s="48">
        <f t="shared" si="4422"/>
        <v>256</v>
      </c>
      <c r="BG773" s="48">
        <f t="shared" ref="BG773:BL774" si="4423">AE773</f>
        <v>190</v>
      </c>
      <c r="BH773" s="48">
        <f t="shared" si="4423"/>
        <v>212</v>
      </c>
      <c r="BI773" s="48">
        <f t="shared" si="4423"/>
        <v>193</v>
      </c>
      <c r="BJ773" s="48">
        <f t="shared" si="4423"/>
        <v>433</v>
      </c>
      <c r="BK773" s="48">
        <f t="shared" si="4423"/>
        <v>384</v>
      </c>
      <c r="BL773" s="48" t="str">
        <f t="shared" si="4423"/>
        <v/>
      </c>
      <c r="BM773" s="408"/>
      <c r="BN773" s="48">
        <f>+AL773</f>
        <v>359</v>
      </c>
      <c r="BO773" s="48">
        <f t="shared" ref="BO773:BP775" si="4424">+BN773+AM773</f>
        <v>580</v>
      </c>
      <c r="BP773" s="48">
        <f t="shared" si="4424"/>
        <v>741</v>
      </c>
      <c r="BQ773" s="48">
        <f>+AO773</f>
        <v>406</v>
      </c>
      <c r="BR773" s="48">
        <f t="shared" ref="BR773:BS775" si="4425">+BQ773+AP773</f>
        <v>532</v>
      </c>
      <c r="BS773" s="48">
        <f t="shared" si="4425"/>
        <v>645</v>
      </c>
      <c r="BT773" s="48">
        <f>+AR773</f>
        <v>120</v>
      </c>
      <c r="BU773" s="48">
        <f t="shared" ref="BU773:BV775" si="4426">+BT773+AS773</f>
        <v>284</v>
      </c>
      <c r="BV773" s="48">
        <f t="shared" si="4426"/>
        <v>469</v>
      </c>
      <c r="BW773" s="48">
        <f>+AU773</f>
        <v>221</v>
      </c>
      <c r="BX773" s="48">
        <f t="shared" ref="BX773:BY775" si="4427">+BW773+AV773</f>
        <v>384</v>
      </c>
      <c r="BY773" s="48">
        <f t="shared" si="4427"/>
        <v>591</v>
      </c>
      <c r="BZ773" s="48">
        <f>+AX773</f>
        <v>234</v>
      </c>
      <c r="CA773" s="48">
        <f t="shared" ref="CA773:CB775" si="4428">+BZ773+AY773</f>
        <v>565</v>
      </c>
      <c r="CB773" s="48">
        <f t="shared" si="4428"/>
        <v>842</v>
      </c>
      <c r="CC773" s="48">
        <f>+BA773</f>
        <v>366</v>
      </c>
      <c r="CD773" s="48">
        <f t="shared" ref="CD773:CE775" si="4429">+CC773+BB773</f>
        <v>553</v>
      </c>
      <c r="CE773" s="48">
        <f t="shared" si="4429"/>
        <v>737</v>
      </c>
      <c r="CF773" s="48">
        <f>+BD773</f>
        <v>193</v>
      </c>
      <c r="CG773" s="48">
        <f t="shared" ref="CG773:CH775" si="4430">+CF773+BE773</f>
        <v>426</v>
      </c>
      <c r="CH773" s="48">
        <f t="shared" si="4430"/>
        <v>682</v>
      </c>
      <c r="CI773" s="48">
        <f>+BG773</f>
        <v>190</v>
      </c>
      <c r="CJ773" s="48">
        <f t="shared" ref="CJ773:CK775" si="4431">+CI773+BH773</f>
        <v>402</v>
      </c>
      <c r="CK773" s="48">
        <f t="shared" si="4431"/>
        <v>595</v>
      </c>
      <c r="CL773" s="48">
        <f>+BJ773</f>
        <v>433</v>
      </c>
      <c r="CM773" s="48">
        <f t="shared" ref="CM773:CN775" si="4432">+CL773+BK773</f>
        <v>817</v>
      </c>
      <c r="CN773" s="48" t="e">
        <f t="shared" si="4432"/>
        <v>#VALUE!</v>
      </c>
      <c r="CO773" s="406"/>
      <c r="CP773" s="40">
        <f>AL773</f>
        <v>359</v>
      </c>
      <c r="CQ773" s="40">
        <f t="shared" ref="CQ773:DA774" si="4433">CP773+AM773</f>
        <v>580</v>
      </c>
      <c r="CR773" s="40">
        <f t="shared" si="4433"/>
        <v>741</v>
      </c>
      <c r="CS773" s="40">
        <f t="shared" si="4433"/>
        <v>1147</v>
      </c>
      <c r="CT773" s="40">
        <f t="shared" si="4433"/>
        <v>1273</v>
      </c>
      <c r="CU773" s="40">
        <f t="shared" si="4433"/>
        <v>1386</v>
      </c>
      <c r="CV773" s="40">
        <f t="shared" si="4433"/>
        <v>1506</v>
      </c>
      <c r="CW773" s="40">
        <f t="shared" si="4433"/>
        <v>1670</v>
      </c>
      <c r="CX773" s="40">
        <f t="shared" si="4433"/>
        <v>1855</v>
      </c>
      <c r="CY773" s="40">
        <f t="shared" si="4433"/>
        <v>2076</v>
      </c>
      <c r="CZ773" s="40">
        <f t="shared" si="4433"/>
        <v>2239</v>
      </c>
      <c r="DA773" s="40">
        <f t="shared" si="4433"/>
        <v>2446</v>
      </c>
      <c r="DB773" s="40">
        <f>AX773</f>
        <v>234</v>
      </c>
      <c r="DC773" s="40">
        <f t="shared" ref="DC773:DM774" si="4434">DB773+AY773</f>
        <v>565</v>
      </c>
      <c r="DD773" s="40">
        <f t="shared" si="4434"/>
        <v>842</v>
      </c>
      <c r="DE773" s="40">
        <f t="shared" si="4434"/>
        <v>1208</v>
      </c>
      <c r="DF773" s="40">
        <f t="shared" si="4434"/>
        <v>1395</v>
      </c>
      <c r="DG773" s="40">
        <f t="shared" si="4434"/>
        <v>1579</v>
      </c>
      <c r="DH773" s="40">
        <f t="shared" si="4434"/>
        <v>1772</v>
      </c>
      <c r="DI773" s="40">
        <f t="shared" si="4434"/>
        <v>2005</v>
      </c>
      <c r="DJ773" s="40">
        <f t="shared" si="4434"/>
        <v>2261</v>
      </c>
      <c r="DK773" s="40">
        <f t="shared" si="4434"/>
        <v>2451</v>
      </c>
      <c r="DL773" s="40">
        <f t="shared" si="4434"/>
        <v>2663</v>
      </c>
      <c r="DM773" s="40">
        <f t="shared" si="4434"/>
        <v>2856</v>
      </c>
      <c r="DN773" s="40">
        <f>BJ773</f>
        <v>433</v>
      </c>
      <c r="DO773" s="40">
        <f>DN773+BK773</f>
        <v>817</v>
      </c>
      <c r="DP773" s="40" t="e">
        <f>DO773+BL773</f>
        <v>#VALUE!</v>
      </c>
      <c r="DQ773" s="40"/>
      <c r="DR773" s="40"/>
      <c r="DS773" s="40"/>
      <c r="DT773" s="40"/>
      <c r="DU773" s="40"/>
      <c r="DV773" s="40"/>
      <c r="DW773" s="40"/>
      <c r="DX773" s="40"/>
      <c r="DY773" s="40"/>
      <c r="EA773" s="53"/>
      <c r="EB773" s="53"/>
      <c r="EC773" s="53"/>
      <c r="ED773" s="429"/>
      <c r="EE773" s="54"/>
      <c r="EF773" s="54"/>
      <c r="EG773" s="54"/>
      <c r="EH773" s="18">
        <f>HLOOKUP($I$1,Month,ROW()-1)</f>
        <v>384</v>
      </c>
      <c r="EI773" s="18">
        <f>HLOOKUP($I$1,Qtr,ROW()-1)</f>
        <v>817</v>
      </c>
      <c r="EJ773" s="18">
        <f t="shared" si="4298"/>
        <v>817</v>
      </c>
      <c r="EK773" s="57">
        <f t="shared" si="4347"/>
        <v>0.16666666666666666</v>
      </c>
      <c r="EL773" s="14">
        <f>EH773/EE748</f>
        <v>1.1821459026638304</v>
      </c>
      <c r="EM773" s="14">
        <f>EI773/EF748</f>
        <v>1.558418767660172</v>
      </c>
      <c r="EN773" s="14">
        <f>EJ773/EG748</f>
        <v>0.35912087912087914</v>
      </c>
      <c r="EO773" s="46" t="str">
        <f>IF(EH773&lt;0,,IF(EH773&gt;EE748,"È",IF(EH773=EE748,"Æ","Ç")))</f>
        <v>È</v>
      </c>
      <c r="EP773" s="46" t="str">
        <f>IF(EI773&lt;0,,IF(EI773&gt;EF748,"È",IF(EI773=EF748,"Æ","Ç")))</f>
        <v>È</v>
      </c>
      <c r="EQ773" s="2">
        <f>IF(EL773&gt;=0.9,1,IF(EL773&lt;0.75,2,3))</f>
        <v>1</v>
      </c>
      <c r="ER773" s="2">
        <f>IF(EM773&gt;=0.9,1,IF(EM773&lt;0.75,2,3))</f>
        <v>1</v>
      </c>
      <c r="ES773" s="2">
        <f>IF(EN773&gt;=0.9,1,IF(EN773&lt;0.75,2,3))</f>
        <v>2</v>
      </c>
    </row>
    <row r="774" spans="1:149">
      <c r="A774" s="6" t="s">
        <v>23</v>
      </c>
      <c r="B774" s="2" t="s">
        <v>1</v>
      </c>
      <c r="C774" s="3" t="s">
        <v>60</v>
      </c>
      <c r="E774" s="3" t="s">
        <v>16</v>
      </c>
      <c r="G774" s="28" t="s">
        <v>92</v>
      </c>
      <c r="H774" s="28"/>
      <c r="I774" s="29"/>
      <c r="J774" s="30">
        <f t="shared" si="4410"/>
        <v>171</v>
      </c>
      <c r="K774" s="30">
        <f>IF(K48="","",K48+K114+K180+K246+K312+K378+K444+K510+K576+K642+K708)</f>
        <v>76</v>
      </c>
      <c r="L774" s="30">
        <f t="shared" ref="L774:AJ774" si="4435">IF(L48="","",L48+L114+L180+L246+L312+L378+L444+L510+L576+L642+L708)</f>
        <v>38</v>
      </c>
      <c r="M774" s="30">
        <f t="shared" si="4435"/>
        <v>44</v>
      </c>
      <c r="N774" s="30">
        <f t="shared" si="4435"/>
        <v>31</v>
      </c>
      <c r="O774" s="30">
        <f t="shared" si="4435"/>
        <v>28</v>
      </c>
      <c r="P774" s="30">
        <f t="shared" si="4435"/>
        <v>29</v>
      </c>
      <c r="Q774" s="30">
        <f t="shared" si="4435"/>
        <v>34</v>
      </c>
      <c r="R774" s="30">
        <f t="shared" si="4435"/>
        <v>45</v>
      </c>
      <c r="S774" s="30">
        <f t="shared" si="4435"/>
        <v>38</v>
      </c>
      <c r="T774" s="30">
        <f t="shared" si="4435"/>
        <v>29</v>
      </c>
      <c r="U774" s="281">
        <f t="shared" si="4435"/>
        <v>53</v>
      </c>
      <c r="V774" s="30">
        <f t="shared" si="4435"/>
        <v>119</v>
      </c>
      <c r="W774" s="30">
        <f t="shared" si="4435"/>
        <v>144</v>
      </c>
      <c r="X774" s="30">
        <f t="shared" si="4435"/>
        <v>68</v>
      </c>
      <c r="Y774" s="30">
        <f t="shared" si="4435"/>
        <v>70</v>
      </c>
      <c r="Z774" s="30">
        <f t="shared" si="4435"/>
        <v>58</v>
      </c>
      <c r="AA774" s="30">
        <f t="shared" si="4435"/>
        <v>61</v>
      </c>
      <c r="AB774" s="30">
        <f t="shared" si="4435"/>
        <v>42</v>
      </c>
      <c r="AC774" s="30">
        <f t="shared" si="4435"/>
        <v>68</v>
      </c>
      <c r="AD774" s="30">
        <f t="shared" si="4435"/>
        <v>58</v>
      </c>
      <c r="AE774" s="30">
        <f t="shared" si="4435"/>
        <v>49</v>
      </c>
      <c r="AF774" s="30">
        <f t="shared" si="4435"/>
        <v>48</v>
      </c>
      <c r="AG774" s="30">
        <f t="shared" si="4435"/>
        <v>52</v>
      </c>
      <c r="AH774" s="30">
        <f t="shared" si="4435"/>
        <v>192</v>
      </c>
      <c r="AI774" s="30">
        <f t="shared" si="4435"/>
        <v>163</v>
      </c>
      <c r="AJ774" s="30" t="str">
        <f t="shared" si="4435"/>
        <v/>
      </c>
      <c r="AK774" s="408"/>
      <c r="AL774" s="48">
        <f t="shared" si="4336"/>
        <v>171</v>
      </c>
      <c r="AM774" s="48">
        <f t="shared" si="4421"/>
        <v>76</v>
      </c>
      <c r="AN774" s="48">
        <f t="shared" si="4421"/>
        <v>38</v>
      </c>
      <c r="AO774" s="48">
        <f t="shared" si="4421"/>
        <v>44</v>
      </c>
      <c r="AP774" s="48">
        <f t="shared" si="4421"/>
        <v>31</v>
      </c>
      <c r="AQ774" s="48">
        <f t="shared" si="4421"/>
        <v>28</v>
      </c>
      <c r="AR774" s="48">
        <f t="shared" si="4421"/>
        <v>29</v>
      </c>
      <c r="AS774" s="48">
        <f t="shared" si="4421"/>
        <v>34</v>
      </c>
      <c r="AT774" s="48">
        <f t="shared" si="4421"/>
        <v>45</v>
      </c>
      <c r="AU774" s="48">
        <f t="shared" si="4421"/>
        <v>38</v>
      </c>
      <c r="AV774" s="48">
        <f t="shared" si="4421"/>
        <v>29</v>
      </c>
      <c r="AW774" s="48">
        <f t="shared" si="4422"/>
        <v>53</v>
      </c>
      <c r="AX774" s="48">
        <f t="shared" si="4422"/>
        <v>119</v>
      </c>
      <c r="AY774" s="48">
        <f t="shared" si="4422"/>
        <v>144</v>
      </c>
      <c r="AZ774" s="48">
        <f t="shared" si="4422"/>
        <v>68</v>
      </c>
      <c r="BA774" s="48">
        <f t="shared" si="4422"/>
        <v>70</v>
      </c>
      <c r="BB774" s="48">
        <f t="shared" si="4422"/>
        <v>58</v>
      </c>
      <c r="BC774" s="48">
        <f t="shared" si="4422"/>
        <v>61</v>
      </c>
      <c r="BD774" s="48">
        <f t="shared" si="4422"/>
        <v>42</v>
      </c>
      <c r="BE774" s="48">
        <f t="shared" si="4422"/>
        <v>68</v>
      </c>
      <c r="BF774" s="48">
        <f t="shared" si="4422"/>
        <v>58</v>
      </c>
      <c r="BG774" s="48">
        <f t="shared" si="4423"/>
        <v>49</v>
      </c>
      <c r="BH774" s="48">
        <f t="shared" si="4423"/>
        <v>48</v>
      </c>
      <c r="BI774" s="48">
        <f t="shared" si="4423"/>
        <v>52</v>
      </c>
      <c r="BJ774" s="48">
        <f t="shared" si="4423"/>
        <v>192</v>
      </c>
      <c r="BK774" s="48">
        <f t="shared" si="4423"/>
        <v>163</v>
      </c>
      <c r="BL774" s="48" t="str">
        <f t="shared" si="4423"/>
        <v/>
      </c>
      <c r="BM774" s="408"/>
      <c r="BN774" s="48">
        <f>+AL774</f>
        <v>171</v>
      </c>
      <c r="BO774" s="48">
        <f t="shared" si="4424"/>
        <v>247</v>
      </c>
      <c r="BP774" s="48">
        <f t="shared" si="4424"/>
        <v>285</v>
      </c>
      <c r="BQ774" s="48">
        <f>+AO774</f>
        <v>44</v>
      </c>
      <c r="BR774" s="48">
        <f t="shared" si="4425"/>
        <v>75</v>
      </c>
      <c r="BS774" s="48">
        <f t="shared" si="4425"/>
        <v>103</v>
      </c>
      <c r="BT774" s="48">
        <f>+AR774</f>
        <v>29</v>
      </c>
      <c r="BU774" s="48">
        <f t="shared" si="4426"/>
        <v>63</v>
      </c>
      <c r="BV774" s="48">
        <f t="shared" si="4426"/>
        <v>108</v>
      </c>
      <c r="BW774" s="48">
        <f>+AU774</f>
        <v>38</v>
      </c>
      <c r="BX774" s="48">
        <f t="shared" si="4427"/>
        <v>67</v>
      </c>
      <c r="BY774" s="48">
        <f t="shared" si="4427"/>
        <v>120</v>
      </c>
      <c r="BZ774" s="48">
        <f>+AX774</f>
        <v>119</v>
      </c>
      <c r="CA774" s="48">
        <f t="shared" si="4428"/>
        <v>263</v>
      </c>
      <c r="CB774" s="48">
        <f t="shared" si="4428"/>
        <v>331</v>
      </c>
      <c r="CC774" s="48">
        <f>+BA774</f>
        <v>70</v>
      </c>
      <c r="CD774" s="48">
        <f t="shared" si="4429"/>
        <v>128</v>
      </c>
      <c r="CE774" s="48">
        <f t="shared" si="4429"/>
        <v>189</v>
      </c>
      <c r="CF774" s="48">
        <f>+BD774</f>
        <v>42</v>
      </c>
      <c r="CG774" s="48">
        <f t="shared" si="4430"/>
        <v>110</v>
      </c>
      <c r="CH774" s="48">
        <f t="shared" si="4430"/>
        <v>168</v>
      </c>
      <c r="CI774" s="48">
        <f>+BG774</f>
        <v>49</v>
      </c>
      <c r="CJ774" s="48">
        <f t="shared" si="4431"/>
        <v>97</v>
      </c>
      <c r="CK774" s="48">
        <f t="shared" si="4431"/>
        <v>149</v>
      </c>
      <c r="CL774" s="48">
        <f>+BJ774</f>
        <v>192</v>
      </c>
      <c r="CM774" s="48">
        <f t="shared" si="4432"/>
        <v>355</v>
      </c>
      <c r="CN774" s="48" t="e">
        <f t="shared" si="4432"/>
        <v>#VALUE!</v>
      </c>
      <c r="CO774" s="406"/>
      <c r="CP774" s="40">
        <f>AL774</f>
        <v>171</v>
      </c>
      <c r="CQ774" s="40">
        <f t="shared" si="4433"/>
        <v>247</v>
      </c>
      <c r="CR774" s="40">
        <f t="shared" si="4433"/>
        <v>285</v>
      </c>
      <c r="CS774" s="40">
        <f t="shared" si="4433"/>
        <v>329</v>
      </c>
      <c r="CT774" s="40">
        <f t="shared" si="4433"/>
        <v>360</v>
      </c>
      <c r="CU774" s="40">
        <f t="shared" si="4433"/>
        <v>388</v>
      </c>
      <c r="CV774" s="40">
        <f t="shared" si="4433"/>
        <v>417</v>
      </c>
      <c r="CW774" s="40">
        <f t="shared" si="4433"/>
        <v>451</v>
      </c>
      <c r="CX774" s="40">
        <f t="shared" si="4433"/>
        <v>496</v>
      </c>
      <c r="CY774" s="40">
        <f t="shared" si="4433"/>
        <v>534</v>
      </c>
      <c r="CZ774" s="40">
        <f t="shared" si="4433"/>
        <v>563</v>
      </c>
      <c r="DA774" s="40">
        <f t="shared" si="4433"/>
        <v>616</v>
      </c>
      <c r="DB774" s="40">
        <f>AX774</f>
        <v>119</v>
      </c>
      <c r="DC774" s="40">
        <f t="shared" si="4434"/>
        <v>263</v>
      </c>
      <c r="DD774" s="40">
        <f t="shared" si="4434"/>
        <v>331</v>
      </c>
      <c r="DE774" s="40">
        <f t="shared" si="4434"/>
        <v>401</v>
      </c>
      <c r="DF774" s="40">
        <f t="shared" si="4434"/>
        <v>459</v>
      </c>
      <c r="DG774" s="40">
        <f t="shared" si="4434"/>
        <v>520</v>
      </c>
      <c r="DH774" s="40">
        <f t="shared" si="4434"/>
        <v>562</v>
      </c>
      <c r="DI774" s="40">
        <f t="shared" si="4434"/>
        <v>630</v>
      </c>
      <c r="DJ774" s="40">
        <f t="shared" si="4434"/>
        <v>688</v>
      </c>
      <c r="DK774" s="40">
        <f t="shared" si="4434"/>
        <v>737</v>
      </c>
      <c r="DL774" s="40">
        <f t="shared" si="4434"/>
        <v>785</v>
      </c>
      <c r="DM774" s="40">
        <f t="shared" si="4434"/>
        <v>837</v>
      </c>
      <c r="DN774" s="40">
        <f>BJ774</f>
        <v>192</v>
      </c>
      <c r="DO774" s="40">
        <f>DN774+BK774</f>
        <v>355</v>
      </c>
      <c r="DP774" s="40" t="e">
        <f>DO774+BL774</f>
        <v>#VALUE!</v>
      </c>
      <c r="DQ774" s="40"/>
      <c r="DR774" s="40"/>
      <c r="DS774" s="40"/>
      <c r="DT774" s="40"/>
      <c r="DU774" s="40"/>
      <c r="DV774" s="40"/>
      <c r="DW774" s="40"/>
      <c r="DX774" s="40"/>
      <c r="DY774" s="40"/>
      <c r="EA774" s="53"/>
      <c r="EB774" s="53"/>
      <c r="EC774" s="53"/>
      <c r="ED774" s="429"/>
      <c r="EE774" s="54"/>
      <c r="EF774" s="54"/>
      <c r="EG774" s="54"/>
      <c r="EH774" s="18">
        <f>HLOOKUP($I$1,Month,ROW()-1)</f>
        <v>163</v>
      </c>
      <c r="EI774" s="18">
        <f>HLOOKUP($I$1,Qtr,ROW()-1)</f>
        <v>355</v>
      </c>
      <c r="EJ774" s="18">
        <f t="shared" si="4298"/>
        <v>355</v>
      </c>
      <c r="EK774" s="57">
        <f t="shared" si="4347"/>
        <v>0.16666666666666666</v>
      </c>
      <c r="EL774" s="14">
        <f>EH774/EE749</f>
        <v>2.9774098616563864</v>
      </c>
      <c r="EM774" s="14">
        <f>EI774/EF749</f>
        <v>3.2422714751166173</v>
      </c>
      <c r="EN774" s="14">
        <f>EJ774/EG749</f>
        <v>0.37437881064416206</v>
      </c>
      <c r="EO774" s="46" t="str">
        <f t="shared" si="4357"/>
        <v>Ç</v>
      </c>
      <c r="EP774" s="46" t="str">
        <f t="shared" si="4358"/>
        <v>Ç</v>
      </c>
      <c r="EQ774" s="2">
        <f>IF(EL774&gt;=0.9,1,IF(EL774&lt;0.75,2,3))</f>
        <v>1</v>
      </c>
      <c r="ER774" s="2">
        <f>IF(EM774&gt;=0.9,1,IF(EM774&lt;0.75,2,3))</f>
        <v>1</v>
      </c>
      <c r="ES774" s="2">
        <f>IF(EN774&gt;=0.9,1,IF(EN774&lt;0.75,2,3))</f>
        <v>2</v>
      </c>
    </row>
    <row r="775" spans="1:149">
      <c r="A775" s="6" t="s">
        <v>23</v>
      </c>
      <c r="B775" s="2" t="s">
        <v>98</v>
      </c>
      <c r="G775" s="28" t="s">
        <v>92</v>
      </c>
      <c r="H775" s="28"/>
      <c r="I775" s="29"/>
      <c r="J775" s="30">
        <f t="shared" si="4410"/>
        <v>3</v>
      </c>
      <c r="K775" s="32">
        <f>IF(K49="","",K49+K115+K181+K247+K313+K379+K445+K511+K577+K643+K709)</f>
        <v>17.399999999999999</v>
      </c>
      <c r="L775" s="32">
        <f t="shared" ref="L775:AJ775" si="4436">IF(L49="","",L49+L115+L181+L247+L313+L379+L445+L511+L577+L643+L709)</f>
        <v>13.2</v>
      </c>
      <c r="M775" s="32">
        <f t="shared" si="4436"/>
        <v>18.8</v>
      </c>
      <c r="N775" s="32">
        <f t="shared" si="4436"/>
        <v>25</v>
      </c>
      <c r="O775" s="32">
        <f t="shared" si="4436"/>
        <v>25.8</v>
      </c>
      <c r="P775" s="32">
        <f t="shared" si="4436"/>
        <v>19.399999999999999</v>
      </c>
      <c r="Q775" s="32">
        <f t="shared" si="4436"/>
        <v>24.189999999999998</v>
      </c>
      <c r="R775" s="32">
        <f t="shared" si="4436"/>
        <v>32.200000000000003</v>
      </c>
      <c r="S775" s="32">
        <f t="shared" si="4436"/>
        <v>35.200000000000003</v>
      </c>
      <c r="T775" s="32">
        <f t="shared" si="4436"/>
        <v>34.799999999999997</v>
      </c>
      <c r="U775" s="284">
        <f t="shared" si="4436"/>
        <v>30.799999999999997</v>
      </c>
      <c r="V775" s="32">
        <f t="shared" si="4436"/>
        <v>36.989999999999995</v>
      </c>
      <c r="W775" s="32">
        <f t="shared" si="4436"/>
        <v>42.2</v>
      </c>
      <c r="X775" s="32">
        <f t="shared" si="4436"/>
        <v>28.99</v>
      </c>
      <c r="Y775" s="32">
        <f t="shared" si="4436"/>
        <v>36.97</v>
      </c>
      <c r="Z775" s="32">
        <f t="shared" si="4436"/>
        <v>34.79</v>
      </c>
      <c r="AA775" s="32">
        <f t="shared" si="4436"/>
        <v>30.590000000000003</v>
      </c>
      <c r="AB775" s="32">
        <f t="shared" si="4436"/>
        <v>23</v>
      </c>
      <c r="AC775" s="32">
        <f t="shared" si="4436"/>
        <v>44.56</v>
      </c>
      <c r="AD775" s="32">
        <f t="shared" si="4436"/>
        <v>49.24</v>
      </c>
      <c r="AE775" s="32">
        <f t="shared" si="4436"/>
        <v>66.759999999999991</v>
      </c>
      <c r="AF775" s="32">
        <f t="shared" si="4436"/>
        <v>45.599999999999994</v>
      </c>
      <c r="AG775" s="32">
        <f t="shared" si="4436"/>
        <v>55.44</v>
      </c>
      <c r="AH775" s="32">
        <f t="shared" si="4436"/>
        <v>51.36</v>
      </c>
      <c r="AI775" s="32">
        <f t="shared" si="4436"/>
        <v>41</v>
      </c>
      <c r="AJ775" s="32">
        <f t="shared" si="4436"/>
        <v>0</v>
      </c>
      <c r="AK775" s="408"/>
      <c r="AL775" s="56">
        <f t="shared" ref="AL775:BL775" si="4437">AL762*AL763</f>
        <v>3</v>
      </c>
      <c r="AM775" s="56">
        <f t="shared" si="4437"/>
        <v>17.399999999999999</v>
      </c>
      <c r="AN775" s="56">
        <f t="shared" si="4437"/>
        <v>13.2</v>
      </c>
      <c r="AO775" s="56">
        <f t="shared" si="4437"/>
        <v>18.8</v>
      </c>
      <c r="AP775" s="56">
        <f t="shared" si="4437"/>
        <v>0.26315789473684015</v>
      </c>
      <c r="AQ775" s="56">
        <f t="shared" si="4437"/>
        <v>25.8</v>
      </c>
      <c r="AR775" s="56">
        <f t="shared" si="4437"/>
        <v>19.399999999999999</v>
      </c>
      <c r="AS775" s="56">
        <f t="shared" si="4437"/>
        <v>24.189999999999998</v>
      </c>
      <c r="AT775" s="56">
        <f t="shared" si="4437"/>
        <v>32.200000000000003</v>
      </c>
      <c r="AU775" s="56">
        <f t="shared" si="4437"/>
        <v>35.200000000000003</v>
      </c>
      <c r="AV775" s="56">
        <f t="shared" si="4437"/>
        <v>34.799999999999997</v>
      </c>
      <c r="AW775" s="56">
        <f t="shared" si="4437"/>
        <v>30.799999999999997</v>
      </c>
      <c r="AX775" s="56">
        <f t="shared" si="4437"/>
        <v>36.989999999999995</v>
      </c>
      <c r="AY775" s="56">
        <f t="shared" si="4437"/>
        <v>42.2</v>
      </c>
      <c r="AZ775" s="56">
        <f t="shared" si="4437"/>
        <v>28.99</v>
      </c>
      <c r="BA775" s="56">
        <f t="shared" si="4437"/>
        <v>36.97</v>
      </c>
      <c r="BB775" s="56">
        <f t="shared" si="4437"/>
        <v>34.79</v>
      </c>
      <c r="BC775" s="56">
        <f t="shared" si="4437"/>
        <v>30.590000000000003</v>
      </c>
      <c r="BD775" s="56">
        <f t="shared" si="4437"/>
        <v>23</v>
      </c>
      <c r="BE775" s="56">
        <f t="shared" si="4437"/>
        <v>44.56</v>
      </c>
      <c r="BF775" s="56">
        <f t="shared" si="4437"/>
        <v>49.24</v>
      </c>
      <c r="BG775" s="56">
        <f t="shared" si="4437"/>
        <v>66.759999999999991</v>
      </c>
      <c r="BH775" s="56">
        <f t="shared" si="4437"/>
        <v>45.599999999999994</v>
      </c>
      <c r="BI775" s="56">
        <f t="shared" si="4437"/>
        <v>55.44</v>
      </c>
      <c r="BJ775" s="56">
        <f t="shared" si="4437"/>
        <v>51.36</v>
      </c>
      <c r="BK775" s="56">
        <f t="shared" si="4437"/>
        <v>-0.63555555555555532</v>
      </c>
      <c r="BL775" s="56">
        <f t="shared" si="4437"/>
        <v>0</v>
      </c>
      <c r="BM775" s="408"/>
      <c r="BN775" s="56">
        <f>+AL775</f>
        <v>3</v>
      </c>
      <c r="BO775" s="56">
        <f t="shared" si="4424"/>
        <v>20.399999999999999</v>
      </c>
      <c r="BP775" s="56">
        <f t="shared" si="4424"/>
        <v>33.599999999999994</v>
      </c>
      <c r="BQ775" s="56">
        <f>+AO775</f>
        <v>18.8</v>
      </c>
      <c r="BR775" s="56">
        <f t="shared" si="4425"/>
        <v>19.06315789473684</v>
      </c>
      <c r="BS775" s="56">
        <f t="shared" si="4425"/>
        <v>44.863157894736844</v>
      </c>
      <c r="BT775" s="56">
        <f>+AR775</f>
        <v>19.399999999999999</v>
      </c>
      <c r="BU775" s="56">
        <f t="shared" si="4426"/>
        <v>43.589999999999996</v>
      </c>
      <c r="BV775" s="56">
        <f t="shared" si="4426"/>
        <v>75.789999999999992</v>
      </c>
      <c r="BW775" s="56">
        <f>+AU775</f>
        <v>35.200000000000003</v>
      </c>
      <c r="BX775" s="56">
        <f t="shared" si="4427"/>
        <v>70</v>
      </c>
      <c r="BY775" s="56">
        <f t="shared" si="4427"/>
        <v>100.8</v>
      </c>
      <c r="BZ775" s="56">
        <f>+AX775</f>
        <v>36.989999999999995</v>
      </c>
      <c r="CA775" s="56">
        <f t="shared" si="4428"/>
        <v>79.19</v>
      </c>
      <c r="CB775" s="56">
        <f t="shared" si="4428"/>
        <v>108.17999999999999</v>
      </c>
      <c r="CC775" s="56">
        <f>+BA775</f>
        <v>36.97</v>
      </c>
      <c r="CD775" s="56">
        <f t="shared" si="4429"/>
        <v>71.759999999999991</v>
      </c>
      <c r="CE775" s="56">
        <f t="shared" si="4429"/>
        <v>102.35</v>
      </c>
      <c r="CF775" s="56">
        <f>+BD775</f>
        <v>23</v>
      </c>
      <c r="CG775" s="56">
        <f t="shared" si="4430"/>
        <v>67.56</v>
      </c>
      <c r="CH775" s="56">
        <f t="shared" si="4430"/>
        <v>116.80000000000001</v>
      </c>
      <c r="CI775" s="56">
        <f>+BG775</f>
        <v>66.759999999999991</v>
      </c>
      <c r="CJ775" s="56">
        <f t="shared" si="4431"/>
        <v>112.35999999999999</v>
      </c>
      <c r="CK775" s="56">
        <f t="shared" si="4431"/>
        <v>167.79999999999998</v>
      </c>
      <c r="CL775" s="56">
        <f>+BJ775</f>
        <v>51.36</v>
      </c>
      <c r="CM775" s="56">
        <f t="shared" si="4432"/>
        <v>50.724444444444444</v>
      </c>
      <c r="CN775" s="56">
        <f t="shared" si="4432"/>
        <v>50.724444444444444</v>
      </c>
      <c r="CO775" s="406"/>
      <c r="CP775" s="60">
        <f>J775</f>
        <v>3</v>
      </c>
      <c r="CQ775" s="60">
        <f t="shared" ref="CQ775:DA775" si="4438">CP775+K775</f>
        <v>20.399999999999999</v>
      </c>
      <c r="CR775" s="60">
        <f t="shared" si="4438"/>
        <v>33.599999999999994</v>
      </c>
      <c r="CS775" s="60">
        <f t="shared" si="4438"/>
        <v>52.399999999999991</v>
      </c>
      <c r="CT775" s="60">
        <f t="shared" si="4438"/>
        <v>77.399999999999991</v>
      </c>
      <c r="CU775" s="60">
        <f t="shared" si="4438"/>
        <v>103.19999999999999</v>
      </c>
      <c r="CV775" s="60">
        <f t="shared" si="4438"/>
        <v>122.6</v>
      </c>
      <c r="CW775" s="60">
        <f t="shared" si="4438"/>
        <v>146.79</v>
      </c>
      <c r="CX775" s="60">
        <f t="shared" si="4438"/>
        <v>178.99</v>
      </c>
      <c r="CY775" s="60">
        <f t="shared" si="4438"/>
        <v>214.19</v>
      </c>
      <c r="CZ775" s="60">
        <f t="shared" si="4438"/>
        <v>248.99</v>
      </c>
      <c r="DA775" s="60">
        <f t="shared" si="4438"/>
        <v>279.79000000000002</v>
      </c>
      <c r="DB775" s="60">
        <f>V775</f>
        <v>36.989999999999995</v>
      </c>
      <c r="DC775" s="60">
        <f t="shared" ref="DC775:DM775" si="4439">DB775+W775</f>
        <v>79.19</v>
      </c>
      <c r="DD775" s="60">
        <f t="shared" si="4439"/>
        <v>108.17999999999999</v>
      </c>
      <c r="DE775" s="60">
        <f t="shared" si="4439"/>
        <v>145.14999999999998</v>
      </c>
      <c r="DF775" s="60">
        <f t="shared" si="4439"/>
        <v>179.93999999999997</v>
      </c>
      <c r="DG775" s="60">
        <f t="shared" si="4439"/>
        <v>210.52999999999997</v>
      </c>
      <c r="DH775" s="60">
        <f t="shared" si="4439"/>
        <v>233.52999999999997</v>
      </c>
      <c r="DI775" s="60">
        <f t="shared" si="4439"/>
        <v>278.08999999999997</v>
      </c>
      <c r="DJ775" s="60">
        <f t="shared" si="4439"/>
        <v>327.33</v>
      </c>
      <c r="DK775" s="60">
        <f t="shared" si="4439"/>
        <v>394.09</v>
      </c>
      <c r="DL775" s="60">
        <f t="shared" si="4439"/>
        <v>439.68999999999994</v>
      </c>
      <c r="DM775" s="60">
        <f t="shared" si="4439"/>
        <v>495.12999999999994</v>
      </c>
      <c r="DN775" s="60">
        <f>AH775</f>
        <v>51.36</v>
      </c>
      <c r="DO775" s="60">
        <f>DN775+AI775</f>
        <v>92.36</v>
      </c>
      <c r="DP775" s="60">
        <f>DO775+AJ775</f>
        <v>92.36</v>
      </c>
      <c r="DQ775" s="60"/>
      <c r="DR775" s="60"/>
      <c r="DS775" s="60"/>
      <c r="DT775" s="60"/>
      <c r="DU775" s="60"/>
      <c r="DV775" s="60"/>
      <c r="DW775" s="60"/>
      <c r="DX775" s="60"/>
      <c r="DY775" s="60"/>
      <c r="EA775" s="53"/>
      <c r="EB775" s="53"/>
      <c r="EC775" s="53"/>
      <c r="ED775" s="429"/>
      <c r="EE775" s="54"/>
      <c r="EF775" s="54"/>
      <c r="EG775" s="54"/>
      <c r="EH775" s="18">
        <f>HLOOKUP($I$1,Month,ROW()-1)</f>
        <v>-0.63555555555555532</v>
      </c>
      <c r="EI775" s="18">
        <f>HLOOKUP($I$1,Qtr,ROW()-1)</f>
        <v>50.724444444444444</v>
      </c>
      <c r="EJ775" s="18">
        <f t="shared" si="4298"/>
        <v>92.36</v>
      </c>
      <c r="EK775" s="57">
        <f t="shared" si="4347"/>
        <v>0.16666666666666666</v>
      </c>
      <c r="EL775" s="14"/>
      <c r="EM775" s="14" t="e">
        <f>EI775/EF751</f>
        <v>#VALUE!</v>
      </c>
      <c r="EN775" s="14"/>
      <c r="EO775" s="46">
        <f t="shared" si="4357"/>
        <v>0</v>
      </c>
      <c r="EP775" s="46" t="e">
        <f>IF(EI775&lt;0,,IF(EI775&lt;EF751,"È",IF(EI775=EF751,"Æ","Ç")))</f>
        <v>#VALUE!</v>
      </c>
    </row>
    <row r="776" spans="1:149" ht="13.5" thickBot="1">
      <c r="K776" s="42"/>
      <c r="AL776" s="14"/>
      <c r="CN776" s="23" t="s">
        <v>152</v>
      </c>
      <c r="CP776" s="2">
        <v>10</v>
      </c>
      <c r="CQ776" s="2">
        <v>11</v>
      </c>
      <c r="CR776" s="2">
        <v>12</v>
      </c>
      <c r="CS776" s="2">
        <v>1</v>
      </c>
      <c r="CT776" s="2">
        <v>2</v>
      </c>
      <c r="CU776" s="2">
        <v>3</v>
      </c>
      <c r="CV776" s="2">
        <v>4</v>
      </c>
      <c r="CW776" s="2">
        <v>5</v>
      </c>
      <c r="CX776" s="2">
        <v>6</v>
      </c>
      <c r="CY776" s="2">
        <v>7</v>
      </c>
      <c r="CZ776" s="2">
        <v>8</v>
      </c>
      <c r="DA776" s="2">
        <v>9</v>
      </c>
      <c r="DB776" s="2">
        <v>10</v>
      </c>
      <c r="DC776" s="2">
        <v>11</v>
      </c>
      <c r="DD776" s="2">
        <v>12</v>
      </c>
      <c r="DE776" s="2">
        <v>1</v>
      </c>
      <c r="DF776" s="2">
        <v>2</v>
      </c>
      <c r="DG776" s="2">
        <v>3</v>
      </c>
      <c r="DH776" s="2">
        <v>4</v>
      </c>
      <c r="DI776" s="2">
        <v>5</v>
      </c>
      <c r="DJ776" s="2">
        <v>6</v>
      </c>
      <c r="DK776" s="2">
        <v>7</v>
      </c>
      <c r="DL776" s="2">
        <v>8</v>
      </c>
      <c r="DM776" s="2">
        <v>9</v>
      </c>
      <c r="DN776" s="2">
        <v>10</v>
      </c>
      <c r="DO776" s="2">
        <v>11</v>
      </c>
      <c r="DP776" s="2">
        <v>12</v>
      </c>
      <c r="ED776" s="429"/>
      <c r="EE776" s="23"/>
      <c r="EF776" s="23"/>
      <c r="EG776" s="23"/>
      <c r="EH776" s="23"/>
      <c r="EI776" s="23"/>
      <c r="EJ776" s="23"/>
      <c r="EK776" s="23"/>
    </row>
    <row r="777" spans="1:149" ht="13.5" thickBot="1">
      <c r="E777" s="666" t="s">
        <v>88</v>
      </c>
      <c r="F777" s="667"/>
      <c r="G777" s="667"/>
      <c r="H777" s="667"/>
      <c r="I777" s="668"/>
      <c r="CN777" s="23" t="s">
        <v>153</v>
      </c>
      <c r="CP777" s="2">
        <v>1</v>
      </c>
      <c r="CQ777" s="2">
        <v>2</v>
      </c>
      <c r="CR777" s="2">
        <v>3</v>
      </c>
      <c r="CS777" s="2">
        <v>4</v>
      </c>
      <c r="CT777" s="2">
        <v>5</v>
      </c>
      <c r="CU777" s="2">
        <v>6</v>
      </c>
      <c r="CV777" s="2">
        <v>7</v>
      </c>
      <c r="CW777" s="2">
        <v>8</v>
      </c>
      <c r="CX777" s="2">
        <v>9</v>
      </c>
      <c r="CY777" s="2">
        <v>10</v>
      </c>
      <c r="CZ777" s="2">
        <v>11</v>
      </c>
      <c r="DA777" s="2">
        <v>12</v>
      </c>
      <c r="DB777" s="2">
        <v>1</v>
      </c>
      <c r="DC777" s="2">
        <v>2</v>
      </c>
      <c r="DD777" s="2">
        <v>3</v>
      </c>
      <c r="DE777" s="2">
        <v>4</v>
      </c>
      <c r="DF777" s="2">
        <v>5</v>
      </c>
      <c r="DG777" s="2">
        <v>6</v>
      </c>
      <c r="DH777" s="2">
        <v>7</v>
      </c>
      <c r="DI777" s="2">
        <v>8</v>
      </c>
      <c r="DJ777" s="2">
        <v>9</v>
      </c>
      <c r="DK777" s="2">
        <v>10</v>
      </c>
      <c r="DL777" s="2">
        <v>11</v>
      </c>
      <c r="DM777" s="2">
        <v>12</v>
      </c>
      <c r="ED777" s="429"/>
      <c r="EE777" s="23"/>
      <c r="EF777" s="23"/>
      <c r="EG777" s="23"/>
      <c r="EH777" s="23"/>
      <c r="EI777" s="23"/>
      <c r="EJ777" s="23"/>
      <c r="EK777" s="23"/>
    </row>
    <row r="778" spans="1:149" ht="13.5" thickBot="1">
      <c r="A778" s="6" t="s">
        <v>30</v>
      </c>
      <c r="C778" s="11" t="s">
        <v>73</v>
      </c>
      <c r="E778" s="8" t="s">
        <v>34</v>
      </c>
      <c r="F778" s="11" t="s">
        <v>33</v>
      </c>
      <c r="G778" s="9" t="s">
        <v>34</v>
      </c>
      <c r="H778" s="11" t="s">
        <v>33</v>
      </c>
      <c r="I778" s="11" t="s">
        <v>34</v>
      </c>
      <c r="AL778" s="109"/>
    </row>
    <row r="779" spans="1:149">
      <c r="A779" s="6" t="s">
        <v>23</v>
      </c>
      <c r="B779" s="2" t="s">
        <v>24</v>
      </c>
      <c r="C779" s="3" t="s">
        <v>74</v>
      </c>
      <c r="E779" s="4" t="str">
        <f>C736</f>
        <v>BInBusNew</v>
      </c>
      <c r="F779" s="4" t="s">
        <v>31</v>
      </c>
      <c r="G779" s="28" t="str">
        <f>C735</f>
        <v>BAllNew</v>
      </c>
      <c r="H779" s="28"/>
      <c r="I779" s="28"/>
      <c r="J779" s="62">
        <f t="shared" ref="J779:AJ779" si="4440">J736/J735</f>
        <v>0.40570585207025683</v>
      </c>
      <c r="K779" s="62">
        <f t="shared" si="4440"/>
        <v>0.39111605095826141</v>
      </c>
      <c r="L779" s="62">
        <f t="shared" si="4440"/>
        <v>0.38625278392169637</v>
      </c>
      <c r="M779" s="62">
        <f t="shared" si="4440"/>
        <v>0.38382115040355758</v>
      </c>
      <c r="N779" s="62">
        <f t="shared" si="4440"/>
        <v>0.38236217029272046</v>
      </c>
      <c r="O779" s="62">
        <f t="shared" si="4440"/>
        <v>0.38138951688551481</v>
      </c>
      <c r="P779" s="62">
        <f t="shared" si="4440"/>
        <v>0.38069476445180583</v>
      </c>
      <c r="Q779" s="62">
        <f t="shared" si="4440"/>
        <v>0.38022913250082602</v>
      </c>
      <c r="R779" s="62">
        <f t="shared" si="4440"/>
        <v>0.37976842787353937</v>
      </c>
      <c r="S779" s="62">
        <f t="shared" si="4440"/>
        <v>0.37944421007114948</v>
      </c>
      <c r="T779" s="62">
        <f t="shared" si="4440"/>
        <v>0.37917894096010446</v>
      </c>
      <c r="U779" s="62">
        <f t="shared" si="4440"/>
        <v>0.37895788336756775</v>
      </c>
      <c r="V779" s="62">
        <f t="shared" si="4440"/>
        <v>0.41513065919233716</v>
      </c>
      <c r="W779" s="62">
        <f t="shared" si="4440"/>
        <v>0.41513065834376639</v>
      </c>
      <c r="X779" s="62">
        <f t="shared" si="4440"/>
        <v>0.4160742729109787</v>
      </c>
      <c r="Y779" s="62">
        <f t="shared" si="4440"/>
        <v>0.4165501358991669</v>
      </c>
      <c r="Z779" s="62">
        <f t="shared" si="4440"/>
        <v>0.41683696492809313</v>
      </c>
      <c r="AA779" s="62">
        <f t="shared" si="4440"/>
        <v>0.41702873376902488</v>
      </c>
      <c r="AB779" s="62">
        <f t="shared" si="4440"/>
        <v>0.41716598164486079</v>
      </c>
      <c r="AC779" s="62">
        <f t="shared" si="4440"/>
        <v>0.41726906566295791</v>
      </c>
      <c r="AD779" s="62">
        <f t="shared" si="4440"/>
        <v>0.41734933005955605</v>
      </c>
      <c r="AE779" s="62">
        <f t="shared" si="4440"/>
        <v>0.41741359705988679</v>
      </c>
      <c r="AF779" s="62">
        <f t="shared" si="4440"/>
        <v>0.41746621587731264</v>
      </c>
      <c r="AG779" s="62">
        <f t="shared" si="4440"/>
        <v>0.41751009016538321</v>
      </c>
      <c r="AH779" s="62">
        <f t="shared" si="4440"/>
        <v>0.39073634204275531</v>
      </c>
      <c r="AI779" s="62" t="e">
        <f t="shared" si="4440"/>
        <v>#VALUE!</v>
      </c>
      <c r="AJ779" s="62" t="e">
        <f t="shared" si="4440"/>
        <v>#VALUE!</v>
      </c>
      <c r="AK779" s="412"/>
      <c r="AL779" s="14">
        <f t="shared" ref="AL779:BL779" si="4441">AL736/AL735</f>
        <v>0.40570585207025683</v>
      </c>
      <c r="AM779" s="14">
        <f t="shared" si="4441"/>
        <v>0.37652624984971667</v>
      </c>
      <c r="AN779" s="14">
        <f t="shared" si="4441"/>
        <v>0.37652624984971644</v>
      </c>
      <c r="AO779" s="14">
        <f t="shared" si="4441"/>
        <v>0.37652624984971639</v>
      </c>
      <c r="AP779" s="14">
        <f t="shared" si="4441"/>
        <v>0.376526249849717</v>
      </c>
      <c r="AQ779" s="14">
        <f t="shared" si="4441"/>
        <v>0.3765262498497165</v>
      </c>
      <c r="AR779" s="14">
        <f t="shared" si="4441"/>
        <v>0.37652624984971639</v>
      </c>
      <c r="AS779" s="14">
        <f t="shared" si="4441"/>
        <v>0.37696970884407727</v>
      </c>
      <c r="AT779" s="14">
        <f t="shared" si="4441"/>
        <v>0.3760827908553554</v>
      </c>
      <c r="AU779" s="14">
        <f t="shared" si="4441"/>
        <v>0.37652624984971728</v>
      </c>
      <c r="AV779" s="14">
        <f t="shared" si="4441"/>
        <v>0.37652624984971711</v>
      </c>
      <c r="AW779" s="14">
        <f t="shared" si="4441"/>
        <v>0.37652624984971589</v>
      </c>
      <c r="AX779" s="14">
        <f t="shared" si="4441"/>
        <v>0.41513065919233716</v>
      </c>
      <c r="AY779" s="14">
        <f t="shared" si="4441"/>
        <v>0.41513065749519557</v>
      </c>
      <c r="AZ779" s="14">
        <f t="shared" si="4441"/>
        <v>0.41799422900642624</v>
      </c>
      <c r="BA779" s="14">
        <f t="shared" si="4441"/>
        <v>0.41799422900642669</v>
      </c>
      <c r="BB779" s="14">
        <f t="shared" si="4441"/>
        <v>0.41799422900642619</v>
      </c>
      <c r="BC779" s="14">
        <f t="shared" si="4441"/>
        <v>0.4179942290064258</v>
      </c>
      <c r="BD779" s="14">
        <f t="shared" si="4441"/>
        <v>0.41799422900642735</v>
      </c>
      <c r="BE779" s="14">
        <f t="shared" si="4441"/>
        <v>0.41799422900642602</v>
      </c>
      <c r="BF779" s="14">
        <f t="shared" si="4441"/>
        <v>0.41799422900642647</v>
      </c>
      <c r="BG779" s="14">
        <f t="shared" si="4441"/>
        <v>0.41799422900642597</v>
      </c>
      <c r="BH779" s="14">
        <f t="shared" si="4441"/>
        <v>0.41799422900642724</v>
      </c>
      <c r="BI779" s="14">
        <f t="shared" si="4441"/>
        <v>0.4179942290064243</v>
      </c>
      <c r="BJ779" s="14">
        <f t="shared" si="4441"/>
        <v>0.39073634204275531</v>
      </c>
      <c r="BK779" s="14">
        <f t="shared" si="4441"/>
        <v>0.39073634204275531</v>
      </c>
      <c r="BL779" s="14" t="e">
        <f t="shared" si="4441"/>
        <v>#VALUE!</v>
      </c>
      <c r="BM779" s="412"/>
      <c r="BN779" s="14">
        <f t="shared" ref="BN779:CN779" si="4442">BN736/BN735</f>
        <v>0.38625278392169637</v>
      </c>
      <c r="BO779" s="14">
        <f t="shared" si="4442"/>
        <v>0.38625278392169637</v>
      </c>
      <c r="BP779" s="14">
        <f t="shared" si="4442"/>
        <v>0.38625278392169637</v>
      </c>
      <c r="BQ779" s="14">
        <f t="shared" si="4442"/>
        <v>0.37652624984971661</v>
      </c>
      <c r="BR779" s="14">
        <f t="shared" si="4442"/>
        <v>0.37652624984971661</v>
      </c>
      <c r="BS779" s="14">
        <f t="shared" si="4442"/>
        <v>0.37652624984971661</v>
      </c>
      <c r="BT779" s="14">
        <f t="shared" si="4442"/>
        <v>0.37652624984971633</v>
      </c>
      <c r="BU779" s="14">
        <f t="shared" si="4442"/>
        <v>0.37652624984971633</v>
      </c>
      <c r="BV779" s="14">
        <f t="shared" si="4442"/>
        <v>0.37652624984971633</v>
      </c>
      <c r="BW779" s="14">
        <f t="shared" si="4442"/>
        <v>0.37652624984971678</v>
      </c>
      <c r="BX779" s="14">
        <f t="shared" si="4442"/>
        <v>0.37652624984971678</v>
      </c>
      <c r="BY779" s="14">
        <f t="shared" si="4442"/>
        <v>0.37652624984971678</v>
      </c>
      <c r="BZ779" s="14">
        <f t="shared" si="4442"/>
        <v>0.4160742729109787</v>
      </c>
      <c r="CA779" s="14">
        <f t="shared" si="4442"/>
        <v>0.4160742729109787</v>
      </c>
      <c r="CB779" s="14">
        <f t="shared" si="4442"/>
        <v>0.4160742729109787</v>
      </c>
      <c r="CC779" s="14">
        <f t="shared" si="4442"/>
        <v>0.41799422900642624</v>
      </c>
      <c r="CD779" s="14">
        <f t="shared" si="4442"/>
        <v>0.41799422900642624</v>
      </c>
      <c r="CE779" s="14">
        <f t="shared" si="4442"/>
        <v>0.41799422900642624</v>
      </c>
      <c r="CF779" s="14">
        <f t="shared" si="4442"/>
        <v>0.41799422900642663</v>
      </c>
      <c r="CG779" s="14">
        <f t="shared" si="4442"/>
        <v>0.41799422900642663</v>
      </c>
      <c r="CH779" s="14">
        <f t="shared" si="4442"/>
        <v>0.41799422900642663</v>
      </c>
      <c r="CI779" s="14">
        <f t="shared" si="4442"/>
        <v>0.41799422900642585</v>
      </c>
      <c r="CJ779" s="14">
        <f t="shared" si="4442"/>
        <v>0.41799422900642585</v>
      </c>
      <c r="CK779" s="14">
        <f t="shared" si="4442"/>
        <v>0.41799422900642585</v>
      </c>
      <c r="CL779" s="14" t="e">
        <f t="shared" si="4442"/>
        <v>#VALUE!</v>
      </c>
      <c r="CM779" s="14" t="e">
        <f t="shared" si="4442"/>
        <v>#VALUE!</v>
      </c>
      <c r="CN779" s="14" t="e">
        <f t="shared" si="4442"/>
        <v>#VALUE!</v>
      </c>
      <c r="CO779" s="412"/>
      <c r="CP779" s="14">
        <f t="shared" ref="CP779:DP779" si="4443">CP736/CP735</f>
        <v>0.40570585207025683</v>
      </c>
      <c r="CQ779" s="14">
        <f t="shared" si="4443"/>
        <v>0.39111605095826141</v>
      </c>
      <c r="CR779" s="14">
        <f t="shared" si="4443"/>
        <v>0.38625278392169637</v>
      </c>
      <c r="CS779" s="14">
        <f t="shared" si="4443"/>
        <v>0.38382115040355758</v>
      </c>
      <c r="CT779" s="14">
        <f t="shared" si="4443"/>
        <v>0.38236217029272046</v>
      </c>
      <c r="CU779" s="14">
        <f t="shared" si="4443"/>
        <v>0.38138951688551481</v>
      </c>
      <c r="CV779" s="14">
        <f t="shared" si="4443"/>
        <v>0.38069476445180583</v>
      </c>
      <c r="CW779" s="14">
        <f t="shared" si="4443"/>
        <v>0.38022913250082602</v>
      </c>
      <c r="CX779" s="14">
        <f t="shared" si="4443"/>
        <v>0.37976842787353937</v>
      </c>
      <c r="CY779" s="14">
        <f t="shared" si="4443"/>
        <v>0.37944421007114948</v>
      </c>
      <c r="CZ779" s="14">
        <f t="shared" si="4443"/>
        <v>0.37917894096010446</v>
      </c>
      <c r="DA779" s="14">
        <f t="shared" si="4443"/>
        <v>0.37895788336756775</v>
      </c>
      <c r="DB779" s="14">
        <f t="shared" si="4443"/>
        <v>0.41513065919233716</v>
      </c>
      <c r="DC779" s="14">
        <f t="shared" si="4443"/>
        <v>0.41513065834376639</v>
      </c>
      <c r="DD779" s="14">
        <f t="shared" si="4443"/>
        <v>0.4160742729109787</v>
      </c>
      <c r="DE779" s="14">
        <f t="shared" si="4443"/>
        <v>0.4165501358991669</v>
      </c>
      <c r="DF779" s="14">
        <f t="shared" si="4443"/>
        <v>0.41683696492809313</v>
      </c>
      <c r="DG779" s="14">
        <f t="shared" si="4443"/>
        <v>0.41702873376902488</v>
      </c>
      <c r="DH779" s="14">
        <f t="shared" si="4443"/>
        <v>0.41716598164486079</v>
      </c>
      <c r="DI779" s="14">
        <f t="shared" si="4443"/>
        <v>0.41726906566295791</v>
      </c>
      <c r="DJ779" s="14">
        <f t="shared" si="4443"/>
        <v>0.41734933005955605</v>
      </c>
      <c r="DK779" s="14">
        <f t="shared" si="4443"/>
        <v>0.41741359705988679</v>
      </c>
      <c r="DL779" s="14">
        <f t="shared" si="4443"/>
        <v>0.41746621587731264</v>
      </c>
      <c r="DM779" s="14">
        <f t="shared" si="4443"/>
        <v>0.41751009016538321</v>
      </c>
      <c r="DN779" s="14">
        <f t="shared" si="4443"/>
        <v>0.39073634204275531</v>
      </c>
      <c r="DO779" s="14">
        <f t="shared" si="4443"/>
        <v>0.39073634204275537</v>
      </c>
      <c r="DP779" s="14" t="e">
        <f t="shared" si="4443"/>
        <v>#VALUE!</v>
      </c>
      <c r="DQ779" s="14"/>
      <c r="DR779" s="14"/>
      <c r="DS779" s="14"/>
      <c r="DT779" s="14"/>
      <c r="DU779" s="14"/>
      <c r="DV779" s="14"/>
      <c r="DW779" s="14"/>
      <c r="DX779" s="14"/>
      <c r="DY779" s="14"/>
      <c r="DZ779" s="14"/>
      <c r="EA779" s="14">
        <f>EA736/EA735</f>
        <v>0.37895788336756775</v>
      </c>
      <c r="EB779" s="14">
        <f>EB736/EB735</f>
        <v>0.41751009016538321</v>
      </c>
      <c r="EC779" s="14"/>
      <c r="ED779" s="429"/>
      <c r="EE779" s="14">
        <f>EE736/EE735</f>
        <v>0.39073634204275531</v>
      </c>
      <c r="EF779" s="14" t="e">
        <f>EF736/EF735</f>
        <v>#VALUE!</v>
      </c>
      <c r="EG779" s="14" t="e">
        <f>+EF779</f>
        <v>#VALUE!</v>
      </c>
      <c r="EK779" s="24"/>
      <c r="EL779" s="47"/>
      <c r="EM779" s="47"/>
      <c r="EN779" s="47"/>
    </row>
    <row r="780" spans="1:149">
      <c r="A780" s="6" t="s">
        <v>23</v>
      </c>
      <c r="B780" s="2" t="s">
        <v>25</v>
      </c>
      <c r="C780" s="3" t="s">
        <v>75</v>
      </c>
      <c r="E780" s="4" t="str">
        <f>C749</f>
        <v>BSEE</v>
      </c>
      <c r="F780" s="4" t="s">
        <v>31</v>
      </c>
      <c r="G780" s="28" t="str">
        <f>C748</f>
        <v>BSUniq</v>
      </c>
      <c r="H780" s="28"/>
      <c r="I780" s="28"/>
      <c r="J780" s="62">
        <f t="shared" ref="J780:AJ780" si="4444">J749/J748</f>
        <v>0.18580735373501242</v>
      </c>
      <c r="K780" s="62">
        <f t="shared" si="4444"/>
        <v>0.16537986345877487</v>
      </c>
      <c r="L780" s="62">
        <f t="shared" si="4444"/>
        <v>0.14934288320274905</v>
      </c>
      <c r="M780" s="62">
        <f t="shared" si="4444"/>
        <v>0.20214469485337785</v>
      </c>
      <c r="N780" s="62">
        <f t="shared" si="4444"/>
        <v>0.18109134385074474</v>
      </c>
      <c r="O780" s="62">
        <f t="shared" si="4444"/>
        <v>0.16798213761077826</v>
      </c>
      <c r="P780" s="62">
        <f t="shared" si="4444"/>
        <v>0.1566425893971454</v>
      </c>
      <c r="Q780" s="62">
        <f t="shared" si="4444"/>
        <v>0.14673856431456103</v>
      </c>
      <c r="R780" s="62">
        <f t="shared" si="4444"/>
        <v>0.13800929503364695</v>
      </c>
      <c r="S780" s="62">
        <f t="shared" si="4444"/>
        <v>0.130262913547668</v>
      </c>
      <c r="T780" s="62">
        <f t="shared" si="4444"/>
        <v>0.12333938262289829</v>
      </c>
      <c r="U780" s="62">
        <f t="shared" si="4444"/>
        <v>0.11711442272539661</v>
      </c>
      <c r="V780" s="62">
        <f t="shared" si="4444"/>
        <v>0.24026529348572395</v>
      </c>
      <c r="W780" s="62">
        <f t="shared" si="4444"/>
        <v>0.14817615618521449</v>
      </c>
      <c r="X780" s="62">
        <f t="shared" si="4444"/>
        <v>0.11273297603616693</v>
      </c>
      <c r="Y780" s="62">
        <f t="shared" si="4444"/>
        <v>0.10553082819491526</v>
      </c>
      <c r="Z780" s="62">
        <f t="shared" si="4444"/>
        <v>9.1707219105543164E-2</v>
      </c>
      <c r="AA780" s="62">
        <f t="shared" si="4444"/>
        <v>8.2306192029812764E-2</v>
      </c>
      <c r="AB780" s="62">
        <f t="shared" si="4444"/>
        <v>7.5380502670701843E-2</v>
      </c>
      <c r="AC780" s="62">
        <f t="shared" si="4444"/>
        <v>7.0205013169616665E-2</v>
      </c>
      <c r="AD780" s="62">
        <f t="shared" si="4444"/>
        <v>6.6176734930917469E-2</v>
      </c>
      <c r="AE780" s="62">
        <f t="shared" si="4444"/>
        <v>6.293435716340251E-2</v>
      </c>
      <c r="AF780" s="62">
        <f t="shared" si="4444"/>
        <v>6.0268331925521439E-2</v>
      </c>
      <c r="AG780" s="62">
        <f t="shared" si="4444"/>
        <v>5.8037527442187424E-2</v>
      </c>
      <c r="AH780" s="62">
        <f t="shared" si="4444"/>
        <v>0.27452901718180883</v>
      </c>
      <c r="AI780" s="62">
        <f t="shared" si="4444"/>
        <v>0.16853450850129142</v>
      </c>
      <c r="AJ780" s="62">
        <f t="shared" si="4444"/>
        <v>0.57728396233378676</v>
      </c>
      <c r="AK780" s="412"/>
      <c r="AL780" s="14">
        <f t="shared" ref="AL780:BL780" si="4445">AL749/AL748</f>
        <v>0.18580735373501242</v>
      </c>
      <c r="AM780" s="14">
        <f t="shared" si="4445"/>
        <v>0.16537986345877487</v>
      </c>
      <c r="AN780" s="14">
        <f t="shared" si="4445"/>
        <v>0.14934288320274905</v>
      </c>
      <c r="AO780" s="14">
        <f t="shared" si="4445"/>
        <v>0.20214469485337785</v>
      </c>
      <c r="AP780" s="14">
        <f t="shared" si="4445"/>
        <v>0.18109134385074474</v>
      </c>
      <c r="AQ780" s="14">
        <f t="shared" si="4445"/>
        <v>0.16798213761077826</v>
      </c>
      <c r="AR780" s="14">
        <f t="shared" si="4445"/>
        <v>0.1566425893971454</v>
      </c>
      <c r="AS780" s="14">
        <f t="shared" si="4445"/>
        <v>0.14673856431456103</v>
      </c>
      <c r="AT780" s="14">
        <f t="shared" si="4445"/>
        <v>0.13800929503364695</v>
      </c>
      <c r="AU780" s="14">
        <f t="shared" si="4445"/>
        <v>0.130262913547668</v>
      </c>
      <c r="AV780" s="14">
        <f t="shared" si="4445"/>
        <v>0.12333938262289829</v>
      </c>
      <c r="AW780" s="14">
        <f t="shared" si="4445"/>
        <v>0.11711442272539661</v>
      </c>
      <c r="AX780" s="14">
        <f t="shared" si="4445"/>
        <v>0.24184861536701535</v>
      </c>
      <c r="AY780" s="14">
        <f t="shared" si="4445"/>
        <v>0.26834408789448788</v>
      </c>
      <c r="AZ780" s="14">
        <f t="shared" si="4445"/>
        <v>0.29483850547690549</v>
      </c>
      <c r="BA780" s="14">
        <f t="shared" si="4445"/>
        <v>0.36089019780219778</v>
      </c>
      <c r="BB780" s="14">
        <f t="shared" si="4445"/>
        <v>0.38738516043956039</v>
      </c>
      <c r="BC780" s="14">
        <f t="shared" si="4445"/>
        <v>0.41388010549450549</v>
      </c>
      <c r="BD780" s="14">
        <f t="shared" si="4445"/>
        <v>0.43968933626373619</v>
      </c>
      <c r="BE780" s="14">
        <f t="shared" si="4445"/>
        <v>0.46597329230769224</v>
      </c>
      <c r="BF780" s="14">
        <f t="shared" si="4445"/>
        <v>0.49246823736263734</v>
      </c>
      <c r="BG780" s="14">
        <f t="shared" si="4445"/>
        <v>0.51896318241758244</v>
      </c>
      <c r="BH780" s="14">
        <f t="shared" si="4445"/>
        <v>0.54545812747252742</v>
      </c>
      <c r="BI780" s="14">
        <f t="shared" si="4445"/>
        <v>0.57195307252747252</v>
      </c>
      <c r="BJ780" s="14">
        <f t="shared" si="4445"/>
        <v>0.27452901718180883</v>
      </c>
      <c r="BK780" s="14">
        <f t="shared" si="4445"/>
        <v>0.16853450850129142</v>
      </c>
      <c r="BL780" s="14">
        <f t="shared" si="4445"/>
        <v>0.57728396233378676</v>
      </c>
      <c r="BM780" s="412"/>
      <c r="BN780" s="14">
        <f t="shared" ref="BN780:CN780" si="4446">BN749/BN748</f>
        <v>0.18580735373501242</v>
      </c>
      <c r="BO780" s="14">
        <f t="shared" si="4446"/>
        <v>0.17499950616583118</v>
      </c>
      <c r="BP780" s="14">
        <f t="shared" si="4446"/>
        <v>0.16552085734897107</v>
      </c>
      <c r="BQ780" s="14">
        <f t="shared" si="4446"/>
        <v>0.20214469485337785</v>
      </c>
      <c r="BR780" s="14">
        <f t="shared" si="4446"/>
        <v>0.19104430749200232</v>
      </c>
      <c r="BS780" s="14">
        <f t="shared" si="4446"/>
        <v>0.18268643314935309</v>
      </c>
      <c r="BT780" s="14">
        <f t="shared" si="4446"/>
        <v>0.1566425893971454</v>
      </c>
      <c r="BU780" s="14">
        <f t="shared" si="4446"/>
        <v>0.1515288944145404</v>
      </c>
      <c r="BV780" s="14">
        <f t="shared" si="4446"/>
        <v>0.14673739033005759</v>
      </c>
      <c r="BW780" s="14">
        <f t="shared" si="4446"/>
        <v>0.130262913547668</v>
      </c>
      <c r="BX780" s="14">
        <f t="shared" si="4446"/>
        <v>0.12670663667687188</v>
      </c>
      <c r="BY780" s="14">
        <f t="shared" si="4446"/>
        <v>0.12333928394429447</v>
      </c>
      <c r="BZ780" s="14">
        <f t="shared" si="4446"/>
        <v>8.0616205122338455E-2</v>
      </c>
      <c r="CA780" s="14">
        <f t="shared" si="4446"/>
        <v>0.17006423442050109</v>
      </c>
      <c r="CB780" s="14">
        <f t="shared" si="4446"/>
        <v>0.26834373624613622</v>
      </c>
      <c r="CC780" s="14">
        <f t="shared" si="4446"/>
        <v>6.0148366300366303E-2</v>
      </c>
      <c r="CD780" s="14">
        <f t="shared" si="4446"/>
        <v>0.1247125597069597</v>
      </c>
      <c r="CE780" s="14">
        <f t="shared" si="4446"/>
        <v>0.1936925772893773</v>
      </c>
      <c r="CF780" s="14">
        <f t="shared" si="4446"/>
        <v>4.8854370695970692E-2</v>
      </c>
      <c r="CG780" s="14">
        <f t="shared" si="4446"/>
        <v>0.10062918095238094</v>
      </c>
      <c r="CH780" s="14">
        <f t="shared" si="4446"/>
        <v>0.15534787399267397</v>
      </c>
      <c r="CI780" s="14">
        <f t="shared" si="4446"/>
        <v>4.3246931868131867E-2</v>
      </c>
      <c r="CJ780" s="14">
        <f t="shared" si="4446"/>
        <v>8.8701775824175821E-2</v>
      </c>
      <c r="CK780" s="14">
        <f t="shared" si="4446"/>
        <v>0.13636453186813186</v>
      </c>
      <c r="CL780" s="14">
        <f t="shared" si="4446"/>
        <v>0.27452901718180883</v>
      </c>
      <c r="CM780" s="14">
        <f t="shared" si="4446"/>
        <v>0.20885317927601876</v>
      </c>
      <c r="CN780" s="14">
        <f t="shared" si="4446"/>
        <v>0.26529057793605265</v>
      </c>
      <c r="CO780" s="412"/>
      <c r="CP780" s="14">
        <f t="shared" ref="CP780:DP780" si="4447">CP749/CP748</f>
        <v>0.18580735373501242</v>
      </c>
      <c r="CQ780" s="14">
        <f t="shared" si="4447"/>
        <v>0.17499950616583118</v>
      </c>
      <c r="CR780" s="14">
        <f t="shared" si="4447"/>
        <v>0.16552085734897107</v>
      </c>
      <c r="CS780" s="14">
        <f t="shared" si="4447"/>
        <v>0.17619997168789706</v>
      </c>
      <c r="CT780" s="14">
        <f t="shared" si="4447"/>
        <v>0.17740031305514595</v>
      </c>
      <c r="CU780" s="14">
        <f t="shared" si="4447"/>
        <v>0.17542998139440796</v>
      </c>
      <c r="CV780" s="14">
        <f t="shared" si="4447"/>
        <v>0.17198738222460239</v>
      </c>
      <c r="CW780" s="14">
        <f t="shared" si="4447"/>
        <v>0.16785651598177675</v>
      </c>
      <c r="CX780" s="14">
        <f t="shared" si="4447"/>
        <v>0.16343386217752548</v>
      </c>
      <c r="CY780" s="14">
        <f t="shared" si="4447"/>
        <v>0.15893297558848182</v>
      </c>
      <c r="CZ780" s="14">
        <f t="shared" si="4447"/>
        <v>0.1544715898775251</v>
      </c>
      <c r="DA780" s="14">
        <f t="shared" si="4447"/>
        <v>0.1501153206864965</v>
      </c>
      <c r="DB780" s="14">
        <f t="shared" si="4447"/>
        <v>0.24184861536701535</v>
      </c>
      <c r="DC780" s="14">
        <f t="shared" si="4447"/>
        <v>0.25509635163075162</v>
      </c>
      <c r="DD780" s="14">
        <f t="shared" si="4447"/>
        <v>0.26834373624613622</v>
      </c>
      <c r="DE780" s="14">
        <f t="shared" si="4447"/>
        <v>0.29148035163515162</v>
      </c>
      <c r="DF780" s="14">
        <f t="shared" si="4447"/>
        <v>0.31066131339603337</v>
      </c>
      <c r="DG780" s="14">
        <f t="shared" si="4447"/>
        <v>0.32786444541244542</v>
      </c>
      <c r="DH780" s="14">
        <f t="shared" si="4447"/>
        <v>0.34383942981977272</v>
      </c>
      <c r="DI780" s="14">
        <f t="shared" si="4447"/>
        <v>0.35910616263076267</v>
      </c>
      <c r="DJ780" s="14">
        <f t="shared" si="4447"/>
        <v>0.37392417093430436</v>
      </c>
      <c r="DK780" s="14">
        <f t="shared" si="4447"/>
        <v>0.38842807208263219</v>
      </c>
      <c r="DL780" s="14">
        <f t="shared" si="4447"/>
        <v>0.40270353166353168</v>
      </c>
      <c r="DM780" s="14">
        <f t="shared" si="4447"/>
        <v>0.41680766006886005</v>
      </c>
      <c r="DN780" s="14">
        <f t="shared" si="4447"/>
        <v>0.27452901718180883</v>
      </c>
      <c r="DO780" s="14">
        <f t="shared" si="4447"/>
        <v>0.20885317927601876</v>
      </c>
      <c r="DP780" s="14">
        <f t="shared" si="4447"/>
        <v>0.26529057793605265</v>
      </c>
      <c r="DQ780" s="14"/>
      <c r="DR780" s="14"/>
      <c r="DS780" s="14"/>
      <c r="DT780" s="14"/>
      <c r="DU780" s="14"/>
      <c r="DV780" s="14"/>
      <c r="DW780" s="14"/>
      <c r="DX780" s="14"/>
      <c r="DY780" s="14"/>
      <c r="DZ780" s="14"/>
      <c r="EA780" s="14">
        <f>EA749/EA748</f>
        <v>0.1501153206864965</v>
      </c>
      <c r="EB780" s="14">
        <f>EB749/EB748</f>
        <v>0.41680766006886005</v>
      </c>
      <c r="EC780" s="14"/>
      <c r="ED780" s="429"/>
      <c r="EE780" s="14">
        <f>EE749/EE748</f>
        <v>0.16853450850129142</v>
      </c>
      <c r="EF780" s="14">
        <f>EF749/EF748</f>
        <v>0.20885317927601876</v>
      </c>
      <c r="EG780" s="14">
        <f>+EF780</f>
        <v>0.20885317927601876</v>
      </c>
      <c r="EK780" s="24"/>
      <c r="EL780" s="47"/>
      <c r="EM780" s="47"/>
      <c r="EN780" s="47"/>
    </row>
    <row r="781" spans="1:149">
      <c r="A781" s="6" t="s">
        <v>23</v>
      </c>
      <c r="B781" s="2" t="s">
        <v>160</v>
      </c>
      <c r="C781" s="3" t="s">
        <v>76</v>
      </c>
      <c r="E781" s="3" t="str">
        <f>C738</f>
        <v>BSatRate</v>
      </c>
      <c r="F781" s="3" t="s">
        <v>32</v>
      </c>
      <c r="G781" s="28" t="str">
        <f>C735</f>
        <v>BAllNew</v>
      </c>
      <c r="H781" s="63" t="s">
        <v>31</v>
      </c>
      <c r="I781" s="28" t="str">
        <f>C737</f>
        <v>BSatResp</v>
      </c>
      <c r="J781" s="62">
        <f t="shared" ref="J781:AJ781" si="4448">J738*J737/J735</f>
        <v>0.21244457453626112</v>
      </c>
      <c r="K781" s="62">
        <f t="shared" si="4448"/>
        <v>0.10622228725556916</v>
      </c>
      <c r="L781" s="62">
        <f t="shared" si="4448"/>
        <v>7.0814858167588007E-2</v>
      </c>
      <c r="M781" s="62">
        <f t="shared" si="4448"/>
        <v>5.3111143624644218E-2</v>
      </c>
      <c r="N781" s="62">
        <f t="shared" si="4448"/>
        <v>4.2488914899212922E-2</v>
      </c>
      <c r="O781" s="62">
        <f t="shared" si="4448"/>
        <v>3.5407429082398301E-2</v>
      </c>
      <c r="P781" s="62">
        <f t="shared" si="4448"/>
        <v>3.0349224927599065E-2</v>
      </c>
      <c r="Q781" s="62">
        <f t="shared" si="4448"/>
        <v>2.6555571811537029E-2</v>
      </c>
      <c r="R781" s="62">
        <f t="shared" si="4448"/>
        <v>2.3604952721288704E-2</v>
      </c>
      <c r="S781" s="62">
        <f t="shared" si="4448"/>
        <v>2.1244457449104009E-2</v>
      </c>
      <c r="T781" s="62">
        <f t="shared" si="4448"/>
        <v>1.9313143135507575E-2</v>
      </c>
      <c r="U781" s="62">
        <f t="shared" si="4448"/>
        <v>1.7563285859299838E-2</v>
      </c>
      <c r="V781" s="62">
        <f t="shared" si="4448"/>
        <v>0.17899018141972672</v>
      </c>
      <c r="W781" s="62">
        <f t="shared" si="4448"/>
        <v>0.17899018650473444</v>
      </c>
      <c r="X781" s="62">
        <f t="shared" si="4448"/>
        <v>0.17903584695462035</v>
      </c>
      <c r="Y781" s="62">
        <f t="shared" si="4448"/>
        <v>0.17905887343055629</v>
      </c>
      <c r="Z781" s="62">
        <f t="shared" si="4448"/>
        <v>0.179072752765357</v>
      </c>
      <c r="AA781" s="62">
        <f t="shared" si="4448"/>
        <v>0.17908203224434691</v>
      </c>
      <c r="AB781" s="62">
        <f t="shared" si="4448"/>
        <v>0.17908867351502494</v>
      </c>
      <c r="AC781" s="62">
        <f t="shared" si="4448"/>
        <v>0.17909366163496915</v>
      </c>
      <c r="AD781" s="62">
        <f t="shared" si="4448"/>
        <v>0.17909754553903953</v>
      </c>
      <c r="AE781" s="62">
        <f t="shared" si="4448"/>
        <v>0.17910065534705852</v>
      </c>
      <c r="AF781" s="62">
        <f t="shared" si="4448"/>
        <v>0.17910320151257952</v>
      </c>
      <c r="AG781" s="62">
        <f t="shared" si="4448"/>
        <v>0.17910532454013897</v>
      </c>
      <c r="AH781" s="62" t="e">
        <f t="shared" si="4448"/>
        <v>#VALUE!</v>
      </c>
      <c r="AI781" s="62" t="e">
        <f t="shared" si="4448"/>
        <v>#VALUE!</v>
      </c>
      <c r="AJ781" s="62" t="e">
        <f t="shared" si="4448"/>
        <v>#VALUE!</v>
      </c>
      <c r="AK781" s="412"/>
      <c r="AL781" s="14">
        <f t="shared" ref="AL781:BL781" si="4449">AL738*AL737/AL735</f>
        <v>0.21244457453626112</v>
      </c>
      <c r="AM781" s="14">
        <f t="shared" si="4449"/>
        <v>0.21244457448601553</v>
      </c>
      <c r="AN781" s="14">
        <f t="shared" si="4449"/>
        <v>0.21244457448601545</v>
      </c>
      <c r="AO781" s="14">
        <f t="shared" si="4449"/>
        <v>0.21244457448601539</v>
      </c>
      <c r="AP781" s="14">
        <f t="shared" si="4449"/>
        <v>0.21244457448601561</v>
      </c>
      <c r="AQ781" s="14">
        <f t="shared" si="4449"/>
        <v>0.21244457448601561</v>
      </c>
      <c r="AR781" s="14">
        <f t="shared" si="4449"/>
        <v>0.21244457448601539</v>
      </c>
      <c r="AS781" s="14">
        <f t="shared" si="4449"/>
        <v>0.21244457448601561</v>
      </c>
      <c r="AT781" s="14">
        <f t="shared" si="4449"/>
        <v>0.21244457448601539</v>
      </c>
      <c r="AU781" s="14">
        <f t="shared" si="4449"/>
        <v>0.21244457448601561</v>
      </c>
      <c r="AV781" s="14">
        <f t="shared" si="4449"/>
        <v>0.21244457448601584</v>
      </c>
      <c r="AW781" s="14">
        <f t="shared" si="4449"/>
        <v>0.21075943030744398</v>
      </c>
      <c r="AX781" s="14">
        <f t="shared" si="4449"/>
        <v>0.17899018141972672</v>
      </c>
      <c r="AY781" s="14">
        <f t="shared" si="4449"/>
        <v>0.17899019158974244</v>
      </c>
      <c r="AZ781" s="14">
        <f t="shared" si="4449"/>
        <v>0.17912875147530657</v>
      </c>
      <c r="BA781" s="14">
        <f t="shared" si="4449"/>
        <v>0.17912875147530657</v>
      </c>
      <c r="BB781" s="14">
        <f t="shared" si="4449"/>
        <v>0.1791287514753066</v>
      </c>
      <c r="BC781" s="14">
        <f t="shared" si="4449"/>
        <v>0.17912875147530644</v>
      </c>
      <c r="BD781" s="14">
        <f t="shared" si="4449"/>
        <v>0.1791287514753066</v>
      </c>
      <c r="BE781" s="14">
        <f t="shared" si="4449"/>
        <v>0.17912875147530646</v>
      </c>
      <c r="BF781" s="14">
        <f t="shared" si="4449"/>
        <v>0.17912875147530682</v>
      </c>
      <c r="BG781" s="14">
        <f t="shared" si="4449"/>
        <v>0.1791287514753066</v>
      </c>
      <c r="BH781" s="14">
        <f t="shared" si="4449"/>
        <v>0.17912875147530674</v>
      </c>
      <c r="BI781" s="14">
        <f t="shared" si="4449"/>
        <v>0.17912875147530635</v>
      </c>
      <c r="BJ781" s="14" t="e">
        <f t="shared" si="4449"/>
        <v>#VALUE!</v>
      </c>
      <c r="BK781" s="14" t="e">
        <f t="shared" si="4449"/>
        <v>#VALUE!</v>
      </c>
      <c r="BL781" s="14" t="e">
        <f t="shared" si="4449"/>
        <v>#VALUE!</v>
      </c>
      <c r="BM781" s="412"/>
      <c r="BN781" s="14">
        <f t="shared" ref="BN781:CN781" si="4450">BN738*BN737/BN735</f>
        <v>0.21244457450276405</v>
      </c>
      <c r="BO781" s="14">
        <f t="shared" si="4450"/>
        <v>0.21244457450276405</v>
      </c>
      <c r="BP781" s="14">
        <f t="shared" si="4450"/>
        <v>0.21244457450276405</v>
      </c>
      <c r="BQ781" s="14">
        <f t="shared" si="4450"/>
        <v>0.21244457448601556</v>
      </c>
      <c r="BR781" s="14">
        <f t="shared" si="4450"/>
        <v>0.21244457448601556</v>
      </c>
      <c r="BS781" s="14">
        <f t="shared" si="4450"/>
        <v>0.21244457448601556</v>
      </c>
      <c r="BT781" s="14">
        <f t="shared" si="4450"/>
        <v>0.21244457448601548</v>
      </c>
      <c r="BU781" s="14">
        <f t="shared" si="4450"/>
        <v>0.21244457448601548</v>
      </c>
      <c r="BV781" s="14">
        <f t="shared" si="4450"/>
        <v>0.21244457448601548</v>
      </c>
      <c r="BW781" s="14">
        <f t="shared" si="4450"/>
        <v>0.21188285975982515</v>
      </c>
      <c r="BX781" s="14">
        <f t="shared" si="4450"/>
        <v>0.21188285975982515</v>
      </c>
      <c r="BY781" s="14">
        <f t="shared" si="4450"/>
        <v>0.21188285975982515</v>
      </c>
      <c r="BZ781" s="14">
        <f t="shared" si="4450"/>
        <v>0.17903584695462035</v>
      </c>
      <c r="CA781" s="14">
        <f t="shared" si="4450"/>
        <v>0.17903584695462035</v>
      </c>
      <c r="CB781" s="14">
        <f t="shared" si="4450"/>
        <v>0.17903584695462035</v>
      </c>
      <c r="CC781" s="14">
        <f t="shared" si="4450"/>
        <v>0.53738625442591959</v>
      </c>
      <c r="CD781" s="14">
        <f t="shared" si="4450"/>
        <v>0.53738625442591959</v>
      </c>
      <c r="CE781" s="14">
        <f t="shared" si="4450"/>
        <v>0.53738625442591959</v>
      </c>
      <c r="CF781" s="14">
        <f t="shared" si="4450"/>
        <v>0.53738625442591992</v>
      </c>
      <c r="CG781" s="14">
        <f t="shared" si="4450"/>
        <v>0.53738625442591992</v>
      </c>
      <c r="CH781" s="14">
        <f t="shared" si="4450"/>
        <v>0.53738625442591992</v>
      </c>
      <c r="CI781" s="14">
        <f t="shared" si="4450"/>
        <v>0.5373862544259197</v>
      </c>
      <c r="CJ781" s="14">
        <f t="shared" si="4450"/>
        <v>0.5373862544259197</v>
      </c>
      <c r="CK781" s="14">
        <f t="shared" si="4450"/>
        <v>0.5373862544259197</v>
      </c>
      <c r="CL781" s="14" t="e">
        <f t="shared" si="4450"/>
        <v>#VALUE!</v>
      </c>
      <c r="CM781" s="14" t="e">
        <f t="shared" si="4450"/>
        <v>#VALUE!</v>
      </c>
      <c r="CN781" s="14" t="e">
        <f t="shared" si="4450"/>
        <v>#VALUE!</v>
      </c>
      <c r="CO781" s="412"/>
      <c r="CP781" s="14">
        <f t="shared" ref="CP781:DP781" si="4451">CP738*CP737/CP735</f>
        <v>0.21244457453626112</v>
      </c>
      <c r="CQ781" s="14">
        <f t="shared" si="4451"/>
        <v>0.21244457451113832</v>
      </c>
      <c r="CR781" s="14">
        <f t="shared" si="4451"/>
        <v>0.21244457450276405</v>
      </c>
      <c r="CS781" s="14">
        <f t="shared" si="4451"/>
        <v>0.21244457449857687</v>
      </c>
      <c r="CT781" s="14">
        <f t="shared" si="4451"/>
        <v>0.21244457449606463</v>
      </c>
      <c r="CU781" s="14">
        <f t="shared" si="4451"/>
        <v>0.2124445744943898</v>
      </c>
      <c r="CV781" s="14">
        <f t="shared" si="4451"/>
        <v>0.21244457449319346</v>
      </c>
      <c r="CW781" s="14">
        <f t="shared" si="4451"/>
        <v>0.21244457449229623</v>
      </c>
      <c r="CX781" s="14">
        <f t="shared" si="4451"/>
        <v>0.21244457449159834</v>
      </c>
      <c r="CY781" s="14">
        <f t="shared" si="4451"/>
        <v>0.21244457449104007</v>
      </c>
      <c r="CZ781" s="14">
        <f t="shared" si="4451"/>
        <v>0.21244457449058332</v>
      </c>
      <c r="DA781" s="14">
        <f t="shared" si="4451"/>
        <v>0.21230414580865228</v>
      </c>
      <c r="DB781" s="14">
        <f t="shared" si="4451"/>
        <v>0.17899018141972672</v>
      </c>
      <c r="DC781" s="14">
        <f t="shared" si="4451"/>
        <v>0.17899018650473442</v>
      </c>
      <c r="DD781" s="14">
        <f t="shared" si="4451"/>
        <v>0.17903584695462035</v>
      </c>
      <c r="DE781" s="14">
        <f t="shared" si="4451"/>
        <v>0.17905887343055632</v>
      </c>
      <c r="DF781" s="14">
        <f t="shared" si="4451"/>
        <v>0.17907275276535697</v>
      </c>
      <c r="DG781" s="14">
        <f t="shared" si="4451"/>
        <v>0.17908203224434691</v>
      </c>
      <c r="DH781" s="14">
        <f t="shared" si="4451"/>
        <v>0.17908867351502489</v>
      </c>
      <c r="DI781" s="14">
        <f t="shared" si="4451"/>
        <v>0.17909366163496912</v>
      </c>
      <c r="DJ781" s="14">
        <f t="shared" si="4451"/>
        <v>0.17909754553903953</v>
      </c>
      <c r="DK781" s="14">
        <f t="shared" si="4451"/>
        <v>0.17910065534705849</v>
      </c>
      <c r="DL781" s="14">
        <f t="shared" si="4451"/>
        <v>0.17910320151257947</v>
      </c>
      <c r="DM781" s="14">
        <f t="shared" si="4451"/>
        <v>0.17910532454013897</v>
      </c>
      <c r="DN781" s="14" t="e">
        <f t="shared" si="4451"/>
        <v>#VALUE!</v>
      </c>
      <c r="DO781" s="14" t="e">
        <f t="shared" si="4451"/>
        <v>#VALUE!</v>
      </c>
      <c r="DP781" s="14" t="e">
        <f t="shared" si="4451"/>
        <v>#VALUE!</v>
      </c>
      <c r="DQ781" s="14"/>
      <c r="DR781" s="14"/>
      <c r="DS781" s="14"/>
      <c r="DT781" s="14"/>
      <c r="DU781" s="14"/>
      <c r="DV781" s="14"/>
      <c r="DW781" s="14"/>
      <c r="DX781" s="14"/>
      <c r="DY781" s="14"/>
      <c r="DZ781" s="14"/>
      <c r="EA781" s="14">
        <f>EA738*EA737/EA735</f>
        <v>0.21230414580865228</v>
      </c>
      <c r="EB781" s="14">
        <f>EB738*EB737/EB735</f>
        <v>0.17910532454013897</v>
      </c>
      <c r="EC781" s="14"/>
      <c r="ED781" s="429"/>
      <c r="EE781" s="14" t="e">
        <f>EE737*EE738/EE737</f>
        <v>#VALUE!</v>
      </c>
      <c r="EF781" s="14" t="e">
        <f>EF738*EF737/EF737</f>
        <v>#VALUE!</v>
      </c>
      <c r="EG781" s="14">
        <f>EG737*EG738/EG737</f>
        <v>0.94999999999999984</v>
      </c>
      <c r="EK781" s="24"/>
      <c r="EL781" s="47"/>
      <c r="EM781" s="47"/>
      <c r="EN781" s="47"/>
    </row>
    <row r="782" spans="1:149">
      <c r="A782" s="6" t="s">
        <v>23</v>
      </c>
      <c r="B782" s="2" t="s">
        <v>26</v>
      </c>
      <c r="C782" s="3" t="s">
        <v>84</v>
      </c>
      <c r="E782" s="3" t="str">
        <f>C739</f>
        <v>BSpec1</v>
      </c>
      <c r="F782" s="4" t="s">
        <v>31</v>
      </c>
      <c r="G782" s="28" t="str">
        <f>C748</f>
        <v>BSUniq</v>
      </c>
      <c r="H782" s="28"/>
      <c r="I782" s="28"/>
      <c r="J782" s="62">
        <f t="shared" ref="J782:AJ782" si="4452">J739/J748</f>
        <v>0.1188352435664338</v>
      </c>
      <c r="K782" s="62">
        <f t="shared" si="4452"/>
        <v>0.19999633500138914</v>
      </c>
      <c r="L782" s="62">
        <f t="shared" si="4452"/>
        <v>0.26569118841079714</v>
      </c>
      <c r="M782" s="62">
        <f t="shared" si="4452"/>
        <v>0.31484391119858851</v>
      </c>
      <c r="N782" s="62">
        <f t="shared" si="4452"/>
        <v>0.35077644087234144</v>
      </c>
      <c r="O782" s="62">
        <f t="shared" si="4452"/>
        <v>0.38890382050128164</v>
      </c>
      <c r="P782" s="62">
        <f t="shared" si="4452"/>
        <v>0.42188360749230264</v>
      </c>
      <c r="Q782" s="62">
        <f t="shared" si="4452"/>
        <v>0.45069371662629604</v>
      </c>
      <c r="R782" s="62">
        <f t="shared" si="4452"/>
        <v>0.47607480040227723</v>
      </c>
      <c r="S782" s="62">
        <f t="shared" si="4452"/>
        <v>0.49860717228652934</v>
      </c>
      <c r="T782" s="62">
        <f t="shared" si="4452"/>
        <v>0.51874453724685565</v>
      </c>
      <c r="U782" s="62">
        <f t="shared" si="4452"/>
        <v>0.53684900748340547</v>
      </c>
      <c r="V782" s="62">
        <f t="shared" si="4452"/>
        <v>0.1025991357175047</v>
      </c>
      <c r="W782" s="62">
        <f t="shared" si="4452"/>
        <v>0.11405453521619038</v>
      </c>
      <c r="X782" s="62">
        <f t="shared" si="4452"/>
        <v>0.11846342837474085</v>
      </c>
      <c r="Y782" s="62">
        <f t="shared" si="4452"/>
        <v>0.12079821685366859</v>
      </c>
      <c r="Z782" s="62">
        <f t="shared" si="4452"/>
        <v>0.12224379413657352</v>
      </c>
      <c r="AA782" s="62">
        <f t="shared" si="4452"/>
        <v>0.12322688806192204</v>
      </c>
      <c r="AB782" s="62">
        <f t="shared" si="4452"/>
        <v>0.12393883489877858</v>
      </c>
      <c r="AC782" s="62">
        <f t="shared" si="4452"/>
        <v>0.12447821721827711</v>
      </c>
      <c r="AD782" s="62">
        <f t="shared" si="4452"/>
        <v>0.12490099360326845</v>
      </c>
      <c r="AE782" s="62">
        <f t="shared" si="4452"/>
        <v>0.12524128805913728</v>
      </c>
      <c r="AF782" s="62">
        <f t="shared" si="4452"/>
        <v>0.12552109308887399</v>
      </c>
      <c r="AG782" s="62">
        <f t="shared" si="4452"/>
        <v>0.1257552207730111</v>
      </c>
      <c r="AH782" s="62" t="e">
        <f t="shared" si="4452"/>
        <v>#VALUE!</v>
      </c>
      <c r="AI782" s="62" t="e">
        <f t="shared" si="4452"/>
        <v>#VALUE!</v>
      </c>
      <c r="AJ782" s="62" t="e">
        <f t="shared" si="4452"/>
        <v>#VALUE!</v>
      </c>
      <c r="AK782" s="412"/>
      <c r="AL782" s="14">
        <f t="shared" ref="AL782:BL782" si="4453">AL739/AL748</f>
        <v>0.1188352435664338</v>
      </c>
      <c r="AM782" s="14">
        <f t="shared" si="4453"/>
        <v>9.4225729263496927E-2</v>
      </c>
      <c r="AN782" s="14">
        <f t="shared" si="4453"/>
        <v>8.5088612774158717E-2</v>
      </c>
      <c r="AO782" s="14">
        <f t="shared" si="4453"/>
        <v>7.6371635055036871E-2</v>
      </c>
      <c r="AP782" s="14">
        <f t="shared" si="4453"/>
        <v>6.8477283301087655E-2</v>
      </c>
      <c r="AQ782" s="14">
        <f t="shared" si="4453"/>
        <v>6.3520185955228195E-2</v>
      </c>
      <c r="AR782" s="14">
        <f t="shared" si="4453"/>
        <v>5.9232223805261684E-2</v>
      </c>
      <c r="AS782" s="14">
        <f t="shared" si="4453"/>
        <v>5.5487950437100947E-2</v>
      </c>
      <c r="AT782" s="14">
        <f t="shared" si="4453"/>
        <v>5.2185740040474431E-2</v>
      </c>
      <c r="AU782" s="14">
        <f t="shared" si="4453"/>
        <v>4.925711505712338E-2</v>
      </c>
      <c r="AV782" s="14">
        <f t="shared" si="4453"/>
        <v>4.6639275699466611E-2</v>
      </c>
      <c r="AW782" s="14">
        <f t="shared" si="4453"/>
        <v>4.4285166527915962E-2</v>
      </c>
      <c r="AX782" s="14">
        <f t="shared" si="4453"/>
        <v>0.10327525274725276</v>
      </c>
      <c r="AY782" s="14">
        <f t="shared" si="4453"/>
        <v>0.1032752545054945</v>
      </c>
      <c r="AZ782" s="14">
        <f t="shared" si="4453"/>
        <v>0.10327525450549448</v>
      </c>
      <c r="BA782" s="14">
        <f t="shared" si="4453"/>
        <v>0.10327525450549455</v>
      </c>
      <c r="BB782" s="14">
        <f t="shared" si="4453"/>
        <v>0.10327525450549443</v>
      </c>
      <c r="BC782" s="14">
        <f t="shared" si="4453"/>
        <v>0.1032752545054945</v>
      </c>
      <c r="BD782" s="14">
        <f t="shared" si="4453"/>
        <v>0.1032752545054945</v>
      </c>
      <c r="BE782" s="14">
        <f t="shared" si="4453"/>
        <v>0.10327525450549459</v>
      </c>
      <c r="BF782" s="14">
        <f t="shared" si="4453"/>
        <v>0.10327525450549443</v>
      </c>
      <c r="BG782" s="14">
        <f t="shared" si="4453"/>
        <v>0.10327525450549459</v>
      </c>
      <c r="BH782" s="14">
        <f t="shared" si="4453"/>
        <v>0.10327525450549459</v>
      </c>
      <c r="BI782" s="14">
        <f t="shared" si="4453"/>
        <v>0.10327525450549443</v>
      </c>
      <c r="BJ782" s="14" t="e">
        <f t="shared" si="4453"/>
        <v>#VALUE!</v>
      </c>
      <c r="BK782" s="14">
        <f t="shared" si="4453"/>
        <v>0</v>
      </c>
      <c r="BL782" s="14" t="e">
        <f t="shared" si="4453"/>
        <v>#VALUE!</v>
      </c>
      <c r="BM782" s="412"/>
      <c r="BN782" s="14">
        <f t="shared" ref="BN782:CN782" si="4454">BN739/BN748</f>
        <v>0.33056397178497821</v>
      </c>
      <c r="BO782" s="14">
        <f t="shared" si="4454"/>
        <v>0.15566803642520827</v>
      </c>
      <c r="BP782" s="14">
        <f t="shared" si="4454"/>
        <v>9.8157636424089589E-2</v>
      </c>
      <c r="BQ782" s="14">
        <f t="shared" si="4454"/>
        <v>0.22911494923415274</v>
      </c>
      <c r="BR782" s="14">
        <f t="shared" si="4454"/>
        <v>0.10831400469744244</v>
      </c>
      <c r="BS782" s="14">
        <f t="shared" si="4454"/>
        <v>6.9060333188094764E-2</v>
      </c>
      <c r="BT782" s="14">
        <f t="shared" si="4454"/>
        <v>0.17769701320654066</v>
      </c>
      <c r="BU782" s="14">
        <f t="shared" si="4454"/>
        <v>8.5947616644928893E-2</v>
      </c>
      <c r="BV782" s="14">
        <f t="shared" si="4454"/>
        <v>5.5486776452597551E-2</v>
      </c>
      <c r="BW782" s="14">
        <f t="shared" si="4454"/>
        <v>0.14777162940224134</v>
      </c>
      <c r="BX782" s="14">
        <f t="shared" si="4454"/>
        <v>7.1868620733218147E-2</v>
      </c>
      <c r="BY782" s="14">
        <f t="shared" si="4454"/>
        <v>4.6639096283823331E-2</v>
      </c>
      <c r="BZ782" s="14">
        <f t="shared" si="4454"/>
        <v>0.10327525391941392</v>
      </c>
      <c r="CA782" s="14">
        <f t="shared" si="4454"/>
        <v>0.10327525391941392</v>
      </c>
      <c r="CB782" s="14">
        <f t="shared" si="4454"/>
        <v>0.10327525391941392</v>
      </c>
      <c r="CC782" s="14">
        <f t="shared" si="4454"/>
        <v>5.1637627252747252E-2</v>
      </c>
      <c r="CD782" s="14">
        <f t="shared" si="4454"/>
        <v>5.1637627252747252E-2</v>
      </c>
      <c r="CE782" s="14">
        <f t="shared" si="4454"/>
        <v>5.1637627252747252E-2</v>
      </c>
      <c r="CF782" s="14">
        <f t="shared" si="4454"/>
        <v>3.4425084835164835E-2</v>
      </c>
      <c r="CG782" s="14">
        <f t="shared" si="4454"/>
        <v>3.4425084835164835E-2</v>
      </c>
      <c r="CH782" s="14">
        <f t="shared" si="4454"/>
        <v>3.4425084835164835E-2</v>
      </c>
      <c r="CI782" s="14">
        <f t="shared" si="4454"/>
        <v>2.5818813626373633E-2</v>
      </c>
      <c r="CJ782" s="14">
        <f t="shared" si="4454"/>
        <v>2.5818813626373633E-2</v>
      </c>
      <c r="CK782" s="14">
        <f t="shared" si="4454"/>
        <v>2.5818813626373633E-2</v>
      </c>
      <c r="CL782" s="14" t="e">
        <f t="shared" si="4454"/>
        <v>#VALUE!</v>
      </c>
      <c r="CM782" s="14" t="e">
        <f t="shared" si="4454"/>
        <v>#VALUE!</v>
      </c>
      <c r="CN782" s="14" t="e">
        <f t="shared" si="4454"/>
        <v>#VALUE!</v>
      </c>
      <c r="CO782" s="412"/>
      <c r="CP782" s="14">
        <f t="shared" ref="CP782:DP782" si="4455">CP739/CP748</f>
        <v>0.1188352435664338</v>
      </c>
      <c r="CQ782" s="14">
        <f t="shared" si="4455"/>
        <v>0.10581475618687911</v>
      </c>
      <c r="CR782" s="14">
        <f t="shared" si="4455"/>
        <v>9.8157636424089589E-2</v>
      </c>
      <c r="CS782" s="14">
        <f t="shared" si="4455"/>
        <v>9.180507439177614E-2</v>
      </c>
      <c r="CT782" s="14">
        <f t="shared" si="4455"/>
        <v>8.6080440951414233E-2</v>
      </c>
      <c r="CU782" s="14">
        <f t="shared" si="4455"/>
        <v>8.1360717374817357E-2</v>
      </c>
      <c r="CV782" s="14">
        <f t="shared" si="4455"/>
        <v>7.7305895204571456E-2</v>
      </c>
      <c r="CW782" s="14">
        <f t="shared" si="4455"/>
        <v>7.3736341499170674E-2</v>
      </c>
      <c r="CX782" s="14">
        <f t="shared" si="4455"/>
        <v>7.0543050918086339E-2</v>
      </c>
      <c r="CY782" s="14">
        <f t="shared" si="4455"/>
        <v>6.7654813252021648E-2</v>
      </c>
      <c r="CZ782" s="14">
        <f t="shared" si="4455"/>
        <v>6.5020675725200427E-2</v>
      </c>
      <c r="DA782" s="14">
        <f t="shared" si="4455"/>
        <v>6.2602680283828371E-2</v>
      </c>
      <c r="DB782" s="14">
        <f t="shared" si="4455"/>
        <v>0.10327525274725276</v>
      </c>
      <c r="DC782" s="14">
        <f t="shared" si="4455"/>
        <v>0.10327525362637363</v>
      </c>
      <c r="DD782" s="14">
        <f t="shared" si="4455"/>
        <v>0.10327525391941392</v>
      </c>
      <c r="DE782" s="14">
        <f t="shared" si="4455"/>
        <v>0.10327525406593407</v>
      </c>
      <c r="DF782" s="14">
        <f t="shared" si="4455"/>
        <v>0.10327525415384614</v>
      </c>
      <c r="DG782" s="14">
        <f t="shared" si="4455"/>
        <v>0.1032752542124542</v>
      </c>
      <c r="DH782" s="14">
        <f t="shared" si="4455"/>
        <v>0.10327525425431712</v>
      </c>
      <c r="DI782" s="14">
        <f t="shared" si="4455"/>
        <v>0.10327525428571431</v>
      </c>
      <c r="DJ782" s="14">
        <f t="shared" si="4455"/>
        <v>0.10327525431013432</v>
      </c>
      <c r="DK782" s="14">
        <f t="shared" si="4455"/>
        <v>0.10327525432967036</v>
      </c>
      <c r="DL782" s="14">
        <f t="shared" si="4455"/>
        <v>0.10327525434565436</v>
      </c>
      <c r="DM782" s="14">
        <f t="shared" si="4455"/>
        <v>0.10327525435897436</v>
      </c>
      <c r="DN782" s="14" t="e">
        <f t="shared" si="4455"/>
        <v>#VALUE!</v>
      </c>
      <c r="DO782" s="14" t="e">
        <f t="shared" si="4455"/>
        <v>#VALUE!</v>
      </c>
      <c r="DP782" s="14" t="e">
        <f t="shared" si="4455"/>
        <v>#VALUE!</v>
      </c>
      <c r="DQ782" s="14"/>
      <c r="DR782" s="14"/>
      <c r="DS782" s="14"/>
      <c r="DT782" s="14"/>
      <c r="DU782" s="14"/>
      <c r="DV782" s="14"/>
      <c r="DW782" s="14"/>
      <c r="DX782" s="14"/>
      <c r="DY782" s="14"/>
      <c r="DZ782" s="14"/>
      <c r="EA782" s="14">
        <f>EA739/EA748</f>
        <v>6.2602680283828371E-2</v>
      </c>
      <c r="EB782" s="14">
        <f>EB739/EB748</f>
        <v>0.10327525435897436</v>
      </c>
      <c r="EC782" s="14"/>
      <c r="ED782" s="429"/>
      <c r="EE782" s="14">
        <f>EE739/EE748</f>
        <v>0</v>
      </c>
      <c r="EF782" s="14" t="e">
        <f>EF739/EF748</f>
        <v>#VALUE!</v>
      </c>
      <c r="EG782" s="14" t="e">
        <f>+EF782</f>
        <v>#VALUE!</v>
      </c>
      <c r="EK782" s="24"/>
      <c r="EL782" s="47"/>
      <c r="EM782" s="47"/>
      <c r="EN782" s="47"/>
    </row>
    <row r="783" spans="1:149">
      <c r="A783" s="6" t="s">
        <v>23</v>
      </c>
      <c r="B783" s="2" t="s">
        <v>27</v>
      </c>
      <c r="C783" s="3" t="s">
        <v>77</v>
      </c>
      <c r="E783" s="3" t="str">
        <f>C741</f>
        <v>BOnlHrs</v>
      </c>
      <c r="F783" s="4" t="s">
        <v>31</v>
      </c>
      <c r="G783" s="28" t="str">
        <f>C740</f>
        <v>BTotHrs</v>
      </c>
      <c r="H783" s="28"/>
      <c r="I783" s="28"/>
      <c r="J783" s="62">
        <f t="shared" ref="J783:AJ783" si="4456">J741/J740</f>
        <v>8.3145036781400422E-2</v>
      </c>
      <c r="K783" s="62">
        <f t="shared" si="4456"/>
        <v>8.3145036780419027E-2</v>
      </c>
      <c r="L783" s="62">
        <f t="shared" si="4456"/>
        <v>8.3145036780091899E-2</v>
      </c>
      <c r="M783" s="62">
        <f t="shared" si="4456"/>
        <v>8.3145036779928336E-2</v>
      </c>
      <c r="N783" s="62">
        <f t="shared" si="4456"/>
        <v>8.3145036779830178E-2</v>
      </c>
      <c r="O783" s="62">
        <f t="shared" si="4456"/>
        <v>8.3145036779764758E-2</v>
      </c>
      <c r="P783" s="62">
        <f t="shared" si="4456"/>
        <v>8.3145036779718018E-2</v>
      </c>
      <c r="Q783" s="62">
        <f t="shared" si="4456"/>
        <v>8.314503677968299E-2</v>
      </c>
      <c r="R783" s="62">
        <f t="shared" si="4456"/>
        <v>8.314503677965572E-2</v>
      </c>
      <c r="S783" s="62">
        <f t="shared" si="4456"/>
        <v>8.3145036779633891E-2</v>
      </c>
      <c r="T783" s="62">
        <f t="shared" si="4456"/>
        <v>8.3145036779616072E-2</v>
      </c>
      <c r="U783" s="62">
        <f t="shared" si="4456"/>
        <v>8.3145036779601209E-2</v>
      </c>
      <c r="V783" s="62">
        <f t="shared" si="4456"/>
        <v>0.15676722835285573</v>
      </c>
      <c r="W783" s="62">
        <f t="shared" si="4456"/>
        <v>0.15676724195284142</v>
      </c>
      <c r="X783" s="62">
        <f t="shared" si="4456"/>
        <v>0.15676724648616988</v>
      </c>
      <c r="Y783" s="62">
        <f t="shared" si="4456"/>
        <v>0.1567672487528341</v>
      </c>
      <c r="Z783" s="62">
        <f t="shared" si="4456"/>
        <v>0.15676725011283263</v>
      </c>
      <c r="AA783" s="62">
        <f t="shared" si="4456"/>
        <v>0.15676725101949829</v>
      </c>
      <c r="AB783" s="62">
        <f t="shared" si="4456"/>
        <v>0.15676725166711664</v>
      </c>
      <c r="AC783" s="62">
        <f t="shared" si="4456"/>
        <v>0.15676725215283038</v>
      </c>
      <c r="AD783" s="62">
        <f t="shared" si="4456"/>
        <v>0.15676725253060775</v>
      </c>
      <c r="AE783" s="62">
        <f t="shared" si="4456"/>
        <v>0.15676725283282963</v>
      </c>
      <c r="AF783" s="62">
        <f t="shared" si="4456"/>
        <v>0.15676725308010209</v>
      </c>
      <c r="AG783" s="62">
        <f t="shared" si="4456"/>
        <v>0.15676725328616245</v>
      </c>
      <c r="AH783" s="62" t="e">
        <f t="shared" si="4456"/>
        <v>#VALUE!</v>
      </c>
      <c r="AI783" s="62" t="e">
        <f t="shared" si="4456"/>
        <v>#VALUE!</v>
      </c>
      <c r="AJ783" s="62" t="e">
        <f t="shared" si="4456"/>
        <v>#VALUE!</v>
      </c>
      <c r="AK783" s="412"/>
      <c r="AL783" s="14">
        <f t="shared" ref="AL783:BL783" si="4457">AL741/AL740</f>
        <v>8.3145036781400422E-2</v>
      </c>
      <c r="AM783" s="14">
        <f t="shared" si="4457"/>
        <v>8.3145036779437631E-2</v>
      </c>
      <c r="AN783" s="14">
        <f t="shared" si="4457"/>
        <v>8.3145036779437631E-2</v>
      </c>
      <c r="AO783" s="14">
        <f t="shared" si="4457"/>
        <v>8.3145036779437645E-2</v>
      </c>
      <c r="AP783" s="14">
        <f t="shared" si="4457"/>
        <v>8.3145036779437576E-2</v>
      </c>
      <c r="AQ783" s="14">
        <f t="shared" si="4457"/>
        <v>8.3145036779437659E-2</v>
      </c>
      <c r="AR783" s="14">
        <f t="shared" si="4457"/>
        <v>8.3145036779437576E-2</v>
      </c>
      <c r="AS783" s="14">
        <f t="shared" si="4457"/>
        <v>8.3145036779437784E-2</v>
      </c>
      <c r="AT783" s="14">
        <f t="shared" si="4457"/>
        <v>8.3145036779437492E-2</v>
      </c>
      <c r="AU783" s="14">
        <f t="shared" si="4457"/>
        <v>8.3145036779437534E-2</v>
      </c>
      <c r="AV783" s="14">
        <f t="shared" si="4457"/>
        <v>8.3145036779437742E-2</v>
      </c>
      <c r="AW783" s="14">
        <f t="shared" si="4457"/>
        <v>8.3145036779437825E-2</v>
      </c>
      <c r="AX783" s="14">
        <f t="shared" si="4457"/>
        <v>0.15676722835285573</v>
      </c>
      <c r="AY783" s="14">
        <f t="shared" si="4457"/>
        <v>0.1567672555528267</v>
      </c>
      <c r="AZ783" s="14">
        <f t="shared" si="4457"/>
        <v>0.15676725555282661</v>
      </c>
      <c r="BA783" s="14">
        <f t="shared" si="4457"/>
        <v>0.15676725555282667</v>
      </c>
      <c r="BB783" s="14">
        <f t="shared" si="4457"/>
        <v>0.1567672555528267</v>
      </c>
      <c r="BC783" s="14">
        <f t="shared" si="4457"/>
        <v>0.15676725555282653</v>
      </c>
      <c r="BD783" s="14">
        <f t="shared" si="4457"/>
        <v>0.15676725555282681</v>
      </c>
      <c r="BE783" s="14">
        <f t="shared" si="4457"/>
        <v>0.15676725555282642</v>
      </c>
      <c r="BF783" s="14">
        <f t="shared" si="4457"/>
        <v>0.1567672555528267</v>
      </c>
      <c r="BG783" s="14">
        <f t="shared" si="4457"/>
        <v>0.1567672555528267</v>
      </c>
      <c r="BH783" s="14">
        <f t="shared" si="4457"/>
        <v>0.15676725555282664</v>
      </c>
      <c r="BI783" s="14">
        <f t="shared" si="4457"/>
        <v>0.15676725555282642</v>
      </c>
      <c r="BJ783" s="14" t="e">
        <f t="shared" si="4457"/>
        <v>#VALUE!</v>
      </c>
      <c r="BK783" s="14">
        <f t="shared" si="4457"/>
        <v>0</v>
      </c>
      <c r="BL783" s="14" t="e">
        <f t="shared" si="4457"/>
        <v>#VALUE!</v>
      </c>
      <c r="BM783" s="412"/>
      <c r="BN783" s="14">
        <f t="shared" ref="BN783:CN783" si="4458">BN741/BN740</f>
        <v>8.3145036780091899E-2</v>
      </c>
      <c r="BO783" s="14">
        <f t="shared" si="4458"/>
        <v>8.3145036780091899E-2</v>
      </c>
      <c r="BP783" s="14">
        <f t="shared" si="4458"/>
        <v>8.3145036780091899E-2</v>
      </c>
      <c r="BQ783" s="14">
        <f t="shared" si="4458"/>
        <v>8.3145036779437631E-2</v>
      </c>
      <c r="BR783" s="14">
        <f t="shared" si="4458"/>
        <v>8.3145036779437631E-2</v>
      </c>
      <c r="BS783" s="14">
        <f t="shared" si="4458"/>
        <v>8.3145036779437631E-2</v>
      </c>
      <c r="BT783" s="14">
        <f t="shared" si="4458"/>
        <v>8.3145036779437617E-2</v>
      </c>
      <c r="BU783" s="14">
        <f t="shared" si="4458"/>
        <v>8.3145036779437617E-2</v>
      </c>
      <c r="BV783" s="14">
        <f t="shared" si="4458"/>
        <v>8.3145036779437617E-2</v>
      </c>
      <c r="BW783" s="14">
        <f t="shared" si="4458"/>
        <v>8.31450367794377E-2</v>
      </c>
      <c r="BX783" s="14">
        <f t="shared" si="4458"/>
        <v>8.31450367794377E-2</v>
      </c>
      <c r="BY783" s="14">
        <f t="shared" si="4458"/>
        <v>8.31450367794377E-2</v>
      </c>
      <c r="BZ783" s="14">
        <f t="shared" si="4458"/>
        <v>0.15676724648616988</v>
      </c>
      <c r="CA783" s="14">
        <f t="shared" si="4458"/>
        <v>0.15676724648616988</v>
      </c>
      <c r="CB783" s="14">
        <f t="shared" si="4458"/>
        <v>0.15676724648616988</v>
      </c>
      <c r="CC783" s="14">
        <f t="shared" si="4458"/>
        <v>0.47030176665847995</v>
      </c>
      <c r="CD783" s="14">
        <f t="shared" si="4458"/>
        <v>0.47030176665847995</v>
      </c>
      <c r="CE783" s="14">
        <f t="shared" si="4458"/>
        <v>0.47030176665847995</v>
      </c>
      <c r="CF783" s="14">
        <f t="shared" si="4458"/>
        <v>0.47030176665847989</v>
      </c>
      <c r="CG783" s="14">
        <f t="shared" si="4458"/>
        <v>0.47030176665847989</v>
      </c>
      <c r="CH783" s="14">
        <f t="shared" si="4458"/>
        <v>0.47030176665847989</v>
      </c>
      <c r="CI783" s="14">
        <f t="shared" si="4458"/>
        <v>0.47030176665847973</v>
      </c>
      <c r="CJ783" s="14">
        <f t="shared" si="4458"/>
        <v>0.47030176665847973</v>
      </c>
      <c r="CK783" s="14">
        <f t="shared" si="4458"/>
        <v>0.47030176665847973</v>
      </c>
      <c r="CL783" s="14" t="e">
        <f t="shared" si="4458"/>
        <v>#VALUE!</v>
      </c>
      <c r="CM783" s="14" t="e">
        <f t="shared" si="4458"/>
        <v>#VALUE!</v>
      </c>
      <c r="CN783" s="14" t="e">
        <f t="shared" si="4458"/>
        <v>#VALUE!</v>
      </c>
      <c r="CO783" s="412"/>
      <c r="CP783" s="14">
        <f t="shared" ref="CP783:DP783" si="4459">CP741/CP740</f>
        <v>8.3145036781400422E-2</v>
      </c>
      <c r="CQ783" s="14">
        <f t="shared" si="4459"/>
        <v>8.3145036780419027E-2</v>
      </c>
      <c r="CR783" s="14">
        <f t="shared" si="4459"/>
        <v>8.3145036780091899E-2</v>
      </c>
      <c r="CS783" s="14">
        <f t="shared" si="4459"/>
        <v>8.3145036779928336E-2</v>
      </c>
      <c r="CT783" s="14">
        <f t="shared" si="4459"/>
        <v>8.3145036779830178E-2</v>
      </c>
      <c r="CU783" s="14">
        <f t="shared" si="4459"/>
        <v>8.3145036779764758E-2</v>
      </c>
      <c r="CV783" s="14">
        <f t="shared" si="4459"/>
        <v>8.3145036779718018E-2</v>
      </c>
      <c r="CW783" s="14">
        <f t="shared" si="4459"/>
        <v>8.314503677968299E-2</v>
      </c>
      <c r="CX783" s="14">
        <f t="shared" si="4459"/>
        <v>8.314503677965572E-2</v>
      </c>
      <c r="CY783" s="14">
        <f t="shared" si="4459"/>
        <v>8.3145036779633891E-2</v>
      </c>
      <c r="CZ783" s="14">
        <f t="shared" si="4459"/>
        <v>8.3145036779616072E-2</v>
      </c>
      <c r="DA783" s="14">
        <f t="shared" si="4459"/>
        <v>8.3145036779601209E-2</v>
      </c>
      <c r="DB783" s="14">
        <f t="shared" si="4459"/>
        <v>0.15676722835285573</v>
      </c>
      <c r="DC783" s="14">
        <f t="shared" si="4459"/>
        <v>0.15676724195284142</v>
      </c>
      <c r="DD783" s="14">
        <f t="shared" si="4459"/>
        <v>0.15676724648616988</v>
      </c>
      <c r="DE783" s="14">
        <f t="shared" si="4459"/>
        <v>0.1567672487528341</v>
      </c>
      <c r="DF783" s="14">
        <f t="shared" si="4459"/>
        <v>0.15676725011283263</v>
      </c>
      <c r="DG783" s="14">
        <f t="shared" si="4459"/>
        <v>0.15676725101949829</v>
      </c>
      <c r="DH783" s="14">
        <f t="shared" si="4459"/>
        <v>0.15676725166711664</v>
      </c>
      <c r="DI783" s="14">
        <f t="shared" si="4459"/>
        <v>0.15676725215283038</v>
      </c>
      <c r="DJ783" s="14">
        <f t="shared" si="4459"/>
        <v>0.15676725253060775</v>
      </c>
      <c r="DK783" s="14">
        <f t="shared" si="4459"/>
        <v>0.15676725283282963</v>
      </c>
      <c r="DL783" s="14">
        <f t="shared" si="4459"/>
        <v>0.15676725308010209</v>
      </c>
      <c r="DM783" s="14">
        <f t="shared" si="4459"/>
        <v>0.15676725328616245</v>
      </c>
      <c r="DN783" s="14" t="e">
        <f t="shared" si="4459"/>
        <v>#VALUE!</v>
      </c>
      <c r="DO783" s="14" t="e">
        <f t="shared" si="4459"/>
        <v>#VALUE!</v>
      </c>
      <c r="DP783" s="14" t="e">
        <f t="shared" si="4459"/>
        <v>#VALUE!</v>
      </c>
      <c r="DQ783" s="14"/>
      <c r="DR783" s="14"/>
      <c r="DS783" s="14"/>
      <c r="DT783" s="14"/>
      <c r="DU783" s="14"/>
      <c r="DV783" s="14"/>
      <c r="DW783" s="14"/>
      <c r="DX783" s="14"/>
      <c r="DY783" s="14"/>
      <c r="DZ783" s="14"/>
      <c r="EA783" s="14">
        <f>EA741/EA740</f>
        <v>8.3145036779601209E-2</v>
      </c>
      <c r="EB783" s="14">
        <f>EB741/EB740</f>
        <v>0.15676725328616245</v>
      </c>
      <c r="EC783" s="14"/>
      <c r="ED783" s="429"/>
      <c r="EE783" s="14">
        <f>EE741/EE740</f>
        <v>0</v>
      </c>
      <c r="EF783" s="14" t="e">
        <f>EF741/EF740</f>
        <v>#VALUE!</v>
      </c>
      <c r="EG783" s="14">
        <f>EG741/EG740</f>
        <v>0.15676725328616245</v>
      </c>
      <c r="EK783" s="24"/>
      <c r="EL783" s="47"/>
      <c r="EM783" s="47"/>
      <c r="EN783" s="47"/>
    </row>
    <row r="784" spans="1:149">
      <c r="A784" s="6" t="s">
        <v>23</v>
      </c>
      <c r="B784" s="2" t="s">
        <v>28</v>
      </c>
      <c r="C784" s="3" t="s">
        <v>78</v>
      </c>
      <c r="E784" s="3" t="str">
        <f>C746</f>
        <v>BColCash</v>
      </c>
      <c r="F784" s="4" t="s">
        <v>31</v>
      </c>
      <c r="G784" s="28" t="str">
        <f>C747</f>
        <v>BFSFunds</v>
      </c>
      <c r="H784" s="28"/>
      <c r="I784" s="28"/>
      <c r="J784" s="62" t="str">
        <f t="shared" ref="J784:AJ784" si="4460">IF(J747&lt;&gt;0,J746/J747,"")</f>
        <v/>
      </c>
      <c r="K784" s="62" t="str">
        <f t="shared" si="4460"/>
        <v/>
      </c>
      <c r="L784" s="62">
        <f t="shared" si="4460"/>
        <v>0.77598964980271401</v>
      </c>
      <c r="M784" s="62">
        <f t="shared" si="4460"/>
        <v>0.77598964980271401</v>
      </c>
      <c r="N784" s="62">
        <f t="shared" si="4460"/>
        <v>0.77598964980271401</v>
      </c>
      <c r="O784" s="62">
        <f t="shared" si="4460"/>
        <v>0.77598964980271401</v>
      </c>
      <c r="P784" s="62">
        <f t="shared" si="4460"/>
        <v>0.77598964980271401</v>
      </c>
      <c r="Q784" s="62">
        <f t="shared" si="4460"/>
        <v>0.77598964980271401</v>
      </c>
      <c r="R784" s="62">
        <f t="shared" si="4460"/>
        <v>0.77794104446447876</v>
      </c>
      <c r="S784" s="62">
        <f t="shared" si="4460"/>
        <v>0.77794104446447876</v>
      </c>
      <c r="T784" s="62">
        <f t="shared" si="4460"/>
        <v>0.77794104446447876</v>
      </c>
      <c r="U784" s="62">
        <f t="shared" si="4460"/>
        <v>0.77600070250413455</v>
      </c>
      <c r="V784" s="62" t="str">
        <f t="shared" si="4460"/>
        <v/>
      </c>
      <c r="W784" s="62" t="str">
        <f t="shared" si="4460"/>
        <v/>
      </c>
      <c r="X784" s="62" t="str">
        <f t="shared" si="4460"/>
        <v/>
      </c>
      <c r="Y784" s="62" t="str">
        <f t="shared" si="4460"/>
        <v/>
      </c>
      <c r="Z784" s="62" t="str">
        <f t="shared" si="4460"/>
        <v/>
      </c>
      <c r="AA784" s="62">
        <f t="shared" si="4460"/>
        <v>0.78934734178887234</v>
      </c>
      <c r="AB784" s="62">
        <f t="shared" si="4460"/>
        <v>0.78934734178887234</v>
      </c>
      <c r="AC784" s="62">
        <f t="shared" si="4460"/>
        <v>0.78934734178887234</v>
      </c>
      <c r="AD784" s="62">
        <f t="shared" si="4460"/>
        <v>0.78934734178887234</v>
      </c>
      <c r="AE784" s="62">
        <f t="shared" si="4460"/>
        <v>0.78934734178887234</v>
      </c>
      <c r="AF784" s="62">
        <f t="shared" si="4460"/>
        <v>0.78934734178887234</v>
      </c>
      <c r="AG784" s="62">
        <f t="shared" si="4460"/>
        <v>0.78934453401546745</v>
      </c>
      <c r="AH784" s="62" t="e">
        <f t="shared" si="4460"/>
        <v>#VALUE!</v>
      </c>
      <c r="AI784" s="62" t="e">
        <f t="shared" si="4460"/>
        <v>#VALUE!</v>
      </c>
      <c r="AJ784" s="62" t="e">
        <f t="shared" si="4460"/>
        <v>#VALUE!</v>
      </c>
      <c r="AK784" s="412"/>
      <c r="AL784" s="14"/>
      <c r="AM784" s="14"/>
      <c r="AN784" s="14"/>
      <c r="AO784" s="14"/>
      <c r="AP784" s="14"/>
      <c r="AQ784" s="14"/>
      <c r="AR784" s="14"/>
      <c r="AS784" s="14"/>
      <c r="AT784" s="14"/>
      <c r="AU784" s="14"/>
      <c r="AV784" s="14"/>
      <c r="AW784" s="14"/>
      <c r="AX784" s="14"/>
      <c r="AY784" s="14"/>
      <c r="AZ784" s="14"/>
      <c r="BA784" s="14"/>
      <c r="BB784" s="14"/>
      <c r="BC784" s="14"/>
      <c r="BD784" s="14"/>
      <c r="BE784" s="14"/>
      <c r="BF784" s="14"/>
      <c r="BG784" s="14"/>
      <c r="BH784" s="14"/>
      <c r="BI784" s="14"/>
      <c r="BJ784" s="14"/>
      <c r="BK784" s="14"/>
      <c r="BL784" s="14"/>
      <c r="BM784" s="412"/>
      <c r="BN784" s="14"/>
      <c r="BO784" s="14"/>
      <c r="BP784" s="14"/>
      <c r="BQ784" s="14"/>
      <c r="BR784" s="14"/>
      <c r="BS784" s="14"/>
      <c r="BT784" s="14"/>
      <c r="BU784" s="14"/>
      <c r="BV784" s="14"/>
      <c r="BW784" s="14"/>
      <c r="BX784" s="14"/>
      <c r="BY784" s="14"/>
      <c r="BZ784" s="14"/>
      <c r="CA784" s="14"/>
      <c r="CB784" s="14"/>
      <c r="CC784" s="14"/>
      <c r="CD784" s="14"/>
      <c r="CE784" s="14"/>
      <c r="CF784" s="14"/>
      <c r="CG784" s="14"/>
      <c r="CH784" s="14"/>
      <c r="CI784" s="14"/>
      <c r="CJ784" s="14"/>
      <c r="CK784" s="14"/>
      <c r="CL784" s="14"/>
      <c r="CM784" s="14"/>
      <c r="CN784" s="14"/>
      <c r="CO784" s="412"/>
      <c r="CP784" s="14" t="str">
        <f t="shared" ref="CP784:DP784" si="4461">IF(CP747&lt;&gt;0,CP746/CP747,"")</f>
        <v/>
      </c>
      <c r="CQ784" s="14" t="str">
        <f t="shared" si="4461"/>
        <v/>
      </c>
      <c r="CR784" s="14">
        <f t="shared" si="4461"/>
        <v>0.77598964980271401</v>
      </c>
      <c r="CS784" s="14">
        <f t="shared" si="4461"/>
        <v>0.77598964980271401</v>
      </c>
      <c r="CT784" s="14">
        <f t="shared" si="4461"/>
        <v>0.77598964980271401</v>
      </c>
      <c r="CU784" s="14">
        <f t="shared" si="4461"/>
        <v>0.77598964980271401</v>
      </c>
      <c r="CV784" s="14">
        <f t="shared" si="4461"/>
        <v>0.77598964980271401</v>
      </c>
      <c r="CW784" s="14">
        <f t="shared" si="4461"/>
        <v>0.77598964980271401</v>
      </c>
      <c r="CX784" s="14">
        <f t="shared" si="4461"/>
        <v>0.77794104446447876</v>
      </c>
      <c r="CY784" s="14">
        <f t="shared" si="4461"/>
        <v>0.77794104446447876</v>
      </c>
      <c r="CZ784" s="14">
        <f t="shared" si="4461"/>
        <v>0.77794104446447876</v>
      </c>
      <c r="DA784" s="14">
        <f t="shared" si="4461"/>
        <v>0.77600070250413455</v>
      </c>
      <c r="DB784" s="14" t="str">
        <f t="shared" si="4461"/>
        <v/>
      </c>
      <c r="DC784" s="14" t="str">
        <f t="shared" si="4461"/>
        <v/>
      </c>
      <c r="DD784" s="14" t="str">
        <f t="shared" si="4461"/>
        <v/>
      </c>
      <c r="DE784" s="14" t="str">
        <f t="shared" si="4461"/>
        <v/>
      </c>
      <c r="DF784" s="14" t="str">
        <f t="shared" si="4461"/>
        <v/>
      </c>
      <c r="DG784" s="14">
        <f t="shared" si="4461"/>
        <v>0.78934734178887234</v>
      </c>
      <c r="DH784" s="14">
        <f t="shared" si="4461"/>
        <v>0.78934734178887234</v>
      </c>
      <c r="DI784" s="14">
        <f t="shared" si="4461"/>
        <v>0.78934734178887234</v>
      </c>
      <c r="DJ784" s="14">
        <f t="shared" si="4461"/>
        <v>0.78934734178887234</v>
      </c>
      <c r="DK784" s="14">
        <f t="shared" si="4461"/>
        <v>0.78934734178887234</v>
      </c>
      <c r="DL784" s="14">
        <f t="shared" si="4461"/>
        <v>0.78934734178887234</v>
      </c>
      <c r="DM784" s="14">
        <f t="shared" si="4461"/>
        <v>0.78934453401546745</v>
      </c>
      <c r="DN784" s="14" t="e">
        <f t="shared" si="4461"/>
        <v>#VALUE!</v>
      </c>
      <c r="DO784" s="14" t="e">
        <f t="shared" si="4461"/>
        <v>#VALUE!</v>
      </c>
      <c r="DP784" s="14" t="e">
        <f t="shared" si="4461"/>
        <v>#VALUE!</v>
      </c>
      <c r="DQ784" s="14"/>
      <c r="DR784" s="14"/>
      <c r="DS784" s="14"/>
      <c r="DT784" s="14"/>
      <c r="DU784" s="14"/>
      <c r="DV784" s="14"/>
      <c r="DW784" s="14"/>
      <c r="DX784" s="14"/>
      <c r="DY784" s="14"/>
      <c r="DZ784" s="14"/>
      <c r="EA784" s="14">
        <f>IF(EA747&lt;&gt;0,EA746/EA747,"")</f>
        <v>0.77600070250413455</v>
      </c>
      <c r="EB784" s="14">
        <f>IF(EB747&lt;&gt;0,EB746/EB747,"")</f>
        <v>0.78934453401546745</v>
      </c>
      <c r="EC784" s="14"/>
      <c r="ED784" s="429"/>
      <c r="EE784" s="14"/>
      <c r="EF784" s="14"/>
      <c r="EG784" s="14">
        <f>IF(EG747&lt;&gt;0,EG746/EG747,"")</f>
        <v>0.5048209028459274</v>
      </c>
      <c r="EK784" s="24"/>
      <c r="EL784" s="65"/>
      <c r="EM784" s="65"/>
      <c r="EN784" s="47"/>
    </row>
    <row r="785" spans="1:149">
      <c r="A785" s="6" t="s">
        <v>29</v>
      </c>
      <c r="G785" s="28"/>
      <c r="H785" s="28"/>
      <c r="I785" s="28"/>
      <c r="J785" s="64"/>
      <c r="K785" s="64"/>
      <c r="L785" s="64"/>
      <c r="M785" s="64"/>
      <c r="N785" s="64"/>
      <c r="O785" s="64"/>
      <c r="P785" s="64"/>
      <c r="Q785" s="64"/>
      <c r="R785" s="64"/>
      <c r="S785" s="64"/>
      <c r="T785" s="64"/>
      <c r="U785" s="64"/>
      <c r="V785" s="64"/>
      <c r="W785" s="64"/>
      <c r="X785" s="64"/>
      <c r="Y785" s="64"/>
      <c r="Z785" s="64"/>
      <c r="AA785" s="64"/>
      <c r="AB785" s="64"/>
      <c r="AC785" s="64"/>
      <c r="AD785" s="64"/>
      <c r="AE785" s="64"/>
      <c r="AF785" s="64"/>
      <c r="AG785" s="64"/>
      <c r="AH785" s="64"/>
      <c r="AI785" s="64"/>
      <c r="AJ785" s="64"/>
      <c r="ED785" s="429"/>
      <c r="EE785" s="23"/>
      <c r="EF785" s="23"/>
      <c r="EG785" s="23"/>
      <c r="EH785" s="25"/>
      <c r="EI785" s="25"/>
      <c r="EJ785" s="25"/>
      <c r="EK785" s="23"/>
    </row>
    <row r="786" spans="1:149">
      <c r="A786" s="6" t="s">
        <v>23</v>
      </c>
      <c r="B786" s="2" t="s">
        <v>24</v>
      </c>
      <c r="C786" s="3" t="s">
        <v>83</v>
      </c>
      <c r="E786" s="4" t="str">
        <f>C759</f>
        <v>AInBusNew</v>
      </c>
      <c r="F786" s="4" t="s">
        <v>31</v>
      </c>
      <c r="G786" s="28" t="str">
        <f>C758</f>
        <v>AAllNew</v>
      </c>
      <c r="H786" s="28"/>
      <c r="I786" s="28"/>
      <c r="J786" s="62">
        <f t="shared" ref="J786:O786" si="4462">IF(J758&lt;&gt;"",J759/J758,"")</f>
        <v>0.42499999999999999</v>
      </c>
      <c r="K786" s="62">
        <f t="shared" si="4462"/>
        <v>0.38400000000000001</v>
      </c>
      <c r="L786" s="62">
        <f t="shared" si="4462"/>
        <v>0.41504178272980502</v>
      </c>
      <c r="M786" s="62">
        <f t="shared" si="4462"/>
        <v>0.46092184368737477</v>
      </c>
      <c r="N786" s="62">
        <f t="shared" si="4462"/>
        <v>0.47088186356073214</v>
      </c>
      <c r="O786" s="62">
        <f t="shared" si="4462"/>
        <v>0.47398843930635837</v>
      </c>
      <c r="P786" s="62">
        <f t="shared" ref="P786:AJ786" si="4463">IF(P758&lt;&gt;"",P759/P758,"")</f>
        <v>0.48096446700507617</v>
      </c>
      <c r="Q786" s="62">
        <f t="shared" si="4463"/>
        <v>0.48817204301075268</v>
      </c>
      <c r="R786" s="62">
        <f t="shared" si="4463"/>
        <v>0.47794117647058826</v>
      </c>
      <c r="S786" s="62">
        <f t="shared" si="4463"/>
        <v>0.46760343481654959</v>
      </c>
      <c r="T786" s="62">
        <f t="shared" si="4463"/>
        <v>0.47695530726256985</v>
      </c>
      <c r="U786" s="62">
        <f t="shared" si="4463"/>
        <v>0.47815230961298377</v>
      </c>
      <c r="V786" s="62">
        <f t="shared" si="4463"/>
        <v>0.40314136125654448</v>
      </c>
      <c r="W786" s="62">
        <f t="shared" si="4463"/>
        <v>0.41666666666666669</v>
      </c>
      <c r="X786" s="62">
        <f t="shared" si="4463"/>
        <v>0.40917107583774248</v>
      </c>
      <c r="Y786" s="62">
        <f t="shared" si="4463"/>
        <v>0.409387222946545</v>
      </c>
      <c r="Z786" s="62">
        <f t="shared" si="4463"/>
        <v>0.41484716157205243</v>
      </c>
      <c r="AA786" s="62">
        <f t="shared" si="4463"/>
        <v>0.42924528301886794</v>
      </c>
      <c r="AB786" s="62">
        <f t="shared" si="4463"/>
        <v>0.42728758169934639</v>
      </c>
      <c r="AC786" s="62">
        <f t="shared" si="4463"/>
        <v>0.4219409282700422</v>
      </c>
      <c r="AD786" s="62">
        <f t="shared" si="4463"/>
        <v>0.42682926829268292</v>
      </c>
      <c r="AE786" s="62">
        <f t="shared" si="4463"/>
        <v>0.43110127282789151</v>
      </c>
      <c r="AF786" s="62">
        <f t="shared" si="4463"/>
        <v>0.42749623682890114</v>
      </c>
      <c r="AG786" s="62">
        <f t="shared" si="4463"/>
        <v>0.42910101946246526</v>
      </c>
      <c r="AH786" s="62">
        <f t="shared" si="4463"/>
        <v>0.43046357615894038</v>
      </c>
      <c r="AI786" s="62">
        <f t="shared" si="4463"/>
        <v>0.42812499999999998</v>
      </c>
      <c r="AJ786" s="62" t="str">
        <f t="shared" si="4463"/>
        <v/>
      </c>
      <c r="AK786" s="412"/>
      <c r="AL786" s="14">
        <f t="shared" ref="AL786:BL786" si="4464">IF(AL758&lt;&gt;0,AL759/AL758,"")</f>
        <v>0.42499999999999999</v>
      </c>
      <c r="AM786" s="14">
        <f t="shared" si="4464"/>
        <v>0.34615384615384615</v>
      </c>
      <c r="AN786" s="14">
        <f t="shared" si="4464"/>
        <v>0.48623853211009177</v>
      </c>
      <c r="AO786" s="14">
        <f t="shared" si="4464"/>
        <v>0.57857142857142863</v>
      </c>
      <c r="AP786" s="14">
        <f t="shared" si="4464"/>
        <v>0.51960784313725494</v>
      </c>
      <c r="AQ786" s="14">
        <f t="shared" si="4464"/>
        <v>0.49450549450549453</v>
      </c>
      <c r="AR786" s="14">
        <f t="shared" si="4464"/>
        <v>0.53125</v>
      </c>
      <c r="AS786" s="14">
        <f t="shared" si="4464"/>
        <v>0.528169014084507</v>
      </c>
      <c r="AT786" s="14">
        <f t="shared" si="4464"/>
        <v>0.41772151898734178</v>
      </c>
      <c r="AU786" s="14">
        <f t="shared" si="4464"/>
        <v>0.40932642487046633</v>
      </c>
      <c r="AV786" s="14">
        <f t="shared" si="4464"/>
        <v>0.55629139072847678</v>
      </c>
      <c r="AW786" s="14">
        <f t="shared" si="4464"/>
        <v>0.48823529411764705</v>
      </c>
      <c r="AX786" s="14">
        <f t="shared" si="4464"/>
        <v>0.40314136125654448</v>
      </c>
      <c r="AY786" s="14">
        <f t="shared" si="4464"/>
        <v>0.43093922651933703</v>
      </c>
      <c r="AZ786" s="14">
        <f t="shared" si="4464"/>
        <v>0.39487179487179486</v>
      </c>
      <c r="BA786" s="14">
        <f t="shared" si="4464"/>
        <v>0.41</v>
      </c>
      <c r="BB786" s="14">
        <f t="shared" si="4464"/>
        <v>0.44295302013422821</v>
      </c>
      <c r="BC786" s="14">
        <f t="shared" si="4464"/>
        <v>0.52083333333333337</v>
      </c>
      <c r="BD786" s="14">
        <f t="shared" si="4464"/>
        <v>0.41463414634146339</v>
      </c>
      <c r="BE786" s="14">
        <f t="shared" si="4464"/>
        <v>0.3888888888888889</v>
      </c>
      <c r="BF786" s="14">
        <f t="shared" si="4464"/>
        <v>0.45871559633027525</v>
      </c>
      <c r="BG786" s="14">
        <f t="shared" si="4464"/>
        <v>0.47305389221556887</v>
      </c>
      <c r="BH786" s="14">
        <f t="shared" si="4464"/>
        <v>0.39247311827956988</v>
      </c>
      <c r="BI786" s="14">
        <f t="shared" si="4464"/>
        <v>0.44848484848484849</v>
      </c>
      <c r="BJ786" s="14">
        <f t="shared" si="4464"/>
        <v>0.43046357615894038</v>
      </c>
      <c r="BK786" s="14">
        <f t="shared" si="4464"/>
        <v>0.42603550295857989</v>
      </c>
      <c r="BL786" s="14" t="str">
        <f t="shared" si="4464"/>
        <v/>
      </c>
      <c r="BM786" s="412"/>
      <c r="BN786" s="14">
        <f t="shared" ref="BN786:CN786" si="4465">IF(BN758&lt;&gt;0,BN759/BN758,"")</f>
        <v>0.41504178272980502</v>
      </c>
      <c r="BO786" s="14">
        <f t="shared" si="4465"/>
        <v>0.41504178272980502</v>
      </c>
      <c r="BP786" s="14">
        <f t="shared" si="4465"/>
        <v>0.41504178272980502</v>
      </c>
      <c r="BQ786" s="14">
        <f t="shared" si="4465"/>
        <v>0.53753753753753752</v>
      </c>
      <c r="BR786" s="14">
        <f t="shared" si="4465"/>
        <v>0.53753753753753752</v>
      </c>
      <c r="BS786" s="14">
        <f t="shared" si="4465"/>
        <v>0.53753753753753752</v>
      </c>
      <c r="BT786" s="14">
        <f t="shared" si="4465"/>
        <v>0.48484848484848486</v>
      </c>
      <c r="BU786" s="14">
        <f t="shared" si="4465"/>
        <v>0.48484848484848486</v>
      </c>
      <c r="BV786" s="14">
        <f t="shared" si="4465"/>
        <v>0.48484848484848486</v>
      </c>
      <c r="BW786" s="14">
        <f t="shared" si="4465"/>
        <v>0.47859922178988329</v>
      </c>
      <c r="BX786" s="14">
        <f t="shared" si="4465"/>
        <v>0.47859922178988329</v>
      </c>
      <c r="BY786" s="14">
        <f t="shared" si="4465"/>
        <v>0.47859922178988329</v>
      </c>
      <c r="BZ786" s="14">
        <f t="shared" si="4465"/>
        <v>0.40917107583774248</v>
      </c>
      <c r="CA786" s="14">
        <f t="shared" si="4465"/>
        <v>0.40917107583774248</v>
      </c>
      <c r="CB786" s="14">
        <f t="shared" si="4465"/>
        <v>0.40917107583774248</v>
      </c>
      <c r="CC786" s="14">
        <f t="shared" si="4465"/>
        <v>0.45233265720081134</v>
      </c>
      <c r="CD786" s="14">
        <f t="shared" si="4465"/>
        <v>0.45233265720081134</v>
      </c>
      <c r="CE786" s="14">
        <f t="shared" si="4465"/>
        <v>0.45233265720081134</v>
      </c>
      <c r="CF786" s="14">
        <f t="shared" si="4465"/>
        <v>0.42241379310344829</v>
      </c>
      <c r="CG786" s="14">
        <f t="shared" si="4465"/>
        <v>0.42241379310344829</v>
      </c>
      <c r="CH786" s="14">
        <f t="shared" si="4465"/>
        <v>0.42241379310344829</v>
      </c>
      <c r="CI786" s="14">
        <f t="shared" si="4465"/>
        <v>0.43629343629343631</v>
      </c>
      <c r="CJ786" s="14">
        <f t="shared" si="4465"/>
        <v>0.43629343629343631</v>
      </c>
      <c r="CK786" s="14">
        <f t="shared" si="4465"/>
        <v>0.43629343629343631</v>
      </c>
      <c r="CL786" s="14">
        <f t="shared" si="4465"/>
        <v>0.42812499999999998</v>
      </c>
      <c r="CM786" s="14">
        <f t="shared" si="4465"/>
        <v>0.42812499999999998</v>
      </c>
      <c r="CN786" s="14">
        <f t="shared" si="4465"/>
        <v>0.42812499999999998</v>
      </c>
      <c r="CO786" s="412"/>
      <c r="CP786" s="14">
        <f t="shared" ref="CP786:DP786" si="4466">IF(CP758&lt;&gt;0,CP759/CP758,"")</f>
        <v>0.42499999999999999</v>
      </c>
      <c r="CQ786" s="14">
        <f t="shared" si="4466"/>
        <v>0.38400000000000001</v>
      </c>
      <c r="CR786" s="14">
        <f t="shared" si="4466"/>
        <v>0.41504178272980502</v>
      </c>
      <c r="CS786" s="14">
        <f t="shared" si="4466"/>
        <v>0.46092184368737477</v>
      </c>
      <c r="CT786" s="14">
        <f t="shared" si="4466"/>
        <v>0.47088186356073214</v>
      </c>
      <c r="CU786" s="14">
        <f t="shared" si="4466"/>
        <v>0.47398843930635837</v>
      </c>
      <c r="CV786" s="14">
        <f t="shared" si="4466"/>
        <v>0.48096446700507617</v>
      </c>
      <c r="CW786" s="14">
        <f t="shared" si="4466"/>
        <v>0.48817204301075268</v>
      </c>
      <c r="CX786" s="14">
        <f t="shared" si="4466"/>
        <v>0.47794117647058826</v>
      </c>
      <c r="CY786" s="14">
        <f t="shared" si="4466"/>
        <v>0.46760343481654959</v>
      </c>
      <c r="CZ786" s="14">
        <f t="shared" si="4466"/>
        <v>0.47695530726256985</v>
      </c>
      <c r="DA786" s="14">
        <f t="shared" si="4466"/>
        <v>0.47815230961298377</v>
      </c>
      <c r="DB786" s="14">
        <f t="shared" si="4466"/>
        <v>0.40314136125654448</v>
      </c>
      <c r="DC786" s="14">
        <f t="shared" si="4466"/>
        <v>0.41666666666666669</v>
      </c>
      <c r="DD786" s="14">
        <f t="shared" si="4466"/>
        <v>0.40917107583774248</v>
      </c>
      <c r="DE786" s="14">
        <f t="shared" si="4466"/>
        <v>0.409387222946545</v>
      </c>
      <c r="DF786" s="14">
        <f t="shared" si="4466"/>
        <v>0.41484716157205243</v>
      </c>
      <c r="DG786" s="14">
        <f t="shared" si="4466"/>
        <v>0.42924528301886794</v>
      </c>
      <c r="DH786" s="14">
        <f t="shared" si="4466"/>
        <v>0.42728758169934639</v>
      </c>
      <c r="DI786" s="14">
        <f t="shared" si="4466"/>
        <v>0.4219409282700422</v>
      </c>
      <c r="DJ786" s="14">
        <f t="shared" si="4466"/>
        <v>0.42682926829268292</v>
      </c>
      <c r="DK786" s="14">
        <f t="shared" si="4466"/>
        <v>0.43110127282789151</v>
      </c>
      <c r="DL786" s="14">
        <f t="shared" si="4466"/>
        <v>0.42749623682890114</v>
      </c>
      <c r="DM786" s="14">
        <f t="shared" si="4466"/>
        <v>0.42910101946246526</v>
      </c>
      <c r="DN786" s="14">
        <f t="shared" si="4466"/>
        <v>0.43046357615894038</v>
      </c>
      <c r="DO786" s="14">
        <f t="shared" si="4466"/>
        <v>0.42812499999999998</v>
      </c>
      <c r="DP786" s="14">
        <f t="shared" si="4466"/>
        <v>0.42812499999999998</v>
      </c>
      <c r="DQ786" s="14"/>
      <c r="DR786" s="14"/>
      <c r="DS786" s="14"/>
      <c r="DT786" s="14"/>
      <c r="DU786" s="14"/>
      <c r="DV786" s="14"/>
      <c r="DW786" s="14"/>
      <c r="DX786" s="14"/>
      <c r="DY786" s="14"/>
      <c r="ED786" s="429"/>
      <c r="EE786" s="23"/>
      <c r="EF786" s="23"/>
      <c r="EG786" s="23"/>
      <c r="EH786" s="14">
        <f>IF(EH758&lt;&gt;0,EH759/EH758,"")</f>
        <v>0.42603550295857989</v>
      </c>
      <c r="EI786" s="14">
        <f>IF(EI758&lt;&gt;0,EI759/EI758,"")</f>
        <v>0.42812499999999998</v>
      </c>
      <c r="EJ786" s="14">
        <f>IF(EJ758&lt;&gt;0,EJ759/EJ758,"")</f>
        <v>0.42812499999999998</v>
      </c>
      <c r="EK786" s="24"/>
      <c r="EL786" s="47">
        <f t="shared" ref="EL786:EN790" si="4467">+EH786-EE779</f>
        <v>3.5299160915824579E-2</v>
      </c>
      <c r="EM786" s="47" t="e">
        <f t="shared" si="4467"/>
        <v>#VALUE!</v>
      </c>
      <c r="EN786" s="47" t="e">
        <f t="shared" si="4467"/>
        <v>#VALUE!</v>
      </c>
      <c r="EO786" s="46" t="str">
        <f t="shared" ref="EO786:EP790" si="4468">IF(EH786&lt;0,,IF(EH786&lt;EE779,"È",IF(EH786=EE779,"Æ","Ç")))</f>
        <v>Ç</v>
      </c>
      <c r="EP786" s="46" t="e">
        <f t="shared" si="4468"/>
        <v>#VALUE!</v>
      </c>
      <c r="EQ786" s="2">
        <f t="shared" ref="EQ786:ES790" si="4469">IF(EH786/EE779&gt;=0.9,1,IF(EH786/EE779&lt;0.75,3,2))</f>
        <v>1</v>
      </c>
      <c r="ER786" s="2" t="e">
        <f t="shared" si="4469"/>
        <v>#VALUE!</v>
      </c>
      <c r="ES786" s="2" t="e">
        <f t="shared" si="4469"/>
        <v>#VALUE!</v>
      </c>
    </row>
    <row r="787" spans="1:149">
      <c r="A787" s="6" t="s">
        <v>23</v>
      </c>
      <c r="B787" s="2" t="s">
        <v>25</v>
      </c>
      <c r="C787" s="3" t="s">
        <v>79</v>
      </c>
      <c r="E787" s="4" t="str">
        <f>C774</f>
        <v>ASEE</v>
      </c>
      <c r="F787" s="4" t="s">
        <v>31</v>
      </c>
      <c r="G787" s="28" t="str">
        <f>C773</f>
        <v>ASUniq</v>
      </c>
      <c r="H787" s="28"/>
      <c r="I787" s="28"/>
      <c r="J787" s="62">
        <f t="shared" ref="J787:O787" si="4470">IF(J773&lt;&gt;"",J774/J773,"")</f>
        <v>0.4763231197771588</v>
      </c>
      <c r="K787" s="62">
        <f t="shared" si="4470"/>
        <v>0.34389140271493213</v>
      </c>
      <c r="L787" s="62">
        <f t="shared" si="4470"/>
        <v>0.2360248447204969</v>
      </c>
      <c r="M787" s="62">
        <f t="shared" si="4470"/>
        <v>0.10837438423645321</v>
      </c>
      <c r="N787" s="62">
        <f t="shared" si="4470"/>
        <v>0.24603174603174602</v>
      </c>
      <c r="O787" s="62">
        <f t="shared" si="4470"/>
        <v>0.24778761061946902</v>
      </c>
      <c r="P787" s="62">
        <f t="shared" ref="P787:AJ787" si="4471">IF(P773&lt;&gt;"",P774/P773,"")</f>
        <v>0.24166666666666667</v>
      </c>
      <c r="Q787" s="62">
        <f t="shared" si="4471"/>
        <v>0.2073170731707317</v>
      </c>
      <c r="R787" s="62">
        <f t="shared" si="4471"/>
        <v>0.24324324324324326</v>
      </c>
      <c r="S787" s="62">
        <f t="shared" si="4471"/>
        <v>0.17194570135746606</v>
      </c>
      <c r="T787" s="62">
        <f t="shared" si="4471"/>
        <v>0.17791411042944785</v>
      </c>
      <c r="U787" s="62">
        <f t="shared" si="4471"/>
        <v>0.2560386473429952</v>
      </c>
      <c r="V787" s="62">
        <f t="shared" si="4471"/>
        <v>0.50854700854700852</v>
      </c>
      <c r="W787" s="62">
        <f t="shared" si="4471"/>
        <v>0.43504531722054379</v>
      </c>
      <c r="X787" s="62">
        <f t="shared" si="4471"/>
        <v>0.24548736462093862</v>
      </c>
      <c r="Y787" s="62">
        <f t="shared" si="4471"/>
        <v>0.19125683060109289</v>
      </c>
      <c r="Z787" s="62">
        <f t="shared" si="4471"/>
        <v>0.31016042780748665</v>
      </c>
      <c r="AA787" s="62">
        <f t="shared" si="4471"/>
        <v>0.33152173913043476</v>
      </c>
      <c r="AB787" s="62">
        <f t="shared" si="4471"/>
        <v>0.21761658031088082</v>
      </c>
      <c r="AC787" s="62">
        <f t="shared" si="4471"/>
        <v>0.29184549356223177</v>
      </c>
      <c r="AD787" s="62">
        <f t="shared" si="4471"/>
        <v>0.2265625</v>
      </c>
      <c r="AE787" s="62">
        <f t="shared" si="4471"/>
        <v>0.25789473684210529</v>
      </c>
      <c r="AF787" s="62">
        <f t="shared" si="4471"/>
        <v>0.22641509433962265</v>
      </c>
      <c r="AG787" s="62">
        <f t="shared" si="4471"/>
        <v>0.26943005181347152</v>
      </c>
      <c r="AH787" s="62">
        <f t="shared" si="4471"/>
        <v>0.44341801385681295</v>
      </c>
      <c r="AI787" s="62">
        <f t="shared" si="4471"/>
        <v>0.42447916666666669</v>
      </c>
      <c r="AJ787" s="62" t="str">
        <f t="shared" si="4471"/>
        <v/>
      </c>
      <c r="AK787" s="412"/>
      <c r="AL787" s="14">
        <f t="shared" ref="AL787:BL787" si="4472">IF(AL773&lt;&gt;0,AL774/AL773,"")</f>
        <v>0.4763231197771588</v>
      </c>
      <c r="AM787" s="14">
        <f t="shared" si="4472"/>
        <v>0.34389140271493213</v>
      </c>
      <c r="AN787" s="14">
        <f t="shared" si="4472"/>
        <v>0.2360248447204969</v>
      </c>
      <c r="AO787" s="14">
        <f t="shared" si="4472"/>
        <v>0.10837438423645321</v>
      </c>
      <c r="AP787" s="14">
        <f t="shared" si="4472"/>
        <v>0.24603174603174602</v>
      </c>
      <c r="AQ787" s="14">
        <f t="shared" si="4472"/>
        <v>0.24778761061946902</v>
      </c>
      <c r="AR787" s="14">
        <f t="shared" si="4472"/>
        <v>0.24166666666666667</v>
      </c>
      <c r="AS787" s="14">
        <f t="shared" si="4472"/>
        <v>0.2073170731707317</v>
      </c>
      <c r="AT787" s="14">
        <f t="shared" si="4472"/>
        <v>0.24324324324324326</v>
      </c>
      <c r="AU787" s="14">
        <f t="shared" si="4472"/>
        <v>0.17194570135746606</v>
      </c>
      <c r="AV787" s="14">
        <f t="shared" si="4472"/>
        <v>0.17791411042944785</v>
      </c>
      <c r="AW787" s="14">
        <f t="shared" si="4472"/>
        <v>0.2560386473429952</v>
      </c>
      <c r="AX787" s="14">
        <f t="shared" si="4472"/>
        <v>0.50854700854700852</v>
      </c>
      <c r="AY787" s="14">
        <f t="shared" si="4472"/>
        <v>0.43504531722054379</v>
      </c>
      <c r="AZ787" s="14">
        <f t="shared" si="4472"/>
        <v>0.24548736462093862</v>
      </c>
      <c r="BA787" s="14">
        <f t="shared" si="4472"/>
        <v>0.19125683060109289</v>
      </c>
      <c r="BB787" s="14">
        <f t="shared" si="4472"/>
        <v>0.31016042780748665</v>
      </c>
      <c r="BC787" s="14">
        <f t="shared" si="4472"/>
        <v>0.33152173913043476</v>
      </c>
      <c r="BD787" s="14">
        <f t="shared" si="4472"/>
        <v>0.21761658031088082</v>
      </c>
      <c r="BE787" s="14">
        <f t="shared" si="4472"/>
        <v>0.29184549356223177</v>
      </c>
      <c r="BF787" s="14">
        <f t="shared" si="4472"/>
        <v>0.2265625</v>
      </c>
      <c r="BG787" s="14">
        <f t="shared" si="4472"/>
        <v>0.25789473684210529</v>
      </c>
      <c r="BH787" s="14">
        <f t="shared" si="4472"/>
        <v>0.22641509433962265</v>
      </c>
      <c r="BI787" s="14">
        <f t="shared" si="4472"/>
        <v>0.26943005181347152</v>
      </c>
      <c r="BJ787" s="14">
        <f t="shared" si="4472"/>
        <v>0.44341801385681295</v>
      </c>
      <c r="BK787" s="14">
        <f t="shared" si="4472"/>
        <v>0.42447916666666669</v>
      </c>
      <c r="BL787" s="14" t="e">
        <f t="shared" si="4472"/>
        <v>#VALUE!</v>
      </c>
      <c r="BM787" s="412"/>
      <c r="BN787" s="14">
        <f t="shared" ref="BN787:CN787" si="4473">IF(BN773&lt;&gt;0,BN774/BN773,"")</f>
        <v>0.4763231197771588</v>
      </c>
      <c r="BO787" s="14">
        <f t="shared" si="4473"/>
        <v>0.42586206896551726</v>
      </c>
      <c r="BP787" s="14">
        <f t="shared" si="4473"/>
        <v>0.38461538461538464</v>
      </c>
      <c r="BQ787" s="14">
        <f t="shared" si="4473"/>
        <v>0.10837438423645321</v>
      </c>
      <c r="BR787" s="14">
        <f t="shared" si="4473"/>
        <v>0.14097744360902256</v>
      </c>
      <c r="BS787" s="14">
        <f t="shared" si="4473"/>
        <v>0.15968992248062017</v>
      </c>
      <c r="BT787" s="14">
        <f t="shared" si="4473"/>
        <v>0.24166666666666667</v>
      </c>
      <c r="BU787" s="14">
        <f t="shared" si="4473"/>
        <v>0.22183098591549297</v>
      </c>
      <c r="BV787" s="14">
        <f t="shared" si="4473"/>
        <v>0.2302771855010661</v>
      </c>
      <c r="BW787" s="14">
        <f t="shared" si="4473"/>
        <v>0.17194570135746606</v>
      </c>
      <c r="BX787" s="14">
        <f t="shared" si="4473"/>
        <v>0.17447916666666666</v>
      </c>
      <c r="BY787" s="14">
        <f t="shared" si="4473"/>
        <v>0.20304568527918782</v>
      </c>
      <c r="BZ787" s="14">
        <f t="shared" si="4473"/>
        <v>0.50854700854700852</v>
      </c>
      <c r="CA787" s="14">
        <f t="shared" si="4473"/>
        <v>0.46548672566371679</v>
      </c>
      <c r="CB787" s="14">
        <f t="shared" si="4473"/>
        <v>0.39311163895486934</v>
      </c>
      <c r="CC787" s="14">
        <f t="shared" si="4473"/>
        <v>0.19125683060109289</v>
      </c>
      <c r="CD787" s="14">
        <f t="shared" si="4473"/>
        <v>0.23146473779385171</v>
      </c>
      <c r="CE787" s="14">
        <f t="shared" si="4473"/>
        <v>0.25644504748982361</v>
      </c>
      <c r="CF787" s="14">
        <f t="shared" si="4473"/>
        <v>0.21761658031088082</v>
      </c>
      <c r="CG787" s="14">
        <f t="shared" si="4473"/>
        <v>0.25821596244131456</v>
      </c>
      <c r="CH787" s="14">
        <f t="shared" si="4473"/>
        <v>0.24633431085043989</v>
      </c>
      <c r="CI787" s="14">
        <f t="shared" si="4473"/>
        <v>0.25789473684210529</v>
      </c>
      <c r="CJ787" s="14">
        <f t="shared" si="4473"/>
        <v>0.24129353233830847</v>
      </c>
      <c r="CK787" s="14">
        <f t="shared" si="4473"/>
        <v>0.25042016806722689</v>
      </c>
      <c r="CL787" s="14">
        <f t="shared" si="4473"/>
        <v>0.44341801385681295</v>
      </c>
      <c r="CM787" s="14">
        <f t="shared" si="4473"/>
        <v>0.43451652386780903</v>
      </c>
      <c r="CN787" s="14" t="e">
        <f t="shared" si="4473"/>
        <v>#VALUE!</v>
      </c>
      <c r="CO787" s="412"/>
      <c r="CP787" s="14">
        <f t="shared" ref="CP787:CZ787" si="4474">IF(CP760&lt;&gt;0,CP761/CP760,"")</f>
        <v>0.4763231197771588</v>
      </c>
      <c r="CQ787" s="14">
        <f t="shared" si="4474"/>
        <v>0.42586206896551726</v>
      </c>
      <c r="CR787" s="14">
        <f t="shared" si="4474"/>
        <v>0.38461538461538464</v>
      </c>
      <c r="CS787" s="14">
        <f t="shared" si="4474"/>
        <v>0.35112059765208109</v>
      </c>
      <c r="CT787" s="14">
        <f t="shared" si="4474"/>
        <v>0.33866415804327377</v>
      </c>
      <c r="CU787" s="14">
        <f t="shared" si="4474"/>
        <v>0.32993197278911562</v>
      </c>
      <c r="CV787" s="14">
        <f t="shared" si="4474"/>
        <v>0.32175925925925924</v>
      </c>
      <c r="CW787" s="14">
        <f t="shared" si="4474"/>
        <v>0.30890410958904108</v>
      </c>
      <c r="CX787" s="14">
        <f t="shared" si="4474"/>
        <v>0.30151975683890575</v>
      </c>
      <c r="CY787" s="14">
        <f t="shared" si="4474"/>
        <v>0.2861736334405145</v>
      </c>
      <c r="CZ787" s="14">
        <f t="shared" si="4474"/>
        <v>0.27747658945293247</v>
      </c>
      <c r="DA787" s="14">
        <f t="shared" ref="DA787:DP787" si="4475">IF(DA760&lt;&gt;0,DA761/DA760,"")</f>
        <v>0.27549194991055453</v>
      </c>
      <c r="DB787" s="14">
        <f t="shared" si="4475"/>
        <v>0.3005050505050505</v>
      </c>
      <c r="DC787" s="14">
        <f t="shared" si="4475"/>
        <v>0.36176066024759285</v>
      </c>
      <c r="DD787" s="14">
        <f t="shared" si="4475"/>
        <v>0.32968127490039839</v>
      </c>
      <c r="DE787" s="14">
        <f t="shared" si="4475"/>
        <v>0.30869899923017707</v>
      </c>
      <c r="DF787" s="14">
        <f t="shared" si="4475"/>
        <v>0.30888290713324362</v>
      </c>
      <c r="DG787" s="14">
        <f t="shared" si="4475"/>
        <v>0.31137724550898205</v>
      </c>
      <c r="DH787" s="14">
        <f t="shared" si="4475"/>
        <v>0.30166398282340312</v>
      </c>
      <c r="DI787" s="14">
        <f t="shared" si="4475"/>
        <v>0.30057251908396948</v>
      </c>
      <c r="DJ787" s="14">
        <f t="shared" si="4475"/>
        <v>0.29251700680272108</v>
      </c>
      <c r="DK787" s="14">
        <f t="shared" si="4475"/>
        <v>0.28992918961447678</v>
      </c>
      <c r="DL787" s="14">
        <f t="shared" si="4475"/>
        <v>0.285039941902687</v>
      </c>
      <c r="DM787" s="14">
        <f t="shared" si="4475"/>
        <v>0.28401764506277571</v>
      </c>
      <c r="DN787" s="14">
        <f t="shared" si="4475"/>
        <v>0.44341801385681295</v>
      </c>
      <c r="DO787" s="14">
        <f t="shared" si="4475"/>
        <v>0.43451652386780903</v>
      </c>
      <c r="DP787" s="14">
        <f t="shared" si="4475"/>
        <v>0.43451652386780903</v>
      </c>
      <c r="DQ787" s="14"/>
      <c r="DR787" s="14"/>
      <c r="DS787" s="14"/>
      <c r="DT787" s="14"/>
      <c r="DU787" s="14"/>
      <c r="DV787" s="14"/>
      <c r="DW787" s="14"/>
      <c r="DX787" s="14"/>
      <c r="DY787" s="14"/>
      <c r="ED787" s="429"/>
      <c r="EE787" s="23"/>
      <c r="EF787" s="23"/>
      <c r="EG787" s="23"/>
      <c r="EH787" s="14">
        <f>IF(EH773&lt;&gt;0,EH774/EH773,"")</f>
        <v>0.42447916666666669</v>
      </c>
      <c r="EI787" s="14">
        <f>IF(EI773&lt;&gt;0,EI774/EI773,"")</f>
        <v>0.43451652386780903</v>
      </c>
      <c r="EJ787" s="14">
        <f>IF(EJ773&lt;&gt;0,EJ774/EJ773,"")</f>
        <v>0.43451652386780903</v>
      </c>
      <c r="EK787" s="24"/>
      <c r="EL787" s="47">
        <f t="shared" si="4467"/>
        <v>0.25594465816537526</v>
      </c>
      <c r="EM787" s="47">
        <f t="shared" si="4467"/>
        <v>0.22566334459179027</v>
      </c>
      <c r="EN787" s="47">
        <f t="shared" si="4467"/>
        <v>0.22566334459179027</v>
      </c>
      <c r="EO787" s="46" t="str">
        <f>IF(EH787&lt;0,,IF(EH787&gt;EE780,"È",IF(EH787=EE780,"Æ","Ç")))</f>
        <v>È</v>
      </c>
      <c r="EP787" s="46" t="str">
        <f t="shared" si="4468"/>
        <v>Ç</v>
      </c>
      <c r="EQ787" s="2">
        <f t="shared" si="4469"/>
        <v>1</v>
      </c>
      <c r="ER787" s="2">
        <f t="shared" si="4469"/>
        <v>1</v>
      </c>
      <c r="ES787" s="2">
        <f t="shared" si="4469"/>
        <v>1</v>
      </c>
    </row>
    <row r="788" spans="1:149">
      <c r="A788" s="6" t="s">
        <v>23</v>
      </c>
      <c r="B788" s="2" t="s">
        <v>160</v>
      </c>
      <c r="C788" s="3" t="s">
        <v>80</v>
      </c>
      <c r="E788" s="3" t="str">
        <f>C763</f>
        <v>ASatRate</v>
      </c>
      <c r="F788" s="3" t="s">
        <v>32</v>
      </c>
      <c r="G788" s="28" t="str">
        <f>C758</f>
        <v>AAllNew</v>
      </c>
      <c r="H788" s="63" t="s">
        <v>31</v>
      </c>
      <c r="I788" s="28" t="str">
        <f>C762</f>
        <v>ASatResp</v>
      </c>
      <c r="J788" s="62">
        <f t="shared" ref="J788:O788" si="4476">IF(J758&lt;&gt;"",J763*J762/J758,"")</f>
        <v>2.5000000000000001E-2</v>
      </c>
      <c r="K788" s="62">
        <f t="shared" si="4476"/>
        <v>6.9599999999999995E-2</v>
      </c>
      <c r="L788" s="62">
        <f t="shared" si="4476"/>
        <v>3.6768802228412258E-2</v>
      </c>
      <c r="M788" s="62">
        <f t="shared" si="4476"/>
        <v>3.7675350701402807E-2</v>
      </c>
      <c r="N788" s="62">
        <f t="shared" si="4476"/>
        <v>4.1597337770382693E-2</v>
      </c>
      <c r="O788" s="62">
        <f t="shared" si="4476"/>
        <v>3.7283236994219655E-2</v>
      </c>
      <c r="P788" s="62">
        <f t="shared" ref="P788:AJ788" si="4477">IF(P758&lt;&gt;"",P763*P762/P758,"")</f>
        <v>2.4619289340101522E-2</v>
      </c>
      <c r="Q788" s="62">
        <f t="shared" si="4477"/>
        <v>2.6010752688172042E-2</v>
      </c>
      <c r="R788" s="62">
        <f t="shared" si="4477"/>
        <v>2.959558823529412E-2</v>
      </c>
      <c r="S788" s="62">
        <f t="shared" si="4477"/>
        <v>2.7478532396565187E-2</v>
      </c>
      <c r="T788" s="62">
        <f t="shared" si="4477"/>
        <v>2.430167597765363E-2</v>
      </c>
      <c r="U788" s="62">
        <f t="shared" si="4477"/>
        <v>1.922596754057428E-2</v>
      </c>
      <c r="V788" s="62">
        <f t="shared" si="4477"/>
        <v>0.19366492146596856</v>
      </c>
      <c r="W788" s="62">
        <f t="shared" si="4477"/>
        <v>0.11344086021505377</v>
      </c>
      <c r="X788" s="62">
        <f t="shared" si="4477"/>
        <v>5.1128747795414459E-2</v>
      </c>
      <c r="Y788" s="62">
        <f t="shared" si="4477"/>
        <v>4.8200782268578879E-2</v>
      </c>
      <c r="Z788" s="62">
        <f t="shared" si="4477"/>
        <v>3.7980349344978168E-2</v>
      </c>
      <c r="AA788" s="62">
        <f t="shared" si="4477"/>
        <v>2.8858490566037738E-2</v>
      </c>
      <c r="AB788" s="62">
        <f t="shared" si="4477"/>
        <v>1.8790849673202614E-2</v>
      </c>
      <c r="AC788" s="62">
        <f t="shared" si="4477"/>
        <v>3.1336146272855137E-2</v>
      </c>
      <c r="AD788" s="62">
        <f t="shared" si="4477"/>
        <v>3.0024390243902441E-2</v>
      </c>
      <c r="AE788" s="62">
        <f t="shared" si="4477"/>
        <v>3.6945213060320968E-2</v>
      </c>
      <c r="AF788" s="62">
        <f t="shared" si="4477"/>
        <v>2.2880080280983438E-2</v>
      </c>
      <c r="AG788" s="62">
        <f t="shared" si="4477"/>
        <v>2.5690454124189063E-2</v>
      </c>
      <c r="AH788" s="62">
        <f t="shared" si="4477"/>
        <v>0.34013245033112582</v>
      </c>
      <c r="AI788" s="62">
        <f t="shared" si="4477"/>
        <v>0.12812499999999999</v>
      </c>
      <c r="AJ788" s="62" t="str">
        <f t="shared" si="4477"/>
        <v/>
      </c>
      <c r="AK788" s="412"/>
      <c r="AL788" s="14">
        <f t="shared" ref="AL788:BL788" si="4478">IF(AL758&lt;&gt;0,AL763*AL762/AL758,"")</f>
        <v>2.5000000000000001E-2</v>
      </c>
      <c r="AM788" s="14">
        <f t="shared" si="4478"/>
        <v>0.13384615384615384</v>
      </c>
      <c r="AN788" s="14">
        <f t="shared" si="4478"/>
        <v>0.12110091743119265</v>
      </c>
      <c r="AO788" s="14">
        <f t="shared" si="4478"/>
        <v>0.13428571428571429</v>
      </c>
      <c r="AP788" s="14">
        <f t="shared" si="4478"/>
        <v>2.5799793601650996E-3</v>
      </c>
      <c r="AQ788" s="14">
        <f t="shared" si="4478"/>
        <v>0.28351648351648351</v>
      </c>
      <c r="AR788" s="14">
        <f t="shared" si="4478"/>
        <v>0.20208333333333331</v>
      </c>
      <c r="AS788" s="14">
        <f t="shared" si="4478"/>
        <v>0.17035211267605632</v>
      </c>
      <c r="AT788" s="14">
        <f t="shared" si="4478"/>
        <v>0.20379746835443041</v>
      </c>
      <c r="AU788" s="14">
        <f t="shared" si="4478"/>
        <v>0.1823834196891192</v>
      </c>
      <c r="AV788" s="14">
        <f t="shared" si="4478"/>
        <v>0.23046357615894039</v>
      </c>
      <c r="AW788" s="14">
        <f t="shared" si="4478"/>
        <v>0.18117647058823527</v>
      </c>
      <c r="AX788" s="14">
        <f t="shared" si="4478"/>
        <v>0.19366492146596856</v>
      </c>
      <c r="AY788" s="14">
        <f t="shared" si="4478"/>
        <v>0.23314917127071824</v>
      </c>
      <c r="AZ788" s="14">
        <f t="shared" si="4478"/>
        <v>0.14866666666666667</v>
      </c>
      <c r="BA788" s="14">
        <f t="shared" si="4478"/>
        <v>0.18484999999999999</v>
      </c>
      <c r="BB788" s="14">
        <f t="shared" si="4478"/>
        <v>0.23348993288590603</v>
      </c>
      <c r="BC788" s="14">
        <f t="shared" si="4478"/>
        <v>0.21243055555555557</v>
      </c>
      <c r="BD788" s="14">
        <f t="shared" si="4478"/>
        <v>0.1402439024390244</v>
      </c>
      <c r="BE788" s="14">
        <f t="shared" si="4478"/>
        <v>0.22505050505050506</v>
      </c>
      <c r="BF788" s="14">
        <f t="shared" si="4478"/>
        <v>0.22587155963302752</v>
      </c>
      <c r="BG788" s="14">
        <f t="shared" si="4478"/>
        <v>0.39976047904191614</v>
      </c>
      <c r="BH788" s="14">
        <f t="shared" si="4478"/>
        <v>0.24516129032258061</v>
      </c>
      <c r="BI788" s="14">
        <f t="shared" si="4478"/>
        <v>0.33599999999999997</v>
      </c>
      <c r="BJ788" s="14">
        <f t="shared" si="4478"/>
        <v>0.34013245033112582</v>
      </c>
      <c r="BK788" s="14">
        <f t="shared" si="4478"/>
        <v>-3.7606837606837594E-3</v>
      </c>
      <c r="BL788" s="14" t="str">
        <f t="shared" si="4478"/>
        <v/>
      </c>
      <c r="BM788" s="412"/>
      <c r="BN788" s="14">
        <f t="shared" ref="BN788:CN788" si="4479">IF(BN758&lt;&gt;0,BN763*BN762/BN758,"")</f>
        <v>9.3593314763231183E-2</v>
      </c>
      <c r="BO788" s="14">
        <f t="shared" si="4479"/>
        <v>9.3593314763231183E-2</v>
      </c>
      <c r="BP788" s="14">
        <f t="shared" si="4479"/>
        <v>9.3593314763231183E-2</v>
      </c>
      <c r="BQ788" s="14">
        <f t="shared" si="4479"/>
        <v>0.13472419788209261</v>
      </c>
      <c r="BR788" s="14">
        <f t="shared" si="4479"/>
        <v>0.13472419788209261</v>
      </c>
      <c r="BS788" s="14">
        <f t="shared" si="4479"/>
        <v>0.13472419788209261</v>
      </c>
      <c r="BT788" s="14">
        <f t="shared" si="4479"/>
        <v>0.19138888888888886</v>
      </c>
      <c r="BU788" s="14">
        <f t="shared" si="4479"/>
        <v>0.19138888888888886</v>
      </c>
      <c r="BV788" s="14">
        <f t="shared" si="4479"/>
        <v>0.19138888888888886</v>
      </c>
      <c r="BW788" s="14">
        <f t="shared" si="4479"/>
        <v>0.19610894941634241</v>
      </c>
      <c r="BX788" s="14">
        <f t="shared" si="4479"/>
        <v>0.19610894941634241</v>
      </c>
      <c r="BY788" s="14">
        <f t="shared" si="4479"/>
        <v>0.19610894941634241</v>
      </c>
      <c r="BZ788" s="14">
        <f t="shared" si="4479"/>
        <v>0.19079365079365079</v>
      </c>
      <c r="CA788" s="14">
        <f t="shared" si="4479"/>
        <v>0.19079365079365079</v>
      </c>
      <c r="CB788" s="14">
        <f t="shared" si="4479"/>
        <v>0.19079365079365079</v>
      </c>
      <c r="CC788" s="14">
        <f t="shared" si="4479"/>
        <v>7.4989858012170382E-2</v>
      </c>
      <c r="CD788" s="14">
        <f t="shared" si="4479"/>
        <v>0.14555780933062878</v>
      </c>
      <c r="CE788" s="14">
        <f t="shared" si="4479"/>
        <v>0.20760649087221095</v>
      </c>
      <c r="CF788" s="14">
        <f t="shared" si="4479"/>
        <v>3.9655172413793106E-2</v>
      </c>
      <c r="CG788" s="14">
        <f t="shared" si="4479"/>
        <v>0.11648275862068966</v>
      </c>
      <c r="CH788" s="14">
        <f t="shared" si="4479"/>
        <v>0.20137931034482762</v>
      </c>
      <c r="CI788" s="14">
        <f t="shared" si="4479"/>
        <v>0.12888030888030885</v>
      </c>
      <c r="CJ788" s="14">
        <f t="shared" si="4479"/>
        <v>0.2169111969111969</v>
      </c>
      <c r="CK788" s="14">
        <f t="shared" si="4479"/>
        <v>0.32393822393822391</v>
      </c>
      <c r="CL788" s="14">
        <f t="shared" si="4479"/>
        <v>0.1605</v>
      </c>
      <c r="CM788" s="14">
        <f t="shared" si="4479"/>
        <v>0.1585138888888889</v>
      </c>
      <c r="CN788" s="14">
        <f t="shared" si="4479"/>
        <v>0.1585138888888889</v>
      </c>
      <c r="CO788" s="412"/>
      <c r="CP788" s="14">
        <f t="shared" ref="CP788:DP788" si="4480">IF(CP758&lt;&gt;0,CP763*CP762/CP758,"")</f>
        <v>2.5000000000000001E-2</v>
      </c>
      <c r="CQ788" s="14">
        <f t="shared" si="4480"/>
        <v>8.1599999999999992E-2</v>
      </c>
      <c r="CR788" s="14">
        <f t="shared" si="4480"/>
        <v>9.3593314763231183E-2</v>
      </c>
      <c r="CS788" s="14">
        <f t="shared" si="4480"/>
        <v>0.10501002004008014</v>
      </c>
      <c r="CT788" s="14">
        <f t="shared" si="4480"/>
        <v>0.12878535773710481</v>
      </c>
      <c r="CU788" s="14">
        <f t="shared" si="4480"/>
        <v>0.14913294797687859</v>
      </c>
      <c r="CV788" s="14">
        <f t="shared" si="4480"/>
        <v>0.15558375634517765</v>
      </c>
      <c r="CW788" s="14">
        <f t="shared" si="4480"/>
        <v>0.15783870967741934</v>
      </c>
      <c r="CX788" s="14">
        <f t="shared" si="4480"/>
        <v>0.16451286764705883</v>
      </c>
      <c r="CY788" s="14">
        <f t="shared" si="4480"/>
        <v>0.16720530835284933</v>
      </c>
      <c r="CZ788" s="14">
        <f t="shared" si="4480"/>
        <v>0.17387569832402236</v>
      </c>
      <c r="DA788" s="14">
        <f t="shared" si="4480"/>
        <v>0.17465043695380775</v>
      </c>
      <c r="DB788" s="14">
        <f t="shared" si="4480"/>
        <v>0.19366492146596856</v>
      </c>
      <c r="DC788" s="14">
        <f t="shared" si="4480"/>
        <v>0.21287634408602149</v>
      </c>
      <c r="DD788" s="14">
        <f t="shared" si="4480"/>
        <v>0.19079365079365079</v>
      </c>
      <c r="DE788" s="14">
        <f t="shared" si="4480"/>
        <v>0.18924380704041718</v>
      </c>
      <c r="DF788" s="14">
        <f t="shared" si="4480"/>
        <v>0.19644104803493445</v>
      </c>
      <c r="DG788" s="14">
        <f t="shared" si="4480"/>
        <v>0.1986132075471698</v>
      </c>
      <c r="DH788" s="14">
        <f t="shared" si="4480"/>
        <v>0.19079248366013069</v>
      </c>
      <c r="DI788" s="14">
        <f t="shared" si="4480"/>
        <v>0.19556258790436004</v>
      </c>
      <c r="DJ788" s="14">
        <f t="shared" si="4480"/>
        <v>0.19959146341463413</v>
      </c>
      <c r="DK788" s="14">
        <f t="shared" si="4480"/>
        <v>0.2180907581627006</v>
      </c>
      <c r="DL788" s="14">
        <f t="shared" si="4480"/>
        <v>0.2206171600602107</v>
      </c>
      <c r="DM788" s="14">
        <f t="shared" si="4480"/>
        <v>0.22943929564411489</v>
      </c>
      <c r="DN788" s="14">
        <f t="shared" si="4480"/>
        <v>0.34013245033112582</v>
      </c>
      <c r="DO788" s="14">
        <f t="shared" si="4480"/>
        <v>0.28862499999999996</v>
      </c>
      <c r="DP788" s="14">
        <f t="shared" si="4480"/>
        <v>0.28862499999999996</v>
      </c>
      <c r="DQ788" s="14"/>
      <c r="DR788" s="14"/>
      <c r="DS788" s="14"/>
      <c r="DT788" s="14"/>
      <c r="DU788" s="14"/>
      <c r="DV788" s="14"/>
      <c r="DW788" s="14"/>
      <c r="DX788" s="14"/>
      <c r="DY788" s="14"/>
      <c r="ED788" s="429"/>
      <c r="EE788" s="23"/>
      <c r="EF788" s="23"/>
      <c r="EG788" s="23"/>
      <c r="EH788" s="14">
        <f>IF(EH762&lt;&gt;0,EH763*EH762/EH762,"")</f>
        <v>4.8888888888888871E-2</v>
      </c>
      <c r="EI788" s="14">
        <f>IF(EI774&lt;&gt;0,EI775/EI774,"")</f>
        <v>0.14288575899843506</v>
      </c>
      <c r="EJ788" s="14">
        <f>IF(EJ762&lt;&gt;0,EJ763*EJ762/EJ762,"")</f>
        <v>2.2526829268292681</v>
      </c>
      <c r="EK788" s="24"/>
      <c r="EL788" s="47" t="e">
        <f t="shared" si="4467"/>
        <v>#VALUE!</v>
      </c>
      <c r="EM788" s="47" t="e">
        <f t="shared" si="4467"/>
        <v>#VALUE!</v>
      </c>
      <c r="EN788" s="47">
        <f t="shared" si="4467"/>
        <v>1.3026829268292683</v>
      </c>
      <c r="EO788" s="46" t="e">
        <f t="shared" si="4468"/>
        <v>#VALUE!</v>
      </c>
      <c r="EP788" s="46" t="e">
        <f>IF(EI788&lt;0,,IF(EI788&gt;EF781,"È",IF(EI788=EF781,"Æ","Ç")))</f>
        <v>#VALUE!</v>
      </c>
      <c r="EQ788" s="2" t="e">
        <f t="shared" si="4469"/>
        <v>#VALUE!</v>
      </c>
      <c r="ER788" s="2" t="e">
        <f t="shared" si="4469"/>
        <v>#VALUE!</v>
      </c>
      <c r="ES788" s="2">
        <f t="shared" si="4469"/>
        <v>1</v>
      </c>
    </row>
    <row r="789" spans="1:149">
      <c r="A789" s="6" t="s">
        <v>23</v>
      </c>
      <c r="B789" s="2" t="s">
        <v>26</v>
      </c>
      <c r="C789" s="3" t="s">
        <v>85</v>
      </c>
      <c r="E789" s="3" t="str">
        <f>C764</f>
        <v>ASpec1</v>
      </c>
      <c r="F789" s="4" t="s">
        <v>31</v>
      </c>
      <c r="G789" s="28" t="str">
        <f>C773</f>
        <v>ASUniq</v>
      </c>
      <c r="H789" s="28"/>
      <c r="I789" s="28"/>
      <c r="J789" s="62">
        <f t="shared" ref="J789:O789" si="4481">IF(J773&lt;&gt;"",J764/J773,"")</f>
        <v>0</v>
      </c>
      <c r="K789" s="62">
        <f t="shared" si="4481"/>
        <v>0</v>
      </c>
      <c r="L789" s="62">
        <f t="shared" si="4481"/>
        <v>0</v>
      </c>
      <c r="M789" s="62">
        <f t="shared" si="4481"/>
        <v>2.4630541871921183E-3</v>
      </c>
      <c r="N789" s="62">
        <f t="shared" si="4481"/>
        <v>2.3809523809523808E-2</v>
      </c>
      <c r="O789" s="62">
        <f t="shared" si="4481"/>
        <v>7.9646017699115043E-2</v>
      </c>
      <c r="P789" s="62">
        <f t="shared" ref="P789:AJ789" si="4482">IF(P773&lt;&gt;"",P764/P773,"")</f>
        <v>0.2</v>
      </c>
      <c r="Q789" s="62">
        <f t="shared" si="4482"/>
        <v>0.24390243902439024</v>
      </c>
      <c r="R789" s="62">
        <f t="shared" si="4482"/>
        <v>0.42162162162162165</v>
      </c>
      <c r="S789" s="62">
        <f t="shared" si="4482"/>
        <v>0.36651583710407237</v>
      </c>
      <c r="T789" s="62">
        <f t="shared" si="4482"/>
        <v>0.53987730061349692</v>
      </c>
      <c r="U789" s="62">
        <f t="shared" si="4482"/>
        <v>0.55555555555555558</v>
      </c>
      <c r="V789" s="62">
        <f t="shared" si="4482"/>
        <v>0.14957264957264957</v>
      </c>
      <c r="W789" s="62">
        <f t="shared" si="4482"/>
        <v>0.20241691842900303</v>
      </c>
      <c r="X789" s="62">
        <f t="shared" si="4482"/>
        <v>0.37545126353790614</v>
      </c>
      <c r="Y789" s="62">
        <f t="shared" si="4482"/>
        <v>0.40163934426229508</v>
      </c>
      <c r="Z789" s="62">
        <f t="shared" si="4482"/>
        <v>0.90374331550802134</v>
      </c>
      <c r="AA789" s="62">
        <f t="shared" si="4482"/>
        <v>0.95652173913043481</v>
      </c>
      <c r="AB789" s="62">
        <f t="shared" si="4482"/>
        <v>1</v>
      </c>
      <c r="AC789" s="62">
        <f t="shared" si="4482"/>
        <v>0.86266094420600858</v>
      </c>
      <c r="AD789" s="62">
        <f t="shared" si="4482"/>
        <v>0.8359375</v>
      </c>
      <c r="AE789" s="62">
        <f t="shared" si="4482"/>
        <v>1.168421052631579</v>
      </c>
      <c r="AF789" s="62">
        <f t="shared" si="4482"/>
        <v>1.1084905660377358</v>
      </c>
      <c r="AG789" s="62">
        <f t="shared" si="4482"/>
        <v>1.3419689119170986</v>
      </c>
      <c r="AH789" s="62">
        <f t="shared" si="4482"/>
        <v>6.9284064665127024E-3</v>
      </c>
      <c r="AI789" s="62">
        <f t="shared" si="4482"/>
        <v>1.3020833333333334E-2</v>
      </c>
      <c r="AJ789" s="62" t="str">
        <f t="shared" si="4482"/>
        <v/>
      </c>
      <c r="AK789" s="412"/>
      <c r="AL789" s="14">
        <f t="shared" ref="AL789:BL789" si="4483">IF(AL773&lt;&gt;0,AL764/AL773,"")</f>
        <v>0</v>
      </c>
      <c r="AM789" s="14">
        <f t="shared" si="4483"/>
        <v>0</v>
      </c>
      <c r="AN789" s="14">
        <f t="shared" si="4483"/>
        <v>0</v>
      </c>
      <c r="AO789" s="14">
        <f t="shared" si="4483"/>
        <v>2.4630541871921183E-3</v>
      </c>
      <c r="AP789" s="14">
        <f t="shared" si="4483"/>
        <v>1.5873015873015872E-2</v>
      </c>
      <c r="AQ789" s="14">
        <f t="shared" si="4483"/>
        <v>5.3097345132743362E-2</v>
      </c>
      <c r="AR789" s="14">
        <f t="shared" si="4483"/>
        <v>0.125</v>
      </c>
      <c r="AS789" s="14">
        <f t="shared" si="4483"/>
        <v>9.7560975609756101E-2</v>
      </c>
      <c r="AT789" s="14">
        <f t="shared" si="4483"/>
        <v>0.20540540540540542</v>
      </c>
      <c r="AU789" s="14">
        <f t="shared" si="4483"/>
        <v>1.3574660633484163E-2</v>
      </c>
      <c r="AV789" s="14">
        <f t="shared" si="4483"/>
        <v>4.2944785276073622E-2</v>
      </c>
      <c r="AW789" s="14">
        <f t="shared" si="4483"/>
        <v>0.13043478260869565</v>
      </c>
      <c r="AX789" s="14">
        <f t="shared" si="4483"/>
        <v>0.14957264957264957</v>
      </c>
      <c r="AY789" s="14">
        <f t="shared" si="4483"/>
        <v>9.6676737160120846E-2</v>
      </c>
      <c r="AZ789" s="14">
        <f t="shared" si="4483"/>
        <v>0.13357400722021662</v>
      </c>
      <c r="BA789" s="14">
        <f t="shared" si="4483"/>
        <v>0.11748633879781421</v>
      </c>
      <c r="BB789" s="14">
        <f t="shared" si="4483"/>
        <v>0.11764705882352941</v>
      </c>
      <c r="BC789" s="14">
        <f t="shared" si="4483"/>
        <v>3.8043478260869568E-2</v>
      </c>
      <c r="BD789" s="14">
        <f t="shared" si="4483"/>
        <v>8.8082901554404139E-2</v>
      </c>
      <c r="BE789" s="14">
        <f t="shared" si="4483"/>
        <v>3.4334763948497854E-2</v>
      </c>
      <c r="BF789" s="14">
        <f t="shared" si="4483"/>
        <v>5.078125E-2</v>
      </c>
      <c r="BG789" s="14">
        <f t="shared" si="4483"/>
        <v>4.2105263157894736E-2</v>
      </c>
      <c r="BH789" s="14">
        <f t="shared" si="4483"/>
        <v>6.1320754716981132E-2</v>
      </c>
      <c r="BI789" s="14">
        <f t="shared" si="4483"/>
        <v>0.12435233160621761</v>
      </c>
      <c r="BJ789" s="14">
        <f t="shared" si="4483"/>
        <v>6.9284064665127024E-3</v>
      </c>
      <c r="BK789" s="14">
        <f t="shared" si="4483"/>
        <v>5.208333333333333E-3</v>
      </c>
      <c r="BL789" s="14" t="e">
        <f t="shared" si="4483"/>
        <v>#VALUE!</v>
      </c>
      <c r="BM789" s="412"/>
      <c r="BN789" s="14">
        <f t="shared" ref="BN789:CN789" si="4484">IF(BN773&lt;&gt;0,BN764/BN773,"")</f>
        <v>0</v>
      </c>
      <c r="BO789" s="14">
        <f t="shared" si="4484"/>
        <v>0</v>
      </c>
      <c r="BP789" s="14">
        <f t="shared" si="4484"/>
        <v>0</v>
      </c>
      <c r="BQ789" s="14">
        <f t="shared" si="4484"/>
        <v>2.2167487684729065E-2</v>
      </c>
      <c r="BR789" s="14">
        <f t="shared" si="4484"/>
        <v>1.6917293233082706E-2</v>
      </c>
      <c r="BS789" s="14">
        <f t="shared" si="4484"/>
        <v>1.3953488372093023E-2</v>
      </c>
      <c r="BT789" s="14">
        <f t="shared" si="4484"/>
        <v>0.57499999999999996</v>
      </c>
      <c r="BU789" s="14">
        <f t="shared" si="4484"/>
        <v>0.24295774647887325</v>
      </c>
      <c r="BV789" s="14">
        <f t="shared" si="4484"/>
        <v>0.14712153518123666</v>
      </c>
      <c r="BW789" s="14">
        <f t="shared" si="4484"/>
        <v>0.167420814479638</v>
      </c>
      <c r="BX789" s="14">
        <f t="shared" si="4484"/>
        <v>9.6354166666666671E-2</v>
      </c>
      <c r="BY789" s="14">
        <f t="shared" si="4484"/>
        <v>6.2605752961082908E-2</v>
      </c>
      <c r="BZ789" s="14">
        <f t="shared" si="4484"/>
        <v>0.44444444444444442</v>
      </c>
      <c r="CA789" s="14">
        <f t="shared" si="4484"/>
        <v>0.18407079646017699</v>
      </c>
      <c r="CB789" s="14">
        <f t="shared" si="4484"/>
        <v>0.12351543942992874</v>
      </c>
      <c r="CC789" s="14">
        <f t="shared" si="4484"/>
        <v>0.19672131147540983</v>
      </c>
      <c r="CD789" s="14">
        <f t="shared" si="4484"/>
        <v>0.1301989150090416</v>
      </c>
      <c r="CE789" s="14">
        <f t="shared" si="4484"/>
        <v>9.7693351424694708E-2</v>
      </c>
      <c r="CF789" s="14">
        <f t="shared" si="4484"/>
        <v>0.19689119170984457</v>
      </c>
      <c r="CG789" s="14">
        <f t="shared" si="4484"/>
        <v>8.9201877934272297E-2</v>
      </c>
      <c r="CH789" s="14">
        <f t="shared" si="4484"/>
        <v>5.5718475073313782E-2</v>
      </c>
      <c r="CI789" s="14">
        <f t="shared" si="4484"/>
        <v>0.23684210526315788</v>
      </c>
      <c r="CJ789" s="14">
        <f t="shared" si="4484"/>
        <v>0.11194029850746269</v>
      </c>
      <c r="CK789" s="14">
        <f t="shared" si="4484"/>
        <v>7.5630252100840331E-2</v>
      </c>
      <c r="CL789" s="14">
        <f t="shared" si="4484"/>
        <v>1.1547344110854504E-2</v>
      </c>
      <c r="CM789" s="14">
        <f t="shared" si="4484"/>
        <v>6.1199510403916772E-3</v>
      </c>
      <c r="CN789" s="14" t="e">
        <f t="shared" si="4484"/>
        <v>#VALUE!</v>
      </c>
      <c r="CO789" s="412"/>
      <c r="CP789" s="14">
        <f t="shared" ref="CP789:CY789" si="4485">IF(CP760&lt;&gt;0,CP764/CP760,"")</f>
        <v>0</v>
      </c>
      <c r="CQ789" s="14">
        <f t="shared" si="4485"/>
        <v>0</v>
      </c>
      <c r="CR789" s="14">
        <f t="shared" si="4485"/>
        <v>0</v>
      </c>
      <c r="CS789" s="14">
        <f t="shared" si="4485"/>
        <v>1.0672358591248667E-3</v>
      </c>
      <c r="CT789" s="14">
        <f t="shared" si="4485"/>
        <v>2.8222013170272815E-3</v>
      </c>
      <c r="CU789" s="14">
        <f t="shared" si="4485"/>
        <v>7.6530612244897957E-3</v>
      </c>
      <c r="CV789" s="14">
        <f t="shared" si="4485"/>
        <v>1.8518518518518517E-2</v>
      </c>
      <c r="CW789" s="14">
        <f t="shared" si="4485"/>
        <v>2.7397260273972601E-2</v>
      </c>
      <c r="CX789" s="14">
        <f t="shared" si="4485"/>
        <v>4.7416413373860183E-2</v>
      </c>
      <c r="CY789" s="14">
        <f t="shared" si="4485"/>
        <v>4.3408360128617367E-2</v>
      </c>
      <c r="CZ789" s="14">
        <f t="shared" ref="CZ789:DP789" si="4486">IF(CZ760&lt;&gt;0,CZ764/CZ760,"")</f>
        <v>4.3371118777723018E-2</v>
      </c>
      <c r="DA789" s="14">
        <f t="shared" si="4486"/>
        <v>5.1431127012522358E-2</v>
      </c>
      <c r="DB789" s="14">
        <f t="shared" si="4486"/>
        <v>8.8383838383838384E-2</v>
      </c>
      <c r="DC789" s="14">
        <f t="shared" si="4486"/>
        <v>9.2159559834938107E-2</v>
      </c>
      <c r="DD789" s="14">
        <f t="shared" si="4486"/>
        <v>0.10358565737051793</v>
      </c>
      <c r="DE789" s="14">
        <f t="shared" si="4486"/>
        <v>0.11316397228637413</v>
      </c>
      <c r="DF789" s="14">
        <f t="shared" si="4486"/>
        <v>0.11372812920592194</v>
      </c>
      <c r="DG789" s="14">
        <f t="shared" si="4486"/>
        <v>0.10538922155688622</v>
      </c>
      <c r="DH789" s="14">
        <f t="shared" si="4486"/>
        <v>0.10359634997316157</v>
      </c>
      <c r="DI789" s="14">
        <f t="shared" si="4486"/>
        <v>9.5896946564885496E-2</v>
      </c>
      <c r="DJ789" s="14">
        <f t="shared" si="4486"/>
        <v>9.0986394557823133E-2</v>
      </c>
      <c r="DK789" s="14">
        <f t="shared" si="4486"/>
        <v>8.7332808811959081E-2</v>
      </c>
      <c r="DL789" s="14">
        <f t="shared" si="4486"/>
        <v>8.5330428467683364E-2</v>
      </c>
      <c r="DM789" s="14">
        <f t="shared" si="4486"/>
        <v>8.7885985748218529E-2</v>
      </c>
      <c r="DN789" s="14">
        <f t="shared" si="4486"/>
        <v>6.9284064665127024E-3</v>
      </c>
      <c r="DO789" s="14">
        <f t="shared" si="4486"/>
        <v>6.1199510403916772E-3</v>
      </c>
      <c r="DP789" s="14">
        <f t="shared" si="4486"/>
        <v>6.1199510403916772E-3</v>
      </c>
      <c r="DQ789" s="14"/>
      <c r="DR789" s="14"/>
      <c r="DS789" s="14"/>
      <c r="DT789" s="14"/>
      <c r="DU789" s="14"/>
      <c r="DV789" s="14"/>
      <c r="DW789" s="14"/>
      <c r="DX789" s="14"/>
      <c r="DY789" s="14"/>
      <c r="ED789" s="429"/>
      <c r="EE789" s="23"/>
      <c r="EF789" s="23"/>
      <c r="EG789" s="23"/>
      <c r="EH789" s="14">
        <f>IF(EH760&lt;&gt;0,EH764/EH760,"0%")</f>
        <v>5.208333333333333E-3</v>
      </c>
      <c r="EI789" s="14">
        <f>IF(EI760&lt;&gt;0,EI764/EI760,"0%")</f>
        <v>6.1199510403916772E-3</v>
      </c>
      <c r="EJ789" s="14">
        <f>IF(EJ760&lt;&gt;0,EJ764/EJ760,"0%")</f>
        <v>6.1199510403916772E-3</v>
      </c>
      <c r="EK789" s="24"/>
      <c r="EL789" s="47">
        <f t="shared" si="4467"/>
        <v>5.208333333333333E-3</v>
      </c>
      <c r="EM789" s="47" t="e">
        <f t="shared" si="4467"/>
        <v>#VALUE!</v>
      </c>
      <c r="EN789" s="47" t="e">
        <f t="shared" si="4467"/>
        <v>#VALUE!</v>
      </c>
      <c r="EO789" s="46" t="str">
        <f t="shared" si="4468"/>
        <v>Ç</v>
      </c>
      <c r="EP789" s="46" t="e">
        <f t="shared" si="4468"/>
        <v>#VALUE!</v>
      </c>
      <c r="EQ789" s="2" t="e">
        <f t="shared" si="4469"/>
        <v>#DIV/0!</v>
      </c>
      <c r="ER789" s="2" t="e">
        <f t="shared" si="4469"/>
        <v>#VALUE!</v>
      </c>
      <c r="ES789" s="2" t="e">
        <f t="shared" si="4469"/>
        <v>#VALUE!</v>
      </c>
    </row>
    <row r="790" spans="1:149">
      <c r="A790" s="6" t="s">
        <v>23</v>
      </c>
      <c r="B790" s="2" t="s">
        <v>27</v>
      </c>
      <c r="C790" s="3" t="s">
        <v>81</v>
      </c>
      <c r="E790" s="3" t="str">
        <f>C766</f>
        <v>AOnlHrs</v>
      </c>
      <c r="F790" s="4" t="s">
        <v>31</v>
      </c>
      <c r="G790" s="28" t="str">
        <f>C765</f>
        <v>ATotHrs</v>
      </c>
      <c r="H790" s="28"/>
      <c r="I790" s="28"/>
      <c r="J790" s="62">
        <f t="shared" ref="J790:O790" si="4487">IF(J765&lt;&gt;"",J766/J765,"")</f>
        <v>0.14442410119840215</v>
      </c>
      <c r="K790" s="62">
        <f t="shared" si="4487"/>
        <v>0.16891222968165087</v>
      </c>
      <c r="L790" s="62">
        <f t="shared" si="4487"/>
        <v>0.16852128025696911</v>
      </c>
      <c r="M790" s="62">
        <f t="shared" si="4487"/>
        <v>0.15198104686232181</v>
      </c>
      <c r="N790" s="62">
        <f t="shared" si="4487"/>
        <v>0.14031555675634849</v>
      </c>
      <c r="O790" s="62">
        <f t="shared" si="4487"/>
        <v>0.12598386346442117</v>
      </c>
      <c r="P790" s="62">
        <f t="shared" ref="P790:AJ790" si="4488">IF(P765&lt;&gt;"",P766/P765,"")</f>
        <v>0.12565389629077856</v>
      </c>
      <c r="Q790" s="62">
        <f t="shared" si="4488"/>
        <v>0.12729575917462901</v>
      </c>
      <c r="R790" s="62">
        <f t="shared" si="4488"/>
        <v>0.13852249905010042</v>
      </c>
      <c r="S790" s="62">
        <f t="shared" si="4488"/>
        <v>0.13613917596297739</v>
      </c>
      <c r="T790" s="62">
        <f t="shared" si="4488"/>
        <v>0.13210041864962396</v>
      </c>
      <c r="U790" s="62">
        <f t="shared" si="4488"/>
        <v>0.13317954449426872</v>
      </c>
      <c r="V790" s="62">
        <f t="shared" si="4488"/>
        <v>0.15919536270679355</v>
      </c>
      <c r="W790" s="62">
        <f t="shared" si="4488"/>
        <v>0.22051850513475374</v>
      </c>
      <c r="X790" s="62">
        <f t="shared" si="4488"/>
        <v>0.21664282888530481</v>
      </c>
      <c r="Y790" s="62">
        <f t="shared" si="4488"/>
        <v>0.22272851771619229</v>
      </c>
      <c r="Z790" s="62">
        <f t="shared" si="4488"/>
        <v>0.22862786192194401</v>
      </c>
      <c r="AA790" s="62">
        <f t="shared" si="4488"/>
        <v>0.24202308117755059</v>
      </c>
      <c r="AB790" s="62">
        <f t="shared" si="4488"/>
        <v>0.25549031677054496</v>
      </c>
      <c r="AC790" s="62">
        <f t="shared" si="4488"/>
        <v>0.25310906531921279</v>
      </c>
      <c r="AD790" s="62">
        <f t="shared" si="4488"/>
        <v>0.26377426913781749</v>
      </c>
      <c r="AE790" s="62">
        <f t="shared" si="4488"/>
        <v>0.28516287354652281</v>
      </c>
      <c r="AF790" s="62">
        <f t="shared" si="4488"/>
        <v>0.27787614473029004</v>
      </c>
      <c r="AG790" s="62">
        <f t="shared" si="4488"/>
        <v>0.27298645308119479</v>
      </c>
      <c r="AH790" s="62">
        <f t="shared" si="4488"/>
        <v>0.15270709719475248</v>
      </c>
      <c r="AI790" s="62">
        <f t="shared" si="4488"/>
        <v>0.19179880471205993</v>
      </c>
      <c r="AJ790" s="62" t="str">
        <f t="shared" si="4488"/>
        <v/>
      </c>
      <c r="AK790" s="412"/>
      <c r="AL790" s="14">
        <f t="shared" ref="AL790:BL790" si="4489">IF(AL765&lt;&gt;0,AL766/AL765,"")</f>
        <v>0.14442410119840215</v>
      </c>
      <c r="AM790" s="14">
        <f t="shared" si="4489"/>
        <v>0.190169334797434</v>
      </c>
      <c r="AN790" s="14">
        <f t="shared" si="4489"/>
        <v>0.16758114014693554</v>
      </c>
      <c r="AO790" s="14">
        <f t="shared" si="4489"/>
        <v>0.11327171147675119</v>
      </c>
      <c r="AP790" s="14">
        <f t="shared" si="4489"/>
        <v>0.10356759624311269</v>
      </c>
      <c r="AQ790" s="14">
        <f t="shared" si="4489"/>
        <v>6.5380032186336826E-2</v>
      </c>
      <c r="AR790" s="14">
        <f t="shared" si="4489"/>
        <v>0.12266160992031322</v>
      </c>
      <c r="AS790" s="14">
        <f t="shared" si="4489"/>
        <v>0.13967514439799597</v>
      </c>
      <c r="AT790" s="14">
        <f t="shared" si="4489"/>
        <v>0.22113758541514864</v>
      </c>
      <c r="AU790" s="14">
        <f t="shared" si="4489"/>
        <v>0.1217949987130495</v>
      </c>
      <c r="AV790" s="14">
        <f t="shared" si="4489"/>
        <v>8.3936080740118033E-2</v>
      </c>
      <c r="AW790" s="14">
        <f t="shared" si="4489"/>
        <v>0.14058300968706766</v>
      </c>
      <c r="AX790" s="14">
        <f t="shared" si="4489"/>
        <v>0.15919536270679355</v>
      </c>
      <c r="AY790" s="14">
        <f t="shared" si="4489"/>
        <v>0.280914994668993</v>
      </c>
      <c r="AZ790" s="14">
        <f t="shared" si="4489"/>
        <v>0.21023346711998001</v>
      </c>
      <c r="BA790" s="14">
        <f t="shared" si="4489"/>
        <v>0.24040084481402577</v>
      </c>
      <c r="BB790" s="14">
        <f t="shared" si="4489"/>
        <v>0.2515643564356439</v>
      </c>
      <c r="BC790" s="14">
        <f t="shared" si="4489"/>
        <v>0.29293496112996809</v>
      </c>
      <c r="BD790" s="14">
        <f t="shared" si="4489"/>
        <v>0.33953686982359038</v>
      </c>
      <c r="BE790" s="14">
        <f t="shared" si="4489"/>
        <v>0.23922217684442867</v>
      </c>
      <c r="BF790" s="14">
        <f t="shared" si="4489"/>
        <v>0.31736145143356964</v>
      </c>
      <c r="BG790" s="14">
        <f t="shared" si="4489"/>
        <v>0.43354551357124299</v>
      </c>
      <c r="BH790" s="14">
        <f t="shared" si="4489"/>
        <v>0.19552087923481709</v>
      </c>
      <c r="BI790" s="14">
        <f t="shared" si="4489"/>
        <v>0.22855775366943124</v>
      </c>
      <c r="BJ790" s="14">
        <f t="shared" si="4489"/>
        <v>0.15270709719475248</v>
      </c>
      <c r="BK790" s="14">
        <f t="shared" si="4489"/>
        <v>0.23384000127463622</v>
      </c>
      <c r="BL790" s="14" t="str">
        <f t="shared" si="4489"/>
        <v/>
      </c>
      <c r="BM790" s="412"/>
      <c r="BN790" s="14">
        <f t="shared" ref="BN790:CN790" si="4490">IF(BN765&lt;&gt;0,BN766/BN765,"")</f>
        <v>0.16852128025696911</v>
      </c>
      <c r="BO790" s="14">
        <f t="shared" si="4490"/>
        <v>0.16852128025696911</v>
      </c>
      <c r="BP790" s="14">
        <f t="shared" si="4490"/>
        <v>0.16852128025696911</v>
      </c>
      <c r="BQ790" s="14">
        <f t="shared" si="4490"/>
        <v>9.3881539076768383E-2</v>
      </c>
      <c r="BR790" s="14">
        <f t="shared" si="4490"/>
        <v>9.3881539076768383E-2</v>
      </c>
      <c r="BS790" s="14">
        <f t="shared" si="4490"/>
        <v>9.3881539076768383E-2</v>
      </c>
      <c r="BT790" s="14">
        <f t="shared" si="4490"/>
        <v>0.16779001979807054</v>
      </c>
      <c r="BU790" s="14">
        <f t="shared" si="4490"/>
        <v>0.16779001979807054</v>
      </c>
      <c r="BV790" s="14">
        <f t="shared" si="4490"/>
        <v>0.16779001979807054</v>
      </c>
      <c r="BW790" s="14">
        <f t="shared" si="4490"/>
        <v>0.12125783116611437</v>
      </c>
      <c r="BX790" s="14">
        <f t="shared" si="4490"/>
        <v>0.12125783116611437</v>
      </c>
      <c r="BY790" s="14">
        <f t="shared" si="4490"/>
        <v>0.12125783116611437</v>
      </c>
      <c r="BZ790" s="14">
        <f t="shared" si="4490"/>
        <v>0.21664282888530481</v>
      </c>
      <c r="CA790" s="14">
        <f t="shared" si="4490"/>
        <v>0.21664282888530481</v>
      </c>
      <c r="CB790" s="14">
        <f t="shared" si="4490"/>
        <v>0.21664282888530481</v>
      </c>
      <c r="CC790" s="14">
        <f t="shared" si="4490"/>
        <v>0.26438803584740717</v>
      </c>
      <c r="CD790" s="14">
        <f t="shared" si="4490"/>
        <v>0.26438803584740717</v>
      </c>
      <c r="CE790" s="14">
        <f t="shared" si="4490"/>
        <v>0.26438803584740717</v>
      </c>
      <c r="CF790" s="14">
        <f t="shared" si="4490"/>
        <v>0.29831646477977314</v>
      </c>
      <c r="CG790" s="14">
        <f t="shared" si="4490"/>
        <v>0.29831646477977314</v>
      </c>
      <c r="CH790" s="14">
        <f t="shared" si="4490"/>
        <v>0.29831646477977314</v>
      </c>
      <c r="CI790" s="14">
        <f t="shared" si="4490"/>
        <v>0.2970743354816871</v>
      </c>
      <c r="CJ790" s="14">
        <f t="shared" si="4490"/>
        <v>0.2970743354816871</v>
      </c>
      <c r="CK790" s="14">
        <f t="shared" si="4490"/>
        <v>0.2970743354816871</v>
      </c>
      <c r="CL790" s="14">
        <f t="shared" si="4490"/>
        <v>0.19179880471205993</v>
      </c>
      <c r="CM790" s="14">
        <f t="shared" si="4490"/>
        <v>0.19179880471205993</v>
      </c>
      <c r="CN790" s="14">
        <f t="shared" si="4490"/>
        <v>0.19179880471205993</v>
      </c>
      <c r="CO790" s="412"/>
      <c r="CP790" s="14">
        <f t="shared" ref="CP790:DP790" si="4491">IF(CP765&lt;&gt;0,CP766/CP765,"")</f>
        <v>0.14442410119840215</v>
      </c>
      <c r="CQ790" s="14">
        <f t="shared" si="4491"/>
        <v>0.16891222968165087</v>
      </c>
      <c r="CR790" s="14">
        <f t="shared" si="4491"/>
        <v>0.16852128025696911</v>
      </c>
      <c r="CS790" s="14">
        <f t="shared" si="4491"/>
        <v>0.15198104686232181</v>
      </c>
      <c r="CT790" s="14">
        <f t="shared" si="4491"/>
        <v>0.14031555675634849</v>
      </c>
      <c r="CU790" s="14">
        <f t="shared" si="4491"/>
        <v>0.12598386346442117</v>
      </c>
      <c r="CV790" s="14">
        <f t="shared" si="4491"/>
        <v>0.12565389629077856</v>
      </c>
      <c r="CW790" s="14">
        <f t="shared" si="4491"/>
        <v>0.12729575917462901</v>
      </c>
      <c r="CX790" s="14">
        <f t="shared" si="4491"/>
        <v>0.13852249905010042</v>
      </c>
      <c r="CY790" s="14">
        <f t="shared" si="4491"/>
        <v>0.13613917596297739</v>
      </c>
      <c r="CZ790" s="14">
        <f t="shared" si="4491"/>
        <v>0.13210041864962396</v>
      </c>
      <c r="DA790" s="14">
        <f t="shared" si="4491"/>
        <v>0.13317954449426872</v>
      </c>
      <c r="DB790" s="14">
        <f t="shared" si="4491"/>
        <v>0.15919536270679355</v>
      </c>
      <c r="DC790" s="14">
        <f t="shared" si="4491"/>
        <v>0.22051850513475374</v>
      </c>
      <c r="DD790" s="14">
        <f t="shared" si="4491"/>
        <v>0.21664282888530481</v>
      </c>
      <c r="DE790" s="14">
        <f t="shared" si="4491"/>
        <v>0.22272851771619229</v>
      </c>
      <c r="DF790" s="14">
        <f t="shared" si="4491"/>
        <v>0.22862786192194401</v>
      </c>
      <c r="DG790" s="14">
        <f t="shared" si="4491"/>
        <v>0.24202308117755059</v>
      </c>
      <c r="DH790" s="14">
        <f t="shared" si="4491"/>
        <v>0.25549031677054496</v>
      </c>
      <c r="DI790" s="14">
        <f t="shared" si="4491"/>
        <v>0.25310906531921279</v>
      </c>
      <c r="DJ790" s="14">
        <f t="shared" si="4491"/>
        <v>0.26377426913781749</v>
      </c>
      <c r="DK790" s="14">
        <f t="shared" si="4491"/>
        <v>0.28516287354652281</v>
      </c>
      <c r="DL790" s="14">
        <f t="shared" si="4491"/>
        <v>0.27787614473029004</v>
      </c>
      <c r="DM790" s="14">
        <f t="shared" si="4491"/>
        <v>0.27298645308119479</v>
      </c>
      <c r="DN790" s="14">
        <f t="shared" si="4491"/>
        <v>0.15270709719475248</v>
      </c>
      <c r="DO790" s="14">
        <f t="shared" si="4491"/>
        <v>0.19179880471205993</v>
      </c>
      <c r="DP790" s="14">
        <f t="shared" si="4491"/>
        <v>0.19179880471205993</v>
      </c>
      <c r="DQ790" s="14"/>
      <c r="DR790" s="14"/>
      <c r="DS790" s="14"/>
      <c r="DT790" s="14"/>
      <c r="DU790" s="14"/>
      <c r="DV790" s="14"/>
      <c r="DW790" s="14"/>
      <c r="DX790" s="14"/>
      <c r="DY790" s="14"/>
      <c r="ED790" s="429"/>
      <c r="EE790" s="23"/>
      <c r="EF790" s="23"/>
      <c r="EG790" s="23"/>
      <c r="EH790" s="14">
        <f>IF(EH765&lt;&gt;0,EH766/EH765,"")</f>
        <v>0.23384000127463622</v>
      </c>
      <c r="EI790" s="14">
        <f>IF(EI765&lt;&gt;0,EI766/EI765,"")</f>
        <v>0.19179880471205993</v>
      </c>
      <c r="EJ790" s="14">
        <f>IF(EJ765&lt;&gt;0,EJ766/EJ765,"")</f>
        <v>0.19179880471205993</v>
      </c>
      <c r="EK790" s="24"/>
      <c r="EL790" s="47">
        <f t="shared" si="4467"/>
        <v>0.23384000127463622</v>
      </c>
      <c r="EM790" s="47" t="e">
        <f t="shared" si="4467"/>
        <v>#VALUE!</v>
      </c>
      <c r="EN790" s="47">
        <f t="shared" si="4467"/>
        <v>3.5031551425897478E-2</v>
      </c>
      <c r="EO790" s="46" t="str">
        <f t="shared" si="4468"/>
        <v>Ç</v>
      </c>
      <c r="EP790" s="46" t="e">
        <f t="shared" si="4468"/>
        <v>#VALUE!</v>
      </c>
      <c r="EQ790" s="2" t="e">
        <f t="shared" si="4469"/>
        <v>#DIV/0!</v>
      </c>
      <c r="ER790" s="2" t="e">
        <f t="shared" si="4469"/>
        <v>#VALUE!</v>
      </c>
      <c r="ES790" s="2">
        <f t="shared" si="4469"/>
        <v>1</v>
      </c>
    </row>
    <row r="791" spans="1:149">
      <c r="A791" s="6" t="s">
        <v>23</v>
      </c>
      <c r="B791" s="2" t="s">
        <v>28</v>
      </c>
      <c r="C791" s="3" t="s">
        <v>82</v>
      </c>
      <c r="E791" s="3" t="str">
        <f>C771</f>
        <v>AColCash</v>
      </c>
      <c r="F791" s="4" t="s">
        <v>31</v>
      </c>
      <c r="G791" s="28" t="str">
        <f>C772</f>
        <v>AFSFunds</v>
      </c>
      <c r="H791" s="28"/>
      <c r="I791" s="28"/>
      <c r="J791" s="62" t="e">
        <f t="shared" ref="J791:O791" si="4492">IF(J772&lt;&gt;"",J771/J772,"")</f>
        <v>#DIV/0!</v>
      </c>
      <c r="K791" s="62" t="e">
        <f t="shared" si="4492"/>
        <v>#DIV/0!</v>
      </c>
      <c r="L791" s="62">
        <f t="shared" si="4492"/>
        <v>0.74926095480681154</v>
      </c>
      <c r="M791" s="62">
        <f t="shared" si="4492"/>
        <v>0.74926095480681154</v>
      </c>
      <c r="N791" s="62">
        <f t="shared" si="4492"/>
        <v>0.74926095480681154</v>
      </c>
      <c r="O791" s="62">
        <f t="shared" si="4492"/>
        <v>0.69782949207418998</v>
      </c>
      <c r="P791" s="62">
        <f t="shared" ref="P791:AJ791" si="4493">IF(P772&lt;&gt;"",P771/P772,"")</f>
        <v>0.77623157902302231</v>
      </c>
      <c r="Q791" s="62">
        <f t="shared" si="4493"/>
        <v>0.77622978366010564</v>
      </c>
      <c r="R791" s="62">
        <f t="shared" si="4493"/>
        <v>0.82852808337460293</v>
      </c>
      <c r="S791" s="62">
        <f t="shared" si="4493"/>
        <v>0.82852495528987147</v>
      </c>
      <c r="T791" s="62">
        <f t="shared" si="4493"/>
        <v>0.82852495528987147</v>
      </c>
      <c r="U791" s="62">
        <f t="shared" si="4493"/>
        <v>0.82852495528987147</v>
      </c>
      <c r="V791" s="62" t="e">
        <f t="shared" si="4493"/>
        <v>#DIV/0!</v>
      </c>
      <c r="W791" s="62" t="e">
        <f t="shared" si="4493"/>
        <v>#DIV/0!</v>
      </c>
      <c r="X791" s="62" t="e">
        <f t="shared" si="4493"/>
        <v>#DIV/0!</v>
      </c>
      <c r="Y791" s="62" t="e">
        <f t="shared" si="4493"/>
        <v>#DIV/0!</v>
      </c>
      <c r="Z791" s="62" t="e">
        <f t="shared" si="4493"/>
        <v>#DIV/0!</v>
      </c>
      <c r="AA791" s="62" t="e">
        <f t="shared" si="4493"/>
        <v>#DIV/0!</v>
      </c>
      <c r="AB791" s="62">
        <f t="shared" si="4493"/>
        <v>0.7449959677747604</v>
      </c>
      <c r="AC791" s="62" t="e">
        <f t="shared" si="4493"/>
        <v>#DIV/0!</v>
      </c>
      <c r="AD791" s="62" t="e">
        <f t="shared" si="4493"/>
        <v>#DIV/0!</v>
      </c>
      <c r="AE791" s="62" t="e">
        <f t="shared" si="4493"/>
        <v>#DIV/0!</v>
      </c>
      <c r="AF791" s="62" t="e">
        <f t="shared" si="4493"/>
        <v>#DIV/0!</v>
      </c>
      <c r="AG791" s="62">
        <f t="shared" si="4493"/>
        <v>1.1061509221869856</v>
      </c>
      <c r="AH791" s="62">
        <f t="shared" si="4493"/>
        <v>0.93953122734703853</v>
      </c>
      <c r="AI791" s="62" t="str">
        <f t="shared" si="4493"/>
        <v/>
      </c>
      <c r="AJ791" s="62" t="str">
        <f t="shared" si="4493"/>
        <v/>
      </c>
      <c r="AK791" s="412"/>
      <c r="AL791" s="14"/>
      <c r="AM791" s="14"/>
      <c r="AN791" s="14"/>
      <c r="AO791" s="14"/>
      <c r="AP791" s="14"/>
      <c r="AQ791" s="14"/>
      <c r="AR791" s="14"/>
      <c r="AS791" s="14"/>
      <c r="AT791" s="14"/>
      <c r="AU791" s="14"/>
      <c r="AV791" s="14"/>
      <c r="AW791" s="14"/>
      <c r="AX791" s="14"/>
      <c r="AY791" s="14"/>
      <c r="AZ791" s="14"/>
      <c r="BA791" s="14"/>
      <c r="BB791" s="14"/>
      <c r="BC791" s="14"/>
      <c r="BD791" s="14"/>
      <c r="BE791" s="14"/>
      <c r="BF791" s="14"/>
      <c r="BG791" s="14"/>
      <c r="BH791" s="14"/>
      <c r="BI791" s="14"/>
      <c r="BJ791" s="14"/>
      <c r="BK791" s="14"/>
      <c r="BL791" s="14"/>
      <c r="BM791" s="412"/>
      <c r="BN791" s="14"/>
      <c r="BO791" s="14"/>
      <c r="BP791" s="14"/>
      <c r="BQ791" s="14"/>
      <c r="BR791" s="14"/>
      <c r="BS791" s="14"/>
      <c r="BT791" s="14"/>
      <c r="BU791" s="14"/>
      <c r="BV791" s="14"/>
      <c r="BW791" s="14"/>
      <c r="BX791" s="14"/>
      <c r="BY791" s="14"/>
      <c r="BZ791" s="14"/>
      <c r="CA791" s="14"/>
      <c r="CB791" s="14"/>
      <c r="CC791" s="14"/>
      <c r="CD791" s="14"/>
      <c r="CE791" s="14"/>
      <c r="CF791" s="14"/>
      <c r="CG791" s="14"/>
      <c r="CH791" s="14"/>
      <c r="CI791" s="14"/>
      <c r="CJ791" s="14"/>
      <c r="CK791" s="14"/>
      <c r="CL791" s="14"/>
      <c r="CM791" s="14"/>
      <c r="CN791" s="14"/>
      <c r="CO791" s="412"/>
      <c r="CP791" s="14" t="str">
        <f t="shared" ref="CP791:DP791" si="4494">IF(CP772&lt;&gt;0,CP771/CP772,"")</f>
        <v/>
      </c>
      <c r="CQ791" s="14" t="str">
        <f t="shared" si="4494"/>
        <v/>
      </c>
      <c r="CR791" s="14">
        <f t="shared" si="4494"/>
        <v>0.74926095480681154</v>
      </c>
      <c r="CS791" s="14">
        <f t="shared" si="4494"/>
        <v>0.74926095480681154</v>
      </c>
      <c r="CT791" s="14">
        <f t="shared" si="4494"/>
        <v>0.74926095480681154</v>
      </c>
      <c r="CU791" s="14">
        <f t="shared" si="4494"/>
        <v>0.69782949207418998</v>
      </c>
      <c r="CV791" s="14">
        <f t="shared" si="4494"/>
        <v>0.77623157902302231</v>
      </c>
      <c r="CW791" s="14">
        <f t="shared" si="4494"/>
        <v>0.77622978366010564</v>
      </c>
      <c r="CX791" s="14">
        <f t="shared" si="4494"/>
        <v>0.82852808337460293</v>
      </c>
      <c r="CY791" s="14">
        <f t="shared" si="4494"/>
        <v>0.82852495528987147</v>
      </c>
      <c r="CZ791" s="14">
        <f t="shared" si="4494"/>
        <v>0.82852495528987147</v>
      </c>
      <c r="DA791" s="14">
        <f t="shared" si="4494"/>
        <v>0.82852495528987147</v>
      </c>
      <c r="DB791" s="14" t="str">
        <f t="shared" si="4494"/>
        <v/>
      </c>
      <c r="DC791" s="14" t="str">
        <f t="shared" si="4494"/>
        <v/>
      </c>
      <c r="DD791" s="14" t="str">
        <f t="shared" si="4494"/>
        <v/>
      </c>
      <c r="DE791" s="14" t="str">
        <f t="shared" si="4494"/>
        <v/>
      </c>
      <c r="DF791" s="14" t="str">
        <f t="shared" si="4494"/>
        <v/>
      </c>
      <c r="DG791" s="14" t="str">
        <f t="shared" si="4494"/>
        <v/>
      </c>
      <c r="DH791" s="14">
        <f t="shared" si="4494"/>
        <v>0.7449959677747604</v>
      </c>
      <c r="DI791" s="14" t="str">
        <f t="shared" si="4494"/>
        <v/>
      </c>
      <c r="DJ791" s="14" t="str">
        <f t="shared" si="4494"/>
        <v/>
      </c>
      <c r="DK791" s="14" t="str">
        <f t="shared" si="4494"/>
        <v/>
      </c>
      <c r="DL791" s="14" t="str">
        <f t="shared" si="4494"/>
        <v/>
      </c>
      <c r="DM791" s="14">
        <f t="shared" si="4494"/>
        <v>1.1061509221869856</v>
      </c>
      <c r="DN791" s="14">
        <f t="shared" si="4494"/>
        <v>0.93953122734703853</v>
      </c>
      <c r="DO791" s="14" t="e">
        <f t="shared" si="4494"/>
        <v>#VALUE!</v>
      </c>
      <c r="DP791" s="14" t="e">
        <f t="shared" si="4494"/>
        <v>#VALUE!</v>
      </c>
      <c r="DQ791" s="14"/>
      <c r="DR791" s="14"/>
      <c r="DS791" s="14"/>
      <c r="DT791" s="14"/>
      <c r="DU791" s="14"/>
      <c r="DV791" s="14"/>
      <c r="DW791" s="14"/>
      <c r="DX791" s="14"/>
      <c r="DY791" s="14"/>
      <c r="ED791" s="429"/>
      <c r="EE791" s="23"/>
      <c r="EF791" s="23"/>
      <c r="EG791" s="23"/>
      <c r="EH791" s="24" t="s">
        <v>97</v>
      </c>
      <c r="EI791" s="24" t="s">
        <v>97</v>
      </c>
      <c r="EJ791" s="14" t="e">
        <f>IF(EJ772&lt;&gt;0,EJ771/EJ772,"")</f>
        <v>#VALUE!</v>
      </c>
      <c r="EK791" s="24"/>
      <c r="EL791" s="24" t="s">
        <v>97</v>
      </c>
      <c r="EM791" s="24" t="s">
        <v>97</v>
      </c>
      <c r="EN791" s="47" t="e">
        <f>IF(EJ791="","",+EJ791-EG784)</f>
        <v>#VALUE!</v>
      </c>
      <c r="EO791" s="100" t="s">
        <v>97</v>
      </c>
      <c r="EP791" s="100" t="s">
        <v>97</v>
      </c>
      <c r="EQ791" s="24" t="s">
        <v>97</v>
      </c>
      <c r="ER791" s="24" t="s">
        <v>97</v>
      </c>
      <c r="ES791" s="2" t="e">
        <f>IF(EJ791/EG784&gt;=0.9,1,IF(EJ791/EG784&lt;0.75,3,2))</f>
        <v>#VALUE!</v>
      </c>
    </row>
    <row r="798" spans="1:149" ht="46.5">
      <c r="A798" s="168" t="s">
        <v>188</v>
      </c>
    </row>
    <row r="799" spans="1:149">
      <c r="A799" s="6" t="s">
        <v>22</v>
      </c>
      <c r="B799" s="2" t="s">
        <v>0</v>
      </c>
      <c r="C799" s="3" t="s">
        <v>54</v>
      </c>
      <c r="E799" s="3" t="s">
        <v>16</v>
      </c>
      <c r="G799" s="37" t="s">
        <v>91</v>
      </c>
      <c r="H799" s="165"/>
      <c r="I799" s="228">
        <v>1677</v>
      </c>
      <c r="J799" s="226">
        <v>1614</v>
      </c>
      <c r="K799" s="229">
        <v>1987</v>
      </c>
      <c r="L799" s="229">
        <v>2108</v>
      </c>
      <c r="M799" s="230">
        <v>358</v>
      </c>
      <c r="N799" s="229">
        <v>555</v>
      </c>
      <c r="O799" s="2">
        <v>692</v>
      </c>
      <c r="P799" s="2">
        <v>829</v>
      </c>
      <c r="Q799" s="2">
        <v>1026</v>
      </c>
      <c r="R799" s="2">
        <v>1237</v>
      </c>
      <c r="S799" s="2">
        <v>1462</v>
      </c>
      <c r="T799" s="2">
        <v>1629</v>
      </c>
      <c r="U799" s="2">
        <v>1876</v>
      </c>
      <c r="V799" s="2">
        <v>2110</v>
      </c>
      <c r="W799" s="2">
        <v>2312</v>
      </c>
      <c r="X799" s="2">
        <v>2522</v>
      </c>
      <c r="Y799" s="381">
        <v>501</v>
      </c>
      <c r="Z799" s="2">
        <v>793</v>
      </c>
      <c r="AA799" s="2">
        <v>1028</v>
      </c>
      <c r="AB799" s="2">
        <v>1252</v>
      </c>
      <c r="AC799" s="2">
        <v>1507</v>
      </c>
      <c r="AD799" s="2">
        <v>1796</v>
      </c>
      <c r="AE799" s="2">
        <v>1998</v>
      </c>
      <c r="AF799" s="2">
        <v>2219</v>
      </c>
      <c r="AG799" s="2">
        <v>2423</v>
      </c>
      <c r="AH799" s="2">
        <v>2596</v>
      </c>
      <c r="AI799" s="2">
        <v>2797</v>
      </c>
    </row>
    <row r="800" spans="1:149">
      <c r="A800" s="6" t="s">
        <v>22</v>
      </c>
      <c r="B800" s="2" t="s">
        <v>1</v>
      </c>
      <c r="C800" s="3" t="s">
        <v>55</v>
      </c>
      <c r="E800" s="3" t="s">
        <v>16</v>
      </c>
      <c r="G800" s="37" t="s">
        <v>91</v>
      </c>
      <c r="H800" s="165"/>
      <c r="I800" s="228">
        <v>448</v>
      </c>
      <c r="J800" s="229">
        <v>480</v>
      </c>
      <c r="K800" s="229">
        <v>525</v>
      </c>
      <c r="L800" s="229">
        <v>544</v>
      </c>
      <c r="M800" s="230">
        <v>151</v>
      </c>
      <c r="N800" s="229">
        <v>228</v>
      </c>
      <c r="O800" s="2">
        <v>267</v>
      </c>
      <c r="P800" s="2">
        <v>302</v>
      </c>
      <c r="Q800" s="2">
        <v>348</v>
      </c>
      <c r="R800" s="2">
        <v>401</v>
      </c>
      <c r="S800" s="2">
        <v>446</v>
      </c>
      <c r="T800" s="2">
        <v>475</v>
      </c>
      <c r="U800" s="2">
        <v>537</v>
      </c>
      <c r="V800" s="2">
        <v>571</v>
      </c>
      <c r="W800" s="2">
        <v>611</v>
      </c>
      <c r="X800" s="2">
        <v>653</v>
      </c>
      <c r="Y800" s="381">
        <v>187</v>
      </c>
      <c r="Z800" s="2">
        <v>273</v>
      </c>
      <c r="AA800" s="2">
        <v>370</v>
      </c>
      <c r="AB800" s="2">
        <v>426</v>
      </c>
      <c r="AC800" s="2">
        <v>504</v>
      </c>
      <c r="AD800" s="2">
        <v>573</v>
      </c>
      <c r="AE800" s="2">
        <v>627</v>
      </c>
      <c r="AF800" s="2">
        <v>679</v>
      </c>
      <c r="AG800" s="2">
        <v>733</v>
      </c>
      <c r="AH800" s="2">
        <v>799</v>
      </c>
      <c r="AI800" s="2">
        <v>855</v>
      </c>
    </row>
    <row r="801" spans="1:51">
      <c r="A801" s="6" t="s">
        <v>22</v>
      </c>
      <c r="B801" s="2" t="s">
        <v>2</v>
      </c>
      <c r="C801" s="3" t="s">
        <v>56</v>
      </c>
      <c r="E801" s="3" t="s">
        <v>16</v>
      </c>
      <c r="G801" s="37" t="s">
        <v>91</v>
      </c>
      <c r="H801" s="165"/>
      <c r="I801" s="228">
        <v>384</v>
      </c>
      <c r="J801" s="229">
        <v>421</v>
      </c>
      <c r="K801" s="229">
        <v>476</v>
      </c>
      <c r="L801" s="229">
        <v>506</v>
      </c>
      <c r="M801" s="230">
        <v>28</v>
      </c>
      <c r="N801" s="229">
        <v>64</v>
      </c>
      <c r="O801" s="2">
        <v>141</v>
      </c>
      <c r="P801" s="2">
        <v>179</v>
      </c>
      <c r="Q801" s="2">
        <v>221</v>
      </c>
      <c r="R801" s="2">
        <v>278</v>
      </c>
      <c r="S801" s="2">
        <v>335</v>
      </c>
      <c r="T801" s="2">
        <v>378</v>
      </c>
      <c r="U801" s="2">
        <v>452</v>
      </c>
      <c r="V801" s="2">
        <v>514</v>
      </c>
      <c r="W801" s="2">
        <v>554</v>
      </c>
      <c r="X801" s="2">
        <v>601</v>
      </c>
      <c r="Y801" s="381">
        <v>44</v>
      </c>
      <c r="Z801" s="2">
        <v>102</v>
      </c>
      <c r="AA801" s="2">
        <v>216</v>
      </c>
      <c r="AB801" s="2">
        <v>286</v>
      </c>
      <c r="AC801" s="2">
        <v>365</v>
      </c>
      <c r="AD801" s="2">
        <v>442</v>
      </c>
      <c r="AE801" s="2">
        <v>497</v>
      </c>
      <c r="AF801" s="2">
        <v>499</v>
      </c>
      <c r="AG801" s="2">
        <v>641</v>
      </c>
      <c r="AH801" s="2">
        <v>724</v>
      </c>
      <c r="AI801" s="2">
        <v>787</v>
      </c>
    </row>
    <row r="802" spans="1:51">
      <c r="A802" s="6" t="s">
        <v>22</v>
      </c>
      <c r="B802" s="2" t="s">
        <v>3</v>
      </c>
      <c r="C802" s="3" t="s">
        <v>57</v>
      </c>
      <c r="E802" s="3" t="s">
        <v>16</v>
      </c>
      <c r="G802" s="37" t="s">
        <v>91</v>
      </c>
      <c r="H802" s="165"/>
      <c r="I802" s="228">
        <v>155</v>
      </c>
      <c r="J802" s="226">
        <v>175</v>
      </c>
      <c r="K802" s="226">
        <v>190</v>
      </c>
      <c r="L802" s="226">
        <v>202</v>
      </c>
      <c r="M802" s="234">
        <v>21</v>
      </c>
      <c r="N802" s="226">
        <v>34</v>
      </c>
      <c r="O802" s="2">
        <v>39</v>
      </c>
      <c r="P802" s="2">
        <v>57</v>
      </c>
      <c r="Q802" s="2">
        <v>78</v>
      </c>
      <c r="R802" s="2">
        <v>99</v>
      </c>
      <c r="S802" s="2">
        <v>113</v>
      </c>
      <c r="T802" s="2">
        <v>129</v>
      </c>
      <c r="U802" s="2">
        <v>144</v>
      </c>
      <c r="V802" s="2">
        <v>167</v>
      </c>
      <c r="W802" s="2">
        <v>181</v>
      </c>
      <c r="X802" s="2">
        <v>200</v>
      </c>
      <c r="Y802" s="381">
        <v>16</v>
      </c>
      <c r="Z802" s="2">
        <v>28</v>
      </c>
      <c r="AA802" s="2">
        <v>56</v>
      </c>
      <c r="AB802" s="2">
        <v>75</v>
      </c>
      <c r="AC802" s="2">
        <v>97</v>
      </c>
      <c r="AD802" s="2">
        <v>138</v>
      </c>
      <c r="AE802" s="2">
        <v>165</v>
      </c>
      <c r="AF802" s="2">
        <v>185</v>
      </c>
      <c r="AG802" s="2">
        <v>201</v>
      </c>
      <c r="AH802" s="2">
        <v>225</v>
      </c>
      <c r="AI802" s="2">
        <v>245</v>
      </c>
    </row>
    <row r="803" spans="1:51" ht="13.5" thickBot="1">
      <c r="A803" s="6" t="s">
        <v>22</v>
      </c>
      <c r="B803" s="2" t="s">
        <v>94</v>
      </c>
      <c r="C803" s="3" t="s">
        <v>58</v>
      </c>
      <c r="E803" s="3" t="s">
        <v>16</v>
      </c>
      <c r="G803" s="37" t="s">
        <v>91</v>
      </c>
      <c r="H803" s="165"/>
      <c r="I803" s="231">
        <v>29.309063000000002</v>
      </c>
      <c r="J803" s="231">
        <v>30.979263000000003</v>
      </c>
      <c r="K803" s="231">
        <v>32.626762999999997</v>
      </c>
      <c r="L803" s="231">
        <v>33.613763000000006</v>
      </c>
      <c r="M803" s="232">
        <v>2.5740509999999999</v>
      </c>
      <c r="N803" s="231">
        <v>2.7890509999999997</v>
      </c>
      <c r="O803" s="2">
        <v>3.3860510000000001</v>
      </c>
      <c r="P803" s="2">
        <v>7.5213510000000001</v>
      </c>
      <c r="Q803" s="2">
        <v>14.348350999999999</v>
      </c>
      <c r="R803" s="2">
        <v>19.344351</v>
      </c>
      <c r="S803" s="2">
        <v>23.73235</v>
      </c>
      <c r="T803" s="2">
        <v>24.298376999999999</v>
      </c>
      <c r="U803" s="2">
        <v>37.474576999999996</v>
      </c>
      <c r="V803" s="2">
        <v>36.929076999999999</v>
      </c>
      <c r="W803" s="2">
        <v>37.376927000000002</v>
      </c>
      <c r="X803" s="2">
        <v>44.359627000000003</v>
      </c>
      <c r="Y803" s="381">
        <v>10.10026</v>
      </c>
      <c r="Z803" s="2">
        <v>12.486610000000001</v>
      </c>
      <c r="AA803" s="2">
        <v>15.898408</v>
      </c>
      <c r="AB803" s="2">
        <v>19.068548</v>
      </c>
      <c r="AC803" s="381">
        <v>24.739398000000001</v>
      </c>
      <c r="AD803" s="381">
        <f>60.316606-32</f>
        <v>28.316606</v>
      </c>
      <c r="AE803" s="2">
        <v>29.627856000000001</v>
      </c>
      <c r="AF803" s="2">
        <v>33.021756000000003</v>
      </c>
      <c r="AG803" s="2">
        <v>37.005125</v>
      </c>
      <c r="AH803" s="2">
        <v>38.744999999999997</v>
      </c>
      <c r="AI803" s="2">
        <v>40.040999999999997</v>
      </c>
    </row>
    <row r="804" spans="1:51">
      <c r="A804" s="6" t="s">
        <v>23</v>
      </c>
      <c r="B804" s="2" t="s">
        <v>5</v>
      </c>
      <c r="C804" s="3" t="s">
        <v>61</v>
      </c>
      <c r="E804" s="3" t="s">
        <v>16</v>
      </c>
      <c r="G804" s="165" t="s">
        <v>91</v>
      </c>
      <c r="H804" s="165"/>
      <c r="I804" s="225"/>
      <c r="J804" s="229">
        <v>120</v>
      </c>
      <c r="K804" s="229">
        <v>250</v>
      </c>
      <c r="L804" s="229">
        <v>359</v>
      </c>
      <c r="M804" s="229">
        <v>499</v>
      </c>
      <c r="N804" s="229">
        <v>604</v>
      </c>
      <c r="O804" s="2">
        <v>692</v>
      </c>
      <c r="P804" s="2">
        <v>788</v>
      </c>
      <c r="Q804" s="2">
        <v>930</v>
      </c>
      <c r="R804" s="2">
        <v>1088</v>
      </c>
      <c r="S804" s="2">
        <v>1281</v>
      </c>
      <c r="T804" s="2">
        <v>1432</v>
      </c>
      <c r="U804" s="2">
        <v>1602</v>
      </c>
      <c r="V804" s="2">
        <v>191</v>
      </c>
      <c r="W804" s="2">
        <v>372</v>
      </c>
      <c r="X804" s="2">
        <v>567</v>
      </c>
      <c r="Y804" s="381">
        <v>767</v>
      </c>
      <c r="Z804" s="2">
        <v>916</v>
      </c>
      <c r="AA804" s="2">
        <v>1060</v>
      </c>
      <c r="AB804" s="2">
        <v>1224</v>
      </c>
      <c r="AC804" s="2">
        <v>1422</v>
      </c>
      <c r="AD804" s="2">
        <v>1640</v>
      </c>
      <c r="AE804" s="2">
        <v>1807</v>
      </c>
      <c r="AF804" s="2">
        <v>1993</v>
      </c>
      <c r="AG804" s="2">
        <v>2158</v>
      </c>
      <c r="AH804" s="2">
        <v>151</v>
      </c>
      <c r="AI804" s="2">
        <v>320</v>
      </c>
    </row>
    <row r="805" spans="1:51">
      <c r="A805" s="6" t="s">
        <v>23</v>
      </c>
      <c r="B805" s="2" t="s">
        <v>4</v>
      </c>
      <c r="C805" s="3" t="s">
        <v>62</v>
      </c>
      <c r="E805" s="3" t="s">
        <v>16</v>
      </c>
      <c r="G805" s="165" t="s">
        <v>91</v>
      </c>
      <c r="H805" s="165"/>
      <c r="I805" s="225"/>
      <c r="J805" s="229">
        <v>51</v>
      </c>
      <c r="K805" s="229">
        <v>96</v>
      </c>
      <c r="L805" s="229">
        <v>149</v>
      </c>
      <c r="M805" s="229">
        <v>230</v>
      </c>
      <c r="N805" s="229">
        <v>290</v>
      </c>
      <c r="O805" s="2">
        <v>328</v>
      </c>
      <c r="P805" s="2">
        <f>34+42+118+22+6+7+41+24+48+25+12</f>
        <v>379</v>
      </c>
      <c r="Q805" s="2">
        <f>41+59+128+31+8+12+47+25+53+36+14</f>
        <v>454</v>
      </c>
      <c r="R805" s="2">
        <f>48+65+150+36+12+12+56+30+54+41+16</f>
        <v>520</v>
      </c>
      <c r="S805" s="2">
        <v>599</v>
      </c>
      <c r="T805" s="2">
        <f>54+94+182+41+13+16+70+30+104+54+25</f>
        <v>683</v>
      </c>
      <c r="U805" s="2">
        <f>55+119+196+46+20+23+74+34+107+61+31</f>
        <v>766</v>
      </c>
      <c r="V805" s="2">
        <f>7+13+16+8+1+2+7+1+6+8+8</f>
        <v>77</v>
      </c>
      <c r="W805" s="2">
        <f>10+46+38+11+2+5+9+2+10+11+12</f>
        <v>156</v>
      </c>
      <c r="X805" s="2">
        <f>12+63+59+15+2+10+17+1+19+14+20</f>
        <v>232</v>
      </c>
      <c r="Y805" s="381">
        <v>314</v>
      </c>
      <c r="Z805" s="2">
        <f>24+104+100+17+2+16+42+3+19+21+32</f>
        <v>380</v>
      </c>
      <c r="AA805" s="2">
        <v>455</v>
      </c>
      <c r="AB805" s="2">
        <f>38+28+40+7+58+21+4+19+135+141+32</f>
        <v>523</v>
      </c>
      <c r="AC805" s="2">
        <f>45+36+44+11+65+24+6+20+160+154+35</f>
        <v>600</v>
      </c>
      <c r="AD805" s="2">
        <f>52+46+52+14+82+27+9+25+175+174+44</f>
        <v>700</v>
      </c>
      <c r="AE805" s="2">
        <f>47+190+196+27+9+28+99+15+56+52+60</f>
        <v>779</v>
      </c>
      <c r="AF805" s="2">
        <v>852</v>
      </c>
      <c r="AG805" s="2">
        <v>926</v>
      </c>
      <c r="AH805" s="2">
        <v>65</v>
      </c>
      <c r="AI805" s="2">
        <v>137</v>
      </c>
    </row>
    <row r="806" spans="1:51">
      <c r="A806" s="6" t="s">
        <v>23</v>
      </c>
      <c r="B806" s="2" t="s">
        <v>162</v>
      </c>
      <c r="C806" s="3" t="s">
        <v>62</v>
      </c>
      <c r="E806" s="3" t="s">
        <v>16</v>
      </c>
      <c r="G806" s="165" t="s">
        <v>91</v>
      </c>
      <c r="H806" s="165"/>
      <c r="I806" s="225"/>
      <c r="J806" s="229">
        <v>359</v>
      </c>
      <c r="K806" s="229">
        <v>580</v>
      </c>
      <c r="L806" s="229">
        <v>741</v>
      </c>
      <c r="M806" s="229">
        <v>937</v>
      </c>
      <c r="N806" s="229">
        <v>1063</v>
      </c>
      <c r="O806" s="2">
        <v>1176</v>
      </c>
      <c r="P806" s="2">
        <v>1296</v>
      </c>
      <c r="Q806" s="2">
        <v>1460</v>
      </c>
      <c r="R806" s="2">
        <v>1648</v>
      </c>
      <c r="S806" s="2">
        <v>1866</v>
      </c>
      <c r="T806" s="2">
        <v>2029</v>
      </c>
      <c r="U806" s="2">
        <v>2236</v>
      </c>
      <c r="V806" s="2">
        <v>396</v>
      </c>
      <c r="W806" s="2">
        <v>727</v>
      </c>
      <c r="X806" s="2">
        <v>1004</v>
      </c>
      <c r="Y806" s="381">
        <v>1299</v>
      </c>
      <c r="Z806" s="381">
        <v>1486</v>
      </c>
      <c r="AA806" s="2">
        <v>1670</v>
      </c>
      <c r="AB806" s="2">
        <v>1863</v>
      </c>
      <c r="AC806" s="2">
        <v>2096</v>
      </c>
      <c r="AD806" s="2">
        <v>2352</v>
      </c>
      <c r="AE806" s="2">
        <v>2542</v>
      </c>
      <c r="AF806" s="2">
        <v>2754</v>
      </c>
      <c r="AG806" s="2">
        <v>2947</v>
      </c>
      <c r="AH806" s="2">
        <v>433</v>
      </c>
      <c r="AI806" s="2">
        <v>817</v>
      </c>
    </row>
    <row r="807" spans="1:51">
      <c r="A807" s="6" t="s">
        <v>23</v>
      </c>
      <c r="B807" s="2" t="s">
        <v>163</v>
      </c>
      <c r="C807" s="3" t="s">
        <v>62</v>
      </c>
      <c r="E807" s="3" t="s">
        <v>16</v>
      </c>
      <c r="G807" s="165" t="s">
        <v>91</v>
      </c>
      <c r="H807" s="166"/>
      <c r="I807" s="235"/>
      <c r="J807" s="228">
        <v>171</v>
      </c>
      <c r="K807" s="228">
        <v>247</v>
      </c>
      <c r="L807" s="228">
        <v>285</v>
      </c>
      <c r="M807" s="228">
        <v>329</v>
      </c>
      <c r="N807" s="228">
        <v>360</v>
      </c>
      <c r="O807" s="2">
        <v>388</v>
      </c>
      <c r="P807" s="2">
        <v>417</v>
      </c>
      <c r="Q807" s="2">
        <v>451</v>
      </c>
      <c r="R807" s="2">
        <v>494</v>
      </c>
      <c r="S807" s="2">
        <v>534</v>
      </c>
      <c r="T807" s="2">
        <v>563</v>
      </c>
      <c r="U807" s="2">
        <v>616</v>
      </c>
      <c r="V807" s="2">
        <v>119</v>
      </c>
      <c r="W807" s="2">
        <v>263</v>
      </c>
      <c r="X807" s="2">
        <v>331</v>
      </c>
      <c r="Y807" s="381">
        <v>401</v>
      </c>
      <c r="Z807" s="2">
        <v>459</v>
      </c>
      <c r="AA807" s="2">
        <v>520</v>
      </c>
      <c r="AB807" s="2">
        <v>562</v>
      </c>
      <c r="AC807" s="2">
        <v>630</v>
      </c>
      <c r="AD807" s="2">
        <v>688</v>
      </c>
      <c r="AE807" s="2">
        <v>737</v>
      </c>
      <c r="AF807" s="2">
        <v>785</v>
      </c>
      <c r="AG807" s="2">
        <v>837</v>
      </c>
      <c r="AH807" s="2">
        <v>192</v>
      </c>
      <c r="AI807" s="2">
        <v>355</v>
      </c>
    </row>
    <row r="808" spans="1:51">
      <c r="A808" s="6" t="s">
        <v>23</v>
      </c>
      <c r="B808" s="2" t="s">
        <v>6</v>
      </c>
      <c r="C808" s="3" t="s">
        <v>63</v>
      </c>
      <c r="E808" s="3" t="s">
        <v>16</v>
      </c>
      <c r="G808" s="165" t="s">
        <v>89</v>
      </c>
      <c r="H808" s="165"/>
      <c r="I808" s="225"/>
      <c r="J808" s="229">
        <v>3</v>
      </c>
      <c r="K808" s="229">
        <v>18</v>
      </c>
      <c r="L808" s="229">
        <v>15</v>
      </c>
      <c r="M808" s="229">
        <v>19</v>
      </c>
      <c r="N808" s="229">
        <v>25</v>
      </c>
      <c r="O808" s="2">
        <v>26</v>
      </c>
      <c r="P808" s="2">
        <v>20</v>
      </c>
      <c r="Q808" s="2">
        <v>25</v>
      </c>
      <c r="R808" s="2">
        <v>34</v>
      </c>
      <c r="S808" s="2">
        <v>38</v>
      </c>
      <c r="T808" s="2">
        <v>37</v>
      </c>
      <c r="U808" s="2">
        <v>32</v>
      </c>
      <c r="V808" s="2">
        <v>38</v>
      </c>
      <c r="W808" s="2">
        <v>45</v>
      </c>
      <c r="X808" s="2">
        <v>32</v>
      </c>
      <c r="Y808" s="381">
        <v>36</v>
      </c>
      <c r="Z808" s="2">
        <v>37</v>
      </c>
      <c r="AA808" s="2">
        <v>33</v>
      </c>
      <c r="AB808" s="2">
        <v>23</v>
      </c>
      <c r="AC808" s="2">
        <v>45</v>
      </c>
      <c r="AD808" s="2">
        <v>50</v>
      </c>
      <c r="AE808" s="2">
        <v>67</v>
      </c>
      <c r="AF808" s="2">
        <v>48</v>
      </c>
      <c r="AG808" s="2">
        <v>38</v>
      </c>
      <c r="AH808" s="2">
        <v>54</v>
      </c>
      <c r="AI808" s="2">
        <v>41</v>
      </c>
    </row>
    <row r="809" spans="1:51">
      <c r="A809" s="15" t="s">
        <v>23</v>
      </c>
      <c r="B809" s="14" t="s">
        <v>7</v>
      </c>
      <c r="C809" s="16" t="s">
        <v>64</v>
      </c>
      <c r="D809" s="16"/>
      <c r="E809" s="16" t="s">
        <v>16</v>
      </c>
      <c r="F809" s="16"/>
      <c r="G809" s="167" t="s">
        <v>89</v>
      </c>
      <c r="H809" s="167"/>
      <c r="I809" s="233"/>
      <c r="J809" s="236">
        <v>1</v>
      </c>
      <c r="K809" s="227">
        <v>0.96666666666666656</v>
      </c>
      <c r="L809" s="227">
        <v>0.88</v>
      </c>
      <c r="M809" s="227">
        <v>0.98947368421052639</v>
      </c>
      <c r="N809" s="261">
        <v>1</v>
      </c>
      <c r="O809" s="262">
        <v>0.99</v>
      </c>
      <c r="P809" s="262">
        <v>0.97</v>
      </c>
      <c r="Q809" s="262">
        <v>0.97</v>
      </c>
      <c r="R809" s="262">
        <v>0.95</v>
      </c>
      <c r="S809" s="262">
        <v>0.93</v>
      </c>
      <c r="T809" s="262">
        <v>0.94</v>
      </c>
      <c r="U809" s="262">
        <v>0.96</v>
      </c>
      <c r="V809" s="262">
        <v>0.97</v>
      </c>
      <c r="W809" s="262">
        <v>0.94</v>
      </c>
      <c r="X809" s="262">
        <v>0.91</v>
      </c>
      <c r="Y809" s="382">
        <v>0.97</v>
      </c>
      <c r="Z809" s="262">
        <v>0.97</v>
      </c>
      <c r="AA809" s="262">
        <v>0.93</v>
      </c>
      <c r="AB809" s="262">
        <v>1</v>
      </c>
      <c r="AC809" s="262">
        <v>0.97</v>
      </c>
      <c r="AD809" s="262">
        <v>0.98</v>
      </c>
      <c r="AE809" s="262">
        <v>1</v>
      </c>
      <c r="AF809" s="262">
        <v>0.95</v>
      </c>
      <c r="AG809" s="262">
        <v>0.96</v>
      </c>
      <c r="AH809" s="262">
        <v>0.95</v>
      </c>
      <c r="AI809" s="262">
        <v>1</v>
      </c>
      <c r="AJ809" s="262"/>
      <c r="AK809" s="419"/>
      <c r="AL809" s="262"/>
      <c r="AM809" s="262"/>
      <c r="AN809" s="262"/>
      <c r="AO809" s="262"/>
      <c r="AP809" s="262"/>
      <c r="AQ809" s="262"/>
      <c r="AR809" s="262"/>
      <c r="AS809" s="262"/>
      <c r="AT809" s="262"/>
      <c r="AU809" s="262"/>
      <c r="AV809" s="262"/>
      <c r="AW809" s="262"/>
      <c r="AX809" s="262"/>
      <c r="AY809" s="262"/>
    </row>
    <row r="810" spans="1:51">
      <c r="A810" s="6" t="s">
        <v>23</v>
      </c>
      <c r="B810" s="2" t="s">
        <v>8</v>
      </c>
      <c r="C810" s="3" t="s">
        <v>87</v>
      </c>
      <c r="E810" s="3" t="s">
        <v>16</v>
      </c>
      <c r="G810" s="165" t="s">
        <v>91</v>
      </c>
      <c r="H810" s="165"/>
      <c r="I810" s="225"/>
      <c r="J810" s="229">
        <v>0</v>
      </c>
      <c r="K810" s="229">
        <v>0</v>
      </c>
      <c r="L810" s="229">
        <v>0</v>
      </c>
      <c r="M810" s="229">
        <v>1</v>
      </c>
      <c r="N810" s="229">
        <v>3</v>
      </c>
      <c r="O810" s="2">
        <v>9</v>
      </c>
      <c r="P810" s="2">
        <v>24</v>
      </c>
      <c r="Q810" s="2">
        <v>40</v>
      </c>
      <c r="R810" s="2">
        <f>12+59+1+6</f>
        <v>78</v>
      </c>
      <c r="S810" s="2">
        <v>81</v>
      </c>
      <c r="T810" s="2">
        <v>88</v>
      </c>
      <c r="U810" s="2">
        <v>115</v>
      </c>
      <c r="V810" s="2">
        <v>45</v>
      </c>
      <c r="W810" s="2">
        <v>52</v>
      </c>
      <c r="X810" s="2">
        <v>104</v>
      </c>
      <c r="Y810" s="381">
        <v>147</v>
      </c>
      <c r="Z810" s="2">
        <v>169</v>
      </c>
      <c r="AA810" s="2">
        <v>176</v>
      </c>
      <c r="AB810" s="2">
        <v>193</v>
      </c>
      <c r="AC810" s="2">
        <v>201</v>
      </c>
      <c r="AD810" s="2">
        <v>214</v>
      </c>
      <c r="AE810" s="2">
        <v>222</v>
      </c>
      <c r="AF810" s="2">
        <f>3+3+3+60+65+42+59</f>
        <v>235</v>
      </c>
      <c r="AG810" s="2">
        <v>259</v>
      </c>
      <c r="AH810" s="2">
        <v>3</v>
      </c>
      <c r="AI810" s="2">
        <v>5</v>
      </c>
    </row>
    <row r="811" spans="1:51">
      <c r="A811" s="6" t="s">
        <v>23</v>
      </c>
      <c r="B811" s="2" t="s">
        <v>9</v>
      </c>
      <c r="C811" s="3" t="s">
        <v>65</v>
      </c>
      <c r="E811" s="3" t="s">
        <v>16</v>
      </c>
      <c r="G811" s="165" t="s">
        <v>91</v>
      </c>
      <c r="H811" s="165"/>
      <c r="I811" s="225"/>
      <c r="J811" s="229">
        <v>600.79999999999995</v>
      </c>
      <c r="K811" s="229">
        <v>1292.9199999999998</v>
      </c>
      <c r="L811" s="229">
        <v>1830.5700000000002</v>
      </c>
      <c r="M811" s="229">
        <v>2612.7600000000002</v>
      </c>
      <c r="N811" s="229">
        <v>3442.1699999999996</v>
      </c>
      <c r="O811" s="2">
        <v>4256.1899999999996</v>
      </c>
      <c r="P811" s="2">
        <v>4725.53</v>
      </c>
      <c r="Q811" s="2">
        <v>5352.26</v>
      </c>
      <c r="R811" s="2">
        <v>6079.59</v>
      </c>
      <c r="S811" s="2">
        <v>7089.73</v>
      </c>
      <c r="T811" s="2">
        <v>7684.23</v>
      </c>
      <c r="U811" s="2">
        <v>8804.2800000000007</v>
      </c>
      <c r="V811" s="2">
        <v>1016.12</v>
      </c>
      <c r="W811" s="2">
        <v>2047.81</v>
      </c>
      <c r="X811" s="2">
        <v>3286.11</v>
      </c>
      <c r="Y811" s="381">
        <v>4417.71</v>
      </c>
      <c r="Z811" s="2">
        <v>5553.96</v>
      </c>
      <c r="AA811" s="2">
        <v>7015.24</v>
      </c>
      <c r="AB811" s="2">
        <v>8139.33</v>
      </c>
      <c r="AC811" s="2">
        <v>9535.02</v>
      </c>
      <c r="AD811" s="2">
        <v>11432.73</v>
      </c>
      <c r="AE811" s="2">
        <v>13080.7</v>
      </c>
      <c r="AF811" s="2">
        <v>14238.07</v>
      </c>
      <c r="AG811" s="2">
        <v>15805.07</v>
      </c>
      <c r="AH811" s="2">
        <v>1349.97</v>
      </c>
      <c r="AI811" s="2">
        <v>2605.23</v>
      </c>
    </row>
    <row r="812" spans="1:51">
      <c r="A812" s="6" t="s">
        <v>23</v>
      </c>
      <c r="B812" s="2" t="s">
        <v>10</v>
      </c>
      <c r="C812" s="3" t="s">
        <v>66</v>
      </c>
      <c r="E812" s="3" t="s">
        <v>16</v>
      </c>
      <c r="G812" s="165" t="s">
        <v>91</v>
      </c>
      <c r="H812" s="165"/>
      <c r="I812" s="225"/>
      <c r="J812" s="229">
        <v>86.77000000000001</v>
      </c>
      <c r="K812" s="229">
        <v>218.39000000000001</v>
      </c>
      <c r="L812" s="229">
        <v>308.48999999999995</v>
      </c>
      <c r="M812" s="229">
        <v>397.09</v>
      </c>
      <c r="N812" s="229">
        <v>482.99</v>
      </c>
      <c r="O812" s="2">
        <f>12.5+12.75+2+5.55+80.14+13.75+225.21+20.38+56.28+14.15+93.5</f>
        <v>536.20999999999992</v>
      </c>
      <c r="P812" s="2">
        <f>111.05+14.9+59.3+31.13+237.53+16.25+84.39+5.65+2+14.58+17</f>
        <v>593.78</v>
      </c>
      <c r="Q812" s="2">
        <f>139.55+19.15+59.53+41.96+237.53+23.75+98.39+18.8+2+18.16+22.5</f>
        <v>681.31999999999994</v>
      </c>
      <c r="R812" s="2">
        <f>181.05+24.85+79.29+45.71+297.63+38.85+105.92+20.95+2+19.91+26</f>
        <v>842.16</v>
      </c>
      <c r="S812" s="2">
        <v>965.19</v>
      </c>
      <c r="T812" s="2">
        <v>1015.09</v>
      </c>
      <c r="U812" s="2">
        <v>1172.55</v>
      </c>
      <c r="V812" s="2">
        <f>9.5+9.74+2+43.61+13.7+3+5.83+35.88+19.25+38.85</f>
        <v>181.35999999999999</v>
      </c>
      <c r="W812" s="2">
        <f>18.5+18.56+22.5+2.5+102.11+26.2+121.28+10.83+50.55+31.5+47.05</f>
        <v>451.58</v>
      </c>
      <c r="X812" s="2">
        <v>711.91</v>
      </c>
      <c r="Y812" s="381">
        <v>953.95</v>
      </c>
      <c r="Z812" s="2">
        <v>1269.79</v>
      </c>
      <c r="AA812" s="2">
        <v>1697.85</v>
      </c>
      <c r="AB812" s="2">
        <f>69.4+87.53+92.75+24.9+237.56+110.9+647.97+56.71+323.85+242.2+185.75</f>
        <v>2079.5200000000004</v>
      </c>
      <c r="AC812" s="2">
        <f>86.4+99.35+129.25+24.9+277.92+123.4+765.72+56.71+371.75+268.65+209.35</f>
        <v>2413.4</v>
      </c>
      <c r="AD812" s="2">
        <f>93.4+299.63+158.25+24.9+303.27+138.9+889.22+60.54+454.75+336.95+255.85</f>
        <v>3015.6599999999994</v>
      </c>
      <c r="AE812" s="2">
        <f>307.35+401.7+526.37+62.29+985.22+151.4+337.81+29.4+173.5+657.44+97.65</f>
        <v>3730.1300000000006</v>
      </c>
      <c r="AF812" s="2">
        <v>3956.42</v>
      </c>
      <c r="AG812" s="2">
        <v>4314.57</v>
      </c>
      <c r="AH812" s="2">
        <v>206.15</v>
      </c>
      <c r="AI812" s="2">
        <v>499.68</v>
      </c>
    </row>
    <row r="813" spans="1:51">
      <c r="A813" s="6" t="s">
        <v>23</v>
      </c>
      <c r="B813" s="2" t="s">
        <v>11</v>
      </c>
      <c r="C813" s="3" t="s">
        <v>67</v>
      </c>
      <c r="E813" s="3" t="s">
        <v>16</v>
      </c>
      <c r="G813" s="165" t="s">
        <v>91</v>
      </c>
      <c r="H813" s="165"/>
      <c r="I813" s="225"/>
      <c r="J813" s="229">
        <v>138</v>
      </c>
      <c r="K813" s="229">
        <v>287</v>
      </c>
      <c r="L813" s="229">
        <v>412</v>
      </c>
      <c r="M813" s="229">
        <v>565</v>
      </c>
      <c r="N813" s="229">
        <v>678</v>
      </c>
      <c r="O813" s="2">
        <v>788</v>
      </c>
      <c r="P813" s="2">
        <v>911</v>
      </c>
      <c r="Q813" s="2">
        <v>1095</v>
      </c>
      <c r="R813" s="2">
        <v>1306</v>
      </c>
      <c r="S813" s="2">
        <v>1535</v>
      </c>
      <c r="T813" s="2">
        <v>1722</v>
      </c>
      <c r="U813" s="2">
        <v>1953</v>
      </c>
      <c r="V813" s="2">
        <v>230</v>
      </c>
      <c r="W813" s="2">
        <v>435</v>
      </c>
      <c r="X813" s="2">
        <v>673</v>
      </c>
      <c r="Y813" s="381">
        <v>948</v>
      </c>
      <c r="Z813" s="381">
        <v>1170</v>
      </c>
      <c r="AA813" s="2">
        <v>1389</v>
      </c>
      <c r="AB813" s="2">
        <v>1630</v>
      </c>
      <c r="AC813" s="2">
        <v>1882</v>
      </c>
      <c r="AD813" s="2">
        <v>2177</v>
      </c>
      <c r="AE813" s="2">
        <v>2404</v>
      </c>
      <c r="AF813" s="2">
        <v>2639</v>
      </c>
      <c r="AG813" s="2">
        <v>2888</v>
      </c>
      <c r="AH813" s="2">
        <v>222</v>
      </c>
      <c r="AI813" s="2">
        <v>488</v>
      </c>
    </row>
    <row r="814" spans="1:51">
      <c r="A814" s="6" t="s">
        <v>23</v>
      </c>
      <c r="B814" s="2" t="s">
        <v>12</v>
      </c>
      <c r="C814" s="3" t="s">
        <v>68</v>
      </c>
      <c r="E814" s="3" t="s">
        <v>16</v>
      </c>
      <c r="G814" s="165" t="s">
        <v>91</v>
      </c>
      <c r="H814" s="165"/>
      <c r="I814" s="225"/>
      <c r="J814" s="229">
        <v>74</v>
      </c>
      <c r="K814" s="229">
        <v>160</v>
      </c>
      <c r="L814" s="229">
        <v>231</v>
      </c>
      <c r="M814" s="229">
        <v>337</v>
      </c>
      <c r="N814" s="229">
        <v>393</v>
      </c>
      <c r="O814" s="2">
        <v>505</v>
      </c>
      <c r="P814" s="2">
        <v>584</v>
      </c>
      <c r="Q814" s="2">
        <v>753</v>
      </c>
      <c r="R814" s="2">
        <v>1053</v>
      </c>
      <c r="S814" s="2">
        <v>1245</v>
      </c>
      <c r="T814" s="2">
        <v>1413</v>
      </c>
      <c r="U814" s="2">
        <v>1711</v>
      </c>
      <c r="V814" s="2">
        <v>332</v>
      </c>
      <c r="W814" s="2">
        <v>736</v>
      </c>
      <c r="X814" s="2">
        <v>1083</v>
      </c>
      <c r="Y814" s="381">
        <v>1435</v>
      </c>
      <c r="Z814" s="2">
        <v>1683</v>
      </c>
      <c r="AA814" s="2">
        <v>1983</v>
      </c>
      <c r="AB814" s="2">
        <v>2302</v>
      </c>
      <c r="AC814" s="2">
        <v>2558</v>
      </c>
      <c r="AD814" s="2">
        <v>2849</v>
      </c>
      <c r="AE814" s="2">
        <v>3192</v>
      </c>
      <c r="AF814" s="2">
        <v>3447</v>
      </c>
      <c r="AG814" s="2">
        <v>3781</v>
      </c>
      <c r="AH814" s="2">
        <v>241</v>
      </c>
      <c r="AI814" s="2">
        <v>548</v>
      </c>
    </row>
    <row r="815" spans="1:51">
      <c r="A815" s="6" t="s">
        <v>23</v>
      </c>
      <c r="B815" s="2" t="s">
        <v>17</v>
      </c>
      <c r="C815" s="3" t="s">
        <v>69</v>
      </c>
      <c r="E815" s="3" t="s">
        <v>18</v>
      </c>
      <c r="G815" s="165" t="s">
        <v>91</v>
      </c>
      <c r="H815" s="165"/>
      <c r="I815" s="225"/>
      <c r="J815" s="229">
        <v>0</v>
      </c>
      <c r="K815" s="229"/>
      <c r="L815" s="229">
        <v>24</v>
      </c>
      <c r="M815" s="229">
        <v>24</v>
      </c>
      <c r="N815" s="229">
        <v>24</v>
      </c>
      <c r="O815" s="2">
        <v>25</v>
      </c>
      <c r="P815" s="2">
        <v>31</v>
      </c>
      <c r="Q815" s="2">
        <v>51</v>
      </c>
      <c r="R815" s="2">
        <f>R43+R109+R175+R241+R307+R373+R439+R505+R571+R637+R703</f>
        <v>51</v>
      </c>
      <c r="S815" s="2">
        <v>51</v>
      </c>
      <c r="T815" s="2">
        <f>T43+T109+T175+T241+T307+T373+T439+T505+T571+T637+T703</f>
        <v>84</v>
      </c>
      <c r="U815" s="2">
        <v>86</v>
      </c>
      <c r="V815" s="2">
        <v>0</v>
      </c>
      <c r="W815" s="2">
        <v>26</v>
      </c>
      <c r="X815" s="2">
        <v>26</v>
      </c>
      <c r="Y815" s="381">
        <v>26</v>
      </c>
      <c r="Z815" s="2">
        <v>26</v>
      </c>
      <c r="AA815" s="2">
        <v>26</v>
      </c>
      <c r="AB815" s="2">
        <v>56</v>
      </c>
      <c r="AC815" s="2">
        <v>56</v>
      </c>
      <c r="AD815" s="2">
        <v>56</v>
      </c>
      <c r="AE815" s="2">
        <v>56</v>
      </c>
      <c r="AG815" s="2">
        <v>22</v>
      </c>
    </row>
    <row r="816" spans="1:51">
      <c r="A816" s="6" t="s">
        <v>23</v>
      </c>
      <c r="B816" s="324" t="s">
        <v>202</v>
      </c>
      <c r="C816" s="3" t="s">
        <v>70</v>
      </c>
      <c r="E816" s="3" t="s">
        <v>15</v>
      </c>
      <c r="G816" s="165" t="s">
        <v>91</v>
      </c>
      <c r="H816" s="165"/>
      <c r="I816" s="225"/>
      <c r="J816" s="229">
        <v>0</v>
      </c>
      <c r="K816" s="229"/>
      <c r="L816" s="229">
        <v>0</v>
      </c>
      <c r="M816" s="229">
        <v>0</v>
      </c>
      <c r="N816" s="229">
        <v>0</v>
      </c>
      <c r="O816" s="2">
        <v>12</v>
      </c>
      <c r="P816" s="2">
        <v>18</v>
      </c>
      <c r="Q816" s="2">
        <v>22</v>
      </c>
      <c r="R816" s="2">
        <f>R44+R110+R176+R242+R308+R374+R440+R506+R572+R638+R704</f>
        <v>24</v>
      </c>
      <c r="S816" s="2">
        <v>26</v>
      </c>
      <c r="T816" s="2">
        <v>26</v>
      </c>
      <c r="U816" s="2">
        <v>46</v>
      </c>
      <c r="V816" s="2">
        <v>0</v>
      </c>
      <c r="W816" s="2">
        <v>0</v>
      </c>
      <c r="X816" s="2">
        <v>0</v>
      </c>
      <c r="Y816" s="381">
        <v>0</v>
      </c>
      <c r="Z816" s="2">
        <v>0</v>
      </c>
      <c r="AA816" s="2">
        <v>0</v>
      </c>
      <c r="AB816" s="2">
        <v>12</v>
      </c>
      <c r="AC816" s="2">
        <v>23</v>
      </c>
      <c r="AD816" s="2">
        <v>23</v>
      </c>
      <c r="AE816" s="2">
        <v>23</v>
      </c>
      <c r="AF816" s="2">
        <v>23</v>
      </c>
    </row>
    <row r="817" spans="1:36">
      <c r="A817" s="6" t="s">
        <v>23</v>
      </c>
      <c r="B817" s="2" t="s">
        <v>13</v>
      </c>
      <c r="C817" s="3" t="s">
        <v>71</v>
      </c>
      <c r="E817" s="3" t="s">
        <v>15</v>
      </c>
      <c r="G817" s="165" t="s">
        <v>91</v>
      </c>
      <c r="H817" s="165"/>
      <c r="I817" s="225"/>
      <c r="J817" s="229">
        <v>0</v>
      </c>
      <c r="K817" s="229">
        <v>0</v>
      </c>
      <c r="L817" s="229">
        <v>196730.02</v>
      </c>
      <c r="M817" s="229">
        <v>196730.02</v>
      </c>
      <c r="N817" s="229">
        <v>196730.02</v>
      </c>
      <c r="O817" s="264">
        <v>105261.34</v>
      </c>
      <c r="P817" s="264">
        <v>228966.69</v>
      </c>
      <c r="Q817" s="264">
        <f>P817</f>
        <v>228966.69</v>
      </c>
      <c r="R817" s="267">
        <f>R45+R111+R177+R243+R309+R375+R441+R507+R573+R639+R705</f>
        <v>272045.09999999998</v>
      </c>
      <c r="S817" s="2">
        <v>272045.09999999998</v>
      </c>
      <c r="T817" s="2">
        <v>272045.09999999998</v>
      </c>
      <c r="U817" s="2">
        <v>272045.09999999998</v>
      </c>
      <c r="V817" s="2">
        <v>0</v>
      </c>
      <c r="W817" s="2">
        <v>0</v>
      </c>
      <c r="X817" s="2">
        <v>0</v>
      </c>
      <c r="Y817" s="381">
        <v>0</v>
      </c>
      <c r="Z817" s="2">
        <v>0</v>
      </c>
      <c r="AA817" s="2">
        <v>0</v>
      </c>
      <c r="AB817" s="2">
        <v>563741</v>
      </c>
      <c r="AC817" s="2">
        <v>0</v>
      </c>
      <c r="AD817" s="2">
        <v>0</v>
      </c>
      <c r="AE817" s="2">
        <v>0</v>
      </c>
      <c r="AF817" s="2">
        <v>0</v>
      </c>
    </row>
    <row r="818" spans="1:36">
      <c r="A818" s="6" t="s">
        <v>23</v>
      </c>
      <c r="B818" s="2" t="s">
        <v>14</v>
      </c>
      <c r="C818" s="3" t="s">
        <v>72</v>
      </c>
      <c r="E818" s="3" t="s">
        <v>15</v>
      </c>
      <c r="G818" s="165" t="s">
        <v>91</v>
      </c>
      <c r="H818" s="165"/>
      <c r="I818" s="225"/>
      <c r="J818" s="229">
        <v>0</v>
      </c>
      <c r="K818" s="229">
        <v>0</v>
      </c>
      <c r="L818" s="229">
        <v>121531.84999999999</v>
      </c>
      <c r="M818" s="229">
        <v>121531.84999999999</v>
      </c>
      <c r="N818" s="229">
        <v>121531.84999999999</v>
      </c>
      <c r="O818" s="264">
        <v>150840.73000000001</v>
      </c>
      <c r="P818" s="264">
        <v>294972.14</v>
      </c>
      <c r="Q818" s="264">
        <f>P818</f>
        <v>294972.14</v>
      </c>
      <c r="R818" s="267">
        <f>R46+R112+R178+R244+R310+R376+R442+R508+R574+R640+R706</f>
        <v>328347.47000000003</v>
      </c>
      <c r="S818" s="2">
        <v>328348.5</v>
      </c>
      <c r="T818" s="2">
        <v>328348.5</v>
      </c>
      <c r="U818" s="2">
        <v>328348.5</v>
      </c>
      <c r="V818" s="2">
        <v>0</v>
      </c>
      <c r="W818" s="2">
        <v>0</v>
      </c>
      <c r="X818" s="2">
        <v>0</v>
      </c>
      <c r="Y818" s="381">
        <v>0</v>
      </c>
      <c r="Z818" s="2">
        <v>0</v>
      </c>
      <c r="AA818" s="2">
        <v>0</v>
      </c>
      <c r="AB818" s="264">
        <v>756703.76</v>
      </c>
      <c r="AC818" s="2">
        <v>0</v>
      </c>
      <c r="AD818" s="2">
        <v>0</v>
      </c>
      <c r="AE818" s="2">
        <v>0</v>
      </c>
      <c r="AF818" s="2">
        <v>0</v>
      </c>
    </row>
    <row r="820" spans="1:36" ht="26.25">
      <c r="A820" s="169" t="s">
        <v>189</v>
      </c>
    </row>
    <row r="821" spans="1:36">
      <c r="A821" s="6" t="s">
        <v>22</v>
      </c>
      <c r="B821" s="2" t="s">
        <v>0</v>
      </c>
      <c r="C821" s="3" t="s">
        <v>54</v>
      </c>
      <c r="E821" s="3" t="s">
        <v>16</v>
      </c>
      <c r="G821" s="137" t="s">
        <v>91</v>
      </c>
      <c r="H821" s="28"/>
      <c r="I821" s="253">
        <f>ROUND(+I753-I799,2)</f>
        <v>0</v>
      </c>
      <c r="J821" s="138">
        <f>ROUND(+J753-J799,2)</f>
        <v>0</v>
      </c>
      <c r="K821" s="253">
        <f t="shared" ref="K821:AJ821" si="4495">ROUND(+K753-K799,2)</f>
        <v>0</v>
      </c>
      <c r="L821" s="253">
        <f t="shared" si="4495"/>
        <v>0</v>
      </c>
      <c r="M821" s="253">
        <f t="shared" si="4495"/>
        <v>0</v>
      </c>
      <c r="N821" s="253">
        <f t="shared" si="4495"/>
        <v>0</v>
      </c>
      <c r="O821" s="253">
        <f t="shared" si="4495"/>
        <v>0</v>
      </c>
      <c r="P821" s="253">
        <f t="shared" si="4495"/>
        <v>0</v>
      </c>
      <c r="Q821" s="253">
        <f t="shared" si="4495"/>
        <v>0</v>
      </c>
      <c r="R821" s="253">
        <f t="shared" si="4495"/>
        <v>-2</v>
      </c>
      <c r="S821" s="253">
        <f t="shared" si="4495"/>
        <v>0</v>
      </c>
      <c r="T821" s="253">
        <f t="shared" si="4495"/>
        <v>0</v>
      </c>
      <c r="U821" s="253">
        <f t="shared" si="4495"/>
        <v>0</v>
      </c>
      <c r="V821" s="253">
        <f t="shared" si="4495"/>
        <v>0</v>
      </c>
      <c r="W821" s="253">
        <f t="shared" si="4495"/>
        <v>0</v>
      </c>
      <c r="X821" s="253">
        <f t="shared" si="4495"/>
        <v>0</v>
      </c>
      <c r="Y821" s="253">
        <f t="shared" si="4495"/>
        <v>0</v>
      </c>
      <c r="Z821" s="253">
        <f t="shared" si="4495"/>
        <v>0</v>
      </c>
      <c r="AA821" s="253">
        <f t="shared" si="4495"/>
        <v>0</v>
      </c>
      <c r="AB821" s="253">
        <f t="shared" si="4495"/>
        <v>0</v>
      </c>
      <c r="AC821" s="253">
        <f t="shared" si="4495"/>
        <v>0</v>
      </c>
      <c r="AD821" s="253">
        <f t="shared" si="4495"/>
        <v>0</v>
      </c>
      <c r="AE821" s="253">
        <f t="shared" si="4495"/>
        <v>0</v>
      </c>
      <c r="AF821" s="253">
        <f t="shared" si="4495"/>
        <v>0</v>
      </c>
      <c r="AG821" s="253">
        <f t="shared" si="4495"/>
        <v>0</v>
      </c>
      <c r="AH821" s="253">
        <f t="shared" si="4495"/>
        <v>0</v>
      </c>
      <c r="AI821" s="253">
        <f t="shared" si="4495"/>
        <v>0</v>
      </c>
      <c r="AJ821" s="253" t="e">
        <f t="shared" si="4495"/>
        <v>#VALUE!</v>
      </c>
    </row>
    <row r="822" spans="1:36">
      <c r="A822" s="6" t="s">
        <v>22</v>
      </c>
      <c r="B822" s="2" t="s">
        <v>1</v>
      </c>
      <c r="C822" s="3" t="s">
        <v>55</v>
      </c>
      <c r="E822" s="3" t="s">
        <v>16</v>
      </c>
      <c r="G822" s="137" t="s">
        <v>91</v>
      </c>
      <c r="H822" s="28"/>
      <c r="I822" s="253">
        <f t="shared" ref="I822:AJ822" si="4496">ROUND(+I754-I800,2)</f>
        <v>0</v>
      </c>
      <c r="J822" s="253">
        <f t="shared" si="4496"/>
        <v>0</v>
      </c>
      <c r="K822" s="253">
        <f t="shared" si="4496"/>
        <v>0</v>
      </c>
      <c r="L822" s="253">
        <f t="shared" si="4496"/>
        <v>0</v>
      </c>
      <c r="M822" s="253">
        <f t="shared" si="4496"/>
        <v>0</v>
      </c>
      <c r="N822" s="253">
        <f t="shared" si="4496"/>
        <v>0</v>
      </c>
      <c r="O822" s="253">
        <f t="shared" si="4496"/>
        <v>0</v>
      </c>
      <c r="P822" s="253">
        <f t="shared" si="4496"/>
        <v>0</v>
      </c>
      <c r="Q822" s="253">
        <f t="shared" si="4496"/>
        <v>0</v>
      </c>
      <c r="R822" s="253">
        <f t="shared" si="4496"/>
        <v>4</v>
      </c>
      <c r="S822" s="253">
        <f t="shared" si="4496"/>
        <v>0</v>
      </c>
      <c r="T822" s="253">
        <f t="shared" si="4496"/>
        <v>0</v>
      </c>
      <c r="U822" s="253">
        <f t="shared" si="4496"/>
        <v>0</v>
      </c>
      <c r="V822" s="253">
        <f t="shared" si="4496"/>
        <v>0</v>
      </c>
      <c r="W822" s="253">
        <f t="shared" si="4496"/>
        <v>0</v>
      </c>
      <c r="X822" s="253">
        <f t="shared" si="4496"/>
        <v>0</v>
      </c>
      <c r="Y822" s="253">
        <f t="shared" si="4496"/>
        <v>0</v>
      </c>
      <c r="Z822" s="253">
        <f t="shared" si="4496"/>
        <v>0</v>
      </c>
      <c r="AA822" s="253">
        <f t="shared" si="4496"/>
        <v>0</v>
      </c>
      <c r="AB822" s="253">
        <f t="shared" si="4496"/>
        <v>0</v>
      </c>
      <c r="AC822" s="253">
        <f t="shared" si="4496"/>
        <v>0</v>
      </c>
      <c r="AD822" s="253">
        <f t="shared" si="4496"/>
        <v>0</v>
      </c>
      <c r="AE822" s="253">
        <f t="shared" si="4496"/>
        <v>0</v>
      </c>
      <c r="AF822" s="253">
        <f t="shared" si="4496"/>
        <v>0</v>
      </c>
      <c r="AG822" s="253">
        <f t="shared" si="4496"/>
        <v>0</v>
      </c>
      <c r="AH822" s="253">
        <f t="shared" si="4496"/>
        <v>0</v>
      </c>
      <c r="AI822" s="253">
        <f t="shared" si="4496"/>
        <v>0</v>
      </c>
      <c r="AJ822" s="253" t="e">
        <f t="shared" si="4496"/>
        <v>#VALUE!</v>
      </c>
    </row>
    <row r="823" spans="1:36">
      <c r="A823" s="6" t="s">
        <v>22</v>
      </c>
      <c r="B823" s="2" t="s">
        <v>2</v>
      </c>
      <c r="C823" s="3" t="s">
        <v>56</v>
      </c>
      <c r="E823" s="3" t="s">
        <v>16</v>
      </c>
      <c r="G823" s="137" t="s">
        <v>91</v>
      </c>
      <c r="H823" s="28"/>
      <c r="I823" s="253">
        <f t="shared" ref="I823:AJ823" si="4497">ROUND(+I755-I801,2)</f>
        <v>0</v>
      </c>
      <c r="J823" s="253">
        <f t="shared" si="4497"/>
        <v>0</v>
      </c>
      <c r="K823" s="253">
        <f t="shared" si="4497"/>
        <v>0</v>
      </c>
      <c r="L823" s="253">
        <f t="shared" si="4497"/>
        <v>0</v>
      </c>
      <c r="M823" s="253">
        <f t="shared" si="4497"/>
        <v>0</v>
      </c>
      <c r="N823" s="253">
        <f t="shared" si="4497"/>
        <v>0</v>
      </c>
      <c r="O823" s="253">
        <f t="shared" si="4497"/>
        <v>0</v>
      </c>
      <c r="P823" s="253">
        <f t="shared" si="4497"/>
        <v>0</v>
      </c>
      <c r="Q823" s="253">
        <f t="shared" si="4497"/>
        <v>0</v>
      </c>
      <c r="R823" s="253">
        <f t="shared" si="4497"/>
        <v>0</v>
      </c>
      <c r="S823" s="253">
        <f t="shared" si="4497"/>
        <v>0</v>
      </c>
      <c r="T823" s="253">
        <f t="shared" si="4497"/>
        <v>0</v>
      </c>
      <c r="U823" s="253">
        <f t="shared" si="4497"/>
        <v>0</v>
      </c>
      <c r="V823" s="253">
        <f t="shared" si="4497"/>
        <v>0</v>
      </c>
      <c r="W823" s="253">
        <f t="shared" si="4497"/>
        <v>0</v>
      </c>
      <c r="X823" s="253">
        <f t="shared" si="4497"/>
        <v>1</v>
      </c>
      <c r="Y823" s="253">
        <f t="shared" si="4497"/>
        <v>0</v>
      </c>
      <c r="Z823" s="253">
        <f t="shared" si="4497"/>
        <v>0</v>
      </c>
      <c r="AA823" s="253">
        <f t="shared" si="4497"/>
        <v>0</v>
      </c>
      <c r="AB823" s="253">
        <f t="shared" si="4497"/>
        <v>0</v>
      </c>
      <c r="AC823" s="253">
        <f t="shared" si="4497"/>
        <v>0</v>
      </c>
      <c r="AD823" s="253">
        <f t="shared" si="4497"/>
        <v>0</v>
      </c>
      <c r="AE823" s="253">
        <f t="shared" si="4497"/>
        <v>0</v>
      </c>
      <c r="AF823" s="253">
        <f t="shared" si="4497"/>
        <v>0</v>
      </c>
      <c r="AG823" s="253">
        <f t="shared" si="4497"/>
        <v>0</v>
      </c>
      <c r="AH823" s="253">
        <f t="shared" si="4497"/>
        <v>0</v>
      </c>
      <c r="AI823" s="253">
        <f t="shared" si="4497"/>
        <v>0</v>
      </c>
      <c r="AJ823" s="253" t="e">
        <f t="shared" si="4497"/>
        <v>#VALUE!</v>
      </c>
    </row>
    <row r="824" spans="1:36">
      <c r="A824" s="6" t="s">
        <v>22</v>
      </c>
      <c r="B824" s="2" t="s">
        <v>3</v>
      </c>
      <c r="C824" s="3" t="s">
        <v>57</v>
      </c>
      <c r="E824" s="3" t="s">
        <v>16</v>
      </c>
      <c r="G824" s="137" t="s">
        <v>91</v>
      </c>
      <c r="H824" s="28"/>
      <c r="I824" s="253">
        <f t="shared" ref="I824:AJ824" si="4498">ROUND(+I756-I802,2)</f>
        <v>0</v>
      </c>
      <c r="J824" s="253">
        <f t="shared" si="4498"/>
        <v>0</v>
      </c>
      <c r="K824" s="253">
        <f t="shared" si="4498"/>
        <v>0</v>
      </c>
      <c r="L824" s="253">
        <f t="shared" si="4498"/>
        <v>0</v>
      </c>
      <c r="M824" s="253">
        <f t="shared" si="4498"/>
        <v>0</v>
      </c>
      <c r="N824" s="253">
        <f t="shared" si="4498"/>
        <v>0</v>
      </c>
      <c r="O824" s="253">
        <f t="shared" si="4498"/>
        <v>0</v>
      </c>
      <c r="P824" s="253">
        <f t="shared" si="4498"/>
        <v>0</v>
      </c>
      <c r="Q824" s="253">
        <f t="shared" si="4498"/>
        <v>0</v>
      </c>
      <c r="R824" s="253">
        <f t="shared" si="4498"/>
        <v>0</v>
      </c>
      <c r="S824" s="253">
        <f t="shared" si="4498"/>
        <v>0</v>
      </c>
      <c r="T824" s="253">
        <f t="shared" si="4498"/>
        <v>0</v>
      </c>
      <c r="U824" s="253">
        <f t="shared" si="4498"/>
        <v>0</v>
      </c>
      <c r="V824" s="253">
        <f t="shared" si="4498"/>
        <v>0</v>
      </c>
      <c r="W824" s="253">
        <f t="shared" si="4498"/>
        <v>0</v>
      </c>
      <c r="X824" s="253">
        <f t="shared" si="4498"/>
        <v>0</v>
      </c>
      <c r="Y824" s="253">
        <f t="shared" si="4498"/>
        <v>0</v>
      </c>
      <c r="Z824" s="253">
        <f t="shared" si="4498"/>
        <v>0</v>
      </c>
      <c r="AA824" s="253">
        <f t="shared" si="4498"/>
        <v>0</v>
      </c>
      <c r="AB824" s="253">
        <f t="shared" si="4498"/>
        <v>0</v>
      </c>
      <c r="AC824" s="253">
        <f t="shared" si="4498"/>
        <v>0</v>
      </c>
      <c r="AD824" s="253">
        <f t="shared" si="4498"/>
        <v>0</v>
      </c>
      <c r="AE824" s="253">
        <f t="shared" si="4498"/>
        <v>0</v>
      </c>
      <c r="AF824" s="253">
        <f t="shared" si="4498"/>
        <v>0</v>
      </c>
      <c r="AG824" s="253">
        <f t="shared" si="4498"/>
        <v>0</v>
      </c>
      <c r="AH824" s="253">
        <f t="shared" si="4498"/>
        <v>0</v>
      </c>
      <c r="AI824" s="253">
        <f t="shared" si="4498"/>
        <v>0</v>
      </c>
      <c r="AJ824" s="253" t="e">
        <f t="shared" si="4498"/>
        <v>#VALUE!</v>
      </c>
    </row>
    <row r="825" spans="1:36">
      <c r="A825" s="6" t="s">
        <v>22</v>
      </c>
      <c r="B825" s="2" t="s">
        <v>94</v>
      </c>
      <c r="C825" s="3" t="s">
        <v>58</v>
      </c>
      <c r="E825" s="3" t="s">
        <v>16</v>
      </c>
      <c r="G825" s="137" t="s">
        <v>91</v>
      </c>
      <c r="H825" s="28"/>
      <c r="I825" s="253">
        <f t="shared" ref="I825:AJ825" si="4499">ROUND(+I757-I803,2)</f>
        <v>0</v>
      </c>
      <c r="J825" s="253">
        <f t="shared" si="4499"/>
        <v>0</v>
      </c>
      <c r="K825" s="253">
        <f t="shared" si="4499"/>
        <v>0</v>
      </c>
      <c r="L825" s="253">
        <f t="shared" si="4499"/>
        <v>0</v>
      </c>
      <c r="M825" s="253">
        <f t="shared" si="4499"/>
        <v>0</v>
      </c>
      <c r="N825" s="253">
        <f t="shared" si="4499"/>
        <v>0</v>
      </c>
      <c r="O825" s="253">
        <f t="shared" si="4499"/>
        <v>0</v>
      </c>
      <c r="P825" s="253">
        <f t="shared" si="4499"/>
        <v>0</v>
      </c>
      <c r="Q825" s="253">
        <f t="shared" si="4499"/>
        <v>0</v>
      </c>
      <c r="R825" s="253">
        <f t="shared" si="4499"/>
        <v>0</v>
      </c>
      <c r="S825" s="253">
        <f t="shared" si="4499"/>
        <v>0</v>
      </c>
      <c r="T825" s="253">
        <f t="shared" si="4499"/>
        <v>0</v>
      </c>
      <c r="U825" s="253">
        <f t="shared" si="4499"/>
        <v>0</v>
      </c>
      <c r="V825" s="253">
        <f t="shared" si="4499"/>
        <v>0</v>
      </c>
      <c r="W825" s="253">
        <f t="shared" si="4499"/>
        <v>0</v>
      </c>
      <c r="X825" s="253">
        <f t="shared" si="4499"/>
        <v>0</v>
      </c>
      <c r="Y825" s="253">
        <f t="shared" si="4499"/>
        <v>-7.0000000000000007E-2</v>
      </c>
      <c r="Z825" s="253">
        <f t="shared" si="4499"/>
        <v>0</v>
      </c>
      <c r="AA825" s="253">
        <f t="shared" si="4499"/>
        <v>0</v>
      </c>
      <c r="AB825" s="253">
        <f t="shared" si="4499"/>
        <v>0</v>
      </c>
      <c r="AC825" s="253">
        <f t="shared" si="4499"/>
        <v>0.3</v>
      </c>
      <c r="AD825" s="253">
        <f t="shared" si="4499"/>
        <v>0</v>
      </c>
      <c r="AE825" s="253">
        <f t="shared" si="4499"/>
        <v>0</v>
      </c>
      <c r="AF825" s="253">
        <f t="shared" si="4499"/>
        <v>0</v>
      </c>
      <c r="AG825" s="253">
        <f t="shared" si="4499"/>
        <v>0</v>
      </c>
      <c r="AH825" s="253">
        <f t="shared" si="4499"/>
        <v>0</v>
      </c>
      <c r="AI825" s="253">
        <f t="shared" si="4499"/>
        <v>0</v>
      </c>
      <c r="AJ825" s="253" t="e">
        <f t="shared" si="4499"/>
        <v>#VALUE!</v>
      </c>
    </row>
    <row r="826" spans="1:36">
      <c r="A826" s="6" t="s">
        <v>23</v>
      </c>
      <c r="B826" s="2" t="s">
        <v>5</v>
      </c>
      <c r="C826" s="3" t="s">
        <v>61</v>
      </c>
      <c r="E826" s="3" t="s">
        <v>16</v>
      </c>
      <c r="G826" s="28" t="s">
        <v>91</v>
      </c>
      <c r="H826" s="28"/>
      <c r="I826" s="253">
        <f t="shared" ref="I826:AJ826" si="4500">ROUND(+I758-I804,2)</f>
        <v>0</v>
      </c>
      <c r="J826" s="253">
        <f t="shared" si="4500"/>
        <v>0</v>
      </c>
      <c r="K826" s="253">
        <f t="shared" si="4500"/>
        <v>0</v>
      </c>
      <c r="L826" s="253">
        <f t="shared" si="4500"/>
        <v>0</v>
      </c>
      <c r="M826" s="253">
        <f t="shared" si="4500"/>
        <v>0</v>
      </c>
      <c r="N826" s="253">
        <f t="shared" si="4500"/>
        <v>-3</v>
      </c>
      <c r="O826" s="253">
        <f t="shared" si="4500"/>
        <v>0</v>
      </c>
      <c r="P826" s="253">
        <f t="shared" si="4500"/>
        <v>0</v>
      </c>
      <c r="Q826" s="253">
        <f t="shared" si="4500"/>
        <v>0</v>
      </c>
      <c r="R826" s="253">
        <f t="shared" si="4500"/>
        <v>0</v>
      </c>
      <c r="S826" s="253">
        <f t="shared" si="4500"/>
        <v>0</v>
      </c>
      <c r="T826" s="253">
        <f t="shared" si="4500"/>
        <v>0</v>
      </c>
      <c r="U826" s="253">
        <f t="shared" si="4500"/>
        <v>0</v>
      </c>
      <c r="V826" s="253">
        <f t="shared" si="4500"/>
        <v>0</v>
      </c>
      <c r="W826" s="253">
        <f t="shared" si="4500"/>
        <v>0</v>
      </c>
      <c r="X826" s="253">
        <f t="shared" si="4500"/>
        <v>0</v>
      </c>
      <c r="Y826" s="253">
        <f t="shared" si="4500"/>
        <v>0</v>
      </c>
      <c r="Z826" s="253">
        <f t="shared" si="4500"/>
        <v>0</v>
      </c>
      <c r="AA826" s="253">
        <f t="shared" si="4500"/>
        <v>0</v>
      </c>
      <c r="AB826" s="253">
        <f t="shared" si="4500"/>
        <v>0</v>
      </c>
      <c r="AC826" s="253">
        <f t="shared" si="4500"/>
        <v>0</v>
      </c>
      <c r="AD826" s="253">
        <f t="shared" si="4500"/>
        <v>0</v>
      </c>
      <c r="AE826" s="253">
        <f t="shared" si="4500"/>
        <v>0</v>
      </c>
      <c r="AF826" s="253">
        <f t="shared" si="4500"/>
        <v>0</v>
      </c>
      <c r="AG826" s="253">
        <f t="shared" si="4500"/>
        <v>0</v>
      </c>
      <c r="AH826" s="253">
        <f t="shared" si="4500"/>
        <v>0</v>
      </c>
      <c r="AI826" s="253">
        <f t="shared" si="4500"/>
        <v>0</v>
      </c>
      <c r="AJ826" s="253" t="e">
        <f t="shared" si="4500"/>
        <v>#VALUE!</v>
      </c>
    </row>
    <row r="827" spans="1:36">
      <c r="A827" s="6" t="s">
        <v>23</v>
      </c>
      <c r="B827" s="2" t="s">
        <v>4</v>
      </c>
      <c r="C827" s="3" t="s">
        <v>62</v>
      </c>
      <c r="E827" s="3" t="s">
        <v>16</v>
      </c>
      <c r="G827" s="28" t="s">
        <v>91</v>
      </c>
      <c r="H827" s="28"/>
      <c r="I827" s="253">
        <f t="shared" ref="I827:AJ827" si="4501">ROUND(+I759-I805,2)</f>
        <v>0</v>
      </c>
      <c r="J827" s="253">
        <f t="shared" si="4501"/>
        <v>0</v>
      </c>
      <c r="K827" s="253">
        <f t="shared" si="4501"/>
        <v>0</v>
      </c>
      <c r="L827" s="253">
        <f t="shared" si="4501"/>
        <v>0</v>
      </c>
      <c r="M827" s="253">
        <f t="shared" si="4501"/>
        <v>0</v>
      </c>
      <c r="N827" s="253">
        <f t="shared" si="4501"/>
        <v>-7</v>
      </c>
      <c r="O827" s="253">
        <f t="shared" si="4501"/>
        <v>0</v>
      </c>
      <c r="P827" s="253">
        <f t="shared" si="4501"/>
        <v>0</v>
      </c>
      <c r="Q827" s="253">
        <f t="shared" si="4501"/>
        <v>0</v>
      </c>
      <c r="R827" s="253">
        <f t="shared" si="4501"/>
        <v>0</v>
      </c>
      <c r="S827" s="253">
        <f t="shared" si="4501"/>
        <v>0</v>
      </c>
      <c r="T827" s="253">
        <f t="shared" si="4501"/>
        <v>0</v>
      </c>
      <c r="U827" s="253">
        <f t="shared" si="4501"/>
        <v>0</v>
      </c>
      <c r="V827" s="253">
        <f t="shared" si="4501"/>
        <v>0</v>
      </c>
      <c r="W827" s="253">
        <f t="shared" si="4501"/>
        <v>-1</v>
      </c>
      <c r="X827" s="253">
        <f t="shared" si="4501"/>
        <v>0</v>
      </c>
      <c r="Y827" s="253">
        <f t="shared" si="4501"/>
        <v>0</v>
      </c>
      <c r="Z827" s="253">
        <f t="shared" si="4501"/>
        <v>0</v>
      </c>
      <c r="AA827" s="253">
        <f t="shared" si="4501"/>
        <v>0</v>
      </c>
      <c r="AB827" s="253">
        <f t="shared" si="4501"/>
        <v>0</v>
      </c>
      <c r="AC827" s="253">
        <f t="shared" si="4501"/>
        <v>0</v>
      </c>
      <c r="AD827" s="253">
        <f t="shared" si="4501"/>
        <v>0</v>
      </c>
      <c r="AE827" s="253">
        <f t="shared" si="4501"/>
        <v>0</v>
      </c>
      <c r="AF827" s="253">
        <f t="shared" si="4501"/>
        <v>0</v>
      </c>
      <c r="AG827" s="253">
        <f t="shared" si="4501"/>
        <v>0</v>
      </c>
      <c r="AH827" s="253">
        <f t="shared" si="4501"/>
        <v>0</v>
      </c>
      <c r="AI827" s="253">
        <f t="shared" si="4501"/>
        <v>0</v>
      </c>
      <c r="AJ827" s="253" t="e">
        <f t="shared" si="4501"/>
        <v>#VALUE!</v>
      </c>
    </row>
    <row r="828" spans="1:36">
      <c r="A828" s="6" t="s">
        <v>23</v>
      </c>
      <c r="B828" s="2" t="s">
        <v>162</v>
      </c>
      <c r="C828" s="3" t="s">
        <v>62</v>
      </c>
      <c r="E828" s="3" t="s">
        <v>16</v>
      </c>
      <c r="G828" s="28" t="s">
        <v>91</v>
      </c>
      <c r="H828" s="28"/>
      <c r="I828" s="253">
        <f t="shared" ref="I828:AJ828" si="4502">ROUND(+I760-I806,2)</f>
        <v>0</v>
      </c>
      <c r="J828" s="253">
        <f t="shared" si="4502"/>
        <v>0</v>
      </c>
      <c r="K828" s="253">
        <f t="shared" si="4502"/>
        <v>0</v>
      </c>
      <c r="L828" s="253">
        <f t="shared" si="4502"/>
        <v>0</v>
      </c>
      <c r="M828" s="253">
        <f t="shared" si="4502"/>
        <v>0</v>
      </c>
      <c r="N828" s="253">
        <f t="shared" si="4502"/>
        <v>0</v>
      </c>
      <c r="O828" s="253">
        <f t="shared" si="4502"/>
        <v>0</v>
      </c>
      <c r="P828" s="253">
        <f t="shared" si="4502"/>
        <v>0</v>
      </c>
      <c r="Q828" s="253">
        <f t="shared" si="4502"/>
        <v>0</v>
      </c>
      <c r="R828" s="253">
        <f t="shared" si="4502"/>
        <v>-3</v>
      </c>
      <c r="S828" s="253">
        <f t="shared" si="4502"/>
        <v>0</v>
      </c>
      <c r="T828" s="253">
        <f t="shared" si="4502"/>
        <v>0</v>
      </c>
      <c r="U828" s="253">
        <f t="shared" si="4502"/>
        <v>0</v>
      </c>
      <c r="V828" s="253">
        <f t="shared" si="4502"/>
        <v>0</v>
      </c>
      <c r="W828" s="253">
        <f t="shared" si="4502"/>
        <v>0</v>
      </c>
      <c r="X828" s="253">
        <f t="shared" si="4502"/>
        <v>0</v>
      </c>
      <c r="Y828" s="253">
        <f t="shared" si="4502"/>
        <v>0</v>
      </c>
      <c r="Z828" s="253">
        <f t="shared" si="4502"/>
        <v>0</v>
      </c>
      <c r="AA828" s="253">
        <f t="shared" si="4502"/>
        <v>0</v>
      </c>
      <c r="AB828" s="253">
        <f t="shared" si="4502"/>
        <v>0</v>
      </c>
      <c r="AC828" s="253">
        <f t="shared" si="4502"/>
        <v>0</v>
      </c>
      <c r="AD828" s="253">
        <f t="shared" si="4502"/>
        <v>0</v>
      </c>
      <c r="AE828" s="253">
        <f t="shared" si="4502"/>
        <v>0</v>
      </c>
      <c r="AF828" s="253">
        <f t="shared" si="4502"/>
        <v>0</v>
      </c>
      <c r="AG828" s="253">
        <f t="shared" si="4502"/>
        <v>0</v>
      </c>
      <c r="AH828" s="253">
        <f t="shared" si="4502"/>
        <v>0</v>
      </c>
      <c r="AI828" s="253">
        <f t="shared" si="4502"/>
        <v>0</v>
      </c>
      <c r="AJ828" s="253" t="e">
        <f t="shared" si="4502"/>
        <v>#VALUE!</v>
      </c>
    </row>
    <row r="829" spans="1:36">
      <c r="A829" s="6" t="s">
        <v>23</v>
      </c>
      <c r="B829" s="2" t="s">
        <v>163</v>
      </c>
      <c r="C829" s="3" t="s">
        <v>62</v>
      </c>
      <c r="E829" s="3" t="s">
        <v>16</v>
      </c>
      <c r="G829" s="28" t="s">
        <v>91</v>
      </c>
      <c r="H829" s="155"/>
      <c r="I829" s="253">
        <f t="shared" ref="I829:AJ829" si="4503">ROUND(+I761-I807,2)</f>
        <v>0</v>
      </c>
      <c r="J829" s="253">
        <f t="shared" si="4503"/>
        <v>0</v>
      </c>
      <c r="K829" s="253">
        <f t="shared" si="4503"/>
        <v>0</v>
      </c>
      <c r="L829" s="253">
        <f t="shared" si="4503"/>
        <v>0</v>
      </c>
      <c r="M829" s="253">
        <f t="shared" si="4503"/>
        <v>0</v>
      </c>
      <c r="N829" s="253">
        <f t="shared" si="4503"/>
        <v>0</v>
      </c>
      <c r="O829" s="253">
        <f t="shared" si="4503"/>
        <v>0</v>
      </c>
      <c r="P829" s="253">
        <f t="shared" si="4503"/>
        <v>0</v>
      </c>
      <c r="Q829" s="253">
        <f t="shared" si="4503"/>
        <v>0</v>
      </c>
      <c r="R829" s="253">
        <f t="shared" si="4503"/>
        <v>2</v>
      </c>
      <c r="S829" s="253">
        <f t="shared" si="4503"/>
        <v>0</v>
      </c>
      <c r="T829" s="253">
        <f t="shared" si="4503"/>
        <v>0</v>
      </c>
      <c r="U829" s="253">
        <f t="shared" si="4503"/>
        <v>0</v>
      </c>
      <c r="V829" s="253">
        <f t="shared" si="4503"/>
        <v>0</v>
      </c>
      <c r="W829" s="253">
        <f t="shared" si="4503"/>
        <v>0</v>
      </c>
      <c r="X829" s="253">
        <f t="shared" si="4503"/>
        <v>0</v>
      </c>
      <c r="Y829" s="253">
        <f t="shared" si="4503"/>
        <v>0</v>
      </c>
      <c r="Z829" s="253">
        <f t="shared" si="4503"/>
        <v>0</v>
      </c>
      <c r="AA829" s="253">
        <f t="shared" si="4503"/>
        <v>0</v>
      </c>
      <c r="AB829" s="253">
        <f t="shared" si="4503"/>
        <v>0</v>
      </c>
      <c r="AC829" s="253">
        <f t="shared" si="4503"/>
        <v>0</v>
      </c>
      <c r="AD829" s="253">
        <f t="shared" si="4503"/>
        <v>0</v>
      </c>
      <c r="AE829" s="253">
        <f t="shared" si="4503"/>
        <v>0</v>
      </c>
      <c r="AF829" s="253">
        <f t="shared" si="4503"/>
        <v>0</v>
      </c>
      <c r="AG829" s="253">
        <f t="shared" si="4503"/>
        <v>0</v>
      </c>
      <c r="AH829" s="253">
        <f t="shared" si="4503"/>
        <v>0</v>
      </c>
      <c r="AI829" s="253">
        <f t="shared" si="4503"/>
        <v>0</v>
      </c>
      <c r="AJ829" s="253" t="e">
        <f t="shared" si="4503"/>
        <v>#VALUE!</v>
      </c>
    </row>
    <row r="830" spans="1:36">
      <c r="A830" s="6" t="s">
        <v>23</v>
      </c>
      <c r="B830" s="2" t="s">
        <v>6</v>
      </c>
      <c r="C830" s="3" t="s">
        <v>63</v>
      </c>
      <c r="E830" s="3" t="s">
        <v>16</v>
      </c>
      <c r="G830" s="28" t="s">
        <v>89</v>
      </c>
      <c r="H830" s="28"/>
      <c r="I830" s="253">
        <f t="shared" ref="I830:AJ830" si="4504">ROUND(+I762-I808,2)</f>
        <v>0</v>
      </c>
      <c r="J830" s="253">
        <f t="shared" si="4504"/>
        <v>0</v>
      </c>
      <c r="K830" s="253">
        <f t="shared" si="4504"/>
        <v>0</v>
      </c>
      <c r="L830" s="253">
        <f t="shared" si="4504"/>
        <v>0</v>
      </c>
      <c r="M830" s="253">
        <f t="shared" si="4504"/>
        <v>0</v>
      </c>
      <c r="N830" s="253">
        <f t="shared" si="4504"/>
        <v>0</v>
      </c>
      <c r="O830" s="253">
        <f t="shared" si="4504"/>
        <v>0</v>
      </c>
      <c r="P830" s="253">
        <f t="shared" si="4504"/>
        <v>0</v>
      </c>
      <c r="Q830" s="253">
        <f t="shared" si="4504"/>
        <v>0</v>
      </c>
      <c r="R830" s="253">
        <f t="shared" si="4504"/>
        <v>-1</v>
      </c>
      <c r="S830" s="253">
        <f t="shared" si="4504"/>
        <v>0</v>
      </c>
      <c r="T830" s="253">
        <f t="shared" si="4504"/>
        <v>0</v>
      </c>
      <c r="U830" s="253">
        <f t="shared" si="4504"/>
        <v>0</v>
      </c>
      <c r="V830" s="253">
        <f t="shared" si="4504"/>
        <v>0</v>
      </c>
      <c r="W830" s="253">
        <f t="shared" si="4504"/>
        <v>0</v>
      </c>
      <c r="X830" s="253">
        <f t="shared" si="4504"/>
        <v>0</v>
      </c>
      <c r="Y830" s="253">
        <f t="shared" si="4504"/>
        <v>2</v>
      </c>
      <c r="Z830" s="253">
        <f t="shared" si="4504"/>
        <v>-1</v>
      </c>
      <c r="AA830" s="253">
        <f t="shared" si="4504"/>
        <v>0</v>
      </c>
      <c r="AB830" s="253">
        <f t="shared" si="4504"/>
        <v>0</v>
      </c>
      <c r="AC830" s="253">
        <f t="shared" si="4504"/>
        <v>1</v>
      </c>
      <c r="AD830" s="253">
        <f t="shared" si="4504"/>
        <v>0</v>
      </c>
      <c r="AE830" s="253">
        <f t="shared" si="4504"/>
        <v>0</v>
      </c>
      <c r="AF830" s="253">
        <f t="shared" si="4504"/>
        <v>0</v>
      </c>
      <c r="AG830" s="253">
        <f t="shared" si="4504"/>
        <v>19</v>
      </c>
      <c r="AH830" s="253">
        <f t="shared" si="4504"/>
        <v>0</v>
      </c>
      <c r="AI830" s="253">
        <f t="shared" si="4504"/>
        <v>0</v>
      </c>
      <c r="AJ830" s="253" t="e">
        <f t="shared" si="4504"/>
        <v>#VALUE!</v>
      </c>
    </row>
    <row r="831" spans="1:36">
      <c r="A831" s="15" t="s">
        <v>23</v>
      </c>
      <c r="B831" s="14" t="s">
        <v>7</v>
      </c>
      <c r="C831" s="16" t="s">
        <v>64</v>
      </c>
      <c r="D831" s="16"/>
      <c r="E831" s="16" t="s">
        <v>16</v>
      </c>
      <c r="F831" s="16"/>
      <c r="G831" s="146" t="s">
        <v>89</v>
      </c>
      <c r="H831" s="146"/>
      <c r="I831" s="253">
        <f t="shared" ref="I831:AJ831" si="4505">ROUND(+I763-I809,2)</f>
        <v>0</v>
      </c>
      <c r="J831" s="253">
        <f t="shared" si="4505"/>
        <v>0</v>
      </c>
      <c r="K831" s="253">
        <f t="shared" si="4505"/>
        <v>0</v>
      </c>
      <c r="L831" s="253">
        <f t="shared" si="4505"/>
        <v>0</v>
      </c>
      <c r="M831" s="253">
        <f t="shared" si="4505"/>
        <v>0</v>
      </c>
      <c r="N831" s="253">
        <f t="shared" si="4505"/>
        <v>0</v>
      </c>
      <c r="O831" s="253">
        <f t="shared" si="4505"/>
        <v>0</v>
      </c>
      <c r="P831" s="253">
        <f t="shared" si="4505"/>
        <v>0</v>
      </c>
      <c r="Q831" s="253">
        <f t="shared" si="4505"/>
        <v>0</v>
      </c>
      <c r="R831" s="253">
        <f t="shared" si="4505"/>
        <v>0.03</v>
      </c>
      <c r="S831" s="253">
        <f t="shared" si="4505"/>
        <v>0</v>
      </c>
      <c r="T831" s="253">
        <f t="shared" si="4505"/>
        <v>0</v>
      </c>
      <c r="U831" s="253">
        <f t="shared" si="4505"/>
        <v>0</v>
      </c>
      <c r="V831" s="253">
        <f t="shared" si="4505"/>
        <v>0</v>
      </c>
      <c r="W831" s="253">
        <f t="shared" si="4505"/>
        <v>0</v>
      </c>
      <c r="X831" s="253">
        <f t="shared" si="4505"/>
        <v>0</v>
      </c>
      <c r="Y831" s="253">
        <f t="shared" si="4505"/>
        <v>0</v>
      </c>
      <c r="Z831" s="253">
        <f t="shared" si="4505"/>
        <v>0</v>
      </c>
      <c r="AA831" s="253">
        <f t="shared" si="4505"/>
        <v>0</v>
      </c>
      <c r="AB831" s="253">
        <f t="shared" si="4505"/>
        <v>0</v>
      </c>
      <c r="AC831" s="253">
        <f t="shared" si="4505"/>
        <v>0</v>
      </c>
      <c r="AD831" s="253">
        <f t="shared" si="4505"/>
        <v>0</v>
      </c>
      <c r="AE831" s="253">
        <f t="shared" si="4505"/>
        <v>0</v>
      </c>
      <c r="AF831" s="253">
        <f t="shared" si="4505"/>
        <v>0</v>
      </c>
      <c r="AG831" s="253">
        <f t="shared" si="4505"/>
        <v>0.01</v>
      </c>
      <c r="AH831" s="253">
        <f t="shared" si="4505"/>
        <v>0</v>
      </c>
      <c r="AI831" s="253">
        <f t="shared" si="4505"/>
        <v>0</v>
      </c>
      <c r="AJ831" s="253" t="e">
        <f t="shared" si="4505"/>
        <v>#VALUE!</v>
      </c>
    </row>
    <row r="832" spans="1:36">
      <c r="A832" s="6" t="s">
        <v>23</v>
      </c>
      <c r="B832" s="2" t="s">
        <v>8</v>
      </c>
      <c r="C832" s="3" t="s">
        <v>87</v>
      </c>
      <c r="E832" s="3" t="s">
        <v>16</v>
      </c>
      <c r="G832" s="28" t="s">
        <v>91</v>
      </c>
      <c r="H832" s="28"/>
      <c r="I832" s="253">
        <f t="shared" ref="I832:AJ832" si="4506">ROUND(+I764-I810,2)</f>
        <v>0</v>
      </c>
      <c r="J832" s="253">
        <f t="shared" si="4506"/>
        <v>0</v>
      </c>
      <c r="K832" s="253">
        <f t="shared" si="4506"/>
        <v>0</v>
      </c>
      <c r="L832" s="253">
        <f t="shared" si="4506"/>
        <v>0</v>
      </c>
      <c r="M832" s="253">
        <f t="shared" si="4506"/>
        <v>0</v>
      </c>
      <c r="N832" s="253">
        <f t="shared" si="4506"/>
        <v>0</v>
      </c>
      <c r="O832" s="253">
        <f t="shared" si="4506"/>
        <v>0</v>
      </c>
      <c r="P832" s="253">
        <f t="shared" si="4506"/>
        <v>0</v>
      </c>
      <c r="Q832" s="253">
        <f t="shared" si="4506"/>
        <v>0</v>
      </c>
      <c r="R832" s="253">
        <f t="shared" si="4506"/>
        <v>0</v>
      </c>
      <c r="S832" s="253">
        <f t="shared" si="4506"/>
        <v>0</v>
      </c>
      <c r="T832" s="253">
        <f t="shared" si="4506"/>
        <v>0</v>
      </c>
      <c r="U832" s="253">
        <f t="shared" si="4506"/>
        <v>0</v>
      </c>
      <c r="V832" s="253">
        <f t="shared" si="4506"/>
        <v>-10</v>
      </c>
      <c r="W832" s="253">
        <f t="shared" si="4506"/>
        <v>15</v>
      </c>
      <c r="X832" s="253">
        <f t="shared" si="4506"/>
        <v>0</v>
      </c>
      <c r="Y832" s="253">
        <f t="shared" si="4506"/>
        <v>0</v>
      </c>
      <c r="Z832" s="253">
        <f t="shared" si="4506"/>
        <v>0</v>
      </c>
      <c r="AA832" s="253">
        <f t="shared" si="4506"/>
        <v>0</v>
      </c>
      <c r="AB832" s="253">
        <f t="shared" si="4506"/>
        <v>0</v>
      </c>
      <c r="AC832" s="253">
        <f t="shared" si="4506"/>
        <v>0</v>
      </c>
      <c r="AD832" s="253">
        <f t="shared" si="4506"/>
        <v>0</v>
      </c>
      <c r="AE832" s="253">
        <f t="shared" si="4506"/>
        <v>0</v>
      </c>
      <c r="AF832" s="253">
        <f t="shared" si="4506"/>
        <v>0</v>
      </c>
      <c r="AG832" s="253">
        <f t="shared" si="4506"/>
        <v>0</v>
      </c>
      <c r="AH832" s="253">
        <f t="shared" si="4506"/>
        <v>0</v>
      </c>
      <c r="AI832" s="253">
        <f t="shared" si="4506"/>
        <v>0</v>
      </c>
      <c r="AJ832" s="253" t="e">
        <f t="shared" si="4506"/>
        <v>#VALUE!</v>
      </c>
    </row>
    <row r="833" spans="1:134">
      <c r="A833" s="6" t="s">
        <v>23</v>
      </c>
      <c r="B833" s="2" t="s">
        <v>9</v>
      </c>
      <c r="C833" s="3" t="s">
        <v>65</v>
      </c>
      <c r="E833" s="3" t="s">
        <v>16</v>
      </c>
      <c r="G833" s="28" t="s">
        <v>91</v>
      </c>
      <c r="H833" s="28"/>
      <c r="I833" s="253">
        <f t="shared" ref="I833:AJ833" si="4507">ROUND(+I765-I811,2)</f>
        <v>0</v>
      </c>
      <c r="J833" s="253">
        <f t="shared" si="4507"/>
        <v>0</v>
      </c>
      <c r="K833" s="253">
        <f t="shared" si="4507"/>
        <v>0</v>
      </c>
      <c r="L833" s="253">
        <f t="shared" si="4507"/>
        <v>0</v>
      </c>
      <c r="M833" s="253">
        <f t="shared" si="4507"/>
        <v>0</v>
      </c>
      <c r="N833" s="253">
        <f t="shared" si="4507"/>
        <v>0</v>
      </c>
      <c r="O833" s="253">
        <f t="shared" si="4507"/>
        <v>-0.01</v>
      </c>
      <c r="P833" s="253">
        <f t="shared" si="4507"/>
        <v>-0.01</v>
      </c>
      <c r="Q833" s="253">
        <f t="shared" si="4507"/>
        <v>0</v>
      </c>
      <c r="R833" s="253">
        <f t="shared" si="4507"/>
        <v>0</v>
      </c>
      <c r="S833" s="253">
        <f t="shared" si="4507"/>
        <v>0</v>
      </c>
      <c r="T833" s="253">
        <f t="shared" si="4507"/>
        <v>0</v>
      </c>
      <c r="U833" s="253">
        <f t="shared" si="4507"/>
        <v>0</v>
      </c>
      <c r="V833" s="253">
        <f t="shared" si="4507"/>
        <v>-0.01</v>
      </c>
      <c r="W833" s="253">
        <f t="shared" si="4507"/>
        <v>0</v>
      </c>
      <c r="X833" s="253">
        <f t="shared" si="4507"/>
        <v>-0.01</v>
      </c>
      <c r="Y833" s="253">
        <f t="shared" si="4507"/>
        <v>0</v>
      </c>
      <c r="Z833" s="253">
        <f t="shared" si="4507"/>
        <v>0</v>
      </c>
      <c r="AA833" s="253">
        <f t="shared" si="4507"/>
        <v>0</v>
      </c>
      <c r="AB833" s="253">
        <f t="shared" si="4507"/>
        <v>0</v>
      </c>
      <c r="AC833" s="253">
        <f t="shared" si="4507"/>
        <v>0</v>
      </c>
      <c r="AD833" s="253">
        <f t="shared" si="4507"/>
        <v>0</v>
      </c>
      <c r="AE833" s="253">
        <f t="shared" si="4507"/>
        <v>0</v>
      </c>
      <c r="AF833" s="253">
        <f t="shared" si="4507"/>
        <v>0</v>
      </c>
      <c r="AG833" s="253">
        <f t="shared" si="4507"/>
        <v>0</v>
      </c>
      <c r="AH833" s="253">
        <f t="shared" si="4507"/>
        <v>0</v>
      </c>
      <c r="AI833" s="253">
        <f t="shared" si="4507"/>
        <v>0</v>
      </c>
      <c r="AJ833" s="253" t="e">
        <f t="shared" si="4507"/>
        <v>#VALUE!</v>
      </c>
    </row>
    <row r="834" spans="1:134">
      <c r="A834" s="6" t="s">
        <v>23</v>
      </c>
      <c r="B834" s="2" t="s">
        <v>10</v>
      </c>
      <c r="C834" s="3" t="s">
        <v>66</v>
      </c>
      <c r="E834" s="3" t="s">
        <v>16</v>
      </c>
      <c r="G834" s="28" t="s">
        <v>91</v>
      </c>
      <c r="H834" s="28"/>
      <c r="I834" s="253">
        <f t="shared" ref="I834:AJ834" si="4508">ROUND(+I766-I812,2)</f>
        <v>0</v>
      </c>
      <c r="J834" s="253">
        <f t="shared" si="4508"/>
        <v>0</v>
      </c>
      <c r="K834" s="253">
        <f t="shared" si="4508"/>
        <v>0</v>
      </c>
      <c r="L834" s="253">
        <f t="shared" si="4508"/>
        <v>0</v>
      </c>
      <c r="M834" s="253">
        <f t="shared" si="4508"/>
        <v>0</v>
      </c>
      <c r="N834" s="253">
        <f t="shared" si="4508"/>
        <v>0</v>
      </c>
      <c r="O834" s="253">
        <f t="shared" si="4508"/>
        <v>0</v>
      </c>
      <c r="P834" s="253">
        <f t="shared" si="4508"/>
        <v>0</v>
      </c>
      <c r="Q834" s="253">
        <f t="shared" si="4508"/>
        <v>0</v>
      </c>
      <c r="R834" s="253">
        <f t="shared" si="4508"/>
        <v>0</v>
      </c>
      <c r="S834" s="253">
        <f t="shared" si="4508"/>
        <v>0</v>
      </c>
      <c r="T834" s="253">
        <f t="shared" si="4508"/>
        <v>0</v>
      </c>
      <c r="U834" s="253">
        <f t="shared" si="4508"/>
        <v>0</v>
      </c>
      <c r="V834" s="253">
        <f t="shared" si="4508"/>
        <v>-19.600000000000001</v>
      </c>
      <c r="W834" s="253">
        <f t="shared" si="4508"/>
        <v>0</v>
      </c>
      <c r="X834" s="253">
        <f t="shared" si="4508"/>
        <v>0</v>
      </c>
      <c r="Y834" s="253">
        <f t="shared" si="4508"/>
        <v>30</v>
      </c>
      <c r="Z834" s="253">
        <f t="shared" si="4508"/>
        <v>0</v>
      </c>
      <c r="AA834" s="253">
        <f t="shared" si="4508"/>
        <v>0</v>
      </c>
      <c r="AB834" s="253">
        <f t="shared" si="4508"/>
        <v>0</v>
      </c>
      <c r="AC834" s="253">
        <f t="shared" si="4508"/>
        <v>0</v>
      </c>
      <c r="AD834" s="253">
        <f t="shared" si="4508"/>
        <v>0</v>
      </c>
      <c r="AE834" s="253">
        <f t="shared" si="4508"/>
        <v>0</v>
      </c>
      <c r="AF834" s="253">
        <f t="shared" si="4508"/>
        <v>0</v>
      </c>
      <c r="AG834" s="253">
        <f t="shared" si="4508"/>
        <v>0</v>
      </c>
      <c r="AH834" s="253">
        <f t="shared" si="4508"/>
        <v>0</v>
      </c>
      <c r="AI834" s="253">
        <f t="shared" si="4508"/>
        <v>0</v>
      </c>
      <c r="AJ834" s="253" t="e">
        <f t="shared" si="4508"/>
        <v>#VALUE!</v>
      </c>
    </row>
    <row r="835" spans="1:134">
      <c r="A835" s="6" t="s">
        <v>23</v>
      </c>
      <c r="B835" s="2" t="s">
        <v>11</v>
      </c>
      <c r="C835" s="3" t="s">
        <v>67</v>
      </c>
      <c r="E835" s="3" t="s">
        <v>16</v>
      </c>
      <c r="G835" s="28" t="s">
        <v>91</v>
      </c>
      <c r="H835" s="28"/>
      <c r="I835" s="253">
        <f t="shared" ref="I835:AJ835" si="4509">ROUND(+I767-I813,2)</f>
        <v>0</v>
      </c>
      <c r="J835" s="253">
        <f t="shared" si="4509"/>
        <v>0</v>
      </c>
      <c r="K835" s="253">
        <f t="shared" si="4509"/>
        <v>0</v>
      </c>
      <c r="L835" s="253">
        <f t="shared" si="4509"/>
        <v>0</v>
      </c>
      <c r="M835" s="253">
        <f t="shared" si="4509"/>
        <v>0</v>
      </c>
      <c r="N835" s="253">
        <f t="shared" si="4509"/>
        <v>0</v>
      </c>
      <c r="O835" s="253">
        <f t="shared" si="4509"/>
        <v>0</v>
      </c>
      <c r="P835" s="253">
        <f t="shared" si="4509"/>
        <v>0</v>
      </c>
      <c r="Q835" s="253">
        <f t="shared" si="4509"/>
        <v>0</v>
      </c>
      <c r="R835" s="253">
        <f t="shared" si="4509"/>
        <v>0</v>
      </c>
      <c r="S835" s="253">
        <f t="shared" si="4509"/>
        <v>0</v>
      </c>
      <c r="T835" s="253">
        <f t="shared" si="4509"/>
        <v>0</v>
      </c>
      <c r="U835" s="253">
        <f t="shared" si="4509"/>
        <v>0</v>
      </c>
      <c r="V835" s="253">
        <f t="shared" si="4509"/>
        <v>0</v>
      </c>
      <c r="W835" s="253">
        <f t="shared" si="4509"/>
        <v>0</v>
      </c>
      <c r="X835" s="253">
        <f t="shared" si="4509"/>
        <v>0</v>
      </c>
      <c r="Y835" s="253">
        <f t="shared" si="4509"/>
        <v>0</v>
      </c>
      <c r="Z835" s="253">
        <f t="shared" si="4509"/>
        <v>0</v>
      </c>
      <c r="AA835" s="253">
        <f t="shared" si="4509"/>
        <v>0</v>
      </c>
      <c r="AB835" s="253">
        <f t="shared" si="4509"/>
        <v>0</v>
      </c>
      <c r="AC835" s="253">
        <f t="shared" si="4509"/>
        <v>0</v>
      </c>
      <c r="AD835" s="253">
        <f t="shared" si="4509"/>
        <v>0</v>
      </c>
      <c r="AE835" s="253">
        <f t="shared" si="4509"/>
        <v>0</v>
      </c>
      <c r="AF835" s="253">
        <f t="shared" si="4509"/>
        <v>0</v>
      </c>
      <c r="AG835" s="253">
        <f t="shared" si="4509"/>
        <v>0</v>
      </c>
      <c r="AH835" s="253">
        <f t="shared" si="4509"/>
        <v>0</v>
      </c>
      <c r="AI835" s="253">
        <f t="shared" si="4509"/>
        <v>0</v>
      </c>
      <c r="AJ835" s="253" t="e">
        <f t="shared" si="4509"/>
        <v>#VALUE!</v>
      </c>
    </row>
    <row r="836" spans="1:134">
      <c r="A836" s="6" t="s">
        <v>23</v>
      </c>
      <c r="B836" s="2" t="s">
        <v>12</v>
      </c>
      <c r="C836" s="3" t="s">
        <v>68</v>
      </c>
      <c r="E836" s="3" t="s">
        <v>16</v>
      </c>
      <c r="G836" s="28" t="s">
        <v>91</v>
      </c>
      <c r="H836" s="28"/>
      <c r="I836" s="253">
        <f t="shared" ref="I836:AJ836" si="4510">ROUND(+I768-I814,2)</f>
        <v>0</v>
      </c>
      <c r="J836" s="253">
        <f t="shared" si="4510"/>
        <v>0</v>
      </c>
      <c r="K836" s="253">
        <f t="shared" si="4510"/>
        <v>0</v>
      </c>
      <c r="L836" s="253">
        <f t="shared" si="4510"/>
        <v>0</v>
      </c>
      <c r="M836" s="253">
        <f t="shared" si="4510"/>
        <v>0</v>
      </c>
      <c r="N836" s="253">
        <f t="shared" si="4510"/>
        <v>0</v>
      </c>
      <c r="O836" s="253">
        <f t="shared" si="4510"/>
        <v>0</v>
      </c>
      <c r="P836" s="253">
        <f t="shared" si="4510"/>
        <v>0</v>
      </c>
      <c r="Q836" s="253">
        <f t="shared" si="4510"/>
        <v>0</v>
      </c>
      <c r="R836" s="253">
        <f t="shared" si="4510"/>
        <v>0</v>
      </c>
      <c r="S836" s="253">
        <f t="shared" si="4510"/>
        <v>0</v>
      </c>
      <c r="T836" s="253">
        <f t="shared" si="4510"/>
        <v>0</v>
      </c>
      <c r="U836" s="253">
        <f t="shared" si="4510"/>
        <v>0</v>
      </c>
      <c r="V836" s="253">
        <f t="shared" si="4510"/>
        <v>0</v>
      </c>
      <c r="W836" s="253">
        <f t="shared" si="4510"/>
        <v>0</v>
      </c>
      <c r="X836" s="253">
        <f t="shared" si="4510"/>
        <v>0</v>
      </c>
      <c r="Y836" s="253">
        <f t="shared" si="4510"/>
        <v>0</v>
      </c>
      <c r="Z836" s="253">
        <f t="shared" si="4510"/>
        <v>0</v>
      </c>
      <c r="AA836" s="253">
        <f t="shared" si="4510"/>
        <v>0</v>
      </c>
      <c r="AB836" s="253">
        <f t="shared" si="4510"/>
        <v>0</v>
      </c>
      <c r="AC836" s="253">
        <f t="shared" si="4510"/>
        <v>0</v>
      </c>
      <c r="AD836" s="253">
        <f t="shared" si="4510"/>
        <v>0</v>
      </c>
      <c r="AE836" s="253">
        <f t="shared" si="4510"/>
        <v>0</v>
      </c>
      <c r="AF836" s="253">
        <f t="shared" si="4510"/>
        <v>0</v>
      </c>
      <c r="AG836" s="253">
        <f t="shared" si="4510"/>
        <v>0</v>
      </c>
      <c r="AH836" s="253">
        <f t="shared" si="4510"/>
        <v>0</v>
      </c>
      <c r="AI836" s="253">
        <f t="shared" si="4510"/>
        <v>0</v>
      </c>
      <c r="AJ836" s="253" t="e">
        <f t="shared" si="4510"/>
        <v>#VALUE!</v>
      </c>
    </row>
    <row r="837" spans="1:134">
      <c r="A837" s="6" t="s">
        <v>23</v>
      </c>
      <c r="B837" s="2" t="s">
        <v>17</v>
      </c>
      <c r="C837" s="3" t="s">
        <v>69</v>
      </c>
      <c r="E837" s="3" t="s">
        <v>18</v>
      </c>
      <c r="G837" s="28" t="s">
        <v>91</v>
      </c>
      <c r="H837" s="28"/>
      <c r="I837" s="253">
        <f t="shared" ref="I837:AJ837" si="4511">ROUND(+I769-I815,2)</f>
        <v>0</v>
      </c>
      <c r="J837" s="253">
        <f t="shared" si="4511"/>
        <v>0</v>
      </c>
      <c r="K837" s="253">
        <f t="shared" si="4511"/>
        <v>0</v>
      </c>
      <c r="L837" s="253">
        <f t="shared" si="4511"/>
        <v>2</v>
      </c>
      <c r="M837" s="253">
        <f t="shared" si="4511"/>
        <v>2</v>
      </c>
      <c r="N837" s="253">
        <f t="shared" si="4511"/>
        <v>2</v>
      </c>
      <c r="O837" s="253">
        <f t="shared" si="4511"/>
        <v>1</v>
      </c>
      <c r="P837" s="253">
        <f t="shared" si="4511"/>
        <v>20</v>
      </c>
      <c r="Q837" s="253">
        <f t="shared" si="4511"/>
        <v>0</v>
      </c>
      <c r="R837" s="253">
        <f t="shared" si="4511"/>
        <v>0</v>
      </c>
      <c r="S837" s="253">
        <f t="shared" si="4511"/>
        <v>0</v>
      </c>
      <c r="T837" s="253">
        <f t="shared" si="4511"/>
        <v>0</v>
      </c>
      <c r="U837" s="253">
        <f t="shared" si="4511"/>
        <v>0</v>
      </c>
      <c r="V837" s="253">
        <f t="shared" si="4511"/>
        <v>0</v>
      </c>
      <c r="W837" s="253">
        <f t="shared" si="4511"/>
        <v>0</v>
      </c>
      <c r="X837" s="253">
        <f t="shared" si="4511"/>
        <v>0</v>
      </c>
      <c r="Y837" s="253">
        <f t="shared" si="4511"/>
        <v>0</v>
      </c>
      <c r="Z837" s="253">
        <f t="shared" si="4511"/>
        <v>0</v>
      </c>
      <c r="AA837" s="253">
        <f t="shared" si="4511"/>
        <v>0</v>
      </c>
      <c r="AB837" s="253">
        <f t="shared" si="4511"/>
        <v>0</v>
      </c>
      <c r="AC837" s="253">
        <f t="shared" si="4511"/>
        <v>0</v>
      </c>
      <c r="AD837" s="253">
        <f t="shared" si="4511"/>
        <v>0</v>
      </c>
      <c r="AE837" s="253">
        <f t="shared" si="4511"/>
        <v>0</v>
      </c>
      <c r="AF837" s="253" t="e">
        <f t="shared" si="4511"/>
        <v>#VALUE!</v>
      </c>
      <c r="AG837" s="253">
        <f t="shared" si="4511"/>
        <v>0</v>
      </c>
      <c r="AH837" s="253" t="e">
        <f t="shared" si="4511"/>
        <v>#VALUE!</v>
      </c>
      <c r="AI837" s="253" t="e">
        <f t="shared" si="4511"/>
        <v>#VALUE!</v>
      </c>
      <c r="AJ837" s="253" t="e">
        <f t="shared" si="4511"/>
        <v>#VALUE!</v>
      </c>
    </row>
    <row r="838" spans="1:134">
      <c r="A838" s="6" t="s">
        <v>23</v>
      </c>
      <c r="B838" s="324" t="s">
        <v>202</v>
      </c>
      <c r="C838" s="3" t="s">
        <v>70</v>
      </c>
      <c r="E838" s="3" t="s">
        <v>15</v>
      </c>
      <c r="G838" s="28" t="s">
        <v>91</v>
      </c>
      <c r="H838" s="28"/>
      <c r="I838" s="253">
        <f t="shared" ref="I838:AJ838" si="4512">ROUND(+I770-I816,2)</f>
        <v>0</v>
      </c>
      <c r="J838" s="253">
        <f t="shared" si="4512"/>
        <v>0</v>
      </c>
      <c r="K838" s="253">
        <f t="shared" si="4512"/>
        <v>0</v>
      </c>
      <c r="L838" s="253">
        <f t="shared" si="4512"/>
        <v>0</v>
      </c>
      <c r="M838" s="253">
        <f t="shared" si="4512"/>
        <v>0</v>
      </c>
      <c r="N838" s="253">
        <f t="shared" si="4512"/>
        <v>0</v>
      </c>
      <c r="O838" s="253">
        <f t="shared" si="4512"/>
        <v>-5</v>
      </c>
      <c r="P838" s="253">
        <f t="shared" si="4512"/>
        <v>-4</v>
      </c>
      <c r="Q838" s="253">
        <f t="shared" si="4512"/>
        <v>-4</v>
      </c>
      <c r="R838" s="253">
        <f t="shared" si="4512"/>
        <v>0</v>
      </c>
      <c r="S838" s="253">
        <f t="shared" si="4512"/>
        <v>-2</v>
      </c>
      <c r="T838" s="253">
        <f t="shared" si="4512"/>
        <v>-2</v>
      </c>
      <c r="U838" s="253">
        <f t="shared" si="4512"/>
        <v>0</v>
      </c>
      <c r="V838" s="253">
        <f t="shared" si="4512"/>
        <v>0</v>
      </c>
      <c r="W838" s="253">
        <f t="shared" si="4512"/>
        <v>0</v>
      </c>
      <c r="X838" s="253">
        <f t="shared" si="4512"/>
        <v>0</v>
      </c>
      <c r="Y838" s="253">
        <f t="shared" si="4512"/>
        <v>0</v>
      </c>
      <c r="Z838" s="253">
        <f t="shared" si="4512"/>
        <v>0</v>
      </c>
      <c r="AA838" s="253">
        <f t="shared" si="4512"/>
        <v>0</v>
      </c>
      <c r="AB838" s="253">
        <f t="shared" si="4512"/>
        <v>0</v>
      </c>
      <c r="AC838" s="253">
        <f t="shared" si="4512"/>
        <v>0</v>
      </c>
      <c r="AD838" s="253">
        <f t="shared" si="4512"/>
        <v>0</v>
      </c>
      <c r="AE838" s="253">
        <f t="shared" si="4512"/>
        <v>0</v>
      </c>
      <c r="AF838" s="253">
        <f t="shared" si="4512"/>
        <v>0</v>
      </c>
      <c r="AG838" s="253" t="e">
        <f t="shared" si="4512"/>
        <v>#VALUE!</v>
      </c>
      <c r="AH838" s="253" t="e">
        <f t="shared" si="4512"/>
        <v>#VALUE!</v>
      </c>
      <c r="AI838" s="253" t="e">
        <f t="shared" si="4512"/>
        <v>#VALUE!</v>
      </c>
      <c r="AJ838" s="253" t="e">
        <f t="shared" si="4512"/>
        <v>#VALUE!</v>
      </c>
    </row>
    <row r="839" spans="1:134">
      <c r="A839" s="6" t="s">
        <v>23</v>
      </c>
      <c r="B839" s="2" t="s">
        <v>13</v>
      </c>
      <c r="C839" s="3" t="s">
        <v>71</v>
      </c>
      <c r="E839" s="3" t="s">
        <v>15</v>
      </c>
      <c r="G839" s="28" t="s">
        <v>91</v>
      </c>
      <c r="H839" s="28"/>
      <c r="I839" s="253">
        <f t="shared" ref="I839:K840" si="4513">ROUND(+I771-I817,2)</f>
        <v>0</v>
      </c>
      <c r="J839" s="253">
        <f t="shared" si="4513"/>
        <v>0</v>
      </c>
      <c r="K839" s="253">
        <f t="shared" si="4513"/>
        <v>0</v>
      </c>
      <c r="L839" s="253">
        <f t="shared" ref="L839:N840" si="4514">ROUND(+L771-L817,1)</f>
        <v>-105671</v>
      </c>
      <c r="M839" s="253">
        <f t="shared" si="4514"/>
        <v>-105671</v>
      </c>
      <c r="N839" s="253">
        <f t="shared" si="4514"/>
        <v>-105671</v>
      </c>
      <c r="O839" s="253">
        <f t="shared" ref="O839:AJ839" si="4515">ROUND(+O771-O817,1)</f>
        <v>-0.2</v>
      </c>
      <c r="P839" s="253">
        <f t="shared" si="4515"/>
        <v>0</v>
      </c>
      <c r="Q839" s="253">
        <f t="shared" si="4515"/>
        <v>-0.3</v>
      </c>
      <c r="R839" s="253">
        <f t="shared" si="4515"/>
        <v>0</v>
      </c>
      <c r="S839" s="253">
        <f t="shared" si="4515"/>
        <v>-0.2</v>
      </c>
      <c r="T839" s="253">
        <f t="shared" si="4515"/>
        <v>-0.2</v>
      </c>
      <c r="U839" s="253">
        <f t="shared" si="4515"/>
        <v>-0.2</v>
      </c>
      <c r="V839" s="253">
        <f t="shared" si="4515"/>
        <v>0</v>
      </c>
      <c r="W839" s="253">
        <f t="shared" si="4515"/>
        <v>0</v>
      </c>
      <c r="X839" s="253">
        <f t="shared" si="4515"/>
        <v>0</v>
      </c>
      <c r="Y839" s="253">
        <f t="shared" si="4515"/>
        <v>0</v>
      </c>
      <c r="Z839" s="253">
        <f t="shared" si="4515"/>
        <v>0</v>
      </c>
      <c r="AA839" s="253">
        <f t="shared" si="4515"/>
        <v>0</v>
      </c>
      <c r="AB839" s="253">
        <f t="shared" si="4515"/>
        <v>0.3</v>
      </c>
      <c r="AC839" s="253">
        <f t="shared" si="4515"/>
        <v>0</v>
      </c>
      <c r="AD839" s="253">
        <f t="shared" si="4515"/>
        <v>0</v>
      </c>
      <c r="AE839" s="253">
        <f t="shared" si="4515"/>
        <v>0</v>
      </c>
      <c r="AF839" s="253">
        <f t="shared" si="4515"/>
        <v>0</v>
      </c>
      <c r="AG839" s="253">
        <f t="shared" si="4515"/>
        <v>98522.2</v>
      </c>
      <c r="AH839" s="253">
        <f t="shared" si="4515"/>
        <v>339900.5</v>
      </c>
      <c r="AI839" s="253" t="e">
        <f t="shared" si="4515"/>
        <v>#VALUE!</v>
      </c>
      <c r="AJ839" s="253" t="e">
        <f t="shared" si="4515"/>
        <v>#VALUE!</v>
      </c>
    </row>
    <row r="840" spans="1:134">
      <c r="A840" s="6" t="s">
        <v>23</v>
      </c>
      <c r="B840" s="2" t="s">
        <v>14</v>
      </c>
      <c r="C840" s="3" t="s">
        <v>72</v>
      </c>
      <c r="E840" s="3" t="s">
        <v>15</v>
      </c>
      <c r="G840" s="28" t="s">
        <v>91</v>
      </c>
      <c r="H840" s="28"/>
      <c r="I840" s="253">
        <f t="shared" si="4513"/>
        <v>0</v>
      </c>
      <c r="J840" s="253">
        <f t="shared" si="4513"/>
        <v>0</v>
      </c>
      <c r="K840" s="253">
        <f t="shared" si="4513"/>
        <v>0</v>
      </c>
      <c r="L840" s="253">
        <f t="shared" si="4514"/>
        <v>0</v>
      </c>
      <c r="M840" s="253">
        <f t="shared" si="4514"/>
        <v>0</v>
      </c>
      <c r="N840" s="253">
        <f t="shared" si="4514"/>
        <v>0</v>
      </c>
      <c r="O840" s="253">
        <f t="shared" ref="O840:AJ840" si="4516">ROUND(+O772-O818,1)</f>
        <v>0</v>
      </c>
      <c r="P840" s="253">
        <f t="shared" si="4516"/>
        <v>0</v>
      </c>
      <c r="Q840" s="253">
        <f t="shared" si="4516"/>
        <v>0.3</v>
      </c>
      <c r="R840" s="253">
        <f t="shared" si="4516"/>
        <v>0</v>
      </c>
      <c r="S840" s="253">
        <f t="shared" si="4516"/>
        <v>-0.1</v>
      </c>
      <c r="T840" s="253">
        <f t="shared" si="4516"/>
        <v>-0.1</v>
      </c>
      <c r="U840" s="253">
        <f t="shared" si="4516"/>
        <v>-0.1</v>
      </c>
      <c r="V840" s="253">
        <f t="shared" si="4516"/>
        <v>0</v>
      </c>
      <c r="W840" s="253">
        <f t="shared" si="4516"/>
        <v>0</v>
      </c>
      <c r="X840" s="253">
        <f t="shared" si="4516"/>
        <v>0</v>
      </c>
      <c r="Y840" s="253">
        <f t="shared" si="4516"/>
        <v>0</v>
      </c>
      <c r="Z840" s="253">
        <f t="shared" si="4516"/>
        <v>0</v>
      </c>
      <c r="AA840" s="253">
        <f t="shared" si="4516"/>
        <v>0</v>
      </c>
      <c r="AB840" s="253">
        <f t="shared" si="4516"/>
        <v>0</v>
      </c>
      <c r="AC840" s="253">
        <f t="shared" si="4516"/>
        <v>0</v>
      </c>
      <c r="AD840" s="253">
        <f t="shared" si="4516"/>
        <v>0</v>
      </c>
      <c r="AE840" s="253">
        <f t="shared" si="4516"/>
        <v>0</v>
      </c>
      <c r="AF840" s="253">
        <f t="shared" si="4516"/>
        <v>0</v>
      </c>
      <c r="AG840" s="253">
        <f t="shared" si="4516"/>
        <v>89067.6</v>
      </c>
      <c r="AH840" s="253">
        <f t="shared" si="4516"/>
        <v>361776.7</v>
      </c>
      <c r="AI840" s="253" t="e">
        <f t="shared" si="4516"/>
        <v>#VALUE!</v>
      </c>
      <c r="AJ840" s="253" t="e">
        <f t="shared" si="4516"/>
        <v>#VALUE!</v>
      </c>
    </row>
    <row r="847" spans="1:134">
      <c r="A847" s="6" t="s">
        <v>225</v>
      </c>
    </row>
    <row r="848" spans="1:134" s="381" customFormat="1">
      <c r="A848" s="6" t="s">
        <v>227</v>
      </c>
      <c r="C848" s="3"/>
      <c r="D848" s="3"/>
      <c r="E848" s="3"/>
      <c r="F848" s="3"/>
      <c r="G848" s="3"/>
      <c r="H848" s="3"/>
      <c r="I848" s="3"/>
      <c r="AK848" s="405"/>
      <c r="BM848" s="405"/>
      <c r="CO848" s="405"/>
      <c r="ED848" s="405"/>
    </row>
    <row r="849" spans="1:149" s="381" customFormat="1">
      <c r="A849" s="6" t="s">
        <v>23</v>
      </c>
      <c r="B849" s="381" t="s">
        <v>210</v>
      </c>
      <c r="C849" s="3" t="s">
        <v>54</v>
      </c>
      <c r="D849" s="3"/>
      <c r="E849" s="3" t="s">
        <v>16</v>
      </c>
      <c r="F849" s="3"/>
      <c r="G849" s="3" t="s">
        <v>91</v>
      </c>
      <c r="H849" s="3"/>
      <c r="I849" s="3"/>
      <c r="W849" s="381">
        <v>14</v>
      </c>
      <c r="X849" s="381">
        <v>16</v>
      </c>
      <c r="Y849" s="381">
        <v>52</v>
      </c>
      <c r="Z849" s="381">
        <v>52</v>
      </c>
      <c r="AA849" s="381">
        <v>56</v>
      </c>
      <c r="AB849" s="381">
        <v>56</v>
      </c>
      <c r="AC849" s="381">
        <v>62</v>
      </c>
      <c r="AD849" s="381">
        <v>65</v>
      </c>
      <c r="AE849" s="381">
        <v>65</v>
      </c>
      <c r="AF849" s="381">
        <v>66</v>
      </c>
      <c r="AG849" s="381">
        <v>66</v>
      </c>
      <c r="AH849" s="381">
        <v>0</v>
      </c>
      <c r="AI849" s="381">
        <v>0</v>
      </c>
      <c r="AK849" s="405"/>
      <c r="AL849" s="381">
        <f>J849-I849</f>
        <v>0</v>
      </c>
      <c r="AM849" s="381">
        <f>K849-J849</f>
        <v>0</v>
      </c>
      <c r="AN849" s="381">
        <f>L849-K849</f>
        <v>0</v>
      </c>
      <c r="AO849" s="381">
        <f>M849</f>
        <v>0</v>
      </c>
      <c r="AP849" s="381">
        <f t="shared" ref="AP849:AP859" si="4517">IF(N849&lt;&gt;"",N849-M849,0)</f>
        <v>0</v>
      </c>
      <c r="AQ849" s="381">
        <f t="shared" ref="AQ849:AQ859" si="4518">IF(O849&lt;&gt;"",O849-N849,0)</f>
        <v>0</v>
      </c>
      <c r="AR849" s="381">
        <f t="shared" ref="AR849:AR859" si="4519">IF(P849&lt;&gt;"",P849-O849,0)</f>
        <v>0</v>
      </c>
      <c r="AS849" s="381">
        <f t="shared" ref="AS849:AS859" si="4520">IF(Q849&lt;&gt;"",Q849-P849,0)</f>
        <v>0</v>
      </c>
      <c r="AT849" s="381">
        <f t="shared" ref="AT849:AT859" si="4521">IF(R849&lt;&gt;"",R849-Q849,0)</f>
        <v>0</v>
      </c>
      <c r="AU849" s="381">
        <f t="shared" ref="AU849:AU859" si="4522">IF(S849&lt;&gt;"",S849-R849,0)</f>
        <v>0</v>
      </c>
      <c r="AV849" s="381">
        <f t="shared" ref="AV849:AV859" si="4523">IF(T849&lt;&gt;"",T849-S849,0)</f>
        <v>0</v>
      </c>
      <c r="AW849" s="381">
        <f t="shared" ref="AW849:AW859" si="4524">IF(U849&lt;&gt;"",U849-T849,0)</f>
        <v>0</v>
      </c>
      <c r="AX849" s="381">
        <f t="shared" ref="AX849:AX859" si="4525">IF(V849&lt;&gt;"",V849-U849,0)</f>
        <v>0</v>
      </c>
      <c r="AY849" s="381">
        <f t="shared" ref="AY849:AY859" si="4526">IF(W849&lt;&gt;"",W849-V849,0)</f>
        <v>14</v>
      </c>
      <c r="AZ849" s="381">
        <f t="shared" ref="AZ849:AZ859" si="4527">IF(X849&lt;&gt;"",X849-W849,0)</f>
        <v>2</v>
      </c>
      <c r="BA849" s="381">
        <f>Y849</f>
        <v>52</v>
      </c>
      <c r="BB849" s="381">
        <f t="shared" ref="BB849:BB859" si="4528">IF(Z849&lt;&gt;"",Z849-Y849,0)</f>
        <v>0</v>
      </c>
      <c r="BC849" s="381">
        <f t="shared" ref="BC849:BC859" si="4529">IF(AA849&lt;&gt;"",AA849-Z849,0)</f>
        <v>4</v>
      </c>
      <c r="BD849" s="381">
        <f t="shared" ref="BD849:BD859" si="4530">IF(AB849&lt;&gt;"",AB849-AA849,0)</f>
        <v>0</v>
      </c>
      <c r="BE849" s="381">
        <f t="shared" ref="BE849:BE859" si="4531">IF(AC849&lt;&gt;"",AC849-AB849,0)</f>
        <v>6</v>
      </c>
      <c r="BF849" s="381">
        <f t="shared" ref="BF849:BF859" si="4532">IF(AD849&lt;&gt;"",AD849-AC849,0)</f>
        <v>3</v>
      </c>
      <c r="BG849" s="381">
        <f t="shared" ref="BG849:BG859" si="4533">IF(AE849&lt;&gt;"",AE849-AD849,0)</f>
        <v>0</v>
      </c>
      <c r="BH849" s="381">
        <f t="shared" ref="BH849:BH859" si="4534">IF(AF849&lt;&gt;"",AF849-AE849,0)</f>
        <v>1</v>
      </c>
      <c r="BI849" s="381">
        <f t="shared" ref="BI849" si="4535">IF(AG849&lt;&gt;"",AG849-AF849,0)</f>
        <v>0</v>
      </c>
      <c r="BJ849" s="381">
        <f>IF(AH849&lt;&gt;"",AH849,0)</f>
        <v>0</v>
      </c>
      <c r="BK849" s="381">
        <f t="shared" ref="BK849:BK859" si="4536">IF(AI849&lt;&gt;"",AI849-AH849,0)</f>
        <v>0</v>
      </c>
      <c r="BL849" s="381">
        <f t="shared" ref="BL849:BL859" si="4537">IF(AJ849&lt;&gt;"",AJ849-AI849,0)</f>
        <v>0</v>
      </c>
      <c r="BM849" s="405"/>
      <c r="BN849" s="381">
        <f>BP849</f>
        <v>0</v>
      </c>
      <c r="BO849" s="381">
        <f>BP849</f>
        <v>0</v>
      </c>
      <c r="BP849" s="381">
        <f>SUM(AL849:AN849)</f>
        <v>0</v>
      </c>
      <c r="BQ849" s="381">
        <f>BS849</f>
        <v>0</v>
      </c>
      <c r="BR849" s="381">
        <f>BS849</f>
        <v>0</v>
      </c>
      <c r="BS849" s="381">
        <f>SUM(AO849:AQ849)</f>
        <v>0</v>
      </c>
      <c r="BT849" s="381">
        <f>BV849</f>
        <v>0</v>
      </c>
      <c r="BU849" s="381">
        <f>BV849</f>
        <v>0</v>
      </c>
      <c r="BV849" s="381">
        <f>SUM(AR849:AT849)</f>
        <v>0</v>
      </c>
      <c r="BW849" s="381">
        <f>BY849</f>
        <v>0</v>
      </c>
      <c r="BX849" s="381">
        <f>BY849</f>
        <v>0</v>
      </c>
      <c r="BY849" s="381">
        <f>SUM(AU849:AW849)</f>
        <v>0</v>
      </c>
      <c r="BZ849" s="381">
        <f>CB849</f>
        <v>16</v>
      </c>
      <c r="CA849" s="381">
        <f>CB849</f>
        <v>16</v>
      </c>
      <c r="CB849" s="381">
        <f>SUM(AX849:AZ849)</f>
        <v>16</v>
      </c>
      <c r="CC849" s="381">
        <f>CE849</f>
        <v>56</v>
      </c>
      <c r="CD849" s="381">
        <f>CE849</f>
        <v>56</v>
      </c>
      <c r="CE849" s="381">
        <f>SUM(BA849:BC849)</f>
        <v>56</v>
      </c>
      <c r="CF849" s="381">
        <f>CH849</f>
        <v>9</v>
      </c>
      <c r="CG849" s="381">
        <f>CH849</f>
        <v>9</v>
      </c>
      <c r="CH849" s="381">
        <f>SUM(BD849:BF849)</f>
        <v>9</v>
      </c>
      <c r="CI849" s="381">
        <f>CK849</f>
        <v>1</v>
      </c>
      <c r="CJ849" s="381">
        <f>CK849</f>
        <v>1</v>
      </c>
      <c r="CK849" s="381">
        <f>SUM(BG849:BI849)</f>
        <v>1</v>
      </c>
      <c r="CL849" s="381">
        <f>SUM(BJ849:BL849)</f>
        <v>0</v>
      </c>
      <c r="CM849" s="381">
        <f>CN849</f>
        <v>0</v>
      </c>
      <c r="CN849" s="381">
        <f>SUM(BJ849:BL849)</f>
        <v>0</v>
      </c>
      <c r="CO849" s="405"/>
      <c r="CP849" s="381">
        <f>I849+AL849</f>
        <v>0</v>
      </c>
      <c r="CQ849" s="381">
        <f>J849+AM849</f>
        <v>0</v>
      </c>
      <c r="CR849" s="381">
        <f>K849+AN849</f>
        <v>0</v>
      </c>
      <c r="CS849" s="381">
        <f>AO849</f>
        <v>0</v>
      </c>
      <c r="CT849" s="381">
        <f t="shared" ref="CT849:CT859" si="4538">M849+AP849</f>
        <v>0</v>
      </c>
      <c r="CU849" s="381">
        <f t="shared" ref="CU849:CU859" si="4539">N849+AQ849</f>
        <v>0</v>
      </c>
      <c r="CV849" s="381">
        <f t="shared" ref="CV849:CV859" si="4540">O849+AR849</f>
        <v>0</v>
      </c>
      <c r="CW849" s="381">
        <f t="shared" ref="CW849:CW859" si="4541">P849+AS849</f>
        <v>0</v>
      </c>
      <c r="CX849" s="381">
        <f t="shared" ref="CX849:CX859" si="4542">Q849+AT849</f>
        <v>0</v>
      </c>
      <c r="CY849" s="381">
        <f t="shared" ref="CY849:CY859" si="4543">R849+AU849</f>
        <v>0</v>
      </c>
      <c r="CZ849" s="381">
        <f t="shared" ref="CZ849:CZ859" si="4544">S849+AV849</f>
        <v>0</v>
      </c>
      <c r="DA849" s="381">
        <f t="shared" ref="DA849:DA859" si="4545">T849+AW849</f>
        <v>0</v>
      </c>
      <c r="DB849" s="381">
        <v>0</v>
      </c>
      <c r="DC849" s="381">
        <v>20</v>
      </c>
      <c r="DD849" s="381">
        <v>22</v>
      </c>
      <c r="DE849" s="381">
        <v>58</v>
      </c>
      <c r="DF849" s="381">
        <v>58</v>
      </c>
      <c r="DG849" s="381">
        <f>Z849+BC849</f>
        <v>56</v>
      </c>
      <c r="DH849" s="381">
        <f t="shared" ref="DH849:DH859" si="4546">AA849+BD849</f>
        <v>56</v>
      </c>
      <c r="DI849" s="381">
        <f t="shared" ref="DI849:DI859" si="4547">AB849+BE849</f>
        <v>62</v>
      </c>
      <c r="DJ849" s="381">
        <f t="shared" ref="DJ849:DJ859" si="4548">AC849+BF849</f>
        <v>65</v>
      </c>
      <c r="DK849" s="381">
        <f t="shared" ref="DK849:DK859" si="4549">AD849+BG849</f>
        <v>65</v>
      </c>
      <c r="DL849" s="381">
        <f t="shared" ref="DL849:DL859" si="4550">AE849+BH849</f>
        <v>66</v>
      </c>
      <c r="DM849" s="381">
        <f t="shared" ref="DM849:DM859" si="4551">AF849+BI849</f>
        <v>66</v>
      </c>
      <c r="DN849" s="381">
        <f>AH849</f>
        <v>0</v>
      </c>
      <c r="DO849" s="381">
        <f>AI849</f>
        <v>0</v>
      </c>
      <c r="ED849" s="405"/>
      <c r="EH849" s="381">
        <f t="shared" ref="EH849:EH859" si="4552">HLOOKUP($I$1,Month,ROW()-1)</f>
        <v>0</v>
      </c>
      <c r="EI849" s="381">
        <f t="shared" ref="EI849:EI859" si="4553">HLOOKUP($I$1,Qtr,ROW()-1)</f>
        <v>0</v>
      </c>
      <c r="EJ849" s="381">
        <f t="shared" ref="EJ849:EJ859" si="4554">HLOOKUP($I$1,YTD,ROW()-1)</f>
        <v>0</v>
      </c>
      <c r="EK849" s="381">
        <f>$EK$1/12</f>
        <v>0.91666666666666663</v>
      </c>
      <c r="EL849" s="381" t="e">
        <f>EH849/#REF!</f>
        <v>#REF!</v>
      </c>
      <c r="EM849" s="381" t="e">
        <f>EI849/#REF!</f>
        <v>#REF!</v>
      </c>
      <c r="EN849" s="381" t="e">
        <f>EJ849/#REF!</f>
        <v>#REF!</v>
      </c>
      <c r="EO849" s="381" t="e">
        <f>IF(EH849&lt;0,,IF(EH849&lt;#REF!,"È",IF(EH849=#REF!,"Æ","Ç")))</f>
        <v>#REF!</v>
      </c>
      <c r="EP849" s="381" t="e">
        <f>IF(EI849&lt;0,,IF(EI849&lt;#REF!,"È",IF(EI849=#REF!,"Æ","Ç")))</f>
        <v>#REF!</v>
      </c>
      <c r="EQ849" s="381" t="e">
        <f>IF(EL849&gt;=0.9,1,IF(EL849&lt;0.75,3,2))</f>
        <v>#REF!</v>
      </c>
      <c r="ER849" s="381" t="e">
        <f>IF(EM849&gt;=0.9,1,IF(EM849&lt;0.75,3,2))</f>
        <v>#REF!</v>
      </c>
      <c r="ES849" s="381" t="e">
        <f>IF(EN849&gt;=0.9,1,IF(EN849&lt;0.75,3,2))</f>
        <v>#REF!</v>
      </c>
    </row>
    <row r="850" spans="1:149" s="381" customFormat="1">
      <c r="A850" s="6" t="s">
        <v>23</v>
      </c>
      <c r="B850" s="381" t="s">
        <v>211</v>
      </c>
      <c r="C850" s="3" t="s">
        <v>54</v>
      </c>
      <c r="D850" s="3"/>
      <c r="E850" s="3" t="s">
        <v>16</v>
      </c>
      <c r="F850" s="3"/>
      <c r="G850" s="3" t="s">
        <v>91</v>
      </c>
      <c r="H850" s="3"/>
      <c r="I850" s="3"/>
      <c r="V850" s="381">
        <v>1</v>
      </c>
      <c r="W850" s="381">
        <v>14</v>
      </c>
      <c r="X850" s="381">
        <v>14</v>
      </c>
      <c r="Y850" s="381">
        <v>18</v>
      </c>
      <c r="Z850" s="381">
        <v>20</v>
      </c>
      <c r="AA850" s="381">
        <v>20</v>
      </c>
      <c r="AB850" s="381">
        <v>20</v>
      </c>
      <c r="AC850" s="381">
        <v>24</v>
      </c>
      <c r="AD850" s="381">
        <v>25</v>
      </c>
      <c r="AE850" s="381">
        <v>27</v>
      </c>
      <c r="AF850" s="381">
        <v>27</v>
      </c>
      <c r="AG850" s="381">
        <v>33</v>
      </c>
      <c r="AH850" s="381">
        <v>0</v>
      </c>
      <c r="AI850" s="381">
        <v>4</v>
      </c>
      <c r="AK850" s="405"/>
      <c r="AL850" s="381">
        <f t="shared" ref="AL850:AL859" si="4555">J850-I850</f>
        <v>0</v>
      </c>
      <c r="AM850" s="381">
        <f t="shared" ref="AM850:AM859" si="4556">K850-J850</f>
        <v>0</v>
      </c>
      <c r="AN850" s="381">
        <f t="shared" ref="AN850:AN859" si="4557">L850-K850</f>
        <v>0</v>
      </c>
      <c r="AO850" s="381">
        <f t="shared" ref="AO850:AO859" si="4558">M850</f>
        <v>0</v>
      </c>
      <c r="AP850" s="381">
        <f t="shared" si="4517"/>
        <v>0</v>
      </c>
      <c r="AQ850" s="381">
        <f t="shared" si="4518"/>
        <v>0</v>
      </c>
      <c r="AR850" s="381">
        <f t="shared" si="4519"/>
        <v>0</v>
      </c>
      <c r="AS850" s="381">
        <f t="shared" si="4520"/>
        <v>0</v>
      </c>
      <c r="AT850" s="381">
        <f t="shared" si="4521"/>
        <v>0</v>
      </c>
      <c r="AU850" s="381">
        <f t="shared" si="4522"/>
        <v>0</v>
      </c>
      <c r="AV850" s="381">
        <f t="shared" si="4523"/>
        <v>0</v>
      </c>
      <c r="AW850" s="381">
        <f t="shared" si="4524"/>
        <v>0</v>
      </c>
      <c r="AX850" s="381">
        <f t="shared" si="4525"/>
        <v>1</v>
      </c>
      <c r="AY850" s="381">
        <f t="shared" si="4526"/>
        <v>13</v>
      </c>
      <c r="AZ850" s="381">
        <f t="shared" si="4527"/>
        <v>0</v>
      </c>
      <c r="BA850" s="381">
        <f t="shared" ref="BA850:BA859" si="4559">Y850</f>
        <v>18</v>
      </c>
      <c r="BB850" s="381">
        <f t="shared" si="4528"/>
        <v>2</v>
      </c>
      <c r="BC850" s="381">
        <f t="shared" si="4529"/>
        <v>0</v>
      </c>
      <c r="BD850" s="381">
        <f t="shared" si="4530"/>
        <v>0</v>
      </c>
      <c r="BE850" s="381">
        <f t="shared" si="4531"/>
        <v>4</v>
      </c>
      <c r="BF850" s="381">
        <f t="shared" si="4532"/>
        <v>1</v>
      </c>
      <c r="BG850" s="381">
        <f t="shared" si="4533"/>
        <v>2</v>
      </c>
      <c r="BH850" s="381">
        <f t="shared" si="4534"/>
        <v>0</v>
      </c>
      <c r="BI850" s="381">
        <f t="shared" ref="BI850:BI859" si="4560">IF(AG850&lt;&gt;"",AG850-AF850,0)</f>
        <v>6</v>
      </c>
      <c r="BJ850" s="381">
        <f t="shared" ref="BJ850:BJ859" si="4561">IF(AH850&lt;&gt;"",AH850,0)</f>
        <v>0</v>
      </c>
      <c r="BK850" s="381">
        <f t="shared" si="4536"/>
        <v>4</v>
      </c>
      <c r="BL850" s="381">
        <f t="shared" si="4537"/>
        <v>0</v>
      </c>
      <c r="BM850" s="405"/>
      <c r="BN850" s="381">
        <f t="shared" ref="BN850:BN859" si="4562">BP850</f>
        <v>0</v>
      </c>
      <c r="BO850" s="381">
        <f t="shared" ref="BO850:BO859" si="4563">BP850</f>
        <v>0</v>
      </c>
      <c r="BP850" s="381">
        <f t="shared" ref="BP850:BP859" si="4564">SUM(AL850:AN850)</f>
        <v>0</v>
      </c>
      <c r="BQ850" s="381">
        <f t="shared" ref="BQ850:BQ859" si="4565">BS850</f>
        <v>0</v>
      </c>
      <c r="BR850" s="381">
        <f t="shared" ref="BR850:BR859" si="4566">BS850</f>
        <v>0</v>
      </c>
      <c r="BS850" s="381">
        <f t="shared" ref="BS850:BS859" si="4567">SUM(AO850:AQ850)</f>
        <v>0</v>
      </c>
      <c r="BT850" s="381">
        <f t="shared" ref="BT850:BT859" si="4568">BV850</f>
        <v>0</v>
      </c>
      <c r="BU850" s="381">
        <f t="shared" ref="BU850:BU859" si="4569">BV850</f>
        <v>0</v>
      </c>
      <c r="BV850" s="381">
        <f t="shared" ref="BV850:BV859" si="4570">SUM(AR850:AT850)</f>
        <v>0</v>
      </c>
      <c r="BW850" s="381">
        <f t="shared" ref="BW850:BW859" si="4571">BY850</f>
        <v>0</v>
      </c>
      <c r="BX850" s="381">
        <f t="shared" ref="BX850:BX859" si="4572">BY850</f>
        <v>0</v>
      </c>
      <c r="BY850" s="381">
        <f t="shared" ref="BY850:BY859" si="4573">SUM(AU850:AW850)</f>
        <v>0</v>
      </c>
      <c r="BZ850" s="381">
        <f t="shared" ref="BZ850:BZ859" si="4574">CB850</f>
        <v>14</v>
      </c>
      <c r="CA850" s="381">
        <f t="shared" ref="CA850:CA859" si="4575">CB850</f>
        <v>14</v>
      </c>
      <c r="CB850" s="381">
        <f t="shared" ref="CB850:CB859" si="4576">SUM(AX850:AZ850)</f>
        <v>14</v>
      </c>
      <c r="CC850" s="381">
        <f t="shared" ref="CC850:CC859" si="4577">CE850</f>
        <v>20</v>
      </c>
      <c r="CD850" s="381">
        <f t="shared" ref="CD850:CD859" si="4578">CE850</f>
        <v>20</v>
      </c>
      <c r="CE850" s="381">
        <f t="shared" ref="CE850:CE859" si="4579">SUM(BA850:BC850)</f>
        <v>20</v>
      </c>
      <c r="CF850" s="381">
        <f t="shared" ref="CF850:CF859" si="4580">CH850</f>
        <v>5</v>
      </c>
      <c r="CG850" s="381">
        <f t="shared" ref="CG850:CG859" si="4581">CH850</f>
        <v>5</v>
      </c>
      <c r="CH850" s="381">
        <f t="shared" ref="CH850:CH859" si="4582">SUM(BD850:BF850)</f>
        <v>5</v>
      </c>
      <c r="CI850" s="381">
        <f t="shared" ref="CI850:CI859" si="4583">CK850</f>
        <v>8</v>
      </c>
      <c r="CJ850" s="381">
        <f t="shared" ref="CJ850:CJ859" si="4584">CK850</f>
        <v>8</v>
      </c>
      <c r="CK850" s="381">
        <f t="shared" ref="CK850:CK859" si="4585">SUM(BG850:BI850)</f>
        <v>8</v>
      </c>
      <c r="CL850" s="381">
        <f t="shared" ref="CL850:CL859" si="4586">SUM(BJ850:BL850)</f>
        <v>4</v>
      </c>
      <c r="CM850" s="381">
        <f t="shared" ref="CM850:CM859" si="4587">CN850</f>
        <v>4</v>
      </c>
      <c r="CN850" s="381">
        <f t="shared" ref="CN850:CN859" si="4588">SUM(BJ850:BL850)</f>
        <v>4</v>
      </c>
      <c r="CO850" s="405"/>
      <c r="CP850" s="381">
        <f t="shared" ref="CP850:CP859" si="4589">I850+AL850</f>
        <v>0</v>
      </c>
      <c r="CQ850" s="381">
        <f t="shared" ref="CQ850:CQ859" si="4590">J850+AM850</f>
        <v>0</v>
      </c>
      <c r="CR850" s="381">
        <f t="shared" ref="CR850:CR859" si="4591">K850+AN850</f>
        <v>0</v>
      </c>
      <c r="CS850" s="381">
        <f t="shared" ref="CS850:CS859" si="4592">AO850</f>
        <v>0</v>
      </c>
      <c r="CT850" s="381">
        <f t="shared" si="4538"/>
        <v>0</v>
      </c>
      <c r="CU850" s="381">
        <f t="shared" si="4539"/>
        <v>0</v>
      </c>
      <c r="CV850" s="381">
        <f t="shared" si="4540"/>
        <v>0</v>
      </c>
      <c r="CW850" s="381">
        <f t="shared" si="4541"/>
        <v>0</v>
      </c>
      <c r="CX850" s="381">
        <f t="shared" si="4542"/>
        <v>0</v>
      </c>
      <c r="CY850" s="381">
        <f t="shared" si="4543"/>
        <v>0</v>
      </c>
      <c r="CZ850" s="381">
        <f t="shared" si="4544"/>
        <v>0</v>
      </c>
      <c r="DA850" s="381">
        <f t="shared" si="4545"/>
        <v>0</v>
      </c>
      <c r="DB850" s="381">
        <v>1</v>
      </c>
      <c r="DC850" s="381">
        <v>14</v>
      </c>
      <c r="DD850" s="381">
        <v>14</v>
      </c>
      <c r="DE850" s="381">
        <v>18</v>
      </c>
      <c r="DF850" s="381">
        <v>20</v>
      </c>
      <c r="DG850" s="381">
        <f t="shared" ref="DG850:DG859" si="4593">Z850+BC850</f>
        <v>20</v>
      </c>
      <c r="DH850" s="381">
        <f t="shared" si="4546"/>
        <v>20</v>
      </c>
      <c r="DI850" s="381">
        <f t="shared" si="4547"/>
        <v>24</v>
      </c>
      <c r="DJ850" s="381">
        <f t="shared" si="4548"/>
        <v>25</v>
      </c>
      <c r="DK850" s="381">
        <f t="shared" si="4549"/>
        <v>27</v>
      </c>
      <c r="DL850" s="381">
        <f t="shared" si="4550"/>
        <v>27</v>
      </c>
      <c r="DM850" s="381">
        <f t="shared" si="4551"/>
        <v>33</v>
      </c>
      <c r="DN850" s="381">
        <f t="shared" ref="DN850:DO859" si="4594">AH850</f>
        <v>0</v>
      </c>
      <c r="DO850" s="381">
        <f t="shared" si="4594"/>
        <v>4</v>
      </c>
      <c r="ED850" s="405"/>
      <c r="EH850" s="381">
        <f t="shared" si="4552"/>
        <v>4</v>
      </c>
      <c r="EI850" s="381">
        <f t="shared" si="4553"/>
        <v>4</v>
      </c>
      <c r="EJ850" s="381">
        <f t="shared" si="4554"/>
        <v>4</v>
      </c>
      <c r="EK850" s="381">
        <f t="shared" ref="EK850:EK859" si="4595">$EK$1/12</f>
        <v>0.91666666666666663</v>
      </c>
      <c r="EL850" s="381" t="e">
        <f>EH850/#REF!</f>
        <v>#REF!</v>
      </c>
      <c r="EM850" s="381" t="e">
        <f>EI850/#REF!</f>
        <v>#REF!</v>
      </c>
      <c r="EN850" s="381" t="e">
        <f>EJ850/#REF!</f>
        <v>#REF!</v>
      </c>
      <c r="EO850" s="381" t="e">
        <f>IF(EH850&lt;0,,IF(EH850&lt;#REF!,"È",IF(EH850=#REF!,"Æ","Ç")))</f>
        <v>#REF!</v>
      </c>
      <c r="EP850" s="381" t="e">
        <f>IF(EI850&lt;0,,IF(EI850&lt;#REF!,"È",IF(EI850=#REF!,"Æ","Ç")))</f>
        <v>#REF!</v>
      </c>
      <c r="EQ850" s="381" t="e">
        <f t="shared" ref="EQ850:EQ860" si="4596">IF(EL850&gt;=0.9,1,IF(EL850&lt;0.75,3,2))</f>
        <v>#REF!</v>
      </c>
      <c r="ER850" s="381" t="e">
        <f t="shared" ref="ER850:ER860" si="4597">IF(EM850&gt;=0.9,1,IF(EM850&lt;0.75,3,2))</f>
        <v>#REF!</v>
      </c>
      <c r="ES850" s="381" t="e">
        <f t="shared" ref="ES850:ES860" si="4598">IF(EN850&gt;=0.9,1,IF(EN850&lt;0.75,3,2))</f>
        <v>#REF!</v>
      </c>
    </row>
    <row r="851" spans="1:149" s="381" customFormat="1">
      <c r="A851" s="6" t="s">
        <v>23</v>
      </c>
      <c r="B851" s="381" t="s">
        <v>212</v>
      </c>
      <c r="C851" s="3" t="s">
        <v>54</v>
      </c>
      <c r="D851" s="3"/>
      <c r="E851" s="3" t="s">
        <v>16</v>
      </c>
      <c r="F851" s="3"/>
      <c r="G851" s="3" t="s">
        <v>91</v>
      </c>
      <c r="H851" s="3"/>
      <c r="I851" s="3"/>
      <c r="V851" s="381">
        <v>47</v>
      </c>
      <c r="W851" s="381">
        <v>48</v>
      </c>
      <c r="X851" s="381">
        <v>110</v>
      </c>
      <c r="Y851" s="381">
        <v>118</v>
      </c>
      <c r="Z851" s="381">
        <v>120</v>
      </c>
      <c r="AA851" s="381">
        <v>120</v>
      </c>
      <c r="AB851" s="381">
        <v>120</v>
      </c>
      <c r="AC851" s="381">
        <v>121</v>
      </c>
      <c r="AD851" s="381">
        <v>125</v>
      </c>
      <c r="AE851" s="381">
        <v>126</v>
      </c>
      <c r="AF851" s="381">
        <v>129</v>
      </c>
      <c r="AG851" s="381">
        <v>130</v>
      </c>
      <c r="AH851" s="381">
        <v>5</v>
      </c>
      <c r="AI851" s="381">
        <v>5</v>
      </c>
      <c r="AK851" s="405"/>
      <c r="AL851" s="381">
        <f t="shared" si="4555"/>
        <v>0</v>
      </c>
      <c r="AM851" s="381">
        <f t="shared" si="4556"/>
        <v>0</v>
      </c>
      <c r="AN851" s="381">
        <f t="shared" si="4557"/>
        <v>0</v>
      </c>
      <c r="AO851" s="381">
        <f t="shared" si="4558"/>
        <v>0</v>
      </c>
      <c r="AP851" s="381">
        <f t="shared" si="4517"/>
        <v>0</v>
      </c>
      <c r="AQ851" s="381">
        <f t="shared" si="4518"/>
        <v>0</v>
      </c>
      <c r="AR851" s="381">
        <f t="shared" si="4519"/>
        <v>0</v>
      </c>
      <c r="AS851" s="381">
        <f t="shared" si="4520"/>
        <v>0</v>
      </c>
      <c r="AT851" s="381">
        <f t="shared" si="4521"/>
        <v>0</v>
      </c>
      <c r="AU851" s="381">
        <f t="shared" si="4522"/>
        <v>0</v>
      </c>
      <c r="AV851" s="381">
        <f t="shared" si="4523"/>
        <v>0</v>
      </c>
      <c r="AW851" s="381">
        <f t="shared" si="4524"/>
        <v>0</v>
      </c>
      <c r="AX851" s="381">
        <f t="shared" si="4525"/>
        <v>47</v>
      </c>
      <c r="AY851" s="381">
        <f t="shared" si="4526"/>
        <v>1</v>
      </c>
      <c r="AZ851" s="381">
        <f t="shared" si="4527"/>
        <v>62</v>
      </c>
      <c r="BA851" s="381">
        <f t="shared" si="4559"/>
        <v>118</v>
      </c>
      <c r="BB851" s="381">
        <f t="shared" si="4528"/>
        <v>2</v>
      </c>
      <c r="BC851" s="381">
        <f t="shared" si="4529"/>
        <v>0</v>
      </c>
      <c r="BD851" s="381">
        <f t="shared" si="4530"/>
        <v>0</v>
      </c>
      <c r="BE851" s="381">
        <f t="shared" si="4531"/>
        <v>1</v>
      </c>
      <c r="BF851" s="381">
        <f t="shared" si="4532"/>
        <v>4</v>
      </c>
      <c r="BG851" s="381">
        <f t="shared" si="4533"/>
        <v>1</v>
      </c>
      <c r="BH851" s="381">
        <f t="shared" si="4534"/>
        <v>3</v>
      </c>
      <c r="BI851" s="381">
        <f t="shared" si="4560"/>
        <v>1</v>
      </c>
      <c r="BJ851" s="381">
        <f t="shared" si="4561"/>
        <v>5</v>
      </c>
      <c r="BK851" s="381">
        <f t="shared" si="4536"/>
        <v>0</v>
      </c>
      <c r="BL851" s="381">
        <f t="shared" si="4537"/>
        <v>0</v>
      </c>
      <c r="BM851" s="405"/>
      <c r="BN851" s="381">
        <f t="shared" si="4562"/>
        <v>0</v>
      </c>
      <c r="BO851" s="381">
        <f t="shared" si="4563"/>
        <v>0</v>
      </c>
      <c r="BP851" s="381">
        <f t="shared" si="4564"/>
        <v>0</v>
      </c>
      <c r="BQ851" s="381">
        <f t="shared" si="4565"/>
        <v>0</v>
      </c>
      <c r="BR851" s="381">
        <f t="shared" si="4566"/>
        <v>0</v>
      </c>
      <c r="BS851" s="381">
        <f t="shared" si="4567"/>
        <v>0</v>
      </c>
      <c r="BT851" s="381">
        <f t="shared" si="4568"/>
        <v>0</v>
      </c>
      <c r="BU851" s="381">
        <f t="shared" si="4569"/>
        <v>0</v>
      </c>
      <c r="BV851" s="381">
        <f t="shared" si="4570"/>
        <v>0</v>
      </c>
      <c r="BW851" s="381">
        <f t="shared" si="4571"/>
        <v>0</v>
      </c>
      <c r="BX851" s="381">
        <f t="shared" si="4572"/>
        <v>0</v>
      </c>
      <c r="BY851" s="381">
        <f t="shared" si="4573"/>
        <v>0</v>
      </c>
      <c r="BZ851" s="381">
        <f t="shared" si="4574"/>
        <v>110</v>
      </c>
      <c r="CA851" s="381">
        <f t="shared" si="4575"/>
        <v>110</v>
      </c>
      <c r="CB851" s="381">
        <f t="shared" si="4576"/>
        <v>110</v>
      </c>
      <c r="CC851" s="381">
        <f t="shared" si="4577"/>
        <v>120</v>
      </c>
      <c r="CD851" s="381">
        <f t="shared" si="4578"/>
        <v>120</v>
      </c>
      <c r="CE851" s="381">
        <f t="shared" si="4579"/>
        <v>120</v>
      </c>
      <c r="CF851" s="381">
        <f t="shared" si="4580"/>
        <v>5</v>
      </c>
      <c r="CG851" s="381">
        <f t="shared" si="4581"/>
        <v>5</v>
      </c>
      <c r="CH851" s="381">
        <f t="shared" si="4582"/>
        <v>5</v>
      </c>
      <c r="CI851" s="381">
        <f t="shared" si="4583"/>
        <v>5</v>
      </c>
      <c r="CJ851" s="381">
        <f t="shared" si="4584"/>
        <v>5</v>
      </c>
      <c r="CK851" s="381">
        <f t="shared" si="4585"/>
        <v>5</v>
      </c>
      <c r="CL851" s="381">
        <f t="shared" si="4586"/>
        <v>5</v>
      </c>
      <c r="CM851" s="381">
        <f t="shared" si="4587"/>
        <v>5</v>
      </c>
      <c r="CN851" s="381">
        <f t="shared" si="4588"/>
        <v>5</v>
      </c>
      <c r="CO851" s="405"/>
      <c r="CP851" s="381">
        <f t="shared" si="4589"/>
        <v>0</v>
      </c>
      <c r="CQ851" s="381">
        <f t="shared" si="4590"/>
        <v>0</v>
      </c>
      <c r="CR851" s="381">
        <f t="shared" si="4591"/>
        <v>0</v>
      </c>
      <c r="CS851" s="381">
        <f t="shared" si="4592"/>
        <v>0</v>
      </c>
      <c r="CT851" s="381">
        <f t="shared" si="4538"/>
        <v>0</v>
      </c>
      <c r="CU851" s="381">
        <f t="shared" si="4539"/>
        <v>0</v>
      </c>
      <c r="CV851" s="381">
        <f t="shared" si="4540"/>
        <v>0</v>
      </c>
      <c r="CW851" s="381">
        <f t="shared" si="4541"/>
        <v>0</v>
      </c>
      <c r="CX851" s="381">
        <f t="shared" si="4542"/>
        <v>0</v>
      </c>
      <c r="CY851" s="381">
        <f t="shared" si="4543"/>
        <v>0</v>
      </c>
      <c r="CZ851" s="381">
        <f t="shared" si="4544"/>
        <v>0</v>
      </c>
      <c r="DA851" s="381">
        <f t="shared" si="4545"/>
        <v>0</v>
      </c>
      <c r="DB851" s="381">
        <v>95</v>
      </c>
      <c r="DC851" s="381">
        <v>97</v>
      </c>
      <c r="DD851" s="381">
        <v>187</v>
      </c>
      <c r="DE851" s="381">
        <v>195</v>
      </c>
      <c r="DF851" s="381">
        <v>197</v>
      </c>
      <c r="DG851" s="381">
        <f t="shared" si="4593"/>
        <v>120</v>
      </c>
      <c r="DH851" s="381">
        <f t="shared" si="4546"/>
        <v>120</v>
      </c>
      <c r="DI851" s="381">
        <f t="shared" si="4547"/>
        <v>121</v>
      </c>
      <c r="DJ851" s="381">
        <f t="shared" si="4548"/>
        <v>125</v>
      </c>
      <c r="DK851" s="381">
        <f t="shared" si="4549"/>
        <v>126</v>
      </c>
      <c r="DL851" s="381">
        <f t="shared" si="4550"/>
        <v>129</v>
      </c>
      <c r="DM851" s="381">
        <f t="shared" si="4551"/>
        <v>130</v>
      </c>
      <c r="DN851" s="381">
        <f t="shared" si="4594"/>
        <v>5</v>
      </c>
      <c r="DO851" s="381">
        <f t="shared" si="4594"/>
        <v>5</v>
      </c>
      <c r="ED851" s="405"/>
      <c r="EH851" s="381">
        <f t="shared" si="4552"/>
        <v>0</v>
      </c>
      <c r="EI851" s="381">
        <f t="shared" si="4553"/>
        <v>5</v>
      </c>
      <c r="EJ851" s="381">
        <f t="shared" si="4554"/>
        <v>5</v>
      </c>
      <c r="EK851" s="381">
        <f t="shared" si="4595"/>
        <v>0.91666666666666663</v>
      </c>
      <c r="EL851" s="381" t="e">
        <f>EH851/#REF!</f>
        <v>#REF!</v>
      </c>
      <c r="EM851" s="381" t="e">
        <f>EI851/#REF!</f>
        <v>#REF!</v>
      </c>
      <c r="EN851" s="381" t="e">
        <f>EJ851/#REF!</f>
        <v>#REF!</v>
      </c>
      <c r="EO851" s="381" t="e">
        <f>IF(EH851&lt;0,,IF(EH851&lt;#REF!,"È",IF(EH851=#REF!,"Æ","Ç")))</f>
        <v>#REF!</v>
      </c>
      <c r="EP851" s="381" t="e">
        <f>IF(EI851&lt;0,,IF(EI851&lt;#REF!,"È",IF(EI851=#REF!,"Æ","Ç")))</f>
        <v>#REF!</v>
      </c>
      <c r="EQ851" s="381" t="e">
        <f t="shared" si="4596"/>
        <v>#REF!</v>
      </c>
      <c r="ER851" s="381" t="e">
        <f t="shared" si="4597"/>
        <v>#REF!</v>
      </c>
      <c r="ES851" s="381" t="e">
        <f t="shared" si="4598"/>
        <v>#REF!</v>
      </c>
    </row>
    <row r="852" spans="1:149" s="381" customFormat="1">
      <c r="A852" s="6" t="s">
        <v>23</v>
      </c>
      <c r="B852" s="381" t="s">
        <v>213</v>
      </c>
      <c r="C852" s="3" t="s">
        <v>54</v>
      </c>
      <c r="D852" s="3"/>
      <c r="E852" s="3" t="s">
        <v>16</v>
      </c>
      <c r="F852" s="3"/>
      <c r="G852" s="3" t="s">
        <v>91</v>
      </c>
      <c r="H852" s="3"/>
      <c r="I852" s="3"/>
      <c r="V852" s="381">
        <v>0</v>
      </c>
      <c r="W852" s="381">
        <v>2</v>
      </c>
      <c r="X852" s="381">
        <v>3</v>
      </c>
      <c r="Y852" s="381">
        <v>5</v>
      </c>
      <c r="Z852" s="381">
        <v>5</v>
      </c>
      <c r="AA852" s="381">
        <v>5</v>
      </c>
      <c r="AB852" s="381">
        <v>6</v>
      </c>
      <c r="AC852" s="381">
        <v>17</v>
      </c>
      <c r="AD852" s="381">
        <v>17</v>
      </c>
      <c r="AE852" s="381">
        <v>23</v>
      </c>
      <c r="AF852" s="381">
        <v>26</v>
      </c>
      <c r="AG852" s="381">
        <v>26</v>
      </c>
      <c r="AH852" s="381">
        <v>5</v>
      </c>
      <c r="AI852" s="381">
        <v>5</v>
      </c>
      <c r="AK852" s="405"/>
      <c r="AL852" s="381">
        <f t="shared" si="4555"/>
        <v>0</v>
      </c>
      <c r="AM852" s="381">
        <f t="shared" si="4556"/>
        <v>0</v>
      </c>
      <c r="AN852" s="381">
        <f t="shared" si="4557"/>
        <v>0</v>
      </c>
      <c r="AO852" s="381">
        <f t="shared" si="4558"/>
        <v>0</v>
      </c>
      <c r="AP852" s="381">
        <f t="shared" si="4517"/>
        <v>0</v>
      </c>
      <c r="AQ852" s="381">
        <f t="shared" si="4518"/>
        <v>0</v>
      </c>
      <c r="AR852" s="381">
        <f t="shared" si="4519"/>
        <v>0</v>
      </c>
      <c r="AS852" s="381">
        <f t="shared" si="4520"/>
        <v>0</v>
      </c>
      <c r="AT852" s="381">
        <f t="shared" si="4521"/>
        <v>0</v>
      </c>
      <c r="AU852" s="381">
        <f t="shared" si="4522"/>
        <v>0</v>
      </c>
      <c r="AV852" s="381">
        <f t="shared" si="4523"/>
        <v>0</v>
      </c>
      <c r="AW852" s="381">
        <f t="shared" si="4524"/>
        <v>0</v>
      </c>
      <c r="AX852" s="381">
        <f t="shared" si="4525"/>
        <v>0</v>
      </c>
      <c r="AY852" s="381">
        <f t="shared" si="4526"/>
        <v>2</v>
      </c>
      <c r="AZ852" s="381">
        <f t="shared" si="4527"/>
        <v>1</v>
      </c>
      <c r="BA852" s="381">
        <f t="shared" si="4559"/>
        <v>5</v>
      </c>
      <c r="BB852" s="381">
        <f t="shared" si="4528"/>
        <v>0</v>
      </c>
      <c r="BC852" s="381">
        <f t="shared" si="4529"/>
        <v>0</v>
      </c>
      <c r="BD852" s="381">
        <f t="shared" si="4530"/>
        <v>1</v>
      </c>
      <c r="BE852" s="381">
        <f t="shared" si="4531"/>
        <v>11</v>
      </c>
      <c r="BF852" s="381">
        <f t="shared" si="4532"/>
        <v>0</v>
      </c>
      <c r="BG852" s="381">
        <f t="shared" si="4533"/>
        <v>6</v>
      </c>
      <c r="BH852" s="381">
        <f t="shared" si="4534"/>
        <v>3</v>
      </c>
      <c r="BI852" s="381">
        <f t="shared" si="4560"/>
        <v>0</v>
      </c>
      <c r="BJ852" s="381">
        <f t="shared" si="4561"/>
        <v>5</v>
      </c>
      <c r="BK852" s="381">
        <f t="shared" si="4536"/>
        <v>0</v>
      </c>
      <c r="BL852" s="381">
        <f t="shared" si="4537"/>
        <v>0</v>
      </c>
      <c r="BM852" s="405"/>
      <c r="BN852" s="381">
        <f t="shared" si="4562"/>
        <v>0</v>
      </c>
      <c r="BO852" s="381">
        <f t="shared" si="4563"/>
        <v>0</v>
      </c>
      <c r="BP852" s="381">
        <f t="shared" si="4564"/>
        <v>0</v>
      </c>
      <c r="BQ852" s="381">
        <f t="shared" si="4565"/>
        <v>0</v>
      </c>
      <c r="BR852" s="381">
        <f t="shared" si="4566"/>
        <v>0</v>
      </c>
      <c r="BS852" s="381">
        <f t="shared" si="4567"/>
        <v>0</v>
      </c>
      <c r="BT852" s="381">
        <f t="shared" si="4568"/>
        <v>0</v>
      </c>
      <c r="BU852" s="381">
        <f t="shared" si="4569"/>
        <v>0</v>
      </c>
      <c r="BV852" s="381">
        <f t="shared" si="4570"/>
        <v>0</v>
      </c>
      <c r="BW852" s="381">
        <f t="shared" si="4571"/>
        <v>0</v>
      </c>
      <c r="BX852" s="381">
        <f t="shared" si="4572"/>
        <v>0</v>
      </c>
      <c r="BY852" s="381">
        <f t="shared" si="4573"/>
        <v>0</v>
      </c>
      <c r="BZ852" s="381">
        <f t="shared" si="4574"/>
        <v>3</v>
      </c>
      <c r="CA852" s="381">
        <f t="shared" si="4575"/>
        <v>3</v>
      </c>
      <c r="CB852" s="381">
        <f t="shared" si="4576"/>
        <v>3</v>
      </c>
      <c r="CC852" s="381">
        <f t="shared" si="4577"/>
        <v>5</v>
      </c>
      <c r="CD852" s="381">
        <f t="shared" si="4578"/>
        <v>5</v>
      </c>
      <c r="CE852" s="381">
        <f t="shared" si="4579"/>
        <v>5</v>
      </c>
      <c r="CF852" s="381">
        <f t="shared" si="4580"/>
        <v>12</v>
      </c>
      <c r="CG852" s="381">
        <f t="shared" si="4581"/>
        <v>12</v>
      </c>
      <c r="CH852" s="381">
        <f t="shared" si="4582"/>
        <v>12</v>
      </c>
      <c r="CI852" s="381">
        <f t="shared" si="4583"/>
        <v>9</v>
      </c>
      <c r="CJ852" s="381">
        <f t="shared" si="4584"/>
        <v>9</v>
      </c>
      <c r="CK852" s="381">
        <f t="shared" si="4585"/>
        <v>9</v>
      </c>
      <c r="CL852" s="381">
        <f t="shared" si="4586"/>
        <v>5</v>
      </c>
      <c r="CM852" s="381">
        <f t="shared" si="4587"/>
        <v>5</v>
      </c>
      <c r="CN852" s="381">
        <f t="shared" si="4588"/>
        <v>5</v>
      </c>
      <c r="CO852" s="405"/>
      <c r="CP852" s="381">
        <f t="shared" si="4589"/>
        <v>0</v>
      </c>
      <c r="CQ852" s="381">
        <f t="shared" si="4590"/>
        <v>0</v>
      </c>
      <c r="CR852" s="381">
        <f t="shared" si="4591"/>
        <v>0</v>
      </c>
      <c r="CS852" s="381">
        <f t="shared" si="4592"/>
        <v>0</v>
      </c>
      <c r="CT852" s="381">
        <f t="shared" si="4538"/>
        <v>0</v>
      </c>
      <c r="CU852" s="381">
        <f t="shared" si="4539"/>
        <v>0</v>
      </c>
      <c r="CV852" s="381">
        <f t="shared" si="4540"/>
        <v>0</v>
      </c>
      <c r="CW852" s="381">
        <f t="shared" si="4541"/>
        <v>0</v>
      </c>
      <c r="CX852" s="381">
        <f t="shared" si="4542"/>
        <v>0</v>
      </c>
      <c r="CY852" s="381">
        <f t="shared" si="4543"/>
        <v>0</v>
      </c>
      <c r="CZ852" s="381">
        <f t="shared" si="4544"/>
        <v>0</v>
      </c>
      <c r="DA852" s="381">
        <f t="shared" si="4545"/>
        <v>0</v>
      </c>
      <c r="DB852" s="381">
        <v>1</v>
      </c>
      <c r="DC852" s="381">
        <v>7</v>
      </c>
      <c r="DD852" s="381">
        <v>8</v>
      </c>
      <c r="DE852" s="381">
        <v>10</v>
      </c>
      <c r="DF852" s="381">
        <v>10</v>
      </c>
      <c r="DG852" s="381">
        <f t="shared" si="4593"/>
        <v>5</v>
      </c>
      <c r="DH852" s="381">
        <f t="shared" si="4546"/>
        <v>6</v>
      </c>
      <c r="DI852" s="381">
        <f t="shared" si="4547"/>
        <v>17</v>
      </c>
      <c r="DJ852" s="381">
        <f t="shared" si="4548"/>
        <v>17</v>
      </c>
      <c r="DK852" s="381">
        <f t="shared" si="4549"/>
        <v>23</v>
      </c>
      <c r="DL852" s="381">
        <f t="shared" si="4550"/>
        <v>26</v>
      </c>
      <c r="DM852" s="381">
        <f t="shared" si="4551"/>
        <v>26</v>
      </c>
      <c r="DN852" s="381">
        <f t="shared" si="4594"/>
        <v>5</v>
      </c>
      <c r="DO852" s="381">
        <f t="shared" si="4594"/>
        <v>5</v>
      </c>
      <c r="ED852" s="405"/>
      <c r="EH852" s="381">
        <f t="shared" si="4552"/>
        <v>0</v>
      </c>
      <c r="EI852" s="381">
        <f t="shared" si="4553"/>
        <v>5</v>
      </c>
      <c r="EJ852" s="381">
        <f t="shared" si="4554"/>
        <v>5</v>
      </c>
      <c r="EK852" s="381">
        <f t="shared" si="4595"/>
        <v>0.91666666666666663</v>
      </c>
      <c r="EL852" s="381" t="e">
        <f>EH852/#REF!</f>
        <v>#REF!</v>
      </c>
      <c r="EM852" s="381" t="e">
        <f>EI852/#REF!</f>
        <v>#REF!</v>
      </c>
      <c r="EN852" s="381" t="e">
        <f>EJ852/#REF!</f>
        <v>#REF!</v>
      </c>
      <c r="EO852" s="381" t="e">
        <f>IF(EH852&lt;0,,IF(EH852&lt;#REF!,"È",IF(EH852=#REF!,"Æ","Ç")))</f>
        <v>#REF!</v>
      </c>
      <c r="EP852" s="381" t="e">
        <f>IF(EI852&lt;0,,IF(EI852&lt;#REF!,"È",IF(EI852=#REF!,"Æ","Ç")))</f>
        <v>#REF!</v>
      </c>
      <c r="EQ852" s="381" t="e">
        <f t="shared" si="4596"/>
        <v>#REF!</v>
      </c>
      <c r="ER852" s="381" t="e">
        <f t="shared" si="4597"/>
        <v>#REF!</v>
      </c>
      <c r="ES852" s="381" t="e">
        <f t="shared" si="4598"/>
        <v>#REF!</v>
      </c>
    </row>
    <row r="853" spans="1:149" s="381" customFormat="1">
      <c r="A853" s="6" t="s">
        <v>23</v>
      </c>
      <c r="B853" s="381" t="s">
        <v>214</v>
      </c>
      <c r="C853" s="3" t="s">
        <v>54</v>
      </c>
      <c r="D853" s="3"/>
      <c r="E853" s="3" t="s">
        <v>16</v>
      </c>
      <c r="F853" s="3"/>
      <c r="G853" s="3" t="s">
        <v>91</v>
      </c>
      <c r="H853" s="3"/>
      <c r="I853" s="3"/>
      <c r="V853" s="381">
        <v>1</v>
      </c>
      <c r="W853" s="381">
        <v>1</v>
      </c>
      <c r="X853" s="381">
        <v>1</v>
      </c>
      <c r="Y853" s="381">
        <v>7</v>
      </c>
      <c r="Z853" s="381">
        <v>13</v>
      </c>
      <c r="AA853" s="381">
        <v>18</v>
      </c>
      <c r="AB853" s="381">
        <v>21</v>
      </c>
      <c r="AC853" s="381">
        <v>21</v>
      </c>
      <c r="AD853" s="381">
        <v>36</v>
      </c>
      <c r="AE853" s="381">
        <v>50</v>
      </c>
      <c r="AF853" s="381">
        <v>52</v>
      </c>
      <c r="AG853" s="381">
        <v>61</v>
      </c>
      <c r="AH853" s="381">
        <v>9</v>
      </c>
      <c r="AI853" s="381">
        <v>19</v>
      </c>
      <c r="AK853" s="405"/>
      <c r="AL853" s="381">
        <f t="shared" si="4555"/>
        <v>0</v>
      </c>
      <c r="AM853" s="381">
        <f t="shared" si="4556"/>
        <v>0</v>
      </c>
      <c r="AN853" s="381">
        <f t="shared" si="4557"/>
        <v>0</v>
      </c>
      <c r="AO853" s="381">
        <f t="shared" si="4558"/>
        <v>0</v>
      </c>
      <c r="AP853" s="381">
        <f t="shared" si="4517"/>
        <v>0</v>
      </c>
      <c r="AQ853" s="381">
        <f t="shared" si="4518"/>
        <v>0</v>
      </c>
      <c r="AR853" s="381">
        <f t="shared" si="4519"/>
        <v>0</v>
      </c>
      <c r="AS853" s="381">
        <f t="shared" si="4520"/>
        <v>0</v>
      </c>
      <c r="AT853" s="381">
        <f t="shared" si="4521"/>
        <v>0</v>
      </c>
      <c r="AU853" s="381">
        <f t="shared" si="4522"/>
        <v>0</v>
      </c>
      <c r="AV853" s="381">
        <f t="shared" si="4523"/>
        <v>0</v>
      </c>
      <c r="AW853" s="381">
        <f t="shared" si="4524"/>
        <v>0</v>
      </c>
      <c r="AX853" s="381">
        <f t="shared" si="4525"/>
        <v>1</v>
      </c>
      <c r="AY853" s="381">
        <f t="shared" si="4526"/>
        <v>0</v>
      </c>
      <c r="AZ853" s="381">
        <f t="shared" si="4527"/>
        <v>0</v>
      </c>
      <c r="BA853" s="381">
        <f t="shared" si="4559"/>
        <v>7</v>
      </c>
      <c r="BB853" s="381">
        <f t="shared" si="4528"/>
        <v>6</v>
      </c>
      <c r="BC853" s="381">
        <f t="shared" si="4529"/>
        <v>5</v>
      </c>
      <c r="BD853" s="381">
        <f t="shared" si="4530"/>
        <v>3</v>
      </c>
      <c r="BE853" s="381">
        <f t="shared" si="4531"/>
        <v>0</v>
      </c>
      <c r="BF853" s="381">
        <f t="shared" si="4532"/>
        <v>15</v>
      </c>
      <c r="BG853" s="381">
        <f t="shared" si="4533"/>
        <v>14</v>
      </c>
      <c r="BH853" s="381">
        <f t="shared" si="4534"/>
        <v>2</v>
      </c>
      <c r="BI853" s="381">
        <f t="shared" si="4560"/>
        <v>9</v>
      </c>
      <c r="BJ853" s="381">
        <f t="shared" si="4561"/>
        <v>9</v>
      </c>
      <c r="BK853" s="381">
        <f t="shared" si="4536"/>
        <v>10</v>
      </c>
      <c r="BL853" s="381">
        <f t="shared" si="4537"/>
        <v>0</v>
      </c>
      <c r="BM853" s="405"/>
      <c r="BN853" s="381">
        <f t="shared" si="4562"/>
        <v>0</v>
      </c>
      <c r="BO853" s="381">
        <f t="shared" si="4563"/>
        <v>0</v>
      </c>
      <c r="BP853" s="381">
        <f t="shared" si="4564"/>
        <v>0</v>
      </c>
      <c r="BQ853" s="381">
        <f t="shared" si="4565"/>
        <v>0</v>
      </c>
      <c r="BR853" s="381">
        <f t="shared" si="4566"/>
        <v>0</v>
      </c>
      <c r="BS853" s="381">
        <f t="shared" si="4567"/>
        <v>0</v>
      </c>
      <c r="BT853" s="381">
        <f t="shared" si="4568"/>
        <v>0</v>
      </c>
      <c r="BU853" s="381">
        <f t="shared" si="4569"/>
        <v>0</v>
      </c>
      <c r="BV853" s="381">
        <f t="shared" si="4570"/>
        <v>0</v>
      </c>
      <c r="BW853" s="381">
        <f t="shared" si="4571"/>
        <v>0</v>
      </c>
      <c r="BX853" s="381">
        <f t="shared" si="4572"/>
        <v>0</v>
      </c>
      <c r="BY853" s="381">
        <f t="shared" si="4573"/>
        <v>0</v>
      </c>
      <c r="BZ853" s="381">
        <f t="shared" si="4574"/>
        <v>1</v>
      </c>
      <c r="CA853" s="381">
        <f t="shared" si="4575"/>
        <v>1</v>
      </c>
      <c r="CB853" s="381">
        <f t="shared" si="4576"/>
        <v>1</v>
      </c>
      <c r="CC853" s="381">
        <f t="shared" si="4577"/>
        <v>18</v>
      </c>
      <c r="CD853" s="381">
        <f t="shared" si="4578"/>
        <v>18</v>
      </c>
      <c r="CE853" s="381">
        <f t="shared" si="4579"/>
        <v>18</v>
      </c>
      <c r="CF853" s="381">
        <f t="shared" si="4580"/>
        <v>18</v>
      </c>
      <c r="CG853" s="381">
        <f t="shared" si="4581"/>
        <v>18</v>
      </c>
      <c r="CH853" s="381">
        <f t="shared" si="4582"/>
        <v>18</v>
      </c>
      <c r="CI853" s="381">
        <f t="shared" si="4583"/>
        <v>25</v>
      </c>
      <c r="CJ853" s="381">
        <f t="shared" si="4584"/>
        <v>25</v>
      </c>
      <c r="CK853" s="381">
        <f t="shared" si="4585"/>
        <v>25</v>
      </c>
      <c r="CL853" s="381">
        <f t="shared" si="4586"/>
        <v>19</v>
      </c>
      <c r="CM853" s="381">
        <f t="shared" si="4587"/>
        <v>19</v>
      </c>
      <c r="CN853" s="381">
        <f t="shared" si="4588"/>
        <v>19</v>
      </c>
      <c r="CO853" s="405"/>
      <c r="CP853" s="381">
        <f t="shared" si="4589"/>
        <v>0</v>
      </c>
      <c r="CQ853" s="381">
        <f t="shared" si="4590"/>
        <v>0</v>
      </c>
      <c r="CR853" s="381">
        <f t="shared" si="4591"/>
        <v>0</v>
      </c>
      <c r="CS853" s="381">
        <f t="shared" si="4592"/>
        <v>0</v>
      </c>
      <c r="CT853" s="381">
        <f t="shared" si="4538"/>
        <v>0</v>
      </c>
      <c r="CU853" s="381">
        <f t="shared" si="4539"/>
        <v>0</v>
      </c>
      <c r="CV853" s="381">
        <f t="shared" si="4540"/>
        <v>0</v>
      </c>
      <c r="CW853" s="381">
        <f t="shared" si="4541"/>
        <v>0</v>
      </c>
      <c r="CX853" s="381">
        <f t="shared" si="4542"/>
        <v>0</v>
      </c>
      <c r="CY853" s="381">
        <f t="shared" si="4543"/>
        <v>0</v>
      </c>
      <c r="CZ853" s="381">
        <f t="shared" si="4544"/>
        <v>0</v>
      </c>
      <c r="DA853" s="381">
        <f t="shared" si="4545"/>
        <v>0</v>
      </c>
      <c r="DB853" s="381">
        <v>0</v>
      </c>
      <c r="DC853" s="381">
        <v>1</v>
      </c>
      <c r="DD853" s="381">
        <v>1</v>
      </c>
      <c r="DE853" s="381">
        <v>7</v>
      </c>
      <c r="DF853" s="381">
        <v>19</v>
      </c>
      <c r="DG853" s="381">
        <f t="shared" si="4593"/>
        <v>18</v>
      </c>
      <c r="DH853" s="381">
        <f t="shared" si="4546"/>
        <v>21</v>
      </c>
      <c r="DI853" s="381">
        <f t="shared" si="4547"/>
        <v>21</v>
      </c>
      <c r="DJ853" s="381">
        <f t="shared" si="4548"/>
        <v>36</v>
      </c>
      <c r="DK853" s="381">
        <f t="shared" si="4549"/>
        <v>50</v>
      </c>
      <c r="DL853" s="381">
        <f t="shared" si="4550"/>
        <v>52</v>
      </c>
      <c r="DM853" s="381">
        <f t="shared" si="4551"/>
        <v>61</v>
      </c>
      <c r="DN853" s="381">
        <f t="shared" si="4594"/>
        <v>9</v>
      </c>
      <c r="DO853" s="381">
        <f t="shared" si="4594"/>
        <v>19</v>
      </c>
      <c r="ED853" s="405"/>
      <c r="EH853" s="381">
        <f t="shared" si="4552"/>
        <v>10</v>
      </c>
      <c r="EI853" s="381">
        <f t="shared" si="4553"/>
        <v>19</v>
      </c>
      <c r="EJ853" s="381">
        <f t="shared" si="4554"/>
        <v>19</v>
      </c>
      <c r="EK853" s="381">
        <f t="shared" si="4595"/>
        <v>0.91666666666666663</v>
      </c>
      <c r="EL853" s="381" t="e">
        <f>EH853/#REF!</f>
        <v>#REF!</v>
      </c>
      <c r="EM853" s="381" t="e">
        <f>EI853/#REF!</f>
        <v>#REF!</v>
      </c>
      <c r="EN853" s="381" t="e">
        <f>EJ853/#REF!</f>
        <v>#REF!</v>
      </c>
      <c r="EO853" s="381" t="e">
        <f>IF(EH853&lt;0,,IF(EH853&lt;#REF!,"È",IF(EH853=#REF!,"Æ","Ç")))</f>
        <v>#REF!</v>
      </c>
      <c r="EP853" s="381" t="e">
        <f>IF(EI853&lt;0,,IF(EI853&lt;#REF!,"È",IF(EI853=#REF!,"Æ","Ç")))</f>
        <v>#REF!</v>
      </c>
      <c r="EQ853" s="381" t="e">
        <f t="shared" si="4596"/>
        <v>#REF!</v>
      </c>
      <c r="ER853" s="381" t="e">
        <f t="shared" si="4597"/>
        <v>#REF!</v>
      </c>
      <c r="ES853" s="381" t="e">
        <f t="shared" si="4598"/>
        <v>#REF!</v>
      </c>
    </row>
    <row r="854" spans="1:149" s="381" customFormat="1">
      <c r="A854" s="6" t="s">
        <v>23</v>
      </c>
      <c r="B854" s="381" t="s">
        <v>215</v>
      </c>
      <c r="C854" s="3" t="s">
        <v>54</v>
      </c>
      <c r="D854" s="3"/>
      <c r="E854" s="3" t="s">
        <v>16</v>
      </c>
      <c r="F854" s="3"/>
      <c r="G854" s="3" t="s">
        <v>91</v>
      </c>
      <c r="H854" s="3"/>
      <c r="I854" s="3"/>
      <c r="V854" s="381">
        <v>0</v>
      </c>
      <c r="W854" s="381">
        <v>1</v>
      </c>
      <c r="X854" s="381">
        <v>15</v>
      </c>
      <c r="Y854" s="381">
        <v>18</v>
      </c>
      <c r="Z854" s="381">
        <v>33</v>
      </c>
      <c r="AA854" s="381">
        <v>43</v>
      </c>
      <c r="AB854" s="381">
        <v>45</v>
      </c>
      <c r="AC854" s="381">
        <v>53</v>
      </c>
      <c r="AD854" s="381">
        <v>55</v>
      </c>
      <c r="AE854" s="381">
        <v>106</v>
      </c>
      <c r="AF854" s="381">
        <v>106</v>
      </c>
      <c r="AG854" s="381">
        <v>108</v>
      </c>
      <c r="AH854" s="381">
        <v>7</v>
      </c>
      <c r="AI854" s="381">
        <v>13</v>
      </c>
      <c r="AK854" s="405"/>
      <c r="AL854" s="381">
        <f t="shared" si="4555"/>
        <v>0</v>
      </c>
      <c r="AM854" s="381">
        <f t="shared" si="4556"/>
        <v>0</v>
      </c>
      <c r="AN854" s="381">
        <f t="shared" si="4557"/>
        <v>0</v>
      </c>
      <c r="AO854" s="381">
        <f t="shared" si="4558"/>
        <v>0</v>
      </c>
      <c r="AP854" s="381">
        <f t="shared" si="4517"/>
        <v>0</v>
      </c>
      <c r="AQ854" s="381">
        <f t="shared" si="4518"/>
        <v>0</v>
      </c>
      <c r="AR854" s="381">
        <f t="shared" si="4519"/>
        <v>0</v>
      </c>
      <c r="AS854" s="381">
        <f t="shared" si="4520"/>
        <v>0</v>
      </c>
      <c r="AT854" s="381">
        <f t="shared" si="4521"/>
        <v>0</v>
      </c>
      <c r="AU854" s="381">
        <f t="shared" si="4522"/>
        <v>0</v>
      </c>
      <c r="AV854" s="381">
        <f t="shared" si="4523"/>
        <v>0</v>
      </c>
      <c r="AW854" s="381">
        <f t="shared" si="4524"/>
        <v>0</v>
      </c>
      <c r="AX854" s="381">
        <f t="shared" si="4525"/>
        <v>0</v>
      </c>
      <c r="AY854" s="381">
        <f t="shared" si="4526"/>
        <v>1</v>
      </c>
      <c r="AZ854" s="381">
        <f t="shared" si="4527"/>
        <v>14</v>
      </c>
      <c r="BA854" s="381">
        <f t="shared" si="4559"/>
        <v>18</v>
      </c>
      <c r="BB854" s="381">
        <f t="shared" si="4528"/>
        <v>15</v>
      </c>
      <c r="BC854" s="381">
        <f t="shared" si="4529"/>
        <v>10</v>
      </c>
      <c r="BD854" s="381">
        <f t="shared" si="4530"/>
        <v>2</v>
      </c>
      <c r="BE854" s="381">
        <f t="shared" si="4531"/>
        <v>8</v>
      </c>
      <c r="BF854" s="381">
        <f t="shared" si="4532"/>
        <v>2</v>
      </c>
      <c r="BG854" s="381">
        <f t="shared" si="4533"/>
        <v>51</v>
      </c>
      <c r="BH854" s="381">
        <f t="shared" si="4534"/>
        <v>0</v>
      </c>
      <c r="BI854" s="381">
        <f t="shared" si="4560"/>
        <v>2</v>
      </c>
      <c r="BJ854" s="381">
        <f t="shared" si="4561"/>
        <v>7</v>
      </c>
      <c r="BK854" s="381">
        <f t="shared" si="4536"/>
        <v>6</v>
      </c>
      <c r="BL854" s="381">
        <f t="shared" si="4537"/>
        <v>0</v>
      </c>
      <c r="BM854" s="405"/>
      <c r="BN854" s="381">
        <f t="shared" si="4562"/>
        <v>0</v>
      </c>
      <c r="BO854" s="381">
        <f t="shared" si="4563"/>
        <v>0</v>
      </c>
      <c r="BP854" s="381">
        <f t="shared" si="4564"/>
        <v>0</v>
      </c>
      <c r="BQ854" s="381">
        <f t="shared" si="4565"/>
        <v>0</v>
      </c>
      <c r="BR854" s="381">
        <f t="shared" si="4566"/>
        <v>0</v>
      </c>
      <c r="BS854" s="381">
        <f t="shared" si="4567"/>
        <v>0</v>
      </c>
      <c r="BT854" s="381">
        <f t="shared" si="4568"/>
        <v>0</v>
      </c>
      <c r="BU854" s="381">
        <f t="shared" si="4569"/>
        <v>0</v>
      </c>
      <c r="BV854" s="381">
        <f t="shared" si="4570"/>
        <v>0</v>
      </c>
      <c r="BW854" s="381">
        <f t="shared" si="4571"/>
        <v>0</v>
      </c>
      <c r="BX854" s="381">
        <f t="shared" si="4572"/>
        <v>0</v>
      </c>
      <c r="BY854" s="381">
        <f t="shared" si="4573"/>
        <v>0</v>
      </c>
      <c r="BZ854" s="381">
        <f t="shared" si="4574"/>
        <v>15</v>
      </c>
      <c r="CA854" s="381">
        <f t="shared" si="4575"/>
        <v>15</v>
      </c>
      <c r="CB854" s="381">
        <f t="shared" si="4576"/>
        <v>15</v>
      </c>
      <c r="CC854" s="381">
        <f t="shared" si="4577"/>
        <v>43</v>
      </c>
      <c r="CD854" s="381">
        <f t="shared" si="4578"/>
        <v>43</v>
      </c>
      <c r="CE854" s="381">
        <f t="shared" si="4579"/>
        <v>43</v>
      </c>
      <c r="CF854" s="381">
        <f t="shared" si="4580"/>
        <v>12</v>
      </c>
      <c r="CG854" s="381">
        <f t="shared" si="4581"/>
        <v>12</v>
      </c>
      <c r="CH854" s="381">
        <f t="shared" si="4582"/>
        <v>12</v>
      </c>
      <c r="CI854" s="381">
        <f t="shared" si="4583"/>
        <v>53</v>
      </c>
      <c r="CJ854" s="381">
        <f t="shared" si="4584"/>
        <v>53</v>
      </c>
      <c r="CK854" s="381">
        <f t="shared" si="4585"/>
        <v>53</v>
      </c>
      <c r="CL854" s="381">
        <f t="shared" si="4586"/>
        <v>13</v>
      </c>
      <c r="CM854" s="381">
        <f t="shared" si="4587"/>
        <v>13</v>
      </c>
      <c r="CN854" s="381">
        <f t="shared" si="4588"/>
        <v>13</v>
      </c>
      <c r="CO854" s="405"/>
      <c r="CP854" s="381">
        <f t="shared" si="4589"/>
        <v>0</v>
      </c>
      <c r="CQ854" s="381">
        <f t="shared" si="4590"/>
        <v>0</v>
      </c>
      <c r="CR854" s="381">
        <f t="shared" si="4591"/>
        <v>0</v>
      </c>
      <c r="CS854" s="381">
        <f t="shared" si="4592"/>
        <v>0</v>
      </c>
      <c r="CT854" s="381">
        <f t="shared" si="4538"/>
        <v>0</v>
      </c>
      <c r="CU854" s="381">
        <f t="shared" si="4539"/>
        <v>0</v>
      </c>
      <c r="CV854" s="381">
        <f t="shared" si="4540"/>
        <v>0</v>
      </c>
      <c r="CW854" s="381">
        <f t="shared" si="4541"/>
        <v>0</v>
      </c>
      <c r="CX854" s="381">
        <f t="shared" si="4542"/>
        <v>0</v>
      </c>
      <c r="CY854" s="381">
        <f t="shared" si="4543"/>
        <v>0</v>
      </c>
      <c r="CZ854" s="381">
        <f t="shared" si="4544"/>
        <v>0</v>
      </c>
      <c r="DA854" s="381">
        <f t="shared" si="4545"/>
        <v>0</v>
      </c>
      <c r="DB854" s="381">
        <v>0</v>
      </c>
      <c r="DC854" s="381">
        <v>1</v>
      </c>
      <c r="DD854" s="381">
        <v>15</v>
      </c>
      <c r="DE854" s="381">
        <v>18</v>
      </c>
      <c r="DF854" s="381">
        <v>33</v>
      </c>
      <c r="DG854" s="381">
        <f t="shared" si="4593"/>
        <v>43</v>
      </c>
      <c r="DH854" s="381">
        <f t="shared" si="4546"/>
        <v>45</v>
      </c>
      <c r="DI854" s="381">
        <f t="shared" si="4547"/>
        <v>53</v>
      </c>
      <c r="DJ854" s="381">
        <f t="shared" si="4548"/>
        <v>55</v>
      </c>
      <c r="DK854" s="381">
        <f t="shared" si="4549"/>
        <v>106</v>
      </c>
      <c r="DL854" s="381">
        <f t="shared" si="4550"/>
        <v>106</v>
      </c>
      <c r="DM854" s="381">
        <f t="shared" si="4551"/>
        <v>108</v>
      </c>
      <c r="DN854" s="381">
        <f t="shared" si="4594"/>
        <v>7</v>
      </c>
      <c r="DO854" s="381">
        <f t="shared" si="4594"/>
        <v>13</v>
      </c>
      <c r="ED854" s="405"/>
      <c r="EH854" s="381">
        <f t="shared" si="4552"/>
        <v>6</v>
      </c>
      <c r="EI854" s="381">
        <f t="shared" si="4553"/>
        <v>13</v>
      </c>
      <c r="EJ854" s="381">
        <f t="shared" si="4554"/>
        <v>13</v>
      </c>
      <c r="EK854" s="381">
        <f t="shared" si="4595"/>
        <v>0.91666666666666663</v>
      </c>
      <c r="EL854" s="381" t="e">
        <f>EH854/#REF!</f>
        <v>#REF!</v>
      </c>
      <c r="EM854" s="381" t="e">
        <f>EI854/#REF!</f>
        <v>#REF!</v>
      </c>
      <c r="EN854" s="381" t="e">
        <f>EJ854/#REF!</f>
        <v>#REF!</v>
      </c>
      <c r="EO854" s="381" t="e">
        <f>IF(EH854&lt;0,,IF(EH854&lt;#REF!,"È",IF(EH854=#REF!,"Æ","Ç")))</f>
        <v>#REF!</v>
      </c>
      <c r="EP854" s="381" t="e">
        <f>IF(EI854&lt;0,,IF(EI854&lt;#REF!,"È",IF(EI854=#REF!,"Æ","Ç")))</f>
        <v>#REF!</v>
      </c>
      <c r="EQ854" s="381" t="e">
        <f t="shared" si="4596"/>
        <v>#REF!</v>
      </c>
      <c r="ER854" s="381" t="e">
        <f t="shared" si="4597"/>
        <v>#REF!</v>
      </c>
      <c r="ES854" s="381" t="e">
        <f t="shared" si="4598"/>
        <v>#REF!</v>
      </c>
    </row>
    <row r="855" spans="1:149" s="381" customFormat="1">
      <c r="A855" s="6" t="s">
        <v>23</v>
      </c>
      <c r="B855" s="381" t="s">
        <v>216</v>
      </c>
      <c r="C855" s="3" t="s">
        <v>54</v>
      </c>
      <c r="D855" s="3"/>
      <c r="E855" s="3" t="s">
        <v>16</v>
      </c>
      <c r="F855" s="3"/>
      <c r="G855" s="3" t="s">
        <v>91</v>
      </c>
      <c r="H855" s="3"/>
      <c r="I855" s="3"/>
      <c r="V855" s="381">
        <v>5</v>
      </c>
      <c r="W855" s="381">
        <v>14</v>
      </c>
      <c r="X855" s="381">
        <v>19</v>
      </c>
      <c r="Y855" s="381">
        <v>37</v>
      </c>
      <c r="Z855" s="381">
        <v>56</v>
      </c>
      <c r="AA855" s="381">
        <v>72</v>
      </c>
      <c r="AB855" s="381">
        <v>104</v>
      </c>
      <c r="AC855" s="381">
        <v>124</v>
      </c>
      <c r="AD855" s="381">
        <v>138</v>
      </c>
      <c r="AE855" s="381">
        <v>152</v>
      </c>
      <c r="AF855" s="381">
        <v>163</v>
      </c>
      <c r="AG855" s="381">
        <v>187</v>
      </c>
      <c r="AH855" s="381">
        <v>21</v>
      </c>
      <c r="AI855" s="381">
        <v>46</v>
      </c>
      <c r="AK855" s="405"/>
      <c r="AL855" s="381">
        <f t="shared" si="4555"/>
        <v>0</v>
      </c>
      <c r="AM855" s="381">
        <f t="shared" si="4556"/>
        <v>0</v>
      </c>
      <c r="AN855" s="381">
        <f t="shared" si="4557"/>
        <v>0</v>
      </c>
      <c r="AO855" s="381">
        <f t="shared" si="4558"/>
        <v>0</v>
      </c>
      <c r="AP855" s="381">
        <f t="shared" si="4517"/>
        <v>0</v>
      </c>
      <c r="AQ855" s="381">
        <f t="shared" si="4518"/>
        <v>0</v>
      </c>
      <c r="AR855" s="381">
        <f t="shared" si="4519"/>
        <v>0</v>
      </c>
      <c r="AS855" s="381">
        <f t="shared" si="4520"/>
        <v>0</v>
      </c>
      <c r="AT855" s="381">
        <f t="shared" si="4521"/>
        <v>0</v>
      </c>
      <c r="AU855" s="381">
        <f t="shared" si="4522"/>
        <v>0</v>
      </c>
      <c r="AV855" s="381">
        <f t="shared" si="4523"/>
        <v>0</v>
      </c>
      <c r="AW855" s="381">
        <f t="shared" si="4524"/>
        <v>0</v>
      </c>
      <c r="AX855" s="381">
        <f t="shared" si="4525"/>
        <v>5</v>
      </c>
      <c r="AY855" s="381">
        <f t="shared" si="4526"/>
        <v>9</v>
      </c>
      <c r="AZ855" s="381">
        <f t="shared" si="4527"/>
        <v>5</v>
      </c>
      <c r="BA855" s="381">
        <f t="shared" si="4559"/>
        <v>37</v>
      </c>
      <c r="BB855" s="381">
        <f t="shared" si="4528"/>
        <v>19</v>
      </c>
      <c r="BC855" s="381">
        <f t="shared" si="4529"/>
        <v>16</v>
      </c>
      <c r="BD855" s="381">
        <f t="shared" si="4530"/>
        <v>32</v>
      </c>
      <c r="BE855" s="381">
        <f t="shared" si="4531"/>
        <v>20</v>
      </c>
      <c r="BF855" s="381">
        <f t="shared" si="4532"/>
        <v>14</v>
      </c>
      <c r="BG855" s="381">
        <f t="shared" si="4533"/>
        <v>14</v>
      </c>
      <c r="BH855" s="381">
        <f t="shared" si="4534"/>
        <v>11</v>
      </c>
      <c r="BI855" s="381">
        <f t="shared" si="4560"/>
        <v>24</v>
      </c>
      <c r="BJ855" s="381">
        <f t="shared" si="4561"/>
        <v>21</v>
      </c>
      <c r="BK855" s="381">
        <f t="shared" si="4536"/>
        <v>25</v>
      </c>
      <c r="BL855" s="381">
        <f t="shared" si="4537"/>
        <v>0</v>
      </c>
      <c r="BM855" s="405"/>
      <c r="BN855" s="381">
        <f t="shared" si="4562"/>
        <v>0</v>
      </c>
      <c r="BO855" s="381">
        <f t="shared" si="4563"/>
        <v>0</v>
      </c>
      <c r="BP855" s="381">
        <f t="shared" si="4564"/>
        <v>0</v>
      </c>
      <c r="BQ855" s="381">
        <f t="shared" si="4565"/>
        <v>0</v>
      </c>
      <c r="BR855" s="381">
        <f t="shared" si="4566"/>
        <v>0</v>
      </c>
      <c r="BS855" s="381">
        <f t="shared" si="4567"/>
        <v>0</v>
      </c>
      <c r="BT855" s="381">
        <f t="shared" si="4568"/>
        <v>0</v>
      </c>
      <c r="BU855" s="381">
        <f t="shared" si="4569"/>
        <v>0</v>
      </c>
      <c r="BV855" s="381">
        <f t="shared" si="4570"/>
        <v>0</v>
      </c>
      <c r="BW855" s="381">
        <f t="shared" si="4571"/>
        <v>0</v>
      </c>
      <c r="BX855" s="381">
        <f t="shared" si="4572"/>
        <v>0</v>
      </c>
      <c r="BY855" s="381">
        <f t="shared" si="4573"/>
        <v>0</v>
      </c>
      <c r="BZ855" s="381">
        <f t="shared" si="4574"/>
        <v>19</v>
      </c>
      <c r="CA855" s="381">
        <f t="shared" si="4575"/>
        <v>19</v>
      </c>
      <c r="CB855" s="381">
        <f t="shared" si="4576"/>
        <v>19</v>
      </c>
      <c r="CC855" s="381">
        <f t="shared" si="4577"/>
        <v>72</v>
      </c>
      <c r="CD855" s="381">
        <f t="shared" si="4578"/>
        <v>72</v>
      </c>
      <c r="CE855" s="381">
        <f t="shared" si="4579"/>
        <v>72</v>
      </c>
      <c r="CF855" s="381">
        <f t="shared" si="4580"/>
        <v>66</v>
      </c>
      <c r="CG855" s="381">
        <f t="shared" si="4581"/>
        <v>66</v>
      </c>
      <c r="CH855" s="381">
        <f t="shared" si="4582"/>
        <v>66</v>
      </c>
      <c r="CI855" s="381">
        <f t="shared" si="4583"/>
        <v>49</v>
      </c>
      <c r="CJ855" s="381">
        <f t="shared" si="4584"/>
        <v>49</v>
      </c>
      <c r="CK855" s="381">
        <f t="shared" si="4585"/>
        <v>49</v>
      </c>
      <c r="CL855" s="381">
        <f t="shared" si="4586"/>
        <v>46</v>
      </c>
      <c r="CM855" s="381">
        <f t="shared" si="4587"/>
        <v>46</v>
      </c>
      <c r="CN855" s="381">
        <f t="shared" si="4588"/>
        <v>46</v>
      </c>
      <c r="CO855" s="405"/>
      <c r="CP855" s="381">
        <f t="shared" si="4589"/>
        <v>0</v>
      </c>
      <c r="CQ855" s="381">
        <f t="shared" si="4590"/>
        <v>0</v>
      </c>
      <c r="CR855" s="381">
        <f t="shared" si="4591"/>
        <v>0</v>
      </c>
      <c r="CS855" s="381">
        <f t="shared" si="4592"/>
        <v>0</v>
      </c>
      <c r="CT855" s="381">
        <f t="shared" si="4538"/>
        <v>0</v>
      </c>
      <c r="CU855" s="381">
        <f t="shared" si="4539"/>
        <v>0</v>
      </c>
      <c r="CV855" s="381">
        <f t="shared" si="4540"/>
        <v>0</v>
      </c>
      <c r="CW855" s="381">
        <f t="shared" si="4541"/>
        <v>0</v>
      </c>
      <c r="CX855" s="381">
        <f t="shared" si="4542"/>
        <v>0</v>
      </c>
      <c r="CY855" s="381">
        <f t="shared" si="4543"/>
        <v>0</v>
      </c>
      <c r="CZ855" s="381">
        <f t="shared" si="4544"/>
        <v>0</v>
      </c>
      <c r="DA855" s="381">
        <f t="shared" si="4545"/>
        <v>0</v>
      </c>
      <c r="DB855" s="381">
        <v>5</v>
      </c>
      <c r="DC855" s="381">
        <v>14</v>
      </c>
      <c r="DD855" s="381">
        <v>19</v>
      </c>
      <c r="DE855" s="381">
        <v>37</v>
      </c>
      <c r="DF855" s="381">
        <v>56</v>
      </c>
      <c r="DG855" s="381">
        <f t="shared" si="4593"/>
        <v>72</v>
      </c>
      <c r="DH855" s="381">
        <f t="shared" si="4546"/>
        <v>104</v>
      </c>
      <c r="DI855" s="381">
        <f t="shared" si="4547"/>
        <v>124</v>
      </c>
      <c r="DJ855" s="381">
        <f t="shared" si="4548"/>
        <v>138</v>
      </c>
      <c r="DK855" s="381">
        <f t="shared" si="4549"/>
        <v>152</v>
      </c>
      <c r="DL855" s="381">
        <f t="shared" si="4550"/>
        <v>163</v>
      </c>
      <c r="DM855" s="381">
        <f t="shared" si="4551"/>
        <v>187</v>
      </c>
      <c r="DN855" s="381">
        <f t="shared" si="4594"/>
        <v>21</v>
      </c>
      <c r="DO855" s="381">
        <f t="shared" si="4594"/>
        <v>46</v>
      </c>
      <c r="ED855" s="405"/>
      <c r="EH855" s="381">
        <f t="shared" si="4552"/>
        <v>25</v>
      </c>
      <c r="EI855" s="381">
        <f t="shared" si="4553"/>
        <v>46</v>
      </c>
      <c r="EJ855" s="381">
        <f t="shared" si="4554"/>
        <v>46</v>
      </c>
      <c r="EK855" s="381">
        <f t="shared" si="4595"/>
        <v>0.91666666666666663</v>
      </c>
      <c r="EL855" s="381" t="e">
        <f>EH855/#REF!</f>
        <v>#REF!</v>
      </c>
      <c r="EM855" s="381" t="e">
        <f>EI855/#REF!</f>
        <v>#REF!</v>
      </c>
      <c r="EN855" s="381" t="e">
        <f>EJ855/#REF!</f>
        <v>#REF!</v>
      </c>
      <c r="EO855" s="381" t="e">
        <f>IF(EH855&lt;0,,IF(EH855&lt;#REF!,"È",IF(EH855=#REF!,"Æ","Ç")))</f>
        <v>#REF!</v>
      </c>
      <c r="EP855" s="381" t="e">
        <f>IF(EI855&lt;0,,IF(EI855&lt;#REF!,"È",IF(EI855=#REF!,"Æ","Ç")))</f>
        <v>#REF!</v>
      </c>
      <c r="EQ855" s="381" t="e">
        <f t="shared" si="4596"/>
        <v>#REF!</v>
      </c>
      <c r="ER855" s="381" t="e">
        <f t="shared" si="4597"/>
        <v>#REF!</v>
      </c>
      <c r="ES855" s="381" t="e">
        <f t="shared" si="4598"/>
        <v>#REF!</v>
      </c>
    </row>
    <row r="856" spans="1:149" s="381" customFormat="1">
      <c r="A856" s="6" t="s">
        <v>23</v>
      </c>
      <c r="B856" s="381" t="s">
        <v>217</v>
      </c>
      <c r="C856" s="3" t="s">
        <v>54</v>
      </c>
      <c r="D856" s="3"/>
      <c r="E856" s="3" t="s">
        <v>16</v>
      </c>
      <c r="F856" s="3"/>
      <c r="G856" s="3" t="s">
        <v>91</v>
      </c>
      <c r="H856" s="3"/>
      <c r="I856" s="3"/>
      <c r="V856" s="381">
        <v>1</v>
      </c>
      <c r="W856" s="381">
        <v>2</v>
      </c>
      <c r="X856" s="381">
        <v>2</v>
      </c>
      <c r="Y856" s="381">
        <v>2</v>
      </c>
      <c r="Z856" s="381">
        <v>2</v>
      </c>
      <c r="AA856" s="381">
        <v>2</v>
      </c>
      <c r="AB856" s="381">
        <v>10</v>
      </c>
      <c r="AC856" s="381">
        <v>12</v>
      </c>
      <c r="AD856" s="381">
        <v>15</v>
      </c>
      <c r="AE856" s="381">
        <v>15</v>
      </c>
      <c r="AF856" s="381">
        <v>25</v>
      </c>
      <c r="AG856" s="381">
        <v>26</v>
      </c>
      <c r="AH856" s="381">
        <v>1</v>
      </c>
      <c r="AI856" s="381">
        <v>1</v>
      </c>
      <c r="AK856" s="405"/>
      <c r="AL856" s="381">
        <f t="shared" si="4555"/>
        <v>0</v>
      </c>
      <c r="AM856" s="381">
        <f t="shared" si="4556"/>
        <v>0</v>
      </c>
      <c r="AN856" s="381">
        <f t="shared" si="4557"/>
        <v>0</v>
      </c>
      <c r="AO856" s="381">
        <f t="shared" si="4558"/>
        <v>0</v>
      </c>
      <c r="AP856" s="381">
        <f t="shared" si="4517"/>
        <v>0</v>
      </c>
      <c r="AQ856" s="381">
        <f t="shared" si="4518"/>
        <v>0</v>
      </c>
      <c r="AR856" s="381">
        <f t="shared" si="4519"/>
        <v>0</v>
      </c>
      <c r="AS856" s="381">
        <f t="shared" si="4520"/>
        <v>0</v>
      </c>
      <c r="AT856" s="381">
        <f t="shared" si="4521"/>
        <v>0</v>
      </c>
      <c r="AU856" s="381">
        <f t="shared" si="4522"/>
        <v>0</v>
      </c>
      <c r="AV856" s="381">
        <f t="shared" si="4523"/>
        <v>0</v>
      </c>
      <c r="AW856" s="381">
        <f t="shared" si="4524"/>
        <v>0</v>
      </c>
      <c r="AX856" s="381">
        <f t="shared" si="4525"/>
        <v>1</v>
      </c>
      <c r="AY856" s="381">
        <f t="shared" si="4526"/>
        <v>1</v>
      </c>
      <c r="AZ856" s="381">
        <f t="shared" si="4527"/>
        <v>0</v>
      </c>
      <c r="BA856" s="381">
        <f t="shared" si="4559"/>
        <v>2</v>
      </c>
      <c r="BB856" s="381">
        <f t="shared" si="4528"/>
        <v>0</v>
      </c>
      <c r="BC856" s="381">
        <f t="shared" si="4529"/>
        <v>0</v>
      </c>
      <c r="BD856" s="381">
        <f t="shared" si="4530"/>
        <v>8</v>
      </c>
      <c r="BE856" s="381">
        <f t="shared" si="4531"/>
        <v>2</v>
      </c>
      <c r="BF856" s="381">
        <f t="shared" si="4532"/>
        <v>3</v>
      </c>
      <c r="BG856" s="381">
        <f t="shared" si="4533"/>
        <v>0</v>
      </c>
      <c r="BH856" s="381">
        <f t="shared" si="4534"/>
        <v>10</v>
      </c>
      <c r="BI856" s="381">
        <f t="shared" si="4560"/>
        <v>1</v>
      </c>
      <c r="BJ856" s="381">
        <f t="shared" si="4561"/>
        <v>1</v>
      </c>
      <c r="BK856" s="381">
        <f t="shared" si="4536"/>
        <v>0</v>
      </c>
      <c r="BL856" s="381">
        <f t="shared" si="4537"/>
        <v>0</v>
      </c>
      <c r="BM856" s="405"/>
      <c r="BN856" s="381">
        <f t="shared" si="4562"/>
        <v>0</v>
      </c>
      <c r="BO856" s="381">
        <f t="shared" si="4563"/>
        <v>0</v>
      </c>
      <c r="BP856" s="381">
        <f t="shared" si="4564"/>
        <v>0</v>
      </c>
      <c r="BQ856" s="381">
        <f t="shared" si="4565"/>
        <v>0</v>
      </c>
      <c r="BR856" s="381">
        <f t="shared" si="4566"/>
        <v>0</v>
      </c>
      <c r="BS856" s="381">
        <f t="shared" si="4567"/>
        <v>0</v>
      </c>
      <c r="BT856" s="381">
        <f t="shared" si="4568"/>
        <v>0</v>
      </c>
      <c r="BU856" s="381">
        <f t="shared" si="4569"/>
        <v>0</v>
      </c>
      <c r="BV856" s="381">
        <f t="shared" si="4570"/>
        <v>0</v>
      </c>
      <c r="BW856" s="381">
        <f t="shared" si="4571"/>
        <v>0</v>
      </c>
      <c r="BX856" s="381">
        <f t="shared" si="4572"/>
        <v>0</v>
      </c>
      <c r="BY856" s="381">
        <f t="shared" si="4573"/>
        <v>0</v>
      </c>
      <c r="BZ856" s="381">
        <f t="shared" si="4574"/>
        <v>2</v>
      </c>
      <c r="CA856" s="381">
        <f t="shared" si="4575"/>
        <v>2</v>
      </c>
      <c r="CB856" s="381">
        <f t="shared" si="4576"/>
        <v>2</v>
      </c>
      <c r="CC856" s="381">
        <f t="shared" si="4577"/>
        <v>2</v>
      </c>
      <c r="CD856" s="381">
        <f t="shared" si="4578"/>
        <v>2</v>
      </c>
      <c r="CE856" s="381">
        <f t="shared" si="4579"/>
        <v>2</v>
      </c>
      <c r="CF856" s="381">
        <f t="shared" si="4580"/>
        <v>13</v>
      </c>
      <c r="CG856" s="381">
        <f t="shared" si="4581"/>
        <v>13</v>
      </c>
      <c r="CH856" s="381">
        <f t="shared" si="4582"/>
        <v>13</v>
      </c>
      <c r="CI856" s="381">
        <f t="shared" si="4583"/>
        <v>11</v>
      </c>
      <c r="CJ856" s="381">
        <f t="shared" si="4584"/>
        <v>11</v>
      </c>
      <c r="CK856" s="381">
        <f t="shared" si="4585"/>
        <v>11</v>
      </c>
      <c r="CL856" s="381">
        <f t="shared" si="4586"/>
        <v>1</v>
      </c>
      <c r="CM856" s="381">
        <f t="shared" si="4587"/>
        <v>1</v>
      </c>
      <c r="CN856" s="381">
        <f t="shared" si="4588"/>
        <v>1</v>
      </c>
      <c r="CO856" s="405"/>
      <c r="CP856" s="381">
        <f t="shared" si="4589"/>
        <v>0</v>
      </c>
      <c r="CQ856" s="381">
        <f t="shared" si="4590"/>
        <v>0</v>
      </c>
      <c r="CR856" s="381">
        <f t="shared" si="4591"/>
        <v>0</v>
      </c>
      <c r="CS856" s="381">
        <f t="shared" si="4592"/>
        <v>0</v>
      </c>
      <c r="CT856" s="381">
        <f t="shared" si="4538"/>
        <v>0</v>
      </c>
      <c r="CU856" s="381">
        <f t="shared" si="4539"/>
        <v>0</v>
      </c>
      <c r="CV856" s="381">
        <f t="shared" si="4540"/>
        <v>0</v>
      </c>
      <c r="CW856" s="381">
        <f t="shared" si="4541"/>
        <v>0</v>
      </c>
      <c r="CX856" s="381">
        <f t="shared" si="4542"/>
        <v>0</v>
      </c>
      <c r="CY856" s="381">
        <f t="shared" si="4543"/>
        <v>0</v>
      </c>
      <c r="CZ856" s="381">
        <f t="shared" si="4544"/>
        <v>0</v>
      </c>
      <c r="DA856" s="381">
        <f t="shared" si="4545"/>
        <v>0</v>
      </c>
      <c r="DB856" s="381">
        <v>1</v>
      </c>
      <c r="DC856" s="381">
        <v>2</v>
      </c>
      <c r="DD856" s="381">
        <v>2</v>
      </c>
      <c r="DE856" s="381">
        <v>2</v>
      </c>
      <c r="DF856" s="381">
        <v>2</v>
      </c>
      <c r="DG856" s="381">
        <f t="shared" si="4593"/>
        <v>2</v>
      </c>
      <c r="DH856" s="381">
        <f t="shared" si="4546"/>
        <v>10</v>
      </c>
      <c r="DI856" s="381">
        <f t="shared" si="4547"/>
        <v>12</v>
      </c>
      <c r="DJ856" s="381">
        <f t="shared" si="4548"/>
        <v>15</v>
      </c>
      <c r="DK856" s="381">
        <f t="shared" si="4549"/>
        <v>15</v>
      </c>
      <c r="DL856" s="381">
        <f t="shared" si="4550"/>
        <v>25</v>
      </c>
      <c r="DM856" s="381">
        <f t="shared" si="4551"/>
        <v>26</v>
      </c>
      <c r="DN856" s="381">
        <f t="shared" si="4594"/>
        <v>1</v>
      </c>
      <c r="DO856" s="381">
        <f t="shared" si="4594"/>
        <v>1</v>
      </c>
      <c r="ED856" s="405"/>
      <c r="EH856" s="381">
        <f t="shared" si="4552"/>
        <v>0</v>
      </c>
      <c r="EI856" s="381">
        <f t="shared" si="4553"/>
        <v>1</v>
      </c>
      <c r="EJ856" s="381">
        <f t="shared" si="4554"/>
        <v>1</v>
      </c>
      <c r="EK856" s="381">
        <f t="shared" si="4595"/>
        <v>0.91666666666666663</v>
      </c>
      <c r="EL856" s="381" t="e">
        <f>EH856/#REF!</f>
        <v>#REF!</v>
      </c>
      <c r="EM856" s="381" t="e">
        <f>EI856/#REF!</f>
        <v>#REF!</v>
      </c>
      <c r="EN856" s="381" t="e">
        <f>EJ856/#REF!</f>
        <v>#REF!</v>
      </c>
      <c r="EO856" s="381" t="e">
        <f>IF(EH856&lt;0,,IF(EH856&lt;#REF!,"È",IF(EH856=#REF!,"Æ","Ç")))</f>
        <v>#REF!</v>
      </c>
      <c r="EP856" s="381" t="e">
        <f>IF(EI856&lt;0,,IF(EI856&lt;#REF!,"È",IF(EI856=#REF!,"Æ","Ç")))</f>
        <v>#REF!</v>
      </c>
      <c r="EQ856" s="381" t="e">
        <f t="shared" si="4596"/>
        <v>#REF!</v>
      </c>
      <c r="ER856" s="381" t="e">
        <f t="shared" si="4597"/>
        <v>#REF!</v>
      </c>
      <c r="ES856" s="381" t="e">
        <f t="shared" si="4598"/>
        <v>#REF!</v>
      </c>
    </row>
    <row r="857" spans="1:149" s="381" customFormat="1">
      <c r="A857" s="6" t="s">
        <v>23</v>
      </c>
      <c r="B857" s="381" t="s">
        <v>218</v>
      </c>
      <c r="C857" s="3" t="s">
        <v>54</v>
      </c>
      <c r="D857" s="3"/>
      <c r="E857" s="3" t="s">
        <v>16</v>
      </c>
      <c r="F857" s="3"/>
      <c r="G857" s="3" t="s">
        <v>91</v>
      </c>
      <c r="H857" s="3"/>
      <c r="I857" s="3"/>
      <c r="V857" s="381">
        <v>11</v>
      </c>
      <c r="W857" s="381">
        <v>12</v>
      </c>
      <c r="X857" s="381">
        <v>19</v>
      </c>
      <c r="Y857" s="381">
        <v>21</v>
      </c>
      <c r="Z857" s="381">
        <v>24</v>
      </c>
      <c r="AA857" s="381">
        <v>44</v>
      </c>
      <c r="AB857" s="381">
        <v>54</v>
      </c>
      <c r="AC857" s="381">
        <v>62</v>
      </c>
      <c r="AD857" s="381">
        <f>314-57</f>
        <v>257</v>
      </c>
      <c r="AE857" s="381">
        <v>257</v>
      </c>
      <c r="AF857" s="381">
        <v>269</v>
      </c>
      <c r="AG857" s="381">
        <v>278</v>
      </c>
      <c r="AH857" s="381">
        <v>8</v>
      </c>
      <c r="AI857" s="381">
        <v>42</v>
      </c>
      <c r="AK857" s="405"/>
      <c r="AL857" s="381">
        <f t="shared" si="4555"/>
        <v>0</v>
      </c>
      <c r="AM857" s="381">
        <f t="shared" si="4556"/>
        <v>0</v>
      </c>
      <c r="AN857" s="381">
        <f t="shared" si="4557"/>
        <v>0</v>
      </c>
      <c r="AO857" s="381">
        <f t="shared" si="4558"/>
        <v>0</v>
      </c>
      <c r="AP857" s="381">
        <f t="shared" si="4517"/>
        <v>0</v>
      </c>
      <c r="AQ857" s="381">
        <f t="shared" si="4518"/>
        <v>0</v>
      </c>
      <c r="AR857" s="381">
        <f t="shared" si="4519"/>
        <v>0</v>
      </c>
      <c r="AS857" s="381">
        <f t="shared" si="4520"/>
        <v>0</v>
      </c>
      <c r="AT857" s="381">
        <f t="shared" si="4521"/>
        <v>0</v>
      </c>
      <c r="AU857" s="381">
        <f t="shared" si="4522"/>
        <v>0</v>
      </c>
      <c r="AV857" s="381">
        <f t="shared" si="4523"/>
        <v>0</v>
      </c>
      <c r="AW857" s="381">
        <f t="shared" si="4524"/>
        <v>0</v>
      </c>
      <c r="AX857" s="381">
        <f t="shared" si="4525"/>
        <v>11</v>
      </c>
      <c r="AY857" s="381">
        <f t="shared" si="4526"/>
        <v>1</v>
      </c>
      <c r="AZ857" s="381">
        <f t="shared" si="4527"/>
        <v>7</v>
      </c>
      <c r="BA857" s="381">
        <f t="shared" si="4559"/>
        <v>21</v>
      </c>
      <c r="BB857" s="381">
        <f t="shared" si="4528"/>
        <v>3</v>
      </c>
      <c r="BC857" s="381">
        <f t="shared" si="4529"/>
        <v>20</v>
      </c>
      <c r="BD857" s="381">
        <f t="shared" si="4530"/>
        <v>10</v>
      </c>
      <c r="BE857" s="381">
        <f t="shared" si="4531"/>
        <v>8</v>
      </c>
      <c r="BF857" s="381">
        <f t="shared" si="4532"/>
        <v>195</v>
      </c>
      <c r="BG857" s="381">
        <f t="shared" si="4533"/>
        <v>0</v>
      </c>
      <c r="BH857" s="381">
        <f t="shared" si="4534"/>
        <v>12</v>
      </c>
      <c r="BI857" s="381">
        <f t="shared" si="4560"/>
        <v>9</v>
      </c>
      <c r="BJ857" s="381">
        <f t="shared" si="4561"/>
        <v>8</v>
      </c>
      <c r="BK857" s="381">
        <f t="shared" si="4536"/>
        <v>34</v>
      </c>
      <c r="BL857" s="381">
        <f t="shared" si="4537"/>
        <v>0</v>
      </c>
      <c r="BM857" s="405"/>
      <c r="BN857" s="381">
        <f t="shared" si="4562"/>
        <v>0</v>
      </c>
      <c r="BO857" s="381">
        <f t="shared" si="4563"/>
        <v>0</v>
      </c>
      <c r="BP857" s="381">
        <f t="shared" si="4564"/>
        <v>0</v>
      </c>
      <c r="BQ857" s="381">
        <f t="shared" si="4565"/>
        <v>0</v>
      </c>
      <c r="BR857" s="381">
        <f t="shared" si="4566"/>
        <v>0</v>
      </c>
      <c r="BS857" s="381">
        <f t="shared" si="4567"/>
        <v>0</v>
      </c>
      <c r="BT857" s="381">
        <f t="shared" si="4568"/>
        <v>0</v>
      </c>
      <c r="BU857" s="381">
        <f t="shared" si="4569"/>
        <v>0</v>
      </c>
      <c r="BV857" s="381">
        <f t="shared" si="4570"/>
        <v>0</v>
      </c>
      <c r="BW857" s="381">
        <f t="shared" si="4571"/>
        <v>0</v>
      </c>
      <c r="BX857" s="381">
        <f t="shared" si="4572"/>
        <v>0</v>
      </c>
      <c r="BY857" s="381">
        <f t="shared" si="4573"/>
        <v>0</v>
      </c>
      <c r="BZ857" s="381">
        <f t="shared" si="4574"/>
        <v>19</v>
      </c>
      <c r="CA857" s="381">
        <f t="shared" si="4575"/>
        <v>19</v>
      </c>
      <c r="CB857" s="381">
        <f t="shared" si="4576"/>
        <v>19</v>
      </c>
      <c r="CC857" s="381">
        <f t="shared" si="4577"/>
        <v>44</v>
      </c>
      <c r="CD857" s="381">
        <f t="shared" si="4578"/>
        <v>44</v>
      </c>
      <c r="CE857" s="381">
        <f t="shared" si="4579"/>
        <v>44</v>
      </c>
      <c r="CF857" s="381">
        <f t="shared" si="4580"/>
        <v>213</v>
      </c>
      <c r="CG857" s="381">
        <f t="shared" si="4581"/>
        <v>213</v>
      </c>
      <c r="CH857" s="381">
        <f t="shared" si="4582"/>
        <v>213</v>
      </c>
      <c r="CI857" s="381">
        <f t="shared" si="4583"/>
        <v>21</v>
      </c>
      <c r="CJ857" s="381">
        <f t="shared" si="4584"/>
        <v>21</v>
      </c>
      <c r="CK857" s="381">
        <f t="shared" si="4585"/>
        <v>21</v>
      </c>
      <c r="CL857" s="381">
        <f t="shared" si="4586"/>
        <v>42</v>
      </c>
      <c r="CM857" s="381">
        <f t="shared" si="4587"/>
        <v>42</v>
      </c>
      <c r="CN857" s="381">
        <f t="shared" si="4588"/>
        <v>42</v>
      </c>
      <c r="CO857" s="405"/>
      <c r="CP857" s="381">
        <f t="shared" si="4589"/>
        <v>0</v>
      </c>
      <c r="CQ857" s="381">
        <f t="shared" si="4590"/>
        <v>0</v>
      </c>
      <c r="CR857" s="381">
        <f t="shared" si="4591"/>
        <v>0</v>
      </c>
      <c r="CS857" s="381">
        <f t="shared" si="4592"/>
        <v>0</v>
      </c>
      <c r="CT857" s="381">
        <f t="shared" si="4538"/>
        <v>0</v>
      </c>
      <c r="CU857" s="381">
        <f t="shared" si="4539"/>
        <v>0</v>
      </c>
      <c r="CV857" s="381">
        <f t="shared" si="4540"/>
        <v>0</v>
      </c>
      <c r="CW857" s="381">
        <f t="shared" si="4541"/>
        <v>0</v>
      </c>
      <c r="CX857" s="381">
        <f t="shared" si="4542"/>
        <v>0</v>
      </c>
      <c r="CY857" s="381">
        <f t="shared" si="4543"/>
        <v>0</v>
      </c>
      <c r="CZ857" s="381">
        <f t="shared" si="4544"/>
        <v>0</v>
      </c>
      <c r="DA857" s="381">
        <f t="shared" si="4545"/>
        <v>0</v>
      </c>
      <c r="DB857" s="381">
        <v>17</v>
      </c>
      <c r="DC857" s="381">
        <v>18</v>
      </c>
      <c r="DD857" s="381">
        <v>31</v>
      </c>
      <c r="DE857" s="381">
        <v>33</v>
      </c>
      <c r="DF857" s="381">
        <v>36</v>
      </c>
      <c r="DG857" s="381">
        <f t="shared" si="4593"/>
        <v>44</v>
      </c>
      <c r="DH857" s="381">
        <f t="shared" si="4546"/>
        <v>54</v>
      </c>
      <c r="DI857" s="381">
        <f t="shared" si="4547"/>
        <v>62</v>
      </c>
      <c r="DJ857" s="381">
        <f t="shared" si="4548"/>
        <v>257</v>
      </c>
      <c r="DK857" s="381">
        <f t="shared" si="4549"/>
        <v>257</v>
      </c>
      <c r="DL857" s="381">
        <f t="shared" si="4550"/>
        <v>269</v>
      </c>
      <c r="DM857" s="381">
        <f t="shared" si="4551"/>
        <v>278</v>
      </c>
      <c r="DN857" s="381">
        <f t="shared" si="4594"/>
        <v>8</v>
      </c>
      <c r="DO857" s="381">
        <f t="shared" si="4594"/>
        <v>42</v>
      </c>
      <c r="ED857" s="405"/>
      <c r="EH857" s="381">
        <f t="shared" si="4552"/>
        <v>34</v>
      </c>
      <c r="EI857" s="381">
        <f t="shared" si="4553"/>
        <v>42</v>
      </c>
      <c r="EJ857" s="381">
        <f t="shared" si="4554"/>
        <v>42</v>
      </c>
      <c r="EK857" s="381">
        <f t="shared" si="4595"/>
        <v>0.91666666666666663</v>
      </c>
      <c r="EL857" s="381" t="e">
        <f>EH857/#REF!</f>
        <v>#REF!</v>
      </c>
      <c r="EM857" s="381" t="e">
        <f>EI857/#REF!</f>
        <v>#REF!</v>
      </c>
      <c r="EN857" s="381" t="e">
        <f>EJ857/#REF!</f>
        <v>#REF!</v>
      </c>
      <c r="EO857" s="381" t="e">
        <f>IF(EH857&lt;0,,IF(EH857&lt;#REF!,"È",IF(EH857=#REF!,"Æ","Ç")))</f>
        <v>#REF!</v>
      </c>
      <c r="EP857" s="381" t="e">
        <f>IF(EI857&lt;0,,IF(EI857&lt;#REF!,"È",IF(EI857=#REF!,"Æ","Ç")))</f>
        <v>#REF!</v>
      </c>
      <c r="EQ857" s="381" t="e">
        <f t="shared" si="4596"/>
        <v>#REF!</v>
      </c>
      <c r="ER857" s="381" t="e">
        <f t="shared" si="4597"/>
        <v>#REF!</v>
      </c>
      <c r="ES857" s="381" t="e">
        <f t="shared" si="4598"/>
        <v>#REF!</v>
      </c>
    </row>
    <row r="858" spans="1:149" s="381" customFormat="1">
      <c r="A858" s="6" t="s">
        <v>23</v>
      </c>
      <c r="B858" s="381" t="s">
        <v>222</v>
      </c>
      <c r="C858" s="3" t="s">
        <v>54</v>
      </c>
      <c r="D858" s="3"/>
      <c r="E858" s="3" t="s">
        <v>16</v>
      </c>
      <c r="F858" s="3"/>
      <c r="G858" s="3" t="s">
        <v>91</v>
      </c>
      <c r="H858" s="3"/>
      <c r="I858" s="3"/>
      <c r="V858" s="381">
        <v>11</v>
      </c>
      <c r="W858" s="381">
        <v>15</v>
      </c>
      <c r="X858" s="381">
        <v>25</v>
      </c>
      <c r="Y858" s="381">
        <v>29</v>
      </c>
      <c r="Z858" s="381">
        <v>29</v>
      </c>
      <c r="AA858" s="381">
        <v>40</v>
      </c>
      <c r="AB858" s="381">
        <v>40</v>
      </c>
      <c r="AC858" s="381">
        <v>74</v>
      </c>
      <c r="AD858" s="381">
        <v>83</v>
      </c>
      <c r="AE858" s="381">
        <v>83</v>
      </c>
      <c r="AF858" s="381">
        <v>83</v>
      </c>
      <c r="AG858" s="381">
        <v>83</v>
      </c>
      <c r="AH858" s="381">
        <v>11</v>
      </c>
      <c r="AI858" s="381">
        <v>11</v>
      </c>
      <c r="AK858" s="405"/>
      <c r="AL858" s="381">
        <f t="shared" si="4555"/>
        <v>0</v>
      </c>
      <c r="AM858" s="381">
        <f t="shared" si="4556"/>
        <v>0</v>
      </c>
      <c r="AN858" s="381">
        <f t="shared" si="4557"/>
        <v>0</v>
      </c>
      <c r="AO858" s="381">
        <f t="shared" si="4558"/>
        <v>0</v>
      </c>
      <c r="AP858" s="381">
        <f t="shared" si="4517"/>
        <v>0</v>
      </c>
      <c r="AQ858" s="381">
        <f t="shared" si="4518"/>
        <v>0</v>
      </c>
      <c r="AR858" s="381">
        <f t="shared" si="4519"/>
        <v>0</v>
      </c>
      <c r="AS858" s="381">
        <f t="shared" si="4520"/>
        <v>0</v>
      </c>
      <c r="AT858" s="381">
        <f t="shared" si="4521"/>
        <v>0</v>
      </c>
      <c r="AU858" s="381">
        <f t="shared" si="4522"/>
        <v>0</v>
      </c>
      <c r="AV858" s="381">
        <f t="shared" si="4523"/>
        <v>0</v>
      </c>
      <c r="AW858" s="381">
        <f t="shared" si="4524"/>
        <v>0</v>
      </c>
      <c r="AX858" s="381">
        <f t="shared" si="4525"/>
        <v>11</v>
      </c>
      <c r="AY858" s="381">
        <f t="shared" si="4526"/>
        <v>4</v>
      </c>
      <c r="AZ858" s="381">
        <f t="shared" si="4527"/>
        <v>10</v>
      </c>
      <c r="BA858" s="381">
        <f t="shared" si="4559"/>
        <v>29</v>
      </c>
      <c r="BB858" s="381">
        <f t="shared" si="4528"/>
        <v>0</v>
      </c>
      <c r="BC858" s="381">
        <f t="shared" si="4529"/>
        <v>11</v>
      </c>
      <c r="BD858" s="381">
        <f t="shared" si="4530"/>
        <v>0</v>
      </c>
      <c r="BE858" s="381">
        <f t="shared" si="4531"/>
        <v>34</v>
      </c>
      <c r="BF858" s="381">
        <f t="shared" si="4532"/>
        <v>9</v>
      </c>
      <c r="BG858" s="381">
        <f t="shared" si="4533"/>
        <v>0</v>
      </c>
      <c r="BH858" s="381">
        <f t="shared" si="4534"/>
        <v>0</v>
      </c>
      <c r="BI858" s="381">
        <f t="shared" si="4560"/>
        <v>0</v>
      </c>
      <c r="BJ858" s="381">
        <f t="shared" si="4561"/>
        <v>11</v>
      </c>
      <c r="BK858" s="381">
        <f t="shared" si="4536"/>
        <v>0</v>
      </c>
      <c r="BL858" s="381">
        <f t="shared" si="4537"/>
        <v>0</v>
      </c>
      <c r="BM858" s="405"/>
      <c r="BN858" s="381">
        <f t="shared" si="4562"/>
        <v>0</v>
      </c>
      <c r="BO858" s="381">
        <f t="shared" si="4563"/>
        <v>0</v>
      </c>
      <c r="BP858" s="381">
        <f t="shared" si="4564"/>
        <v>0</v>
      </c>
      <c r="BQ858" s="381">
        <f t="shared" si="4565"/>
        <v>0</v>
      </c>
      <c r="BR858" s="381">
        <f t="shared" si="4566"/>
        <v>0</v>
      </c>
      <c r="BS858" s="381">
        <f t="shared" si="4567"/>
        <v>0</v>
      </c>
      <c r="BT858" s="381">
        <f t="shared" si="4568"/>
        <v>0</v>
      </c>
      <c r="BU858" s="381">
        <f t="shared" si="4569"/>
        <v>0</v>
      </c>
      <c r="BV858" s="381">
        <f t="shared" si="4570"/>
        <v>0</v>
      </c>
      <c r="BW858" s="381">
        <f t="shared" si="4571"/>
        <v>0</v>
      </c>
      <c r="BX858" s="381">
        <f t="shared" si="4572"/>
        <v>0</v>
      </c>
      <c r="BY858" s="381">
        <f t="shared" si="4573"/>
        <v>0</v>
      </c>
      <c r="BZ858" s="381">
        <f t="shared" si="4574"/>
        <v>25</v>
      </c>
      <c r="CA858" s="381">
        <f t="shared" si="4575"/>
        <v>25</v>
      </c>
      <c r="CB858" s="381">
        <f t="shared" si="4576"/>
        <v>25</v>
      </c>
      <c r="CC858" s="381">
        <f t="shared" si="4577"/>
        <v>40</v>
      </c>
      <c r="CD858" s="381">
        <f t="shared" si="4578"/>
        <v>40</v>
      </c>
      <c r="CE858" s="381">
        <f t="shared" si="4579"/>
        <v>40</v>
      </c>
      <c r="CF858" s="381">
        <f t="shared" si="4580"/>
        <v>43</v>
      </c>
      <c r="CG858" s="381">
        <f t="shared" si="4581"/>
        <v>43</v>
      </c>
      <c r="CH858" s="381">
        <f t="shared" si="4582"/>
        <v>43</v>
      </c>
      <c r="CI858" s="381">
        <f t="shared" si="4583"/>
        <v>0</v>
      </c>
      <c r="CJ858" s="381">
        <f t="shared" si="4584"/>
        <v>0</v>
      </c>
      <c r="CK858" s="381">
        <f t="shared" si="4585"/>
        <v>0</v>
      </c>
      <c r="CL858" s="381">
        <f t="shared" si="4586"/>
        <v>11</v>
      </c>
      <c r="CM858" s="381">
        <f t="shared" si="4587"/>
        <v>11</v>
      </c>
      <c r="CN858" s="381">
        <f t="shared" si="4588"/>
        <v>11</v>
      </c>
      <c r="CO858" s="405"/>
      <c r="CP858" s="381">
        <f t="shared" si="4589"/>
        <v>0</v>
      </c>
      <c r="CQ858" s="381">
        <f t="shared" si="4590"/>
        <v>0</v>
      </c>
      <c r="CR858" s="381">
        <f t="shared" si="4591"/>
        <v>0</v>
      </c>
      <c r="CS858" s="381">
        <f t="shared" si="4592"/>
        <v>0</v>
      </c>
      <c r="CT858" s="381">
        <f t="shared" si="4538"/>
        <v>0</v>
      </c>
      <c r="CU858" s="381">
        <f t="shared" si="4539"/>
        <v>0</v>
      </c>
      <c r="CV858" s="381">
        <f t="shared" si="4540"/>
        <v>0</v>
      </c>
      <c r="CW858" s="381">
        <f t="shared" si="4541"/>
        <v>0</v>
      </c>
      <c r="CX858" s="381">
        <f t="shared" si="4542"/>
        <v>0</v>
      </c>
      <c r="CY858" s="381">
        <f t="shared" si="4543"/>
        <v>0</v>
      </c>
      <c r="CZ858" s="381">
        <f t="shared" si="4544"/>
        <v>0</v>
      </c>
      <c r="DA858" s="381">
        <f t="shared" si="4545"/>
        <v>0</v>
      </c>
      <c r="DB858" s="381">
        <v>11</v>
      </c>
      <c r="DC858" s="381">
        <v>18</v>
      </c>
      <c r="DD858" s="381">
        <v>32</v>
      </c>
      <c r="DE858" s="381">
        <v>36</v>
      </c>
      <c r="DF858" s="381">
        <v>36</v>
      </c>
      <c r="DG858" s="381">
        <f t="shared" si="4593"/>
        <v>40</v>
      </c>
      <c r="DH858" s="381">
        <f t="shared" si="4546"/>
        <v>40</v>
      </c>
      <c r="DI858" s="381">
        <f t="shared" si="4547"/>
        <v>74</v>
      </c>
      <c r="DJ858" s="381">
        <f t="shared" si="4548"/>
        <v>83</v>
      </c>
      <c r="DK858" s="381">
        <f t="shared" si="4549"/>
        <v>83</v>
      </c>
      <c r="DL858" s="381">
        <f t="shared" si="4550"/>
        <v>83</v>
      </c>
      <c r="DM858" s="381">
        <f t="shared" si="4551"/>
        <v>83</v>
      </c>
      <c r="DN858" s="381">
        <f t="shared" si="4594"/>
        <v>11</v>
      </c>
      <c r="DO858" s="381">
        <f t="shared" si="4594"/>
        <v>11</v>
      </c>
      <c r="ED858" s="405"/>
      <c r="EH858" s="381">
        <f t="shared" si="4552"/>
        <v>0</v>
      </c>
      <c r="EI858" s="381">
        <f t="shared" si="4553"/>
        <v>11</v>
      </c>
      <c r="EJ858" s="381">
        <f t="shared" si="4554"/>
        <v>11</v>
      </c>
      <c r="EK858" s="381">
        <f t="shared" si="4595"/>
        <v>0.91666666666666663</v>
      </c>
      <c r="EL858" s="381" t="e">
        <f>EH858/#REF!</f>
        <v>#REF!</v>
      </c>
      <c r="EM858" s="381" t="e">
        <f>EI858/#REF!</f>
        <v>#REF!</v>
      </c>
      <c r="EN858" s="381" t="e">
        <f>EJ858/#REF!</f>
        <v>#REF!</v>
      </c>
      <c r="EO858" s="381" t="e">
        <f>IF(EH858&lt;0,,IF(EH858&lt;#REF!,"È",IF(EH858=#REF!,"Æ","Ç")))</f>
        <v>#REF!</v>
      </c>
      <c r="EP858" s="381" t="e">
        <f>IF(EI858&lt;0,,IF(EI858&lt;#REF!,"È",IF(EI858=#REF!,"Æ","Ç")))</f>
        <v>#REF!</v>
      </c>
      <c r="EQ858" s="381" t="e">
        <f t="shared" si="4596"/>
        <v>#REF!</v>
      </c>
      <c r="ER858" s="381" t="e">
        <f t="shared" si="4597"/>
        <v>#REF!</v>
      </c>
      <c r="ES858" s="381" t="e">
        <f t="shared" si="4598"/>
        <v>#REF!</v>
      </c>
    </row>
    <row r="859" spans="1:149" s="381" customFormat="1">
      <c r="A859" s="6" t="s">
        <v>23</v>
      </c>
      <c r="B859" s="381" t="s">
        <v>223</v>
      </c>
      <c r="C859" s="3" t="s">
        <v>54</v>
      </c>
      <c r="D859" s="3"/>
      <c r="E859" s="3" t="s">
        <v>16</v>
      </c>
      <c r="F859" s="3"/>
      <c r="G859" s="3" t="s">
        <v>91</v>
      </c>
      <c r="H859" s="3"/>
      <c r="I859" s="3"/>
      <c r="V859" s="381">
        <v>1</v>
      </c>
      <c r="W859" s="381">
        <v>4</v>
      </c>
      <c r="X859" s="381">
        <v>5</v>
      </c>
      <c r="Y859" s="381">
        <v>7</v>
      </c>
      <c r="Z859" s="381">
        <v>7</v>
      </c>
      <c r="AA859" s="381">
        <v>16</v>
      </c>
      <c r="AB859" s="381">
        <v>20</v>
      </c>
      <c r="AC859" s="381">
        <v>20</v>
      </c>
      <c r="AD859" s="381">
        <v>28</v>
      </c>
      <c r="AE859" s="381">
        <v>28</v>
      </c>
      <c r="AF859" s="381">
        <v>33</v>
      </c>
      <c r="AG859" s="381">
        <v>36</v>
      </c>
      <c r="AH859" s="381">
        <v>0</v>
      </c>
      <c r="AI859" s="381">
        <v>0</v>
      </c>
      <c r="AK859" s="405"/>
      <c r="AL859" s="381">
        <f t="shared" si="4555"/>
        <v>0</v>
      </c>
      <c r="AM859" s="381">
        <f t="shared" si="4556"/>
        <v>0</v>
      </c>
      <c r="AN859" s="381">
        <f t="shared" si="4557"/>
        <v>0</v>
      </c>
      <c r="AO859" s="381">
        <f t="shared" si="4558"/>
        <v>0</v>
      </c>
      <c r="AP859" s="381">
        <f t="shared" si="4517"/>
        <v>0</v>
      </c>
      <c r="AQ859" s="381">
        <f t="shared" si="4518"/>
        <v>0</v>
      </c>
      <c r="AR859" s="381">
        <f t="shared" si="4519"/>
        <v>0</v>
      </c>
      <c r="AS859" s="381">
        <f t="shared" si="4520"/>
        <v>0</v>
      </c>
      <c r="AT859" s="381">
        <f t="shared" si="4521"/>
        <v>0</v>
      </c>
      <c r="AU859" s="381">
        <f t="shared" si="4522"/>
        <v>0</v>
      </c>
      <c r="AV859" s="381">
        <f t="shared" si="4523"/>
        <v>0</v>
      </c>
      <c r="AW859" s="381">
        <f t="shared" si="4524"/>
        <v>0</v>
      </c>
      <c r="AX859" s="381">
        <f t="shared" si="4525"/>
        <v>1</v>
      </c>
      <c r="AY859" s="381">
        <f t="shared" si="4526"/>
        <v>3</v>
      </c>
      <c r="AZ859" s="381">
        <f t="shared" si="4527"/>
        <v>1</v>
      </c>
      <c r="BA859" s="381">
        <f t="shared" si="4559"/>
        <v>7</v>
      </c>
      <c r="BB859" s="381">
        <f t="shared" si="4528"/>
        <v>0</v>
      </c>
      <c r="BC859" s="381">
        <f t="shared" si="4529"/>
        <v>9</v>
      </c>
      <c r="BD859" s="381">
        <f t="shared" si="4530"/>
        <v>4</v>
      </c>
      <c r="BE859" s="381">
        <f t="shared" si="4531"/>
        <v>0</v>
      </c>
      <c r="BF859" s="381">
        <f t="shared" si="4532"/>
        <v>8</v>
      </c>
      <c r="BG859" s="381">
        <f t="shared" si="4533"/>
        <v>0</v>
      </c>
      <c r="BH859" s="381">
        <f t="shared" si="4534"/>
        <v>5</v>
      </c>
      <c r="BI859" s="381">
        <f t="shared" si="4560"/>
        <v>3</v>
      </c>
      <c r="BJ859" s="381">
        <f t="shared" si="4561"/>
        <v>0</v>
      </c>
      <c r="BK859" s="381">
        <f t="shared" si="4536"/>
        <v>0</v>
      </c>
      <c r="BL859" s="381">
        <f t="shared" si="4537"/>
        <v>0</v>
      </c>
      <c r="BM859" s="405"/>
      <c r="BN859" s="381">
        <f t="shared" si="4562"/>
        <v>0</v>
      </c>
      <c r="BO859" s="381">
        <f t="shared" si="4563"/>
        <v>0</v>
      </c>
      <c r="BP859" s="381">
        <f t="shared" si="4564"/>
        <v>0</v>
      </c>
      <c r="BQ859" s="381">
        <f t="shared" si="4565"/>
        <v>0</v>
      </c>
      <c r="BR859" s="381">
        <f t="shared" si="4566"/>
        <v>0</v>
      </c>
      <c r="BS859" s="381">
        <f t="shared" si="4567"/>
        <v>0</v>
      </c>
      <c r="BT859" s="381">
        <f t="shared" si="4568"/>
        <v>0</v>
      </c>
      <c r="BU859" s="381">
        <f t="shared" si="4569"/>
        <v>0</v>
      </c>
      <c r="BV859" s="381">
        <f t="shared" si="4570"/>
        <v>0</v>
      </c>
      <c r="BW859" s="381">
        <f t="shared" si="4571"/>
        <v>0</v>
      </c>
      <c r="BX859" s="381">
        <f t="shared" si="4572"/>
        <v>0</v>
      </c>
      <c r="BY859" s="381">
        <f t="shared" si="4573"/>
        <v>0</v>
      </c>
      <c r="BZ859" s="381">
        <f t="shared" si="4574"/>
        <v>5</v>
      </c>
      <c r="CA859" s="381">
        <f t="shared" si="4575"/>
        <v>5</v>
      </c>
      <c r="CB859" s="381">
        <f t="shared" si="4576"/>
        <v>5</v>
      </c>
      <c r="CC859" s="381">
        <f t="shared" si="4577"/>
        <v>16</v>
      </c>
      <c r="CD859" s="381">
        <f t="shared" si="4578"/>
        <v>16</v>
      </c>
      <c r="CE859" s="381">
        <f t="shared" si="4579"/>
        <v>16</v>
      </c>
      <c r="CF859" s="381">
        <f t="shared" si="4580"/>
        <v>12</v>
      </c>
      <c r="CG859" s="381">
        <f t="shared" si="4581"/>
        <v>12</v>
      </c>
      <c r="CH859" s="381">
        <f t="shared" si="4582"/>
        <v>12</v>
      </c>
      <c r="CI859" s="381">
        <f t="shared" si="4583"/>
        <v>8</v>
      </c>
      <c r="CJ859" s="381">
        <f t="shared" si="4584"/>
        <v>8</v>
      </c>
      <c r="CK859" s="381">
        <f t="shared" si="4585"/>
        <v>8</v>
      </c>
      <c r="CL859" s="381">
        <f t="shared" si="4586"/>
        <v>0</v>
      </c>
      <c r="CM859" s="381">
        <f t="shared" si="4587"/>
        <v>0</v>
      </c>
      <c r="CN859" s="381">
        <f t="shared" si="4588"/>
        <v>0</v>
      </c>
      <c r="CO859" s="405"/>
      <c r="CP859" s="381">
        <f t="shared" si="4589"/>
        <v>0</v>
      </c>
      <c r="CQ859" s="381">
        <f t="shared" si="4590"/>
        <v>0</v>
      </c>
      <c r="CR859" s="381">
        <f t="shared" si="4591"/>
        <v>0</v>
      </c>
      <c r="CS859" s="381">
        <f t="shared" si="4592"/>
        <v>0</v>
      </c>
      <c r="CT859" s="381">
        <f t="shared" si="4538"/>
        <v>0</v>
      </c>
      <c r="CU859" s="381">
        <f t="shared" si="4539"/>
        <v>0</v>
      </c>
      <c r="CV859" s="381">
        <f t="shared" si="4540"/>
        <v>0</v>
      </c>
      <c r="CW859" s="381">
        <f t="shared" si="4541"/>
        <v>0</v>
      </c>
      <c r="CX859" s="381">
        <f t="shared" si="4542"/>
        <v>0</v>
      </c>
      <c r="CY859" s="381">
        <f t="shared" si="4543"/>
        <v>0</v>
      </c>
      <c r="CZ859" s="381">
        <f t="shared" si="4544"/>
        <v>0</v>
      </c>
      <c r="DA859" s="381">
        <f t="shared" si="4545"/>
        <v>0</v>
      </c>
      <c r="DB859" s="381">
        <v>1</v>
      </c>
      <c r="DC859" s="381">
        <v>4</v>
      </c>
      <c r="DD859" s="381">
        <v>5</v>
      </c>
      <c r="DE859" s="381">
        <v>7</v>
      </c>
      <c r="DF859" s="381">
        <v>7</v>
      </c>
      <c r="DG859" s="381">
        <f t="shared" si="4593"/>
        <v>16</v>
      </c>
      <c r="DH859" s="381">
        <f t="shared" si="4546"/>
        <v>20</v>
      </c>
      <c r="DI859" s="381">
        <f t="shared" si="4547"/>
        <v>20</v>
      </c>
      <c r="DJ859" s="381">
        <f t="shared" si="4548"/>
        <v>28</v>
      </c>
      <c r="DK859" s="381">
        <f t="shared" si="4549"/>
        <v>28</v>
      </c>
      <c r="DL859" s="381">
        <f t="shared" si="4550"/>
        <v>33</v>
      </c>
      <c r="DM859" s="381">
        <f t="shared" si="4551"/>
        <v>36</v>
      </c>
      <c r="DN859" s="381">
        <f t="shared" si="4594"/>
        <v>0</v>
      </c>
      <c r="DO859" s="381">
        <f t="shared" si="4594"/>
        <v>0</v>
      </c>
      <c r="ED859" s="405"/>
      <c r="EH859" s="381">
        <f t="shared" si="4552"/>
        <v>0</v>
      </c>
      <c r="EI859" s="381">
        <f t="shared" si="4553"/>
        <v>0</v>
      </c>
      <c r="EJ859" s="381">
        <f t="shared" si="4554"/>
        <v>0</v>
      </c>
      <c r="EK859" s="381">
        <f t="shared" si="4595"/>
        <v>0.91666666666666663</v>
      </c>
      <c r="EL859" s="381" t="e">
        <f>EH859/#REF!</f>
        <v>#REF!</v>
      </c>
      <c r="EM859" s="381" t="e">
        <f>EI859/#REF!</f>
        <v>#REF!</v>
      </c>
      <c r="EN859" s="381" t="e">
        <f>EJ859/#REF!</f>
        <v>#REF!</v>
      </c>
      <c r="EO859" s="381" t="e">
        <f>IF(EH859&lt;0,,IF(EH859&lt;#REF!,"È",IF(EH859=#REF!,"Æ","Ç")))</f>
        <v>#REF!</v>
      </c>
      <c r="EP859" s="381" t="e">
        <f>IF(EI859&lt;0,,IF(EI859&lt;#REF!,"È",IF(EI859=#REF!,"Æ","Ç")))</f>
        <v>#REF!</v>
      </c>
      <c r="EQ859" s="381" t="e">
        <f t="shared" si="4596"/>
        <v>#REF!</v>
      </c>
      <c r="ER859" s="381" t="e">
        <f t="shared" si="4597"/>
        <v>#REF!</v>
      </c>
      <c r="ES859" s="381" t="e">
        <f t="shared" si="4598"/>
        <v>#REF!</v>
      </c>
    </row>
    <row r="860" spans="1:149" s="381" customFormat="1">
      <c r="A860" s="6" t="s">
        <v>23</v>
      </c>
      <c r="B860" s="381" t="s">
        <v>221</v>
      </c>
      <c r="C860" s="3" t="s">
        <v>54</v>
      </c>
      <c r="D860" s="3"/>
      <c r="E860" s="3" t="s">
        <v>16</v>
      </c>
      <c r="F860" s="3"/>
      <c r="G860" s="3" t="s">
        <v>91</v>
      </c>
      <c r="H860" s="3"/>
      <c r="I860" s="3">
        <f>I162+I228+I294+I360+I426+I492+I558+I624+I690+I756+I822</f>
        <v>296</v>
      </c>
      <c r="J860" s="381">
        <f>IF(J162="","",J162+J228+J294+J360+J426+J492+J558+J624+J690+J756+J822)</f>
        <v>333</v>
      </c>
      <c r="K860" s="381">
        <f>IF(K162="","",K162+K228+K294+K360+K426+K492+K558+K624+K690+K756+K822)</f>
        <v>358</v>
      </c>
      <c r="V860" s="381">
        <f>SUM(V849:V859)</f>
        <v>78</v>
      </c>
      <c r="W860" s="381">
        <f>SUM(W849:W859)</f>
        <v>127</v>
      </c>
      <c r="X860" s="381">
        <f>SUM(X849:X859)</f>
        <v>229</v>
      </c>
      <c r="Y860" s="381">
        <f t="shared" ref="Y860:CH860" si="4599">SUM(Y849:Y859)</f>
        <v>314</v>
      </c>
      <c r="Z860" s="381">
        <f t="shared" si="4599"/>
        <v>361</v>
      </c>
      <c r="AA860" s="381">
        <f t="shared" si="4599"/>
        <v>436</v>
      </c>
      <c r="AB860" s="381">
        <f t="shared" si="4599"/>
        <v>496</v>
      </c>
      <c r="AC860" s="381">
        <f t="shared" si="4599"/>
        <v>590</v>
      </c>
      <c r="AD860" s="381">
        <f t="shared" si="4599"/>
        <v>844</v>
      </c>
      <c r="AE860" s="381">
        <f t="shared" si="4599"/>
        <v>932</v>
      </c>
      <c r="AF860" s="381">
        <f t="shared" si="4599"/>
        <v>979</v>
      </c>
      <c r="AG860" s="381">
        <f t="shared" si="4599"/>
        <v>1034</v>
      </c>
      <c r="AH860" s="381">
        <v>66</v>
      </c>
      <c r="AI860" s="381">
        <f t="shared" si="4599"/>
        <v>146</v>
      </c>
      <c r="AJ860" s="381">
        <f t="shared" si="4599"/>
        <v>0</v>
      </c>
      <c r="AK860" s="405">
        <f t="shared" si="4599"/>
        <v>0</v>
      </c>
      <c r="AL860" s="381">
        <f t="shared" si="4599"/>
        <v>0</v>
      </c>
      <c r="AM860" s="381">
        <f t="shared" si="4599"/>
        <v>0</v>
      </c>
      <c r="AN860" s="381">
        <f t="shared" si="4599"/>
        <v>0</v>
      </c>
      <c r="AO860" s="381">
        <f t="shared" si="4599"/>
        <v>0</v>
      </c>
      <c r="AP860" s="381">
        <f t="shared" si="4599"/>
        <v>0</v>
      </c>
      <c r="AQ860" s="381">
        <f t="shared" si="4599"/>
        <v>0</v>
      </c>
      <c r="AR860" s="381">
        <f t="shared" si="4599"/>
        <v>0</v>
      </c>
      <c r="AS860" s="381">
        <f t="shared" si="4599"/>
        <v>0</v>
      </c>
      <c r="AT860" s="381">
        <f t="shared" si="4599"/>
        <v>0</v>
      </c>
      <c r="AU860" s="381">
        <f t="shared" si="4599"/>
        <v>0</v>
      </c>
      <c r="AV860" s="381">
        <f t="shared" si="4599"/>
        <v>0</v>
      </c>
      <c r="AW860" s="381">
        <f t="shared" si="4599"/>
        <v>0</v>
      </c>
      <c r="AX860" s="381">
        <f t="shared" si="4599"/>
        <v>78</v>
      </c>
      <c r="AY860" s="381">
        <f t="shared" si="4599"/>
        <v>49</v>
      </c>
      <c r="AZ860" s="381">
        <f t="shared" si="4599"/>
        <v>102</v>
      </c>
      <c r="BA860" s="381">
        <f t="shared" si="4599"/>
        <v>314</v>
      </c>
      <c r="BB860" s="381">
        <f t="shared" si="4599"/>
        <v>47</v>
      </c>
      <c r="BC860" s="381">
        <f t="shared" si="4599"/>
        <v>75</v>
      </c>
      <c r="BD860" s="381">
        <f t="shared" si="4599"/>
        <v>60</v>
      </c>
      <c r="BE860" s="381">
        <f t="shared" si="4599"/>
        <v>94</v>
      </c>
      <c r="BF860" s="381">
        <f t="shared" si="4599"/>
        <v>254</v>
      </c>
      <c r="BG860" s="381">
        <f t="shared" si="4599"/>
        <v>88</v>
      </c>
      <c r="BH860" s="381">
        <f t="shared" si="4599"/>
        <v>47</v>
      </c>
      <c r="BI860" s="381">
        <f t="shared" si="4599"/>
        <v>55</v>
      </c>
      <c r="BJ860" s="381">
        <f t="shared" si="4599"/>
        <v>67</v>
      </c>
      <c r="BK860" s="381">
        <f t="shared" si="4599"/>
        <v>79</v>
      </c>
      <c r="BL860" s="381">
        <f t="shared" si="4599"/>
        <v>0</v>
      </c>
      <c r="BM860" s="405">
        <f t="shared" si="4599"/>
        <v>0</v>
      </c>
      <c r="BN860" s="381">
        <f t="shared" si="4599"/>
        <v>0</v>
      </c>
      <c r="BO860" s="381">
        <f t="shared" si="4599"/>
        <v>0</v>
      </c>
      <c r="BP860" s="381">
        <f t="shared" si="4599"/>
        <v>0</v>
      </c>
      <c r="BQ860" s="381">
        <f t="shared" si="4599"/>
        <v>0</v>
      </c>
      <c r="BR860" s="381">
        <f t="shared" si="4599"/>
        <v>0</v>
      </c>
      <c r="BS860" s="381">
        <f t="shared" si="4599"/>
        <v>0</v>
      </c>
      <c r="BT860" s="381">
        <f t="shared" si="4599"/>
        <v>0</v>
      </c>
      <c r="BU860" s="381">
        <f t="shared" si="4599"/>
        <v>0</v>
      </c>
      <c r="BV860" s="381">
        <f t="shared" si="4599"/>
        <v>0</v>
      </c>
      <c r="BW860" s="381">
        <f t="shared" si="4599"/>
        <v>0</v>
      </c>
      <c r="BX860" s="381">
        <f t="shared" si="4599"/>
        <v>0</v>
      </c>
      <c r="BY860" s="381">
        <f t="shared" si="4599"/>
        <v>0</v>
      </c>
      <c r="BZ860" s="381">
        <f t="shared" si="4599"/>
        <v>229</v>
      </c>
      <c r="CA860" s="381">
        <f t="shared" si="4599"/>
        <v>229</v>
      </c>
      <c r="CB860" s="381">
        <f t="shared" si="4599"/>
        <v>229</v>
      </c>
      <c r="CC860" s="381">
        <f t="shared" si="4599"/>
        <v>436</v>
      </c>
      <c r="CD860" s="381">
        <f t="shared" si="4599"/>
        <v>436</v>
      </c>
      <c r="CE860" s="381">
        <f t="shared" si="4599"/>
        <v>436</v>
      </c>
      <c r="CF860" s="381">
        <f t="shared" si="4599"/>
        <v>408</v>
      </c>
      <c r="CG860" s="381">
        <f t="shared" si="4599"/>
        <v>408</v>
      </c>
      <c r="CH860" s="381">
        <f t="shared" si="4599"/>
        <v>408</v>
      </c>
      <c r="CI860" s="381">
        <f t="shared" ref="CI860:EJ860" si="4600">SUM(CI849:CI859)</f>
        <v>190</v>
      </c>
      <c r="CJ860" s="381">
        <f t="shared" si="4600"/>
        <v>190</v>
      </c>
      <c r="CK860" s="381">
        <f t="shared" si="4600"/>
        <v>190</v>
      </c>
      <c r="CL860" s="381">
        <f t="shared" si="4600"/>
        <v>146</v>
      </c>
      <c r="CM860" s="381">
        <f t="shared" si="4600"/>
        <v>146</v>
      </c>
      <c r="CN860" s="381">
        <f t="shared" si="4600"/>
        <v>146</v>
      </c>
      <c r="CO860" s="405">
        <f t="shared" si="4600"/>
        <v>0</v>
      </c>
      <c r="CP860" s="381">
        <f t="shared" si="4600"/>
        <v>0</v>
      </c>
      <c r="CQ860" s="381">
        <f t="shared" si="4600"/>
        <v>0</v>
      </c>
      <c r="CR860" s="381">
        <f t="shared" si="4600"/>
        <v>0</v>
      </c>
      <c r="CS860" s="381">
        <f t="shared" si="4600"/>
        <v>0</v>
      </c>
      <c r="CT860" s="381">
        <f t="shared" si="4600"/>
        <v>0</v>
      </c>
      <c r="CU860" s="381">
        <f t="shared" si="4600"/>
        <v>0</v>
      </c>
      <c r="CV860" s="381">
        <f t="shared" si="4600"/>
        <v>0</v>
      </c>
      <c r="CW860" s="381">
        <f t="shared" si="4600"/>
        <v>0</v>
      </c>
      <c r="CX860" s="381">
        <f t="shared" si="4600"/>
        <v>0</v>
      </c>
      <c r="CY860" s="381">
        <f t="shared" si="4600"/>
        <v>0</v>
      </c>
      <c r="CZ860" s="381">
        <f t="shared" si="4600"/>
        <v>0</v>
      </c>
      <c r="DA860" s="381">
        <f t="shared" si="4600"/>
        <v>0</v>
      </c>
      <c r="DB860" s="381">
        <f t="shared" si="4600"/>
        <v>132</v>
      </c>
      <c r="DC860" s="381">
        <f t="shared" si="4600"/>
        <v>196</v>
      </c>
      <c r="DD860" s="381">
        <f t="shared" si="4600"/>
        <v>336</v>
      </c>
      <c r="DE860" s="381">
        <f t="shared" si="4600"/>
        <v>421</v>
      </c>
      <c r="DF860" s="381">
        <f t="shared" si="4600"/>
        <v>474</v>
      </c>
      <c r="DG860" s="381">
        <f t="shared" si="4600"/>
        <v>436</v>
      </c>
      <c r="DH860" s="381">
        <f t="shared" si="4600"/>
        <v>496</v>
      </c>
      <c r="DI860" s="381">
        <f t="shared" si="4600"/>
        <v>590</v>
      </c>
      <c r="DJ860" s="381">
        <f t="shared" si="4600"/>
        <v>844</v>
      </c>
      <c r="DK860" s="381">
        <f t="shared" si="4600"/>
        <v>932</v>
      </c>
      <c r="DL860" s="381">
        <f t="shared" si="4600"/>
        <v>979</v>
      </c>
      <c r="DM860" s="381">
        <f t="shared" si="4600"/>
        <v>1034</v>
      </c>
      <c r="DN860" s="381">
        <f t="shared" si="4600"/>
        <v>67</v>
      </c>
      <c r="DO860" s="381">
        <f t="shared" si="4600"/>
        <v>146</v>
      </c>
      <c r="DP860" s="381">
        <f t="shared" si="4600"/>
        <v>0</v>
      </c>
      <c r="DZ860" s="381">
        <f t="shared" si="4600"/>
        <v>0</v>
      </c>
      <c r="EA860" s="381">
        <f t="shared" si="4600"/>
        <v>0</v>
      </c>
      <c r="EB860" s="381">
        <f t="shared" si="4600"/>
        <v>0</v>
      </c>
      <c r="ED860" s="405">
        <f t="shared" si="4600"/>
        <v>0</v>
      </c>
      <c r="EE860" s="381">
        <f t="shared" si="4600"/>
        <v>0</v>
      </c>
      <c r="EF860" s="381">
        <f t="shared" si="4600"/>
        <v>0</v>
      </c>
      <c r="EG860" s="381">
        <f t="shared" si="4600"/>
        <v>0</v>
      </c>
      <c r="EH860" s="381">
        <f t="shared" si="4600"/>
        <v>79</v>
      </c>
      <c r="EI860" s="381">
        <f t="shared" si="4600"/>
        <v>146</v>
      </c>
      <c r="EJ860" s="381">
        <f t="shared" si="4600"/>
        <v>146</v>
      </c>
      <c r="EK860" s="381">
        <f>$EK$1/12</f>
        <v>0.91666666666666663</v>
      </c>
      <c r="EL860" s="381" t="e">
        <f>EH860/#REF!</f>
        <v>#REF!</v>
      </c>
      <c r="EM860" s="381" t="e">
        <f>EI860/#REF!</f>
        <v>#REF!</v>
      </c>
      <c r="EN860" s="381" t="e">
        <f>EJ860/#REF!</f>
        <v>#REF!</v>
      </c>
      <c r="EO860" s="381" t="e">
        <f>IF(EH860&lt;0,,IF(EH860&lt;#REF!,"È",IF(EH860=#REF!,"Æ","Ç")))</f>
        <v>#REF!</v>
      </c>
      <c r="EP860" s="381" t="e">
        <f>IF(EI860&lt;0,,IF(EI860&lt;#REF!,"È",IF(EI860=#REF!,"Æ","Ç")))</f>
        <v>#REF!</v>
      </c>
      <c r="EQ860" s="381" t="e">
        <f t="shared" si="4596"/>
        <v>#REF!</v>
      </c>
      <c r="ER860" s="381" t="e">
        <f t="shared" si="4597"/>
        <v>#REF!</v>
      </c>
      <c r="ES860" s="381" t="e">
        <f t="shared" si="4598"/>
        <v>#REF!</v>
      </c>
    </row>
    <row r="861" spans="1:149" s="381" customFormat="1">
      <c r="A861" s="6"/>
      <c r="C861" s="3"/>
      <c r="D861" s="3"/>
      <c r="E861" s="3"/>
      <c r="F861" s="3"/>
      <c r="G861" s="3"/>
      <c r="H861" s="3"/>
      <c r="I861" s="3"/>
      <c r="AK861" s="405"/>
      <c r="BM861" s="405"/>
      <c r="CO861" s="405"/>
      <c r="ED861" s="405"/>
    </row>
    <row r="862" spans="1:149" s="381" customFormat="1">
      <c r="A862" s="6"/>
      <c r="C862" s="3"/>
      <c r="D862" s="3"/>
      <c r="E862" s="3"/>
      <c r="F862" s="3"/>
      <c r="G862" s="3"/>
      <c r="H862" s="3"/>
      <c r="I862" s="3"/>
      <c r="AK862" s="405"/>
      <c r="BM862" s="405"/>
      <c r="CO862" s="405"/>
      <c r="ED862" s="405"/>
    </row>
    <row r="863" spans="1:149" ht="15.75">
      <c r="A863" s="66" t="s">
        <v>225</v>
      </c>
    </row>
    <row r="864" spans="1:149">
      <c r="A864" s="483" t="s">
        <v>228</v>
      </c>
      <c r="B864" s="483"/>
    </row>
    <row r="865" spans="1:150" ht="15.75">
      <c r="A865" s="480" t="s">
        <v>23</v>
      </c>
      <c r="B865" s="481" t="s">
        <v>210</v>
      </c>
      <c r="C865" s="3" t="s">
        <v>54</v>
      </c>
      <c r="E865" s="3" t="s">
        <v>16</v>
      </c>
      <c r="G865" s="245" t="s">
        <v>91</v>
      </c>
      <c r="I865" s="237"/>
      <c r="J865" s="248"/>
      <c r="K865" s="376"/>
      <c r="L865" s="376"/>
      <c r="M865" s="247"/>
      <c r="N865" s="376"/>
      <c r="O865" s="376"/>
      <c r="P865" s="376"/>
      <c r="Q865" s="376"/>
      <c r="R865" s="376"/>
      <c r="S865" s="376"/>
      <c r="T865" s="376"/>
      <c r="U865" s="376"/>
      <c r="V865" s="26">
        <v>0</v>
      </c>
      <c r="W865" s="26">
        <v>6</v>
      </c>
      <c r="X865" s="376">
        <v>6</v>
      </c>
      <c r="Y865" s="26">
        <v>6</v>
      </c>
      <c r="Z865" s="376">
        <v>6</v>
      </c>
      <c r="AA865" s="263">
        <v>6</v>
      </c>
      <c r="AB865" s="263">
        <v>6</v>
      </c>
      <c r="AC865" s="263">
        <v>8</v>
      </c>
      <c r="AD865" s="263">
        <v>8</v>
      </c>
      <c r="AE865" s="263">
        <v>8</v>
      </c>
      <c r="AF865" s="263">
        <v>8</v>
      </c>
      <c r="AG865" s="263">
        <v>8</v>
      </c>
      <c r="AH865" s="263">
        <v>0</v>
      </c>
      <c r="AI865" s="263">
        <v>0</v>
      </c>
      <c r="AJ865" s="263"/>
      <c r="AK865" s="408"/>
      <c r="AL865" s="248">
        <f>J865-I865</f>
        <v>0</v>
      </c>
      <c r="AM865" s="248">
        <f>K865-J865</f>
        <v>0</v>
      </c>
      <c r="AN865" s="248">
        <f>L865-K865</f>
        <v>0</v>
      </c>
      <c r="AO865" s="248">
        <f>M865</f>
        <v>0</v>
      </c>
      <c r="AP865" s="129">
        <f t="shared" ref="AP865:AZ865" si="4601">IF(N865&lt;&gt;"",N865-M865,0)</f>
        <v>0</v>
      </c>
      <c r="AQ865" s="131">
        <f t="shared" si="4601"/>
        <v>0</v>
      </c>
      <c r="AR865" s="131">
        <f t="shared" si="4601"/>
        <v>0</v>
      </c>
      <c r="AS865" s="131">
        <f t="shared" si="4601"/>
        <v>0</v>
      </c>
      <c r="AT865" s="131">
        <f t="shared" si="4601"/>
        <v>0</v>
      </c>
      <c r="AU865" s="131">
        <f t="shared" si="4601"/>
        <v>0</v>
      </c>
      <c r="AV865" s="131">
        <f t="shared" si="4601"/>
        <v>0</v>
      </c>
      <c r="AW865" s="131">
        <f t="shared" si="4601"/>
        <v>0</v>
      </c>
      <c r="AX865" s="131">
        <f>IF(V865&lt;&gt;"",V865)</f>
        <v>0</v>
      </c>
      <c r="AY865" s="131">
        <f t="shared" si="4601"/>
        <v>6</v>
      </c>
      <c r="AZ865" s="131">
        <f t="shared" si="4601"/>
        <v>0</v>
      </c>
      <c r="BA865" s="248">
        <f>Y865</f>
        <v>6</v>
      </c>
      <c r="BB865" s="131">
        <f t="shared" ref="BB865:BL865" si="4602">IF(Z865&lt;&gt;"",Z865-Y865,0)</f>
        <v>0</v>
      </c>
      <c r="BC865" s="131">
        <f t="shared" si="4602"/>
        <v>0</v>
      </c>
      <c r="BD865" s="131">
        <f t="shared" si="4602"/>
        <v>0</v>
      </c>
      <c r="BE865" s="131">
        <f t="shared" si="4602"/>
        <v>2</v>
      </c>
      <c r="BF865" s="131">
        <f t="shared" si="4602"/>
        <v>0</v>
      </c>
      <c r="BG865" s="131">
        <f t="shared" si="4602"/>
        <v>0</v>
      </c>
      <c r="BH865" s="131">
        <f t="shared" si="4602"/>
        <v>0</v>
      </c>
      <c r="BI865" s="131">
        <f t="shared" si="4602"/>
        <v>0</v>
      </c>
      <c r="BJ865" s="131">
        <f>AH865</f>
        <v>0</v>
      </c>
      <c r="BK865" s="131">
        <f t="shared" si="4602"/>
        <v>0</v>
      </c>
      <c r="BL865" s="131">
        <f t="shared" si="4602"/>
        <v>0</v>
      </c>
      <c r="BM865" s="408"/>
      <c r="BN865" s="48">
        <f>BP865</f>
        <v>0</v>
      </c>
      <c r="BO865" s="48">
        <f>BP865</f>
        <v>0</v>
      </c>
      <c r="BP865" s="48">
        <f>SUM(AL865:AN865)</f>
        <v>0</v>
      </c>
      <c r="BQ865" s="48">
        <f>BS865</f>
        <v>0</v>
      </c>
      <c r="BR865" s="48">
        <f>BS865</f>
        <v>0</v>
      </c>
      <c r="BS865" s="48">
        <f>SUM(AO865:AQ865)</f>
        <v>0</v>
      </c>
      <c r="BT865" s="48">
        <f>BV865</f>
        <v>0</v>
      </c>
      <c r="BU865" s="48">
        <f>BV865</f>
        <v>0</v>
      </c>
      <c r="BV865" s="48">
        <f>SUM(AR865:AT865)</f>
        <v>0</v>
      </c>
      <c r="BW865" s="48">
        <f>BY865</f>
        <v>0</v>
      </c>
      <c r="BX865" s="48">
        <f>BY865</f>
        <v>0</v>
      </c>
      <c r="BY865" s="48">
        <f>SUM(AU865:AW865)</f>
        <v>0</v>
      </c>
      <c r="BZ865" s="48">
        <f>CB865</f>
        <v>6</v>
      </c>
      <c r="CA865" s="48">
        <f>CB865</f>
        <v>6</v>
      </c>
      <c r="CB865" s="48">
        <f>SUM(AX865:AZ865)</f>
        <v>6</v>
      </c>
      <c r="CC865" s="48">
        <f>CE865</f>
        <v>6</v>
      </c>
      <c r="CD865" s="48">
        <f>CE865</f>
        <v>6</v>
      </c>
      <c r="CE865" s="48">
        <f>SUM(BA865:BC865)</f>
        <v>6</v>
      </c>
      <c r="CF865" s="48">
        <f>CH865</f>
        <v>2</v>
      </c>
      <c r="CG865" s="48">
        <f>CH865</f>
        <v>2</v>
      </c>
      <c r="CH865" s="48">
        <f>SUM(BD865:BF865)</f>
        <v>2</v>
      </c>
      <c r="CI865" s="48">
        <f>CK865</f>
        <v>0</v>
      </c>
      <c r="CJ865" s="48">
        <f>CK865</f>
        <v>0</v>
      </c>
      <c r="CK865" s="48">
        <f>SUM(BG865:BI865)</f>
        <v>0</v>
      </c>
      <c r="CL865" s="48">
        <f>CN865</f>
        <v>0</v>
      </c>
      <c r="CM865" s="48">
        <f>CN865</f>
        <v>0</v>
      </c>
      <c r="CN865" s="48">
        <f>SUM(BJ865:BL865)</f>
        <v>0</v>
      </c>
      <c r="CO865" s="406"/>
      <c r="CP865" s="248">
        <f>I865+AL865</f>
        <v>0</v>
      </c>
      <c r="CQ865" s="248">
        <f>J865+AM865</f>
        <v>0</v>
      </c>
      <c r="CR865" s="248">
        <f>K865+AN865</f>
        <v>0</v>
      </c>
      <c r="CS865" s="248">
        <f>AO865</f>
        <v>0</v>
      </c>
      <c r="CT865" s="248">
        <f t="shared" ref="CT865:DA865" si="4603">M865+AP865</f>
        <v>0</v>
      </c>
      <c r="CU865" s="248">
        <f t="shared" si="4603"/>
        <v>0</v>
      </c>
      <c r="CV865" s="248">
        <f t="shared" si="4603"/>
        <v>0</v>
      </c>
      <c r="CW865" s="248">
        <f t="shared" si="4603"/>
        <v>0</v>
      </c>
      <c r="CX865" s="248">
        <f t="shared" si="4603"/>
        <v>0</v>
      </c>
      <c r="CY865" s="248">
        <f t="shared" si="4603"/>
        <v>0</v>
      </c>
      <c r="CZ865" s="248">
        <f t="shared" si="4603"/>
        <v>0</v>
      </c>
      <c r="DA865" s="248">
        <f t="shared" si="4603"/>
        <v>0</v>
      </c>
      <c r="DB865" s="505">
        <v>0</v>
      </c>
      <c r="DC865" s="505">
        <v>20</v>
      </c>
      <c r="DD865" s="505">
        <v>22</v>
      </c>
      <c r="DE865" s="505">
        <v>58</v>
      </c>
      <c r="DF865" s="505">
        <v>58</v>
      </c>
      <c r="DG865" s="248">
        <f>Z865+BC865</f>
        <v>6</v>
      </c>
      <c r="DH865" s="248">
        <f t="shared" ref="DH865:DM875" si="4604">AA865+BD865</f>
        <v>6</v>
      </c>
      <c r="DI865" s="248">
        <f t="shared" si="4604"/>
        <v>8</v>
      </c>
      <c r="DJ865" s="248">
        <f t="shared" si="4604"/>
        <v>8</v>
      </c>
      <c r="DK865" s="248">
        <f t="shared" si="4604"/>
        <v>8</v>
      </c>
      <c r="DL865" s="248">
        <f t="shared" si="4604"/>
        <v>8</v>
      </c>
      <c r="DM865" s="248">
        <f t="shared" si="4604"/>
        <v>8</v>
      </c>
      <c r="DN865" s="248">
        <f>AH865</f>
        <v>0</v>
      </c>
      <c r="DO865" s="248">
        <f>AI865</f>
        <v>0</v>
      </c>
      <c r="DP865" s="248"/>
      <c r="DQ865" s="248"/>
      <c r="DR865" s="248"/>
      <c r="DS865" s="248"/>
      <c r="DT865" s="248"/>
      <c r="DU865" s="248"/>
      <c r="DV865" s="248"/>
      <c r="DW865" s="248"/>
      <c r="DX865" s="248"/>
      <c r="DY865" s="248"/>
      <c r="DZ865" s="381"/>
      <c r="EA865" s="381"/>
      <c r="EB865" s="381"/>
      <c r="ED865" s="429"/>
      <c r="EE865" s="242"/>
      <c r="EF865" s="242"/>
      <c r="EG865" s="242"/>
      <c r="EH865" s="237">
        <f t="shared" ref="EH865:EH875" si="4605">HLOOKUP($I$1,Month,ROW()-1)</f>
        <v>0</v>
      </c>
      <c r="EI865" s="237">
        <f t="shared" ref="EI865:EI875" si="4606">HLOOKUP($I$1,Qtr,ROW()-1)</f>
        <v>0</v>
      </c>
      <c r="EJ865" s="237">
        <f t="shared" ref="EJ865:EJ875" si="4607">HLOOKUP($I$1,YTD,ROW()-1)</f>
        <v>0</v>
      </c>
      <c r="EK865" s="217">
        <f>$EK$1/12</f>
        <v>0.91666666666666663</v>
      </c>
      <c r="EL865" s="14"/>
      <c r="EM865" s="14"/>
      <c r="EN865" s="14"/>
      <c r="EO865" s="46"/>
      <c r="EP865" s="46"/>
      <c r="EQ865" s="381"/>
      <c r="ER865" s="381"/>
      <c r="ES865" s="381"/>
      <c r="ET865" s="381"/>
    </row>
    <row r="866" spans="1:150" ht="15.75">
      <c r="A866" s="480" t="s">
        <v>23</v>
      </c>
      <c r="B866" s="481" t="s">
        <v>211</v>
      </c>
      <c r="C866" s="3" t="s">
        <v>54</v>
      </c>
      <c r="E866" s="3" t="s">
        <v>16</v>
      </c>
      <c r="G866" s="245" t="s">
        <v>91</v>
      </c>
      <c r="I866" s="237"/>
      <c r="J866" s="248"/>
      <c r="K866" s="376"/>
      <c r="L866" s="376"/>
      <c r="M866" s="247"/>
      <c r="N866" s="376"/>
      <c r="O866" s="376"/>
      <c r="P866" s="376"/>
      <c r="Q866" s="376"/>
      <c r="R866" s="376"/>
      <c r="S866" s="376"/>
      <c r="T866" s="376"/>
      <c r="U866" s="376"/>
      <c r="V866" s="26">
        <v>0</v>
      </c>
      <c r="W866" s="26">
        <v>0</v>
      </c>
      <c r="X866" s="376">
        <v>0</v>
      </c>
      <c r="Y866" s="26">
        <v>0</v>
      </c>
      <c r="Z866" s="376">
        <v>0</v>
      </c>
      <c r="AA866" s="263">
        <v>0</v>
      </c>
      <c r="AB866" s="263">
        <v>0</v>
      </c>
      <c r="AC866" s="263">
        <v>0</v>
      </c>
      <c r="AD866" s="263">
        <v>0</v>
      </c>
      <c r="AE866" s="263">
        <v>0</v>
      </c>
      <c r="AF866" s="263">
        <v>0</v>
      </c>
      <c r="AG866" s="263">
        <v>16</v>
      </c>
      <c r="AH866" s="263">
        <v>0</v>
      </c>
      <c r="AI866" s="263">
        <v>0</v>
      </c>
      <c r="AJ866" s="263"/>
      <c r="AK866" s="408"/>
      <c r="AL866" s="248">
        <f t="shared" ref="AL866:AL875" si="4608">J866-I866</f>
        <v>0</v>
      </c>
      <c r="AM866" s="248">
        <f t="shared" ref="AM866:AM875" si="4609">K866-J866</f>
        <v>0</v>
      </c>
      <c r="AN866" s="248">
        <f t="shared" ref="AN866:AN875" si="4610">L866-K866</f>
        <v>0</v>
      </c>
      <c r="AO866" s="248">
        <f t="shared" ref="AO866:AO875" si="4611">M866</f>
        <v>0</v>
      </c>
      <c r="AP866" s="129">
        <f t="shared" ref="AP866:AP875" si="4612">IF(N866&lt;&gt;"",N866-M866,0)</f>
        <v>0</v>
      </c>
      <c r="AQ866" s="131">
        <f t="shared" ref="AQ866:AQ875" si="4613">IF(O866&lt;&gt;"",O866-N866,0)</f>
        <v>0</v>
      </c>
      <c r="AR866" s="131">
        <f t="shared" ref="AR866:AR875" si="4614">IF(P866&lt;&gt;"",P866-O866,0)</f>
        <v>0</v>
      </c>
      <c r="AS866" s="131">
        <f t="shared" ref="AS866:AS875" si="4615">IF(Q866&lt;&gt;"",Q866-P866,0)</f>
        <v>0</v>
      </c>
      <c r="AT866" s="131">
        <f t="shared" ref="AT866:AT875" si="4616">IF(R866&lt;&gt;"",R866-Q866,0)</f>
        <v>0</v>
      </c>
      <c r="AU866" s="131">
        <f t="shared" ref="AU866:AU875" si="4617">IF(S866&lt;&gt;"",S866-R866,0)</f>
        <v>0</v>
      </c>
      <c r="AV866" s="131">
        <f t="shared" ref="AV866:AV875" si="4618">IF(T866&lt;&gt;"",T866-S866,0)</f>
        <v>0</v>
      </c>
      <c r="AW866" s="131">
        <f t="shared" ref="AW866:AW875" si="4619">IF(U866&lt;&gt;"",U866-T866,0)</f>
        <v>0</v>
      </c>
      <c r="AX866" s="131">
        <f t="shared" ref="AX866:AX874" si="4620">IF(V866&lt;&gt;"",V866)</f>
        <v>0</v>
      </c>
      <c r="AY866" s="131">
        <f t="shared" ref="AY866:AY875" si="4621">IF(W866&lt;&gt;"",W866-V866,0)</f>
        <v>0</v>
      </c>
      <c r="AZ866" s="131">
        <f t="shared" ref="AZ866:AZ875" si="4622">IF(X866&lt;&gt;"",X866-W866,0)</f>
        <v>0</v>
      </c>
      <c r="BA866" s="248">
        <f t="shared" ref="BA866:BA875" si="4623">Y866</f>
        <v>0</v>
      </c>
      <c r="BB866" s="131">
        <f t="shared" ref="BB866:BB875" si="4624">IF(Z866&lt;&gt;"",Z866-Y866,0)</f>
        <v>0</v>
      </c>
      <c r="BC866" s="131">
        <f t="shared" ref="BC866:BC875" si="4625">IF(AA866&lt;&gt;"",AA866-Z866,0)</f>
        <v>0</v>
      </c>
      <c r="BD866" s="131">
        <f t="shared" ref="BD866:BD875" si="4626">IF(AB866&lt;&gt;"",AB866-AA866,0)</f>
        <v>0</v>
      </c>
      <c r="BE866" s="131">
        <f t="shared" ref="BE866:BE875" si="4627">IF(AC866&lt;&gt;"",AC866-AB866,0)</f>
        <v>0</v>
      </c>
      <c r="BF866" s="131">
        <f t="shared" ref="BF866:BF875" si="4628">IF(AD866&lt;&gt;"",AD866-AC866,0)</f>
        <v>0</v>
      </c>
      <c r="BG866" s="131">
        <f t="shared" ref="BG866:BG875" si="4629">IF(AE866&lt;&gt;"",AE866-AD866,0)</f>
        <v>0</v>
      </c>
      <c r="BH866" s="131">
        <f t="shared" ref="BH866:BH875" si="4630">IF(AF866&lt;&gt;"",AF866-AE866,0)</f>
        <v>0</v>
      </c>
      <c r="BI866" s="131">
        <f t="shared" ref="BI866:BI875" si="4631">IF(AG866&lt;&gt;"",AG866-AF866,0)</f>
        <v>16</v>
      </c>
      <c r="BJ866" s="131">
        <f t="shared" ref="BJ866:BJ875" si="4632">IF(AH866&lt;&gt;"",AH866)</f>
        <v>0</v>
      </c>
      <c r="BK866" s="131">
        <f t="shared" ref="BK866:BK875" si="4633">IF(AI866&lt;&gt;"",AI866-AH866,0)</f>
        <v>0</v>
      </c>
      <c r="BL866" s="131">
        <f t="shared" ref="BL866:BL875" si="4634">IF(AJ866&lt;&gt;"",AJ866-AI866,0)</f>
        <v>0</v>
      </c>
      <c r="BM866" s="408"/>
      <c r="BN866" s="48">
        <f t="shared" ref="BN866:BN875" si="4635">BP866</f>
        <v>0</v>
      </c>
      <c r="BO866" s="48">
        <f t="shared" ref="BO866:BO875" si="4636">BP866</f>
        <v>0</v>
      </c>
      <c r="BP866" s="48">
        <f t="shared" ref="BP866:BP875" si="4637">SUM(AL866:AN866)</f>
        <v>0</v>
      </c>
      <c r="BQ866" s="48">
        <f t="shared" ref="BQ866:BQ875" si="4638">BS866</f>
        <v>0</v>
      </c>
      <c r="BR866" s="48">
        <f t="shared" ref="BR866:BR875" si="4639">BS866</f>
        <v>0</v>
      </c>
      <c r="BS866" s="48">
        <f t="shared" ref="BS866:BS875" si="4640">SUM(AO866:AQ866)</f>
        <v>0</v>
      </c>
      <c r="BT866" s="48">
        <f t="shared" ref="BT866:BT875" si="4641">BV866</f>
        <v>0</v>
      </c>
      <c r="BU866" s="48">
        <f t="shared" ref="BU866:BU875" si="4642">BV866</f>
        <v>0</v>
      </c>
      <c r="BV866" s="48">
        <f t="shared" ref="BV866:BV875" si="4643">SUM(AR866:AT866)</f>
        <v>0</v>
      </c>
      <c r="BW866" s="48">
        <f t="shared" ref="BW866:BW875" si="4644">BY866</f>
        <v>0</v>
      </c>
      <c r="BX866" s="48">
        <f t="shared" ref="BX866:BX875" si="4645">BY866</f>
        <v>0</v>
      </c>
      <c r="BY866" s="48">
        <f t="shared" ref="BY866:BY875" si="4646">SUM(AU866:AW866)</f>
        <v>0</v>
      </c>
      <c r="BZ866" s="48">
        <f t="shared" ref="BZ866:BZ875" si="4647">CB866</f>
        <v>0</v>
      </c>
      <c r="CA866" s="48">
        <f t="shared" ref="CA866:CA875" si="4648">CB866</f>
        <v>0</v>
      </c>
      <c r="CB866" s="48">
        <f t="shared" ref="CB866:CB875" si="4649">SUM(AX866:AZ866)</f>
        <v>0</v>
      </c>
      <c r="CC866" s="48">
        <f t="shared" ref="CC866:CC875" si="4650">CE866</f>
        <v>0</v>
      </c>
      <c r="CD866" s="48">
        <f t="shared" ref="CD866:CD875" si="4651">CE866</f>
        <v>0</v>
      </c>
      <c r="CE866" s="48">
        <f t="shared" ref="CE866:CE875" si="4652">SUM(BA866:BC866)</f>
        <v>0</v>
      </c>
      <c r="CF866" s="48">
        <f t="shared" ref="CF866:CF875" si="4653">CH866</f>
        <v>0</v>
      </c>
      <c r="CG866" s="48">
        <f t="shared" ref="CG866:CG875" si="4654">CH866</f>
        <v>0</v>
      </c>
      <c r="CH866" s="48">
        <f t="shared" ref="CH866:CH875" si="4655">SUM(BD866:BF866)</f>
        <v>0</v>
      </c>
      <c r="CI866" s="48">
        <f t="shared" ref="CI866:CI875" si="4656">CK866</f>
        <v>16</v>
      </c>
      <c r="CJ866" s="48">
        <f t="shared" ref="CJ866:CJ875" si="4657">CK866</f>
        <v>16</v>
      </c>
      <c r="CK866" s="48">
        <f t="shared" ref="CK866:CK875" si="4658">SUM(BG866:BI866)</f>
        <v>16</v>
      </c>
      <c r="CL866" s="48">
        <f t="shared" ref="CL866:CL875" si="4659">CN866</f>
        <v>0</v>
      </c>
      <c r="CM866" s="48">
        <f t="shared" ref="CM866:CM875" si="4660">CN866</f>
        <v>0</v>
      </c>
      <c r="CN866" s="48">
        <f t="shared" ref="CN866:CN875" si="4661">SUM(BJ866:BL866)</f>
        <v>0</v>
      </c>
      <c r="CO866" s="406"/>
      <c r="CP866" s="248">
        <f t="shared" ref="CP866:CP875" si="4662">I866+AL866</f>
        <v>0</v>
      </c>
      <c r="CQ866" s="248">
        <f t="shared" ref="CQ866:CQ875" si="4663">J866+AM866</f>
        <v>0</v>
      </c>
      <c r="CR866" s="248">
        <f t="shared" ref="CR866:CR875" si="4664">K866+AN866</f>
        <v>0</v>
      </c>
      <c r="CS866" s="248">
        <f t="shared" ref="CS866:CS875" si="4665">AO866</f>
        <v>0</v>
      </c>
      <c r="CT866" s="248">
        <f t="shared" ref="CT866:CT875" si="4666">M866+AP866</f>
        <v>0</v>
      </c>
      <c r="CU866" s="248">
        <f t="shared" ref="CU866:CU875" si="4667">N866+AQ866</f>
        <v>0</v>
      </c>
      <c r="CV866" s="248">
        <f t="shared" ref="CV866:CV875" si="4668">O866+AR866</f>
        <v>0</v>
      </c>
      <c r="CW866" s="248">
        <f t="shared" ref="CW866:CW875" si="4669">P866+AS866</f>
        <v>0</v>
      </c>
      <c r="CX866" s="248">
        <f t="shared" ref="CX866:CX875" si="4670">Q866+AT866</f>
        <v>0</v>
      </c>
      <c r="CY866" s="248">
        <f t="shared" ref="CY866:CY875" si="4671">R866+AU866</f>
        <v>0</v>
      </c>
      <c r="CZ866" s="248">
        <f t="shared" ref="CZ866:CZ875" si="4672">S866+AV866</f>
        <v>0</v>
      </c>
      <c r="DA866" s="248">
        <f t="shared" ref="DA866:DA875" si="4673">T866+AW866</f>
        <v>0</v>
      </c>
      <c r="DB866" s="505">
        <v>1</v>
      </c>
      <c r="DC866" s="505">
        <v>14</v>
      </c>
      <c r="DD866" s="505">
        <v>14</v>
      </c>
      <c r="DE866" s="505">
        <v>18</v>
      </c>
      <c r="DF866" s="505">
        <v>20</v>
      </c>
      <c r="DG866" s="248">
        <f t="shared" ref="DG866:DG875" si="4674">Z866+BC866</f>
        <v>0</v>
      </c>
      <c r="DH866" s="248">
        <f t="shared" si="4604"/>
        <v>0</v>
      </c>
      <c r="DI866" s="248">
        <f t="shared" si="4604"/>
        <v>0</v>
      </c>
      <c r="DJ866" s="248">
        <f t="shared" si="4604"/>
        <v>0</v>
      </c>
      <c r="DK866" s="248">
        <f t="shared" si="4604"/>
        <v>0</v>
      </c>
      <c r="DL866" s="248">
        <f t="shared" si="4604"/>
        <v>0</v>
      </c>
      <c r="DM866" s="248">
        <f t="shared" si="4604"/>
        <v>16</v>
      </c>
      <c r="DN866" s="248">
        <f t="shared" ref="DN866:DO875" si="4675">AH866</f>
        <v>0</v>
      </c>
      <c r="DO866" s="248">
        <f t="shared" si="4675"/>
        <v>0</v>
      </c>
      <c r="DP866" s="248"/>
      <c r="DQ866" s="248"/>
      <c r="DR866" s="248"/>
      <c r="DS866" s="248"/>
      <c r="DT866" s="248"/>
      <c r="DU866" s="248"/>
      <c r="DV866" s="248"/>
      <c r="DW866" s="248"/>
      <c r="DX866" s="248"/>
      <c r="DY866" s="248"/>
      <c r="DZ866" s="381"/>
      <c r="EA866" s="381"/>
      <c r="EB866" s="381"/>
      <c r="ED866" s="429"/>
      <c r="EE866" s="242"/>
      <c r="EF866" s="242"/>
      <c r="EG866" s="242"/>
      <c r="EH866" s="237">
        <f t="shared" si="4605"/>
        <v>0</v>
      </c>
      <c r="EI866" s="237">
        <f t="shared" si="4606"/>
        <v>0</v>
      </c>
      <c r="EJ866" s="237">
        <f t="shared" si="4607"/>
        <v>0</v>
      </c>
      <c r="EK866" s="217">
        <f t="shared" ref="EK866:EK875" si="4676">$EK$1/12</f>
        <v>0.91666666666666663</v>
      </c>
      <c r="EL866" s="14"/>
      <c r="EM866" s="14"/>
      <c r="EN866" s="14"/>
      <c r="EO866" s="46"/>
      <c r="EP866" s="46"/>
      <c r="EQ866" s="381"/>
      <c r="ER866" s="381"/>
      <c r="ES866" s="381"/>
    </row>
    <row r="867" spans="1:150" ht="15.75">
      <c r="A867" s="480" t="s">
        <v>23</v>
      </c>
      <c r="B867" s="481" t="s">
        <v>212</v>
      </c>
      <c r="C867" s="3" t="s">
        <v>54</v>
      </c>
      <c r="E867" s="3" t="s">
        <v>16</v>
      </c>
      <c r="G867" s="245" t="s">
        <v>91</v>
      </c>
      <c r="I867" s="237"/>
      <c r="J867" s="248"/>
      <c r="K867" s="376"/>
      <c r="L867" s="376"/>
      <c r="M867" s="247"/>
      <c r="N867" s="376"/>
      <c r="O867" s="376"/>
      <c r="P867" s="376"/>
      <c r="Q867" s="376"/>
      <c r="R867" s="376"/>
      <c r="S867" s="376"/>
      <c r="T867" s="376"/>
      <c r="U867" s="376"/>
      <c r="V867" s="26">
        <v>48</v>
      </c>
      <c r="W867" s="26">
        <v>49</v>
      </c>
      <c r="X867" s="376">
        <v>77</v>
      </c>
      <c r="Y867" s="26">
        <v>77</v>
      </c>
      <c r="Z867" s="376">
        <v>77</v>
      </c>
      <c r="AA867" s="263">
        <v>77</v>
      </c>
      <c r="AB867" s="263">
        <v>77</v>
      </c>
      <c r="AC867" s="263">
        <v>77</v>
      </c>
      <c r="AD867" s="263">
        <v>77</v>
      </c>
      <c r="AE867" s="263">
        <v>77</v>
      </c>
      <c r="AF867" s="263">
        <v>81</v>
      </c>
      <c r="AG867" s="263">
        <v>81</v>
      </c>
      <c r="AH867" s="263">
        <v>0</v>
      </c>
      <c r="AI867" s="263">
        <v>0</v>
      </c>
      <c r="AJ867" s="263"/>
      <c r="AK867" s="408"/>
      <c r="AL867" s="248">
        <f t="shared" si="4608"/>
        <v>0</v>
      </c>
      <c r="AM867" s="248">
        <f t="shared" si="4609"/>
        <v>0</v>
      </c>
      <c r="AN867" s="248">
        <f t="shared" si="4610"/>
        <v>0</v>
      </c>
      <c r="AO867" s="248">
        <f t="shared" si="4611"/>
        <v>0</v>
      </c>
      <c r="AP867" s="129">
        <f t="shared" si="4612"/>
        <v>0</v>
      </c>
      <c r="AQ867" s="131">
        <f t="shared" si="4613"/>
        <v>0</v>
      </c>
      <c r="AR867" s="131">
        <f t="shared" si="4614"/>
        <v>0</v>
      </c>
      <c r="AS867" s="131">
        <f t="shared" si="4615"/>
        <v>0</v>
      </c>
      <c r="AT867" s="131">
        <f t="shared" si="4616"/>
        <v>0</v>
      </c>
      <c r="AU867" s="131">
        <f t="shared" si="4617"/>
        <v>0</v>
      </c>
      <c r="AV867" s="131">
        <f t="shared" si="4618"/>
        <v>0</v>
      </c>
      <c r="AW867" s="131">
        <f t="shared" si="4619"/>
        <v>0</v>
      </c>
      <c r="AX867" s="131">
        <f t="shared" si="4620"/>
        <v>48</v>
      </c>
      <c r="AY867" s="131">
        <f t="shared" si="4621"/>
        <v>1</v>
      </c>
      <c r="AZ867" s="131">
        <f t="shared" si="4622"/>
        <v>28</v>
      </c>
      <c r="BA867" s="248">
        <f t="shared" si="4623"/>
        <v>77</v>
      </c>
      <c r="BB867" s="131">
        <f t="shared" si="4624"/>
        <v>0</v>
      </c>
      <c r="BC867" s="131">
        <f t="shared" si="4625"/>
        <v>0</v>
      </c>
      <c r="BD867" s="131">
        <f t="shared" si="4626"/>
        <v>0</v>
      </c>
      <c r="BE867" s="131">
        <f t="shared" si="4627"/>
        <v>0</v>
      </c>
      <c r="BF867" s="131">
        <f t="shared" si="4628"/>
        <v>0</v>
      </c>
      <c r="BG867" s="131">
        <f t="shared" si="4629"/>
        <v>0</v>
      </c>
      <c r="BH867" s="131">
        <f t="shared" si="4630"/>
        <v>4</v>
      </c>
      <c r="BI867" s="131">
        <f t="shared" si="4631"/>
        <v>0</v>
      </c>
      <c r="BJ867" s="131">
        <f t="shared" si="4632"/>
        <v>0</v>
      </c>
      <c r="BK867" s="131">
        <f t="shared" si="4633"/>
        <v>0</v>
      </c>
      <c r="BL867" s="131">
        <f t="shared" si="4634"/>
        <v>0</v>
      </c>
      <c r="BM867" s="408"/>
      <c r="BN867" s="48">
        <f t="shared" si="4635"/>
        <v>0</v>
      </c>
      <c r="BO867" s="48">
        <f t="shared" si="4636"/>
        <v>0</v>
      </c>
      <c r="BP867" s="48">
        <f t="shared" si="4637"/>
        <v>0</v>
      </c>
      <c r="BQ867" s="48">
        <f t="shared" si="4638"/>
        <v>0</v>
      </c>
      <c r="BR867" s="48">
        <f t="shared" si="4639"/>
        <v>0</v>
      </c>
      <c r="BS867" s="48">
        <f t="shared" si="4640"/>
        <v>0</v>
      </c>
      <c r="BT867" s="48">
        <f t="shared" si="4641"/>
        <v>0</v>
      </c>
      <c r="BU867" s="48">
        <f t="shared" si="4642"/>
        <v>0</v>
      </c>
      <c r="BV867" s="48">
        <f t="shared" si="4643"/>
        <v>0</v>
      </c>
      <c r="BW867" s="48">
        <f t="shared" si="4644"/>
        <v>0</v>
      </c>
      <c r="BX867" s="48">
        <f t="shared" si="4645"/>
        <v>0</v>
      </c>
      <c r="BY867" s="48">
        <f t="shared" si="4646"/>
        <v>0</v>
      </c>
      <c r="BZ867" s="48">
        <f t="shared" si="4647"/>
        <v>77</v>
      </c>
      <c r="CA867" s="48">
        <f t="shared" si="4648"/>
        <v>77</v>
      </c>
      <c r="CB867" s="48">
        <f t="shared" si="4649"/>
        <v>77</v>
      </c>
      <c r="CC867" s="48">
        <f t="shared" si="4650"/>
        <v>77</v>
      </c>
      <c r="CD867" s="48">
        <f t="shared" si="4651"/>
        <v>77</v>
      </c>
      <c r="CE867" s="48">
        <f t="shared" si="4652"/>
        <v>77</v>
      </c>
      <c r="CF867" s="48">
        <f t="shared" si="4653"/>
        <v>0</v>
      </c>
      <c r="CG867" s="48">
        <f t="shared" si="4654"/>
        <v>0</v>
      </c>
      <c r="CH867" s="48">
        <f t="shared" si="4655"/>
        <v>0</v>
      </c>
      <c r="CI867" s="48">
        <f t="shared" si="4656"/>
        <v>4</v>
      </c>
      <c r="CJ867" s="48">
        <f t="shared" si="4657"/>
        <v>4</v>
      </c>
      <c r="CK867" s="48">
        <f t="shared" si="4658"/>
        <v>4</v>
      </c>
      <c r="CL867" s="48">
        <f t="shared" si="4659"/>
        <v>0</v>
      </c>
      <c r="CM867" s="48">
        <f t="shared" si="4660"/>
        <v>0</v>
      </c>
      <c r="CN867" s="48">
        <f t="shared" si="4661"/>
        <v>0</v>
      </c>
      <c r="CO867" s="406"/>
      <c r="CP867" s="248">
        <f t="shared" si="4662"/>
        <v>0</v>
      </c>
      <c r="CQ867" s="248">
        <f t="shared" si="4663"/>
        <v>0</v>
      </c>
      <c r="CR867" s="248">
        <f t="shared" si="4664"/>
        <v>0</v>
      </c>
      <c r="CS867" s="248">
        <f t="shared" si="4665"/>
        <v>0</v>
      </c>
      <c r="CT867" s="248">
        <f t="shared" si="4666"/>
        <v>0</v>
      </c>
      <c r="CU867" s="248">
        <f t="shared" si="4667"/>
        <v>0</v>
      </c>
      <c r="CV867" s="248">
        <f t="shared" si="4668"/>
        <v>0</v>
      </c>
      <c r="CW867" s="248">
        <f t="shared" si="4669"/>
        <v>0</v>
      </c>
      <c r="CX867" s="248">
        <f t="shared" si="4670"/>
        <v>0</v>
      </c>
      <c r="CY867" s="248">
        <f t="shared" si="4671"/>
        <v>0</v>
      </c>
      <c r="CZ867" s="248">
        <f t="shared" si="4672"/>
        <v>0</v>
      </c>
      <c r="DA867" s="248">
        <f t="shared" si="4673"/>
        <v>0</v>
      </c>
      <c r="DB867" s="505">
        <v>95</v>
      </c>
      <c r="DC867" s="505">
        <v>97</v>
      </c>
      <c r="DD867" s="505">
        <v>187</v>
      </c>
      <c r="DE867" s="505">
        <v>195</v>
      </c>
      <c r="DF867" s="505">
        <v>197</v>
      </c>
      <c r="DG867" s="248">
        <f t="shared" si="4674"/>
        <v>77</v>
      </c>
      <c r="DH867" s="248">
        <f t="shared" si="4604"/>
        <v>77</v>
      </c>
      <c r="DI867" s="248">
        <f t="shared" si="4604"/>
        <v>77</v>
      </c>
      <c r="DJ867" s="248">
        <f t="shared" si="4604"/>
        <v>77</v>
      </c>
      <c r="DK867" s="248">
        <f t="shared" si="4604"/>
        <v>77</v>
      </c>
      <c r="DL867" s="248">
        <f t="shared" si="4604"/>
        <v>81</v>
      </c>
      <c r="DM867" s="248">
        <f t="shared" si="4604"/>
        <v>81</v>
      </c>
      <c r="DN867" s="248">
        <f t="shared" si="4675"/>
        <v>0</v>
      </c>
      <c r="DO867" s="248">
        <f t="shared" si="4675"/>
        <v>0</v>
      </c>
      <c r="DP867" s="248"/>
      <c r="DQ867" s="248"/>
      <c r="DR867" s="248"/>
      <c r="DS867" s="248"/>
      <c r="DT867" s="248"/>
      <c r="DU867" s="248"/>
      <c r="DV867" s="248"/>
      <c r="DW867" s="248"/>
      <c r="DX867" s="248"/>
      <c r="DY867" s="248"/>
      <c r="DZ867" s="381"/>
      <c r="EA867" s="381"/>
      <c r="EB867" s="381"/>
      <c r="ED867" s="429"/>
      <c r="EE867" s="242"/>
      <c r="EF867" s="242"/>
      <c r="EG867" s="242"/>
      <c r="EH867" s="237">
        <f t="shared" si="4605"/>
        <v>0</v>
      </c>
      <c r="EI867" s="237">
        <f t="shared" si="4606"/>
        <v>0</v>
      </c>
      <c r="EJ867" s="237">
        <f t="shared" si="4607"/>
        <v>0</v>
      </c>
      <c r="EK867" s="217">
        <f t="shared" si="4676"/>
        <v>0.91666666666666663</v>
      </c>
      <c r="EL867" s="14"/>
      <c r="EM867" s="14"/>
      <c r="EN867" s="14"/>
      <c r="EO867" s="46"/>
      <c r="EP867" s="46"/>
      <c r="EQ867" s="381"/>
      <c r="ER867" s="381"/>
      <c r="ES867" s="381"/>
    </row>
    <row r="868" spans="1:150" ht="15.75">
      <c r="A868" s="480" t="s">
        <v>23</v>
      </c>
      <c r="B868" s="481" t="s">
        <v>213</v>
      </c>
      <c r="C868" s="3" t="s">
        <v>54</v>
      </c>
      <c r="E868" s="3" t="s">
        <v>16</v>
      </c>
      <c r="G868" s="245" t="s">
        <v>91</v>
      </c>
      <c r="I868" s="237"/>
      <c r="J868" s="248"/>
      <c r="K868" s="376"/>
      <c r="L868" s="376"/>
      <c r="M868" s="247"/>
      <c r="N868" s="376"/>
      <c r="O868" s="376"/>
      <c r="P868" s="376"/>
      <c r="Q868" s="376"/>
      <c r="R868" s="376"/>
      <c r="S868" s="376"/>
      <c r="T868" s="376"/>
      <c r="U868" s="376"/>
      <c r="V868" s="26">
        <v>0</v>
      </c>
      <c r="W868" s="26">
        <v>5</v>
      </c>
      <c r="X868" s="376">
        <v>5</v>
      </c>
      <c r="Y868" s="26">
        <v>5</v>
      </c>
      <c r="Z868" s="376">
        <v>5</v>
      </c>
      <c r="AA868" s="263">
        <v>5</v>
      </c>
      <c r="AB868" s="263">
        <v>5</v>
      </c>
      <c r="AC868" s="263">
        <v>5</v>
      </c>
      <c r="AD868" s="263">
        <v>5</v>
      </c>
      <c r="AE868" s="263">
        <v>5</v>
      </c>
      <c r="AF868" s="263">
        <v>5</v>
      </c>
      <c r="AG868" s="263">
        <v>5</v>
      </c>
      <c r="AH868" s="263">
        <v>6</v>
      </c>
      <c r="AI868" s="263">
        <v>6</v>
      </c>
      <c r="AJ868" s="263"/>
      <c r="AK868" s="408"/>
      <c r="AL868" s="248">
        <f t="shared" si="4608"/>
        <v>0</v>
      </c>
      <c r="AM868" s="248">
        <f t="shared" si="4609"/>
        <v>0</v>
      </c>
      <c r="AN868" s="248">
        <f t="shared" si="4610"/>
        <v>0</v>
      </c>
      <c r="AO868" s="248">
        <f t="shared" si="4611"/>
        <v>0</v>
      </c>
      <c r="AP868" s="129">
        <f t="shared" si="4612"/>
        <v>0</v>
      </c>
      <c r="AQ868" s="131">
        <f t="shared" si="4613"/>
        <v>0</v>
      </c>
      <c r="AR868" s="131">
        <f t="shared" si="4614"/>
        <v>0</v>
      </c>
      <c r="AS868" s="131">
        <f t="shared" si="4615"/>
        <v>0</v>
      </c>
      <c r="AT868" s="131">
        <f t="shared" si="4616"/>
        <v>0</v>
      </c>
      <c r="AU868" s="131">
        <f t="shared" si="4617"/>
        <v>0</v>
      </c>
      <c r="AV868" s="131">
        <f t="shared" si="4618"/>
        <v>0</v>
      </c>
      <c r="AW868" s="131">
        <f t="shared" si="4619"/>
        <v>0</v>
      </c>
      <c r="AX868" s="131">
        <f t="shared" si="4620"/>
        <v>0</v>
      </c>
      <c r="AY868" s="131">
        <f t="shared" si="4621"/>
        <v>5</v>
      </c>
      <c r="AZ868" s="131">
        <f t="shared" si="4622"/>
        <v>0</v>
      </c>
      <c r="BA868" s="248">
        <f t="shared" si="4623"/>
        <v>5</v>
      </c>
      <c r="BB868" s="131">
        <f t="shared" si="4624"/>
        <v>0</v>
      </c>
      <c r="BC868" s="131">
        <f t="shared" si="4625"/>
        <v>0</v>
      </c>
      <c r="BD868" s="131">
        <f t="shared" si="4626"/>
        <v>0</v>
      </c>
      <c r="BE868" s="131">
        <f t="shared" si="4627"/>
        <v>0</v>
      </c>
      <c r="BF868" s="131">
        <f t="shared" si="4628"/>
        <v>0</v>
      </c>
      <c r="BG868" s="131">
        <f t="shared" si="4629"/>
        <v>0</v>
      </c>
      <c r="BH868" s="131">
        <f t="shared" si="4630"/>
        <v>0</v>
      </c>
      <c r="BI868" s="131">
        <f t="shared" si="4631"/>
        <v>0</v>
      </c>
      <c r="BJ868" s="131">
        <f>AH868</f>
        <v>6</v>
      </c>
      <c r="BK868" s="131">
        <f t="shared" si="4633"/>
        <v>0</v>
      </c>
      <c r="BL868" s="131">
        <f t="shared" si="4634"/>
        <v>0</v>
      </c>
      <c r="BM868" s="408"/>
      <c r="BN868" s="48">
        <f t="shared" si="4635"/>
        <v>0</v>
      </c>
      <c r="BO868" s="48">
        <f t="shared" si="4636"/>
        <v>0</v>
      </c>
      <c r="BP868" s="48">
        <f t="shared" si="4637"/>
        <v>0</v>
      </c>
      <c r="BQ868" s="48">
        <f t="shared" si="4638"/>
        <v>0</v>
      </c>
      <c r="BR868" s="48">
        <f t="shared" si="4639"/>
        <v>0</v>
      </c>
      <c r="BS868" s="48">
        <f t="shared" si="4640"/>
        <v>0</v>
      </c>
      <c r="BT868" s="48">
        <f t="shared" si="4641"/>
        <v>0</v>
      </c>
      <c r="BU868" s="48">
        <f t="shared" si="4642"/>
        <v>0</v>
      </c>
      <c r="BV868" s="48">
        <f t="shared" si="4643"/>
        <v>0</v>
      </c>
      <c r="BW868" s="48">
        <f t="shared" si="4644"/>
        <v>0</v>
      </c>
      <c r="BX868" s="48">
        <f t="shared" si="4645"/>
        <v>0</v>
      </c>
      <c r="BY868" s="48">
        <f t="shared" si="4646"/>
        <v>0</v>
      </c>
      <c r="BZ868" s="48">
        <f t="shared" si="4647"/>
        <v>5</v>
      </c>
      <c r="CA868" s="48">
        <f t="shared" si="4648"/>
        <v>5</v>
      </c>
      <c r="CB868" s="48">
        <f t="shared" si="4649"/>
        <v>5</v>
      </c>
      <c r="CC868" s="48">
        <f t="shared" si="4650"/>
        <v>5</v>
      </c>
      <c r="CD868" s="48">
        <f t="shared" si="4651"/>
        <v>5</v>
      </c>
      <c r="CE868" s="48">
        <f t="shared" si="4652"/>
        <v>5</v>
      </c>
      <c r="CF868" s="48">
        <f t="shared" si="4653"/>
        <v>0</v>
      </c>
      <c r="CG868" s="48">
        <f t="shared" si="4654"/>
        <v>0</v>
      </c>
      <c r="CH868" s="48">
        <f t="shared" si="4655"/>
        <v>0</v>
      </c>
      <c r="CI868" s="48">
        <f t="shared" si="4656"/>
        <v>0</v>
      </c>
      <c r="CJ868" s="48">
        <f t="shared" si="4657"/>
        <v>0</v>
      </c>
      <c r="CK868" s="48">
        <f t="shared" si="4658"/>
        <v>0</v>
      </c>
      <c r="CL868" s="48">
        <f t="shared" si="4659"/>
        <v>6</v>
      </c>
      <c r="CM868" s="48">
        <f t="shared" si="4660"/>
        <v>6</v>
      </c>
      <c r="CN868" s="48">
        <f t="shared" si="4661"/>
        <v>6</v>
      </c>
      <c r="CO868" s="406"/>
      <c r="CP868" s="248">
        <f t="shared" si="4662"/>
        <v>0</v>
      </c>
      <c r="CQ868" s="248">
        <f t="shared" si="4663"/>
        <v>0</v>
      </c>
      <c r="CR868" s="248">
        <f t="shared" si="4664"/>
        <v>0</v>
      </c>
      <c r="CS868" s="248">
        <f t="shared" si="4665"/>
        <v>0</v>
      </c>
      <c r="CT868" s="248">
        <f t="shared" si="4666"/>
        <v>0</v>
      </c>
      <c r="CU868" s="248">
        <f t="shared" si="4667"/>
        <v>0</v>
      </c>
      <c r="CV868" s="248">
        <f t="shared" si="4668"/>
        <v>0</v>
      </c>
      <c r="CW868" s="248">
        <f t="shared" si="4669"/>
        <v>0</v>
      </c>
      <c r="CX868" s="248">
        <f t="shared" si="4670"/>
        <v>0</v>
      </c>
      <c r="CY868" s="248">
        <f t="shared" si="4671"/>
        <v>0</v>
      </c>
      <c r="CZ868" s="248">
        <f t="shared" si="4672"/>
        <v>0</v>
      </c>
      <c r="DA868" s="248">
        <f t="shared" si="4673"/>
        <v>0</v>
      </c>
      <c r="DB868" s="505">
        <v>1</v>
      </c>
      <c r="DC868" s="505">
        <v>7</v>
      </c>
      <c r="DD868" s="505">
        <v>8</v>
      </c>
      <c r="DE868" s="505">
        <v>10</v>
      </c>
      <c r="DF868" s="505">
        <v>10</v>
      </c>
      <c r="DG868" s="248">
        <f t="shared" si="4674"/>
        <v>5</v>
      </c>
      <c r="DH868" s="248">
        <f t="shared" si="4604"/>
        <v>5</v>
      </c>
      <c r="DI868" s="248">
        <f t="shared" si="4604"/>
        <v>5</v>
      </c>
      <c r="DJ868" s="248">
        <f t="shared" si="4604"/>
        <v>5</v>
      </c>
      <c r="DK868" s="248">
        <f t="shared" si="4604"/>
        <v>5</v>
      </c>
      <c r="DL868" s="248">
        <f t="shared" si="4604"/>
        <v>5</v>
      </c>
      <c r="DM868" s="248">
        <f t="shared" si="4604"/>
        <v>5</v>
      </c>
      <c r="DN868" s="248">
        <f t="shared" si="4675"/>
        <v>6</v>
      </c>
      <c r="DO868" s="248">
        <f t="shared" si="4675"/>
        <v>6</v>
      </c>
      <c r="DP868" s="248"/>
      <c r="DQ868" s="248"/>
      <c r="DR868" s="248"/>
      <c r="DS868" s="248"/>
      <c r="DT868" s="248"/>
      <c r="DU868" s="248"/>
      <c r="DV868" s="248"/>
      <c r="DW868" s="248"/>
      <c r="DX868" s="248"/>
      <c r="DY868" s="248"/>
      <c r="DZ868" s="381"/>
      <c r="EA868" s="381"/>
      <c r="EB868" s="381"/>
      <c r="ED868" s="429"/>
      <c r="EE868" s="242"/>
      <c r="EF868" s="242"/>
      <c r="EG868" s="242"/>
      <c r="EH868" s="237">
        <f t="shared" si="4605"/>
        <v>0</v>
      </c>
      <c r="EI868" s="237">
        <f t="shared" si="4606"/>
        <v>6</v>
      </c>
      <c r="EJ868" s="237">
        <f t="shared" si="4607"/>
        <v>6</v>
      </c>
      <c r="EK868" s="217">
        <f t="shared" si="4676"/>
        <v>0.91666666666666663</v>
      </c>
      <c r="EL868" s="14"/>
      <c r="EM868" s="14"/>
      <c r="EN868" s="14"/>
      <c r="EO868" s="46"/>
      <c r="EP868" s="46"/>
      <c r="EQ868" s="381"/>
      <c r="ER868" s="381"/>
      <c r="ES868" s="381"/>
    </row>
    <row r="869" spans="1:150" ht="15.75">
      <c r="A869" s="480" t="s">
        <v>23</v>
      </c>
      <c r="B869" s="481" t="s">
        <v>214</v>
      </c>
      <c r="C869" s="3" t="s">
        <v>54</v>
      </c>
      <c r="E869" s="3" t="s">
        <v>16</v>
      </c>
      <c r="G869" s="245" t="s">
        <v>91</v>
      </c>
      <c r="I869" s="237"/>
      <c r="J869" s="248"/>
      <c r="K869" s="376"/>
      <c r="L869" s="376"/>
      <c r="M869" s="247"/>
      <c r="N869" s="376"/>
      <c r="O869" s="376"/>
      <c r="P869" s="376"/>
      <c r="Q869" s="376"/>
      <c r="R869" s="376"/>
      <c r="S869" s="376"/>
      <c r="T869" s="376"/>
      <c r="U869" s="376"/>
      <c r="V869" s="26">
        <v>0</v>
      </c>
      <c r="W869" s="26">
        <v>0</v>
      </c>
      <c r="X869" s="376">
        <v>0</v>
      </c>
      <c r="Y869" s="26">
        <v>0</v>
      </c>
      <c r="Z869" s="376">
        <v>6</v>
      </c>
      <c r="AA869" s="263">
        <v>6</v>
      </c>
      <c r="AB869" s="263">
        <v>6</v>
      </c>
      <c r="AC869" s="263">
        <v>6</v>
      </c>
      <c r="AD869" s="263">
        <v>24</v>
      </c>
      <c r="AE869" s="263">
        <v>24</v>
      </c>
      <c r="AF869" s="263">
        <v>24</v>
      </c>
      <c r="AG869" s="263">
        <v>24</v>
      </c>
      <c r="AH869" s="263">
        <v>0</v>
      </c>
      <c r="AI869" s="263">
        <v>0</v>
      </c>
      <c r="AJ869" s="263"/>
      <c r="AK869" s="408"/>
      <c r="AL869" s="248">
        <f t="shared" si="4608"/>
        <v>0</v>
      </c>
      <c r="AM869" s="248">
        <f t="shared" si="4609"/>
        <v>0</v>
      </c>
      <c r="AN869" s="248">
        <f t="shared" si="4610"/>
        <v>0</v>
      </c>
      <c r="AO869" s="248">
        <f t="shared" si="4611"/>
        <v>0</v>
      </c>
      <c r="AP869" s="129">
        <f t="shared" si="4612"/>
        <v>0</v>
      </c>
      <c r="AQ869" s="131">
        <f t="shared" si="4613"/>
        <v>0</v>
      </c>
      <c r="AR869" s="131">
        <f t="shared" si="4614"/>
        <v>0</v>
      </c>
      <c r="AS869" s="131">
        <f t="shared" si="4615"/>
        <v>0</v>
      </c>
      <c r="AT869" s="131">
        <f t="shared" si="4616"/>
        <v>0</v>
      </c>
      <c r="AU869" s="131">
        <f t="shared" si="4617"/>
        <v>0</v>
      </c>
      <c r="AV869" s="131">
        <f t="shared" si="4618"/>
        <v>0</v>
      </c>
      <c r="AW869" s="131">
        <f t="shared" si="4619"/>
        <v>0</v>
      </c>
      <c r="AX869" s="131">
        <f t="shared" si="4620"/>
        <v>0</v>
      </c>
      <c r="AY869" s="131">
        <f t="shared" si="4621"/>
        <v>0</v>
      </c>
      <c r="AZ869" s="131">
        <f t="shared" si="4622"/>
        <v>0</v>
      </c>
      <c r="BA869" s="248">
        <f t="shared" si="4623"/>
        <v>0</v>
      </c>
      <c r="BB869" s="131">
        <f t="shared" si="4624"/>
        <v>6</v>
      </c>
      <c r="BC869" s="131">
        <f t="shared" si="4625"/>
        <v>0</v>
      </c>
      <c r="BD869" s="131">
        <f t="shared" si="4626"/>
        <v>0</v>
      </c>
      <c r="BE869" s="131">
        <f t="shared" si="4627"/>
        <v>0</v>
      </c>
      <c r="BF869" s="131">
        <f t="shared" si="4628"/>
        <v>18</v>
      </c>
      <c r="BG869" s="131">
        <f t="shared" si="4629"/>
        <v>0</v>
      </c>
      <c r="BH869" s="131">
        <f t="shared" si="4630"/>
        <v>0</v>
      </c>
      <c r="BI869" s="131">
        <f t="shared" si="4631"/>
        <v>0</v>
      </c>
      <c r="BJ869" s="131">
        <f t="shared" si="4632"/>
        <v>0</v>
      </c>
      <c r="BK869" s="131">
        <f t="shared" si="4633"/>
        <v>0</v>
      </c>
      <c r="BL869" s="131">
        <f t="shared" si="4634"/>
        <v>0</v>
      </c>
      <c r="BM869" s="408"/>
      <c r="BN869" s="48">
        <f t="shared" si="4635"/>
        <v>0</v>
      </c>
      <c r="BO869" s="48">
        <f t="shared" si="4636"/>
        <v>0</v>
      </c>
      <c r="BP869" s="48">
        <f t="shared" si="4637"/>
        <v>0</v>
      </c>
      <c r="BQ869" s="48">
        <f t="shared" si="4638"/>
        <v>0</v>
      </c>
      <c r="BR869" s="48">
        <f t="shared" si="4639"/>
        <v>0</v>
      </c>
      <c r="BS869" s="48">
        <f t="shared" si="4640"/>
        <v>0</v>
      </c>
      <c r="BT869" s="48">
        <f t="shared" si="4641"/>
        <v>0</v>
      </c>
      <c r="BU869" s="48">
        <f t="shared" si="4642"/>
        <v>0</v>
      </c>
      <c r="BV869" s="48">
        <f t="shared" si="4643"/>
        <v>0</v>
      </c>
      <c r="BW869" s="48">
        <f t="shared" si="4644"/>
        <v>0</v>
      </c>
      <c r="BX869" s="48">
        <f t="shared" si="4645"/>
        <v>0</v>
      </c>
      <c r="BY869" s="48">
        <f t="shared" si="4646"/>
        <v>0</v>
      </c>
      <c r="BZ869" s="48">
        <f t="shared" si="4647"/>
        <v>0</v>
      </c>
      <c r="CA869" s="48">
        <f t="shared" si="4648"/>
        <v>0</v>
      </c>
      <c r="CB869" s="48">
        <f t="shared" si="4649"/>
        <v>0</v>
      </c>
      <c r="CC869" s="48">
        <f t="shared" si="4650"/>
        <v>6</v>
      </c>
      <c r="CD869" s="48">
        <f t="shared" si="4651"/>
        <v>6</v>
      </c>
      <c r="CE869" s="48">
        <f t="shared" si="4652"/>
        <v>6</v>
      </c>
      <c r="CF869" s="48">
        <f t="shared" si="4653"/>
        <v>18</v>
      </c>
      <c r="CG869" s="48">
        <f t="shared" si="4654"/>
        <v>18</v>
      </c>
      <c r="CH869" s="48">
        <f t="shared" si="4655"/>
        <v>18</v>
      </c>
      <c r="CI869" s="48">
        <f t="shared" si="4656"/>
        <v>0</v>
      </c>
      <c r="CJ869" s="48">
        <f t="shared" si="4657"/>
        <v>0</v>
      </c>
      <c r="CK869" s="48">
        <f t="shared" si="4658"/>
        <v>0</v>
      </c>
      <c r="CL869" s="48">
        <f t="shared" si="4659"/>
        <v>0</v>
      </c>
      <c r="CM869" s="48">
        <f t="shared" si="4660"/>
        <v>0</v>
      </c>
      <c r="CN869" s="48">
        <f t="shared" si="4661"/>
        <v>0</v>
      </c>
      <c r="CO869" s="406"/>
      <c r="CP869" s="248">
        <f t="shared" si="4662"/>
        <v>0</v>
      </c>
      <c r="CQ869" s="248">
        <f t="shared" si="4663"/>
        <v>0</v>
      </c>
      <c r="CR869" s="248">
        <f t="shared" si="4664"/>
        <v>0</v>
      </c>
      <c r="CS869" s="248">
        <f t="shared" si="4665"/>
        <v>0</v>
      </c>
      <c r="CT869" s="248">
        <f t="shared" si="4666"/>
        <v>0</v>
      </c>
      <c r="CU869" s="248">
        <f t="shared" si="4667"/>
        <v>0</v>
      </c>
      <c r="CV869" s="248">
        <f t="shared" si="4668"/>
        <v>0</v>
      </c>
      <c r="CW869" s="248">
        <f t="shared" si="4669"/>
        <v>0</v>
      </c>
      <c r="CX869" s="248">
        <f t="shared" si="4670"/>
        <v>0</v>
      </c>
      <c r="CY869" s="248">
        <f t="shared" si="4671"/>
        <v>0</v>
      </c>
      <c r="CZ869" s="248">
        <f t="shared" si="4672"/>
        <v>0</v>
      </c>
      <c r="DA869" s="248">
        <f t="shared" si="4673"/>
        <v>0</v>
      </c>
      <c r="DB869" s="505">
        <v>0</v>
      </c>
      <c r="DC869" s="505">
        <v>1</v>
      </c>
      <c r="DD869" s="505">
        <v>1</v>
      </c>
      <c r="DE869" s="505">
        <v>7</v>
      </c>
      <c r="DF869" s="505">
        <v>19</v>
      </c>
      <c r="DG869" s="248">
        <f t="shared" si="4674"/>
        <v>6</v>
      </c>
      <c r="DH869" s="248">
        <f t="shared" si="4604"/>
        <v>6</v>
      </c>
      <c r="DI869" s="248">
        <f t="shared" si="4604"/>
        <v>6</v>
      </c>
      <c r="DJ869" s="248">
        <f t="shared" si="4604"/>
        <v>24</v>
      </c>
      <c r="DK869" s="248">
        <f t="shared" si="4604"/>
        <v>24</v>
      </c>
      <c r="DL869" s="248">
        <f t="shared" si="4604"/>
        <v>24</v>
      </c>
      <c r="DM869" s="248">
        <f t="shared" si="4604"/>
        <v>24</v>
      </c>
      <c r="DN869" s="248">
        <f t="shared" si="4675"/>
        <v>0</v>
      </c>
      <c r="DO869" s="248">
        <f t="shared" si="4675"/>
        <v>0</v>
      </c>
      <c r="DP869" s="248"/>
      <c r="DQ869" s="248"/>
      <c r="DR869" s="248"/>
      <c r="DS869" s="248"/>
      <c r="DT869" s="248"/>
      <c r="DU869" s="248"/>
      <c r="DV869" s="248"/>
      <c r="DW869" s="248"/>
      <c r="DX869" s="248"/>
      <c r="DY869" s="248"/>
      <c r="DZ869" s="381"/>
      <c r="EA869" s="381"/>
      <c r="EB869" s="381"/>
      <c r="ED869" s="429"/>
      <c r="EE869" s="242"/>
      <c r="EF869" s="242"/>
      <c r="EG869" s="242"/>
      <c r="EH869" s="237">
        <f t="shared" si="4605"/>
        <v>0</v>
      </c>
      <c r="EI869" s="237">
        <f t="shared" si="4606"/>
        <v>0</v>
      </c>
      <c r="EJ869" s="237">
        <f t="shared" si="4607"/>
        <v>0</v>
      </c>
      <c r="EK869" s="217">
        <f t="shared" si="4676"/>
        <v>0.91666666666666663</v>
      </c>
      <c r="EL869" s="14"/>
      <c r="EM869" s="14"/>
      <c r="EN869" s="14"/>
      <c r="EO869" s="46"/>
      <c r="EP869" s="46"/>
      <c r="EQ869" s="381"/>
      <c r="ER869" s="381"/>
      <c r="ES869" s="381"/>
    </row>
    <row r="870" spans="1:150" ht="15.75">
      <c r="A870" s="480" t="s">
        <v>23</v>
      </c>
      <c r="B870" s="481" t="s">
        <v>215</v>
      </c>
      <c r="C870" s="3" t="s">
        <v>54</v>
      </c>
      <c r="E870" s="3" t="s">
        <v>16</v>
      </c>
      <c r="G870" s="245" t="s">
        <v>91</v>
      </c>
      <c r="I870" s="237"/>
      <c r="J870" s="248"/>
      <c r="K870" s="376"/>
      <c r="L870" s="376"/>
      <c r="M870" s="247"/>
      <c r="N870" s="376"/>
      <c r="O870" s="376"/>
      <c r="P870" s="376"/>
      <c r="Q870" s="376"/>
      <c r="R870" s="376"/>
      <c r="S870" s="376"/>
      <c r="T870" s="376"/>
      <c r="U870" s="376"/>
      <c r="V870" s="26">
        <v>0</v>
      </c>
      <c r="W870" s="26">
        <v>0</v>
      </c>
      <c r="X870" s="376">
        <v>0</v>
      </c>
      <c r="Y870" s="26">
        <v>0</v>
      </c>
      <c r="Z870" s="376">
        <v>0</v>
      </c>
      <c r="AA870" s="263">
        <v>0</v>
      </c>
      <c r="AB870" s="263">
        <v>0</v>
      </c>
      <c r="AC870" s="263">
        <v>2</v>
      </c>
      <c r="AD870" s="263">
        <v>2</v>
      </c>
      <c r="AE870" s="263">
        <v>2</v>
      </c>
      <c r="AF870" s="263">
        <v>2</v>
      </c>
      <c r="AG870" s="263">
        <v>2</v>
      </c>
      <c r="AH870" s="263">
        <v>4</v>
      </c>
      <c r="AI870" s="263">
        <v>4</v>
      </c>
      <c r="AJ870" s="263"/>
      <c r="AK870" s="408"/>
      <c r="AL870" s="248">
        <f t="shared" si="4608"/>
        <v>0</v>
      </c>
      <c r="AM870" s="248">
        <f t="shared" si="4609"/>
        <v>0</v>
      </c>
      <c r="AN870" s="248">
        <f t="shared" si="4610"/>
        <v>0</v>
      </c>
      <c r="AO870" s="248">
        <f t="shared" si="4611"/>
        <v>0</v>
      </c>
      <c r="AP870" s="129">
        <f t="shared" si="4612"/>
        <v>0</v>
      </c>
      <c r="AQ870" s="131">
        <f t="shared" si="4613"/>
        <v>0</v>
      </c>
      <c r="AR870" s="131">
        <f t="shared" si="4614"/>
        <v>0</v>
      </c>
      <c r="AS870" s="131">
        <f t="shared" si="4615"/>
        <v>0</v>
      </c>
      <c r="AT870" s="131">
        <f t="shared" si="4616"/>
        <v>0</v>
      </c>
      <c r="AU870" s="131">
        <f t="shared" si="4617"/>
        <v>0</v>
      </c>
      <c r="AV870" s="131">
        <f t="shared" si="4618"/>
        <v>0</v>
      </c>
      <c r="AW870" s="131">
        <f t="shared" si="4619"/>
        <v>0</v>
      </c>
      <c r="AX870" s="131">
        <f t="shared" si="4620"/>
        <v>0</v>
      </c>
      <c r="AY870" s="131">
        <f t="shared" si="4621"/>
        <v>0</v>
      </c>
      <c r="AZ870" s="131">
        <f t="shared" si="4622"/>
        <v>0</v>
      </c>
      <c r="BA870" s="248">
        <f t="shared" si="4623"/>
        <v>0</v>
      </c>
      <c r="BB870" s="131">
        <f t="shared" si="4624"/>
        <v>0</v>
      </c>
      <c r="BC870" s="131">
        <f t="shared" si="4625"/>
        <v>0</v>
      </c>
      <c r="BD870" s="131">
        <f t="shared" si="4626"/>
        <v>0</v>
      </c>
      <c r="BE870" s="131">
        <f t="shared" si="4627"/>
        <v>2</v>
      </c>
      <c r="BF870" s="131">
        <f t="shared" si="4628"/>
        <v>0</v>
      </c>
      <c r="BG870" s="131">
        <f t="shared" si="4629"/>
        <v>0</v>
      </c>
      <c r="BH870" s="131">
        <f t="shared" si="4630"/>
        <v>0</v>
      </c>
      <c r="BI870" s="131">
        <f t="shared" si="4631"/>
        <v>0</v>
      </c>
      <c r="BJ870" s="131">
        <f t="shared" si="4632"/>
        <v>4</v>
      </c>
      <c r="BK870" s="131">
        <f t="shared" si="4633"/>
        <v>0</v>
      </c>
      <c r="BL870" s="131">
        <f t="shared" si="4634"/>
        <v>0</v>
      </c>
      <c r="BM870" s="408"/>
      <c r="BN870" s="48">
        <f t="shared" si="4635"/>
        <v>0</v>
      </c>
      <c r="BO870" s="48">
        <f t="shared" si="4636"/>
        <v>0</v>
      </c>
      <c r="BP870" s="48">
        <f t="shared" si="4637"/>
        <v>0</v>
      </c>
      <c r="BQ870" s="48">
        <f t="shared" si="4638"/>
        <v>0</v>
      </c>
      <c r="BR870" s="48">
        <f t="shared" si="4639"/>
        <v>0</v>
      </c>
      <c r="BS870" s="48">
        <f t="shared" si="4640"/>
        <v>0</v>
      </c>
      <c r="BT870" s="48">
        <f t="shared" si="4641"/>
        <v>0</v>
      </c>
      <c r="BU870" s="48">
        <f t="shared" si="4642"/>
        <v>0</v>
      </c>
      <c r="BV870" s="48">
        <f t="shared" si="4643"/>
        <v>0</v>
      </c>
      <c r="BW870" s="48">
        <f t="shared" si="4644"/>
        <v>0</v>
      </c>
      <c r="BX870" s="48">
        <f t="shared" si="4645"/>
        <v>0</v>
      </c>
      <c r="BY870" s="48">
        <f t="shared" si="4646"/>
        <v>0</v>
      </c>
      <c r="BZ870" s="48">
        <f t="shared" si="4647"/>
        <v>0</v>
      </c>
      <c r="CA870" s="48">
        <f t="shared" si="4648"/>
        <v>0</v>
      </c>
      <c r="CB870" s="48">
        <f t="shared" si="4649"/>
        <v>0</v>
      </c>
      <c r="CC870" s="48">
        <f t="shared" si="4650"/>
        <v>0</v>
      </c>
      <c r="CD870" s="48">
        <f t="shared" si="4651"/>
        <v>0</v>
      </c>
      <c r="CE870" s="48">
        <f t="shared" si="4652"/>
        <v>0</v>
      </c>
      <c r="CF870" s="48">
        <f t="shared" si="4653"/>
        <v>2</v>
      </c>
      <c r="CG870" s="48">
        <f t="shared" si="4654"/>
        <v>2</v>
      </c>
      <c r="CH870" s="48">
        <f t="shared" si="4655"/>
        <v>2</v>
      </c>
      <c r="CI870" s="48">
        <f t="shared" si="4656"/>
        <v>0</v>
      </c>
      <c r="CJ870" s="48">
        <f t="shared" si="4657"/>
        <v>0</v>
      </c>
      <c r="CK870" s="48">
        <f t="shared" si="4658"/>
        <v>0</v>
      </c>
      <c r="CL870" s="48">
        <f t="shared" si="4659"/>
        <v>4</v>
      </c>
      <c r="CM870" s="48">
        <f t="shared" si="4660"/>
        <v>4</v>
      </c>
      <c r="CN870" s="48">
        <f t="shared" si="4661"/>
        <v>4</v>
      </c>
      <c r="CO870" s="406"/>
      <c r="CP870" s="248">
        <f t="shared" si="4662"/>
        <v>0</v>
      </c>
      <c r="CQ870" s="248">
        <f t="shared" si="4663"/>
        <v>0</v>
      </c>
      <c r="CR870" s="248">
        <f t="shared" si="4664"/>
        <v>0</v>
      </c>
      <c r="CS870" s="248">
        <f t="shared" si="4665"/>
        <v>0</v>
      </c>
      <c r="CT870" s="248">
        <f t="shared" si="4666"/>
        <v>0</v>
      </c>
      <c r="CU870" s="248">
        <f t="shared" si="4667"/>
        <v>0</v>
      </c>
      <c r="CV870" s="248">
        <f t="shared" si="4668"/>
        <v>0</v>
      </c>
      <c r="CW870" s="248">
        <f t="shared" si="4669"/>
        <v>0</v>
      </c>
      <c r="CX870" s="248">
        <f t="shared" si="4670"/>
        <v>0</v>
      </c>
      <c r="CY870" s="248">
        <f t="shared" si="4671"/>
        <v>0</v>
      </c>
      <c r="CZ870" s="248">
        <f t="shared" si="4672"/>
        <v>0</v>
      </c>
      <c r="DA870" s="248">
        <f t="shared" si="4673"/>
        <v>0</v>
      </c>
      <c r="DB870" s="505">
        <v>0</v>
      </c>
      <c r="DC870" s="505">
        <v>1</v>
      </c>
      <c r="DD870" s="505">
        <v>15</v>
      </c>
      <c r="DE870" s="505">
        <v>18</v>
      </c>
      <c r="DF870" s="505">
        <v>33</v>
      </c>
      <c r="DG870" s="248">
        <f t="shared" si="4674"/>
        <v>0</v>
      </c>
      <c r="DH870" s="248">
        <f t="shared" si="4604"/>
        <v>0</v>
      </c>
      <c r="DI870" s="248">
        <f t="shared" si="4604"/>
        <v>2</v>
      </c>
      <c r="DJ870" s="248">
        <f t="shared" si="4604"/>
        <v>2</v>
      </c>
      <c r="DK870" s="248">
        <f t="shared" si="4604"/>
        <v>2</v>
      </c>
      <c r="DL870" s="248">
        <f t="shared" si="4604"/>
        <v>2</v>
      </c>
      <c r="DM870" s="248">
        <f t="shared" si="4604"/>
        <v>2</v>
      </c>
      <c r="DN870" s="248">
        <f t="shared" si="4675"/>
        <v>4</v>
      </c>
      <c r="DO870" s="248">
        <f t="shared" si="4675"/>
        <v>4</v>
      </c>
      <c r="DP870" s="248"/>
      <c r="DQ870" s="248"/>
      <c r="DR870" s="248"/>
      <c r="DS870" s="248"/>
      <c r="DT870" s="248"/>
      <c r="DU870" s="248"/>
      <c r="DV870" s="248"/>
      <c r="DW870" s="248"/>
      <c r="DX870" s="248"/>
      <c r="DY870" s="248"/>
      <c r="DZ870" s="381"/>
      <c r="EA870" s="381"/>
      <c r="EB870" s="381"/>
      <c r="ED870" s="429"/>
      <c r="EE870" s="242"/>
      <c r="EF870" s="242"/>
      <c r="EG870" s="242"/>
      <c r="EH870" s="237">
        <f t="shared" si="4605"/>
        <v>0</v>
      </c>
      <c r="EI870" s="237">
        <f t="shared" si="4606"/>
        <v>4</v>
      </c>
      <c r="EJ870" s="237">
        <f t="shared" si="4607"/>
        <v>4</v>
      </c>
      <c r="EK870" s="217">
        <f t="shared" si="4676"/>
        <v>0.91666666666666663</v>
      </c>
      <c r="EL870" s="14"/>
      <c r="EM870" s="14"/>
      <c r="EN870" s="14"/>
      <c r="EO870" s="46"/>
      <c r="EP870" s="46"/>
      <c r="EQ870" s="381"/>
      <c r="ER870" s="381"/>
      <c r="ES870" s="381"/>
    </row>
    <row r="871" spans="1:150" ht="15.75">
      <c r="A871" s="480" t="s">
        <v>23</v>
      </c>
      <c r="B871" s="481" t="s">
        <v>216</v>
      </c>
      <c r="C871" s="3" t="s">
        <v>54</v>
      </c>
      <c r="E871" s="3" t="s">
        <v>16</v>
      </c>
      <c r="G871" s="245" t="s">
        <v>91</v>
      </c>
      <c r="I871" s="237"/>
      <c r="J871" s="248"/>
      <c r="K871" s="376"/>
      <c r="L871" s="376"/>
      <c r="M871" s="247"/>
      <c r="N871" s="376"/>
      <c r="O871" s="376"/>
      <c r="P871" s="376"/>
      <c r="Q871" s="376"/>
      <c r="R871" s="376"/>
      <c r="S871" s="376"/>
      <c r="T871" s="376"/>
      <c r="U871" s="376"/>
      <c r="V871" s="26">
        <v>0</v>
      </c>
      <c r="W871" s="26">
        <v>0</v>
      </c>
      <c r="X871" s="376">
        <v>0</v>
      </c>
      <c r="Y871" s="26">
        <v>0</v>
      </c>
      <c r="Z871" s="376">
        <v>0</v>
      </c>
      <c r="AA871" s="263">
        <v>0</v>
      </c>
      <c r="AB871" s="263">
        <v>2</v>
      </c>
      <c r="AC871" s="263">
        <v>4</v>
      </c>
      <c r="AD871" s="263">
        <v>4</v>
      </c>
      <c r="AE871" s="263">
        <v>4</v>
      </c>
      <c r="AF871" s="263">
        <v>8</v>
      </c>
      <c r="AG871" s="263">
        <v>9</v>
      </c>
      <c r="AH871" s="263">
        <v>9</v>
      </c>
      <c r="AI871" s="263">
        <v>10</v>
      </c>
      <c r="AJ871" s="263"/>
      <c r="AK871" s="408"/>
      <c r="AL871" s="248">
        <f t="shared" si="4608"/>
        <v>0</v>
      </c>
      <c r="AM871" s="248">
        <f t="shared" si="4609"/>
        <v>0</v>
      </c>
      <c r="AN871" s="248">
        <f t="shared" si="4610"/>
        <v>0</v>
      </c>
      <c r="AO871" s="248">
        <f t="shared" si="4611"/>
        <v>0</v>
      </c>
      <c r="AP871" s="129">
        <f t="shared" si="4612"/>
        <v>0</v>
      </c>
      <c r="AQ871" s="131">
        <f t="shared" si="4613"/>
        <v>0</v>
      </c>
      <c r="AR871" s="131">
        <f t="shared" si="4614"/>
        <v>0</v>
      </c>
      <c r="AS871" s="131">
        <f t="shared" si="4615"/>
        <v>0</v>
      </c>
      <c r="AT871" s="131">
        <f t="shared" si="4616"/>
        <v>0</v>
      </c>
      <c r="AU871" s="131">
        <f t="shared" si="4617"/>
        <v>0</v>
      </c>
      <c r="AV871" s="131">
        <f t="shared" si="4618"/>
        <v>0</v>
      </c>
      <c r="AW871" s="131">
        <f t="shared" si="4619"/>
        <v>0</v>
      </c>
      <c r="AX871" s="131">
        <f t="shared" si="4620"/>
        <v>0</v>
      </c>
      <c r="AY871" s="131">
        <f t="shared" si="4621"/>
        <v>0</v>
      </c>
      <c r="AZ871" s="131">
        <f t="shared" si="4622"/>
        <v>0</v>
      </c>
      <c r="BA871" s="248">
        <f t="shared" si="4623"/>
        <v>0</v>
      </c>
      <c r="BB871" s="131">
        <f t="shared" si="4624"/>
        <v>0</v>
      </c>
      <c r="BC871" s="131">
        <f t="shared" si="4625"/>
        <v>0</v>
      </c>
      <c r="BD871" s="131">
        <f t="shared" si="4626"/>
        <v>2</v>
      </c>
      <c r="BE871" s="131">
        <f t="shared" si="4627"/>
        <v>2</v>
      </c>
      <c r="BF871" s="131">
        <f t="shared" si="4628"/>
        <v>0</v>
      </c>
      <c r="BG871" s="131">
        <f t="shared" si="4629"/>
        <v>0</v>
      </c>
      <c r="BH871" s="131">
        <f t="shared" si="4630"/>
        <v>4</v>
      </c>
      <c r="BI871" s="131">
        <f t="shared" si="4631"/>
        <v>1</v>
      </c>
      <c r="BJ871" s="131">
        <f t="shared" si="4632"/>
        <v>9</v>
      </c>
      <c r="BK871" s="131">
        <f t="shared" si="4633"/>
        <v>1</v>
      </c>
      <c r="BL871" s="131">
        <f t="shared" si="4634"/>
        <v>0</v>
      </c>
      <c r="BM871" s="408"/>
      <c r="BN871" s="48">
        <f t="shared" si="4635"/>
        <v>0</v>
      </c>
      <c r="BO871" s="48">
        <f t="shared" si="4636"/>
        <v>0</v>
      </c>
      <c r="BP871" s="48">
        <f t="shared" si="4637"/>
        <v>0</v>
      </c>
      <c r="BQ871" s="48">
        <f t="shared" si="4638"/>
        <v>0</v>
      </c>
      <c r="BR871" s="48">
        <f t="shared" si="4639"/>
        <v>0</v>
      </c>
      <c r="BS871" s="48">
        <f t="shared" si="4640"/>
        <v>0</v>
      </c>
      <c r="BT871" s="48">
        <f t="shared" si="4641"/>
        <v>0</v>
      </c>
      <c r="BU871" s="48">
        <f t="shared" si="4642"/>
        <v>0</v>
      </c>
      <c r="BV871" s="48">
        <f t="shared" si="4643"/>
        <v>0</v>
      </c>
      <c r="BW871" s="48">
        <f t="shared" si="4644"/>
        <v>0</v>
      </c>
      <c r="BX871" s="48">
        <f t="shared" si="4645"/>
        <v>0</v>
      </c>
      <c r="BY871" s="48">
        <f t="shared" si="4646"/>
        <v>0</v>
      </c>
      <c r="BZ871" s="48">
        <f t="shared" si="4647"/>
        <v>0</v>
      </c>
      <c r="CA871" s="48">
        <f t="shared" si="4648"/>
        <v>0</v>
      </c>
      <c r="CB871" s="48">
        <f t="shared" si="4649"/>
        <v>0</v>
      </c>
      <c r="CC871" s="48">
        <f t="shared" si="4650"/>
        <v>0</v>
      </c>
      <c r="CD871" s="48">
        <f t="shared" si="4651"/>
        <v>0</v>
      </c>
      <c r="CE871" s="48">
        <f t="shared" si="4652"/>
        <v>0</v>
      </c>
      <c r="CF871" s="48">
        <f t="shared" si="4653"/>
        <v>4</v>
      </c>
      <c r="CG871" s="48">
        <f t="shared" si="4654"/>
        <v>4</v>
      </c>
      <c r="CH871" s="48">
        <f t="shared" si="4655"/>
        <v>4</v>
      </c>
      <c r="CI871" s="48">
        <f t="shared" si="4656"/>
        <v>5</v>
      </c>
      <c r="CJ871" s="48">
        <f t="shared" si="4657"/>
        <v>5</v>
      </c>
      <c r="CK871" s="48">
        <f t="shared" si="4658"/>
        <v>5</v>
      </c>
      <c r="CL871" s="48">
        <f t="shared" si="4659"/>
        <v>10</v>
      </c>
      <c r="CM871" s="48">
        <f t="shared" si="4660"/>
        <v>10</v>
      </c>
      <c r="CN871" s="48">
        <f t="shared" si="4661"/>
        <v>10</v>
      </c>
      <c r="CO871" s="406"/>
      <c r="CP871" s="248">
        <f t="shared" si="4662"/>
        <v>0</v>
      </c>
      <c r="CQ871" s="248">
        <f t="shared" si="4663"/>
        <v>0</v>
      </c>
      <c r="CR871" s="248">
        <f t="shared" si="4664"/>
        <v>0</v>
      </c>
      <c r="CS871" s="248">
        <f t="shared" si="4665"/>
        <v>0</v>
      </c>
      <c r="CT871" s="248">
        <f t="shared" si="4666"/>
        <v>0</v>
      </c>
      <c r="CU871" s="248">
        <f t="shared" si="4667"/>
        <v>0</v>
      </c>
      <c r="CV871" s="248">
        <f t="shared" si="4668"/>
        <v>0</v>
      </c>
      <c r="CW871" s="248">
        <f t="shared" si="4669"/>
        <v>0</v>
      </c>
      <c r="CX871" s="248">
        <f t="shared" si="4670"/>
        <v>0</v>
      </c>
      <c r="CY871" s="248">
        <f t="shared" si="4671"/>
        <v>0</v>
      </c>
      <c r="CZ871" s="248">
        <f t="shared" si="4672"/>
        <v>0</v>
      </c>
      <c r="DA871" s="248">
        <f t="shared" si="4673"/>
        <v>0</v>
      </c>
      <c r="DB871" s="505">
        <v>5</v>
      </c>
      <c r="DC871" s="505">
        <v>14</v>
      </c>
      <c r="DD871" s="505">
        <v>19</v>
      </c>
      <c r="DE871" s="505">
        <v>37</v>
      </c>
      <c r="DF871" s="505">
        <v>56</v>
      </c>
      <c r="DG871" s="248">
        <f t="shared" si="4674"/>
        <v>0</v>
      </c>
      <c r="DH871" s="248">
        <f t="shared" si="4604"/>
        <v>2</v>
      </c>
      <c r="DI871" s="248">
        <f t="shared" si="4604"/>
        <v>4</v>
      </c>
      <c r="DJ871" s="248">
        <f t="shared" si="4604"/>
        <v>4</v>
      </c>
      <c r="DK871" s="248">
        <f t="shared" si="4604"/>
        <v>4</v>
      </c>
      <c r="DL871" s="248">
        <f t="shared" si="4604"/>
        <v>8</v>
      </c>
      <c r="DM871" s="248">
        <f t="shared" si="4604"/>
        <v>9</v>
      </c>
      <c r="DN871" s="248">
        <f t="shared" si="4675"/>
        <v>9</v>
      </c>
      <c r="DO871" s="248">
        <f t="shared" si="4675"/>
        <v>10</v>
      </c>
      <c r="DP871" s="248"/>
      <c r="DQ871" s="248"/>
      <c r="DR871" s="248"/>
      <c r="DS871" s="248"/>
      <c r="DT871" s="248"/>
      <c r="DU871" s="248"/>
      <c r="DV871" s="248"/>
      <c r="DW871" s="248"/>
      <c r="DX871" s="248"/>
      <c r="DY871" s="248"/>
      <c r="DZ871" s="381"/>
      <c r="EA871" s="381"/>
      <c r="EB871" s="381"/>
      <c r="ED871" s="429"/>
      <c r="EE871" s="242"/>
      <c r="EF871" s="242"/>
      <c r="EG871" s="242"/>
      <c r="EH871" s="237">
        <f t="shared" si="4605"/>
        <v>1</v>
      </c>
      <c r="EI871" s="237">
        <f t="shared" si="4606"/>
        <v>10</v>
      </c>
      <c r="EJ871" s="237">
        <f t="shared" si="4607"/>
        <v>10</v>
      </c>
      <c r="EK871" s="217">
        <f t="shared" si="4676"/>
        <v>0.91666666666666663</v>
      </c>
      <c r="EL871" s="14"/>
      <c r="EM871" s="14"/>
      <c r="EN871" s="14"/>
      <c r="EO871" s="46"/>
      <c r="EP871" s="46"/>
      <c r="EQ871" s="381"/>
      <c r="ER871" s="381"/>
      <c r="ES871" s="381"/>
    </row>
    <row r="872" spans="1:150" ht="15.75">
      <c r="A872" s="480" t="s">
        <v>23</v>
      </c>
      <c r="B872" s="481" t="s">
        <v>217</v>
      </c>
      <c r="C872" s="3" t="s">
        <v>54</v>
      </c>
      <c r="E872" s="3" t="s">
        <v>16</v>
      </c>
      <c r="G872" s="245" t="s">
        <v>91</v>
      </c>
      <c r="I872" s="237"/>
      <c r="J872" s="248"/>
      <c r="K872" s="376"/>
      <c r="L872" s="376"/>
      <c r="M872" s="247"/>
      <c r="N872" s="376"/>
      <c r="O872" s="376"/>
      <c r="P872" s="376"/>
      <c r="Q872" s="376"/>
      <c r="R872" s="376"/>
      <c r="S872" s="376"/>
      <c r="T872" s="376"/>
      <c r="U872" s="376"/>
      <c r="V872" s="26">
        <v>0</v>
      </c>
      <c r="W872" s="26">
        <v>0</v>
      </c>
      <c r="X872" s="376">
        <v>0</v>
      </c>
      <c r="Y872" s="26">
        <v>0</v>
      </c>
      <c r="Z872" s="376">
        <v>0</v>
      </c>
      <c r="AA872" s="263">
        <v>0</v>
      </c>
      <c r="AB872" s="263">
        <v>0</v>
      </c>
      <c r="AC872" s="263">
        <v>0</v>
      </c>
      <c r="AD872" s="263">
        <v>0</v>
      </c>
      <c r="AE872" s="263">
        <v>0</v>
      </c>
      <c r="AF872" s="263">
        <v>0</v>
      </c>
      <c r="AG872" s="263">
        <v>0</v>
      </c>
      <c r="AH872" s="263">
        <v>0</v>
      </c>
      <c r="AI872" s="263">
        <v>0</v>
      </c>
      <c r="AJ872" s="263"/>
      <c r="AK872" s="408"/>
      <c r="AL872" s="248">
        <f t="shared" si="4608"/>
        <v>0</v>
      </c>
      <c r="AM872" s="248">
        <f t="shared" si="4609"/>
        <v>0</v>
      </c>
      <c r="AN872" s="248">
        <f t="shared" si="4610"/>
        <v>0</v>
      </c>
      <c r="AO872" s="248">
        <f t="shared" si="4611"/>
        <v>0</v>
      </c>
      <c r="AP872" s="129">
        <f t="shared" si="4612"/>
        <v>0</v>
      </c>
      <c r="AQ872" s="131">
        <f t="shared" si="4613"/>
        <v>0</v>
      </c>
      <c r="AR872" s="131">
        <f t="shared" si="4614"/>
        <v>0</v>
      </c>
      <c r="AS872" s="131">
        <f t="shared" si="4615"/>
        <v>0</v>
      </c>
      <c r="AT872" s="131">
        <f t="shared" si="4616"/>
        <v>0</v>
      </c>
      <c r="AU872" s="131">
        <f t="shared" si="4617"/>
        <v>0</v>
      </c>
      <c r="AV872" s="131">
        <f t="shared" si="4618"/>
        <v>0</v>
      </c>
      <c r="AW872" s="131">
        <f t="shared" si="4619"/>
        <v>0</v>
      </c>
      <c r="AX872" s="131">
        <f t="shared" si="4620"/>
        <v>0</v>
      </c>
      <c r="AY872" s="131">
        <f t="shared" si="4621"/>
        <v>0</v>
      </c>
      <c r="AZ872" s="131">
        <f t="shared" si="4622"/>
        <v>0</v>
      </c>
      <c r="BA872" s="248">
        <f t="shared" si="4623"/>
        <v>0</v>
      </c>
      <c r="BB872" s="131">
        <f t="shared" si="4624"/>
        <v>0</v>
      </c>
      <c r="BC872" s="131">
        <f t="shared" si="4625"/>
        <v>0</v>
      </c>
      <c r="BD872" s="131">
        <f t="shared" si="4626"/>
        <v>0</v>
      </c>
      <c r="BE872" s="131">
        <f t="shared" si="4627"/>
        <v>0</v>
      </c>
      <c r="BF872" s="131">
        <f t="shared" si="4628"/>
        <v>0</v>
      </c>
      <c r="BG872" s="131">
        <f t="shared" si="4629"/>
        <v>0</v>
      </c>
      <c r="BH872" s="131">
        <f t="shared" si="4630"/>
        <v>0</v>
      </c>
      <c r="BI872" s="131">
        <f t="shared" si="4631"/>
        <v>0</v>
      </c>
      <c r="BJ872" s="131">
        <f t="shared" si="4632"/>
        <v>0</v>
      </c>
      <c r="BK872" s="131">
        <f t="shared" si="4633"/>
        <v>0</v>
      </c>
      <c r="BL872" s="131">
        <f t="shared" si="4634"/>
        <v>0</v>
      </c>
      <c r="BM872" s="408"/>
      <c r="BN872" s="48">
        <f t="shared" si="4635"/>
        <v>0</v>
      </c>
      <c r="BO872" s="48">
        <f t="shared" si="4636"/>
        <v>0</v>
      </c>
      <c r="BP872" s="48">
        <f t="shared" si="4637"/>
        <v>0</v>
      </c>
      <c r="BQ872" s="48">
        <f t="shared" si="4638"/>
        <v>0</v>
      </c>
      <c r="BR872" s="48">
        <f t="shared" si="4639"/>
        <v>0</v>
      </c>
      <c r="BS872" s="48">
        <f t="shared" si="4640"/>
        <v>0</v>
      </c>
      <c r="BT872" s="48">
        <f t="shared" si="4641"/>
        <v>0</v>
      </c>
      <c r="BU872" s="48">
        <f t="shared" si="4642"/>
        <v>0</v>
      </c>
      <c r="BV872" s="48">
        <f t="shared" si="4643"/>
        <v>0</v>
      </c>
      <c r="BW872" s="48">
        <f t="shared" si="4644"/>
        <v>0</v>
      </c>
      <c r="BX872" s="48">
        <f t="shared" si="4645"/>
        <v>0</v>
      </c>
      <c r="BY872" s="48">
        <f t="shared" si="4646"/>
        <v>0</v>
      </c>
      <c r="BZ872" s="48">
        <f t="shared" si="4647"/>
        <v>0</v>
      </c>
      <c r="CA872" s="48">
        <f t="shared" si="4648"/>
        <v>0</v>
      </c>
      <c r="CB872" s="48">
        <f t="shared" si="4649"/>
        <v>0</v>
      </c>
      <c r="CC872" s="48">
        <f t="shared" si="4650"/>
        <v>0</v>
      </c>
      <c r="CD872" s="48">
        <f t="shared" si="4651"/>
        <v>0</v>
      </c>
      <c r="CE872" s="48">
        <f t="shared" si="4652"/>
        <v>0</v>
      </c>
      <c r="CF872" s="48">
        <f t="shared" si="4653"/>
        <v>0</v>
      </c>
      <c r="CG872" s="48">
        <f t="shared" si="4654"/>
        <v>0</v>
      </c>
      <c r="CH872" s="48">
        <f t="shared" si="4655"/>
        <v>0</v>
      </c>
      <c r="CI872" s="48">
        <f t="shared" si="4656"/>
        <v>0</v>
      </c>
      <c r="CJ872" s="48">
        <f t="shared" si="4657"/>
        <v>0</v>
      </c>
      <c r="CK872" s="48">
        <f t="shared" si="4658"/>
        <v>0</v>
      </c>
      <c r="CL872" s="48">
        <f t="shared" si="4659"/>
        <v>0</v>
      </c>
      <c r="CM872" s="48">
        <f t="shared" si="4660"/>
        <v>0</v>
      </c>
      <c r="CN872" s="48">
        <f t="shared" si="4661"/>
        <v>0</v>
      </c>
      <c r="CO872" s="406"/>
      <c r="CP872" s="248">
        <f t="shared" si="4662"/>
        <v>0</v>
      </c>
      <c r="CQ872" s="248">
        <f t="shared" si="4663"/>
        <v>0</v>
      </c>
      <c r="CR872" s="248">
        <f t="shared" si="4664"/>
        <v>0</v>
      </c>
      <c r="CS872" s="248">
        <f t="shared" si="4665"/>
        <v>0</v>
      </c>
      <c r="CT872" s="248">
        <f t="shared" si="4666"/>
        <v>0</v>
      </c>
      <c r="CU872" s="248">
        <f t="shared" si="4667"/>
        <v>0</v>
      </c>
      <c r="CV872" s="248">
        <f t="shared" si="4668"/>
        <v>0</v>
      </c>
      <c r="CW872" s="248">
        <f t="shared" si="4669"/>
        <v>0</v>
      </c>
      <c r="CX872" s="248">
        <f t="shared" si="4670"/>
        <v>0</v>
      </c>
      <c r="CY872" s="248">
        <f t="shared" si="4671"/>
        <v>0</v>
      </c>
      <c r="CZ872" s="248">
        <f t="shared" si="4672"/>
        <v>0</v>
      </c>
      <c r="DA872" s="248">
        <f t="shared" si="4673"/>
        <v>0</v>
      </c>
      <c r="DB872" s="505">
        <v>1</v>
      </c>
      <c r="DC872" s="505">
        <v>2</v>
      </c>
      <c r="DD872" s="505">
        <v>2</v>
      </c>
      <c r="DE872" s="505">
        <v>2</v>
      </c>
      <c r="DF872" s="505">
        <v>2</v>
      </c>
      <c r="DG872" s="248">
        <f t="shared" si="4674"/>
        <v>0</v>
      </c>
      <c r="DH872" s="248">
        <f t="shared" si="4604"/>
        <v>0</v>
      </c>
      <c r="DI872" s="248">
        <f t="shared" si="4604"/>
        <v>0</v>
      </c>
      <c r="DJ872" s="248">
        <f t="shared" si="4604"/>
        <v>0</v>
      </c>
      <c r="DK872" s="248">
        <f t="shared" si="4604"/>
        <v>0</v>
      </c>
      <c r="DL872" s="248">
        <f t="shared" si="4604"/>
        <v>0</v>
      </c>
      <c r="DM872" s="248">
        <f t="shared" si="4604"/>
        <v>0</v>
      </c>
      <c r="DN872" s="248">
        <f t="shared" si="4675"/>
        <v>0</v>
      </c>
      <c r="DO872" s="248">
        <f t="shared" si="4675"/>
        <v>0</v>
      </c>
      <c r="DP872" s="248"/>
      <c r="DQ872" s="248"/>
      <c r="DR872" s="248"/>
      <c r="DS872" s="248"/>
      <c r="DT872" s="248"/>
      <c r="DU872" s="248"/>
      <c r="DV872" s="248"/>
      <c r="DW872" s="248"/>
      <c r="DX872" s="248"/>
      <c r="DY872" s="248"/>
      <c r="DZ872" s="381"/>
      <c r="EA872" s="381"/>
      <c r="EB872" s="381"/>
      <c r="ED872" s="429"/>
      <c r="EE872" s="242"/>
      <c r="EF872" s="242"/>
      <c r="EG872" s="242"/>
      <c r="EH872" s="237">
        <f t="shared" si="4605"/>
        <v>0</v>
      </c>
      <c r="EI872" s="237">
        <f t="shared" si="4606"/>
        <v>0</v>
      </c>
      <c r="EJ872" s="237">
        <f t="shared" si="4607"/>
        <v>0</v>
      </c>
      <c r="EK872" s="217">
        <f t="shared" si="4676"/>
        <v>0.91666666666666663</v>
      </c>
      <c r="EL872" s="14"/>
      <c r="EM872" s="14"/>
      <c r="EN872" s="14"/>
      <c r="EO872" s="46"/>
      <c r="EP872" s="46"/>
      <c r="EQ872" s="381"/>
      <c r="ER872" s="381"/>
      <c r="ES872" s="381"/>
    </row>
    <row r="873" spans="1:150" ht="15.75">
      <c r="A873" s="480" t="s">
        <v>23</v>
      </c>
      <c r="B873" s="481" t="s">
        <v>218</v>
      </c>
      <c r="C873" s="3" t="s">
        <v>54</v>
      </c>
      <c r="E873" s="3" t="s">
        <v>16</v>
      </c>
      <c r="G873" s="245" t="s">
        <v>91</v>
      </c>
      <c r="I873" s="237"/>
      <c r="J873" s="248"/>
      <c r="K873" s="376"/>
      <c r="L873" s="376"/>
      <c r="M873" s="247"/>
      <c r="N873" s="376"/>
      <c r="O873" s="376"/>
      <c r="P873" s="376"/>
      <c r="Q873" s="376"/>
      <c r="R873" s="376"/>
      <c r="S873" s="376"/>
      <c r="T873" s="376"/>
      <c r="U873" s="376"/>
      <c r="V873" s="26">
        <v>6</v>
      </c>
      <c r="W873" s="26">
        <v>6</v>
      </c>
      <c r="X873" s="376">
        <v>12</v>
      </c>
      <c r="Y873" s="26">
        <v>12</v>
      </c>
      <c r="Z873" s="376">
        <v>12</v>
      </c>
      <c r="AA873" s="263">
        <v>14</v>
      </c>
      <c r="AB873" s="263">
        <v>27</v>
      </c>
      <c r="AC873" s="263">
        <v>28</v>
      </c>
      <c r="AD873" s="263">
        <v>40</v>
      </c>
      <c r="AE873" s="263">
        <v>90</v>
      </c>
      <c r="AF873" s="263">
        <v>90</v>
      </c>
      <c r="AG873" s="263">
        <v>90</v>
      </c>
      <c r="AH873" s="263">
        <v>0</v>
      </c>
      <c r="AI873" s="263">
        <v>0</v>
      </c>
      <c r="AJ873" s="263"/>
      <c r="AK873" s="408"/>
      <c r="AL873" s="248">
        <f t="shared" si="4608"/>
        <v>0</v>
      </c>
      <c r="AM873" s="248">
        <f t="shared" si="4609"/>
        <v>0</v>
      </c>
      <c r="AN873" s="248">
        <f t="shared" si="4610"/>
        <v>0</v>
      </c>
      <c r="AO873" s="248">
        <f t="shared" si="4611"/>
        <v>0</v>
      </c>
      <c r="AP873" s="129">
        <f t="shared" si="4612"/>
        <v>0</v>
      </c>
      <c r="AQ873" s="131">
        <f t="shared" si="4613"/>
        <v>0</v>
      </c>
      <c r="AR873" s="131">
        <f t="shared" si="4614"/>
        <v>0</v>
      </c>
      <c r="AS873" s="131">
        <f t="shared" si="4615"/>
        <v>0</v>
      </c>
      <c r="AT873" s="131">
        <f t="shared" si="4616"/>
        <v>0</v>
      </c>
      <c r="AU873" s="131">
        <f t="shared" si="4617"/>
        <v>0</v>
      </c>
      <c r="AV873" s="131">
        <f t="shared" si="4618"/>
        <v>0</v>
      </c>
      <c r="AW873" s="131">
        <f t="shared" si="4619"/>
        <v>0</v>
      </c>
      <c r="AX873" s="131">
        <f t="shared" si="4620"/>
        <v>6</v>
      </c>
      <c r="AY873" s="131">
        <f t="shared" si="4621"/>
        <v>0</v>
      </c>
      <c r="AZ873" s="131">
        <f t="shared" si="4622"/>
        <v>6</v>
      </c>
      <c r="BA873" s="248">
        <f t="shared" si="4623"/>
        <v>12</v>
      </c>
      <c r="BB873" s="131">
        <f t="shared" si="4624"/>
        <v>0</v>
      </c>
      <c r="BC873" s="131">
        <f t="shared" si="4625"/>
        <v>2</v>
      </c>
      <c r="BD873" s="131">
        <f t="shared" si="4626"/>
        <v>13</v>
      </c>
      <c r="BE873" s="131">
        <f t="shared" si="4627"/>
        <v>1</v>
      </c>
      <c r="BF873" s="131">
        <f t="shared" si="4628"/>
        <v>12</v>
      </c>
      <c r="BG873" s="131">
        <f t="shared" si="4629"/>
        <v>50</v>
      </c>
      <c r="BH873" s="131">
        <f t="shared" si="4630"/>
        <v>0</v>
      </c>
      <c r="BI873" s="131">
        <f t="shared" si="4631"/>
        <v>0</v>
      </c>
      <c r="BJ873" s="131">
        <f t="shared" si="4632"/>
        <v>0</v>
      </c>
      <c r="BK873" s="131">
        <f t="shared" si="4633"/>
        <v>0</v>
      </c>
      <c r="BL873" s="131">
        <f t="shared" si="4634"/>
        <v>0</v>
      </c>
      <c r="BM873" s="408"/>
      <c r="BN873" s="48">
        <f t="shared" si="4635"/>
        <v>0</v>
      </c>
      <c r="BO873" s="48">
        <f t="shared" si="4636"/>
        <v>0</v>
      </c>
      <c r="BP873" s="48">
        <f t="shared" si="4637"/>
        <v>0</v>
      </c>
      <c r="BQ873" s="48">
        <f t="shared" si="4638"/>
        <v>0</v>
      </c>
      <c r="BR873" s="48">
        <f t="shared" si="4639"/>
        <v>0</v>
      </c>
      <c r="BS873" s="48">
        <f t="shared" si="4640"/>
        <v>0</v>
      </c>
      <c r="BT873" s="48">
        <f t="shared" si="4641"/>
        <v>0</v>
      </c>
      <c r="BU873" s="48">
        <f t="shared" si="4642"/>
        <v>0</v>
      </c>
      <c r="BV873" s="48">
        <f t="shared" si="4643"/>
        <v>0</v>
      </c>
      <c r="BW873" s="48">
        <f t="shared" si="4644"/>
        <v>0</v>
      </c>
      <c r="BX873" s="48">
        <f t="shared" si="4645"/>
        <v>0</v>
      </c>
      <c r="BY873" s="48">
        <f t="shared" si="4646"/>
        <v>0</v>
      </c>
      <c r="BZ873" s="48">
        <f t="shared" si="4647"/>
        <v>12</v>
      </c>
      <c r="CA873" s="48">
        <f t="shared" si="4648"/>
        <v>12</v>
      </c>
      <c r="CB873" s="48">
        <f t="shared" si="4649"/>
        <v>12</v>
      </c>
      <c r="CC873" s="48">
        <f t="shared" si="4650"/>
        <v>14</v>
      </c>
      <c r="CD873" s="48">
        <f t="shared" si="4651"/>
        <v>14</v>
      </c>
      <c r="CE873" s="48">
        <f t="shared" si="4652"/>
        <v>14</v>
      </c>
      <c r="CF873" s="48">
        <f t="shared" si="4653"/>
        <v>26</v>
      </c>
      <c r="CG873" s="48">
        <f t="shared" si="4654"/>
        <v>26</v>
      </c>
      <c r="CH873" s="48">
        <f t="shared" si="4655"/>
        <v>26</v>
      </c>
      <c r="CI873" s="48">
        <f t="shared" si="4656"/>
        <v>50</v>
      </c>
      <c r="CJ873" s="48">
        <f t="shared" si="4657"/>
        <v>50</v>
      </c>
      <c r="CK873" s="48">
        <f t="shared" si="4658"/>
        <v>50</v>
      </c>
      <c r="CL873" s="48">
        <f t="shared" si="4659"/>
        <v>0</v>
      </c>
      <c r="CM873" s="48">
        <f t="shared" si="4660"/>
        <v>0</v>
      </c>
      <c r="CN873" s="48">
        <f t="shared" si="4661"/>
        <v>0</v>
      </c>
      <c r="CO873" s="406"/>
      <c r="CP873" s="248">
        <f t="shared" si="4662"/>
        <v>0</v>
      </c>
      <c r="CQ873" s="248">
        <f t="shared" si="4663"/>
        <v>0</v>
      </c>
      <c r="CR873" s="248">
        <f t="shared" si="4664"/>
        <v>0</v>
      </c>
      <c r="CS873" s="248">
        <f t="shared" si="4665"/>
        <v>0</v>
      </c>
      <c r="CT873" s="248">
        <f t="shared" si="4666"/>
        <v>0</v>
      </c>
      <c r="CU873" s="248">
        <f t="shared" si="4667"/>
        <v>0</v>
      </c>
      <c r="CV873" s="248">
        <f t="shared" si="4668"/>
        <v>0</v>
      </c>
      <c r="CW873" s="248">
        <f t="shared" si="4669"/>
        <v>0</v>
      </c>
      <c r="CX873" s="248">
        <f t="shared" si="4670"/>
        <v>0</v>
      </c>
      <c r="CY873" s="248">
        <f t="shared" si="4671"/>
        <v>0</v>
      </c>
      <c r="CZ873" s="248">
        <f t="shared" si="4672"/>
        <v>0</v>
      </c>
      <c r="DA873" s="248">
        <f t="shared" si="4673"/>
        <v>0</v>
      </c>
      <c r="DB873" s="505">
        <v>17</v>
      </c>
      <c r="DC873" s="505">
        <v>18</v>
      </c>
      <c r="DD873" s="505">
        <v>31</v>
      </c>
      <c r="DE873" s="505">
        <v>33</v>
      </c>
      <c r="DF873" s="505">
        <v>36</v>
      </c>
      <c r="DG873" s="248">
        <f t="shared" si="4674"/>
        <v>14</v>
      </c>
      <c r="DH873" s="248">
        <f t="shared" si="4604"/>
        <v>27</v>
      </c>
      <c r="DI873" s="248">
        <f t="shared" si="4604"/>
        <v>28</v>
      </c>
      <c r="DJ873" s="248">
        <f t="shared" si="4604"/>
        <v>40</v>
      </c>
      <c r="DK873" s="248">
        <f t="shared" si="4604"/>
        <v>90</v>
      </c>
      <c r="DL873" s="248">
        <f t="shared" si="4604"/>
        <v>90</v>
      </c>
      <c r="DM873" s="248">
        <f t="shared" si="4604"/>
        <v>90</v>
      </c>
      <c r="DN873" s="248">
        <f t="shared" si="4675"/>
        <v>0</v>
      </c>
      <c r="DO873" s="248">
        <f t="shared" si="4675"/>
        <v>0</v>
      </c>
      <c r="DP873" s="248"/>
      <c r="DQ873" s="248"/>
      <c r="DR873" s="248"/>
      <c r="DS873" s="248"/>
      <c r="DT873" s="248"/>
      <c r="DU873" s="248"/>
      <c r="DV873" s="248"/>
      <c r="DW873" s="248"/>
      <c r="DX873" s="248"/>
      <c r="DY873" s="248"/>
      <c r="DZ873" s="381"/>
      <c r="EA873" s="381"/>
      <c r="EB873" s="381"/>
      <c r="ED873" s="429"/>
      <c r="EE873" s="242"/>
      <c r="EF873" s="242"/>
      <c r="EG873" s="242"/>
      <c r="EH873" s="237">
        <f t="shared" si="4605"/>
        <v>0</v>
      </c>
      <c r="EI873" s="237">
        <f t="shared" si="4606"/>
        <v>0</v>
      </c>
      <c r="EJ873" s="237">
        <f t="shared" si="4607"/>
        <v>0</v>
      </c>
      <c r="EK873" s="217">
        <f t="shared" si="4676"/>
        <v>0.91666666666666663</v>
      </c>
      <c r="EL873" s="14"/>
      <c r="EM873" s="14"/>
      <c r="EN873" s="14"/>
      <c r="EO873" s="46"/>
      <c r="EP873" s="46"/>
      <c r="EQ873" s="381"/>
      <c r="ER873" s="381"/>
      <c r="ES873" s="381"/>
    </row>
    <row r="874" spans="1:150" ht="15.75">
      <c r="A874" s="480" t="s">
        <v>23</v>
      </c>
      <c r="B874" s="481" t="s">
        <v>222</v>
      </c>
      <c r="C874" s="3" t="s">
        <v>54</v>
      </c>
      <c r="E874" s="3" t="s">
        <v>16</v>
      </c>
      <c r="G874" s="245" t="s">
        <v>91</v>
      </c>
      <c r="I874" s="237"/>
      <c r="J874" s="248"/>
      <c r="K874" s="376"/>
      <c r="L874" s="376"/>
      <c r="M874" s="247"/>
      <c r="N874" s="376"/>
      <c r="O874" s="376"/>
      <c r="P874" s="376"/>
      <c r="Q874" s="376"/>
      <c r="R874" s="376"/>
      <c r="S874" s="376"/>
      <c r="T874" s="376"/>
      <c r="U874" s="376"/>
      <c r="V874" s="26">
        <v>0</v>
      </c>
      <c r="W874" s="26">
        <v>3</v>
      </c>
      <c r="X874" s="376">
        <v>7</v>
      </c>
      <c r="Y874" s="26">
        <v>7</v>
      </c>
      <c r="Z874" s="376">
        <v>7</v>
      </c>
      <c r="AA874" s="263">
        <v>12</v>
      </c>
      <c r="AB874" s="263">
        <v>12</v>
      </c>
      <c r="AC874" s="263">
        <v>68</v>
      </c>
      <c r="AD874" s="263">
        <v>69</v>
      </c>
      <c r="AE874" s="263">
        <v>69</v>
      </c>
      <c r="AF874" s="263">
        <v>69</v>
      </c>
      <c r="AG874" s="263">
        <v>69</v>
      </c>
      <c r="AH874" s="263">
        <v>0</v>
      </c>
      <c r="AI874" s="263">
        <v>0</v>
      </c>
      <c r="AJ874" s="263"/>
      <c r="AK874" s="408"/>
      <c r="AL874" s="248">
        <f t="shared" si="4608"/>
        <v>0</v>
      </c>
      <c r="AM874" s="248">
        <f t="shared" si="4609"/>
        <v>0</v>
      </c>
      <c r="AN874" s="248">
        <f t="shared" si="4610"/>
        <v>0</v>
      </c>
      <c r="AO874" s="248">
        <f t="shared" si="4611"/>
        <v>0</v>
      </c>
      <c r="AP874" s="129">
        <f t="shared" si="4612"/>
        <v>0</v>
      </c>
      <c r="AQ874" s="131">
        <f t="shared" si="4613"/>
        <v>0</v>
      </c>
      <c r="AR874" s="131">
        <f t="shared" si="4614"/>
        <v>0</v>
      </c>
      <c r="AS874" s="131">
        <f t="shared" si="4615"/>
        <v>0</v>
      </c>
      <c r="AT874" s="131">
        <f t="shared" si="4616"/>
        <v>0</v>
      </c>
      <c r="AU874" s="131">
        <f t="shared" si="4617"/>
        <v>0</v>
      </c>
      <c r="AV874" s="131">
        <f t="shared" si="4618"/>
        <v>0</v>
      </c>
      <c r="AW874" s="131">
        <f t="shared" si="4619"/>
        <v>0</v>
      </c>
      <c r="AX874" s="131">
        <f t="shared" si="4620"/>
        <v>0</v>
      </c>
      <c r="AY874" s="131">
        <f t="shared" si="4621"/>
        <v>3</v>
      </c>
      <c r="AZ874" s="131">
        <f t="shared" si="4622"/>
        <v>4</v>
      </c>
      <c r="BA874" s="248">
        <f t="shared" si="4623"/>
        <v>7</v>
      </c>
      <c r="BB874" s="131">
        <f t="shared" si="4624"/>
        <v>0</v>
      </c>
      <c r="BC874" s="131">
        <f t="shared" si="4625"/>
        <v>5</v>
      </c>
      <c r="BD874" s="131">
        <f t="shared" si="4626"/>
        <v>0</v>
      </c>
      <c r="BE874" s="131">
        <f t="shared" si="4627"/>
        <v>56</v>
      </c>
      <c r="BF874" s="131">
        <f t="shared" si="4628"/>
        <v>1</v>
      </c>
      <c r="BG874" s="131">
        <f t="shared" si="4629"/>
        <v>0</v>
      </c>
      <c r="BH874" s="131">
        <f t="shared" si="4630"/>
        <v>0</v>
      </c>
      <c r="BI874" s="131">
        <f t="shared" si="4631"/>
        <v>0</v>
      </c>
      <c r="BJ874" s="131">
        <f t="shared" si="4632"/>
        <v>0</v>
      </c>
      <c r="BK874" s="131">
        <f t="shared" si="4633"/>
        <v>0</v>
      </c>
      <c r="BL874" s="131">
        <f t="shared" si="4634"/>
        <v>0</v>
      </c>
      <c r="BM874" s="408"/>
      <c r="BN874" s="48">
        <f t="shared" si="4635"/>
        <v>0</v>
      </c>
      <c r="BO874" s="48">
        <f t="shared" si="4636"/>
        <v>0</v>
      </c>
      <c r="BP874" s="48">
        <f t="shared" si="4637"/>
        <v>0</v>
      </c>
      <c r="BQ874" s="48">
        <f t="shared" si="4638"/>
        <v>0</v>
      </c>
      <c r="BR874" s="48">
        <f t="shared" si="4639"/>
        <v>0</v>
      </c>
      <c r="BS874" s="48">
        <f t="shared" si="4640"/>
        <v>0</v>
      </c>
      <c r="BT874" s="48">
        <f t="shared" si="4641"/>
        <v>0</v>
      </c>
      <c r="BU874" s="48">
        <f t="shared" si="4642"/>
        <v>0</v>
      </c>
      <c r="BV874" s="48">
        <f t="shared" si="4643"/>
        <v>0</v>
      </c>
      <c r="BW874" s="48">
        <f t="shared" si="4644"/>
        <v>0</v>
      </c>
      <c r="BX874" s="48">
        <f t="shared" si="4645"/>
        <v>0</v>
      </c>
      <c r="BY874" s="48">
        <f t="shared" si="4646"/>
        <v>0</v>
      </c>
      <c r="BZ874" s="48">
        <f t="shared" si="4647"/>
        <v>7</v>
      </c>
      <c r="CA874" s="48">
        <f t="shared" si="4648"/>
        <v>7</v>
      </c>
      <c r="CB874" s="48">
        <f t="shared" si="4649"/>
        <v>7</v>
      </c>
      <c r="CC874" s="48">
        <f t="shared" si="4650"/>
        <v>12</v>
      </c>
      <c r="CD874" s="48">
        <f t="shared" si="4651"/>
        <v>12</v>
      </c>
      <c r="CE874" s="48">
        <f t="shared" si="4652"/>
        <v>12</v>
      </c>
      <c r="CF874" s="48">
        <f t="shared" si="4653"/>
        <v>57</v>
      </c>
      <c r="CG874" s="48">
        <f t="shared" si="4654"/>
        <v>57</v>
      </c>
      <c r="CH874" s="48">
        <f t="shared" si="4655"/>
        <v>57</v>
      </c>
      <c r="CI874" s="48">
        <f t="shared" si="4656"/>
        <v>0</v>
      </c>
      <c r="CJ874" s="48">
        <f t="shared" si="4657"/>
        <v>0</v>
      </c>
      <c r="CK874" s="48">
        <f t="shared" si="4658"/>
        <v>0</v>
      </c>
      <c r="CL874" s="48">
        <f t="shared" si="4659"/>
        <v>0</v>
      </c>
      <c r="CM874" s="48">
        <f t="shared" si="4660"/>
        <v>0</v>
      </c>
      <c r="CN874" s="48">
        <f t="shared" si="4661"/>
        <v>0</v>
      </c>
      <c r="CO874" s="406"/>
      <c r="CP874" s="248">
        <f t="shared" si="4662"/>
        <v>0</v>
      </c>
      <c r="CQ874" s="248">
        <f t="shared" si="4663"/>
        <v>0</v>
      </c>
      <c r="CR874" s="248">
        <f t="shared" si="4664"/>
        <v>0</v>
      </c>
      <c r="CS874" s="248">
        <f t="shared" si="4665"/>
        <v>0</v>
      </c>
      <c r="CT874" s="248">
        <f t="shared" si="4666"/>
        <v>0</v>
      </c>
      <c r="CU874" s="248">
        <f t="shared" si="4667"/>
        <v>0</v>
      </c>
      <c r="CV874" s="248">
        <f t="shared" si="4668"/>
        <v>0</v>
      </c>
      <c r="CW874" s="248">
        <f t="shared" si="4669"/>
        <v>0</v>
      </c>
      <c r="CX874" s="248">
        <f t="shared" si="4670"/>
        <v>0</v>
      </c>
      <c r="CY874" s="248">
        <f t="shared" si="4671"/>
        <v>0</v>
      </c>
      <c r="CZ874" s="248">
        <f t="shared" si="4672"/>
        <v>0</v>
      </c>
      <c r="DA874" s="248">
        <f t="shared" si="4673"/>
        <v>0</v>
      </c>
      <c r="DB874" s="505">
        <v>11</v>
      </c>
      <c r="DC874" s="505">
        <v>18</v>
      </c>
      <c r="DD874" s="505">
        <v>32</v>
      </c>
      <c r="DE874" s="505">
        <v>36</v>
      </c>
      <c r="DF874" s="505">
        <v>36</v>
      </c>
      <c r="DG874" s="248">
        <f t="shared" si="4674"/>
        <v>12</v>
      </c>
      <c r="DH874" s="248">
        <f t="shared" si="4604"/>
        <v>12</v>
      </c>
      <c r="DI874" s="248">
        <f t="shared" si="4604"/>
        <v>68</v>
      </c>
      <c r="DJ874" s="248">
        <f t="shared" si="4604"/>
        <v>69</v>
      </c>
      <c r="DK874" s="248">
        <f t="shared" si="4604"/>
        <v>69</v>
      </c>
      <c r="DL874" s="248">
        <f t="shared" si="4604"/>
        <v>69</v>
      </c>
      <c r="DM874" s="248">
        <f t="shared" si="4604"/>
        <v>69</v>
      </c>
      <c r="DN874" s="248">
        <f t="shared" si="4675"/>
        <v>0</v>
      </c>
      <c r="DO874" s="248">
        <f t="shared" si="4675"/>
        <v>0</v>
      </c>
      <c r="DP874" s="248"/>
      <c r="DQ874" s="248"/>
      <c r="DR874" s="248"/>
      <c r="DS874" s="248"/>
      <c r="DT874" s="248"/>
      <c r="DU874" s="248"/>
      <c r="DV874" s="248"/>
      <c r="DW874" s="248"/>
      <c r="DX874" s="248"/>
      <c r="DY874" s="248"/>
      <c r="DZ874" s="381"/>
      <c r="EA874" s="381"/>
      <c r="EB874" s="381"/>
      <c r="ED874" s="429"/>
      <c r="EE874" s="242"/>
      <c r="EF874" s="242"/>
      <c r="EG874" s="242"/>
      <c r="EH874" s="237">
        <f t="shared" si="4605"/>
        <v>0</v>
      </c>
      <c r="EI874" s="237">
        <f t="shared" si="4606"/>
        <v>0</v>
      </c>
      <c r="EJ874" s="237">
        <f t="shared" si="4607"/>
        <v>0</v>
      </c>
      <c r="EK874" s="217">
        <f t="shared" si="4676"/>
        <v>0.91666666666666663</v>
      </c>
      <c r="EL874" s="14"/>
      <c r="EM874" s="14"/>
      <c r="EN874" s="14"/>
      <c r="EO874" s="46"/>
      <c r="EP874" s="46"/>
      <c r="EQ874" s="381"/>
      <c r="ER874" s="381"/>
      <c r="ES874" s="381"/>
    </row>
    <row r="875" spans="1:150" ht="15.75">
      <c r="A875" s="480" t="s">
        <v>23</v>
      </c>
      <c r="B875" s="481" t="s">
        <v>223</v>
      </c>
      <c r="C875" s="3" t="s">
        <v>54</v>
      </c>
      <c r="E875" s="3" t="s">
        <v>16</v>
      </c>
      <c r="G875" s="245" t="s">
        <v>91</v>
      </c>
      <c r="I875" s="237"/>
      <c r="J875" s="248"/>
      <c r="K875" s="376"/>
      <c r="L875" s="376"/>
      <c r="M875" s="247"/>
      <c r="N875" s="376"/>
      <c r="O875" s="376"/>
      <c r="P875" s="376"/>
      <c r="Q875" s="376"/>
      <c r="R875" s="376"/>
      <c r="S875" s="376"/>
      <c r="T875" s="376"/>
      <c r="U875" s="376"/>
      <c r="V875" s="26">
        <v>0</v>
      </c>
      <c r="W875" s="26">
        <v>0</v>
      </c>
      <c r="X875" s="376">
        <v>0</v>
      </c>
      <c r="Y875" s="26">
        <v>0</v>
      </c>
      <c r="Z875" s="376">
        <v>0</v>
      </c>
      <c r="AA875" s="263">
        <v>0</v>
      </c>
      <c r="AB875" s="263">
        <v>6</v>
      </c>
      <c r="AC875" s="263">
        <v>6</v>
      </c>
      <c r="AD875" s="263">
        <v>6</v>
      </c>
      <c r="AE875" s="263">
        <v>6</v>
      </c>
      <c r="AF875" s="263">
        <v>6</v>
      </c>
      <c r="AG875" s="263">
        <v>7</v>
      </c>
      <c r="AH875" s="263">
        <v>0</v>
      </c>
      <c r="AI875" s="263">
        <v>0</v>
      </c>
      <c r="AJ875" s="263"/>
      <c r="AK875" s="408"/>
      <c r="AL875" s="248">
        <f t="shared" si="4608"/>
        <v>0</v>
      </c>
      <c r="AM875" s="248">
        <f t="shared" si="4609"/>
        <v>0</v>
      </c>
      <c r="AN875" s="248">
        <f t="shared" si="4610"/>
        <v>0</v>
      </c>
      <c r="AO875" s="248">
        <f t="shared" si="4611"/>
        <v>0</v>
      </c>
      <c r="AP875" s="129">
        <f t="shared" si="4612"/>
        <v>0</v>
      </c>
      <c r="AQ875" s="131">
        <f t="shared" si="4613"/>
        <v>0</v>
      </c>
      <c r="AR875" s="131">
        <f t="shared" si="4614"/>
        <v>0</v>
      </c>
      <c r="AS875" s="131">
        <f t="shared" si="4615"/>
        <v>0</v>
      </c>
      <c r="AT875" s="131">
        <f t="shared" si="4616"/>
        <v>0</v>
      </c>
      <c r="AU875" s="131">
        <f t="shared" si="4617"/>
        <v>0</v>
      </c>
      <c r="AV875" s="131">
        <f t="shared" si="4618"/>
        <v>0</v>
      </c>
      <c r="AW875" s="131">
        <f t="shared" si="4619"/>
        <v>0</v>
      </c>
      <c r="AX875" s="131">
        <f t="shared" ref="AX875" si="4677">IF(V875&lt;&gt;"",V875-U875,0)</f>
        <v>0</v>
      </c>
      <c r="AY875" s="131">
        <f t="shared" si="4621"/>
        <v>0</v>
      </c>
      <c r="AZ875" s="131">
        <f t="shared" si="4622"/>
        <v>0</v>
      </c>
      <c r="BA875" s="248">
        <f t="shared" si="4623"/>
        <v>0</v>
      </c>
      <c r="BB875" s="131">
        <f t="shared" si="4624"/>
        <v>0</v>
      </c>
      <c r="BC875" s="131">
        <f t="shared" si="4625"/>
        <v>0</v>
      </c>
      <c r="BD875" s="131">
        <f t="shared" si="4626"/>
        <v>6</v>
      </c>
      <c r="BE875" s="131">
        <f t="shared" si="4627"/>
        <v>0</v>
      </c>
      <c r="BF875" s="131">
        <f t="shared" si="4628"/>
        <v>0</v>
      </c>
      <c r="BG875" s="131">
        <f t="shared" si="4629"/>
        <v>0</v>
      </c>
      <c r="BH875" s="131">
        <f t="shared" si="4630"/>
        <v>0</v>
      </c>
      <c r="BI875" s="131">
        <f t="shared" si="4631"/>
        <v>1</v>
      </c>
      <c r="BJ875" s="131">
        <f t="shared" si="4632"/>
        <v>0</v>
      </c>
      <c r="BK875" s="131">
        <f t="shared" si="4633"/>
        <v>0</v>
      </c>
      <c r="BL875" s="131">
        <f t="shared" si="4634"/>
        <v>0</v>
      </c>
      <c r="BM875" s="408"/>
      <c r="BN875" s="48">
        <f t="shared" si="4635"/>
        <v>0</v>
      </c>
      <c r="BO875" s="48">
        <f t="shared" si="4636"/>
        <v>0</v>
      </c>
      <c r="BP875" s="48">
        <f t="shared" si="4637"/>
        <v>0</v>
      </c>
      <c r="BQ875" s="48">
        <f t="shared" si="4638"/>
        <v>0</v>
      </c>
      <c r="BR875" s="48">
        <f t="shared" si="4639"/>
        <v>0</v>
      </c>
      <c r="BS875" s="48">
        <f t="shared" si="4640"/>
        <v>0</v>
      </c>
      <c r="BT875" s="48">
        <f t="shared" si="4641"/>
        <v>0</v>
      </c>
      <c r="BU875" s="48">
        <f t="shared" si="4642"/>
        <v>0</v>
      </c>
      <c r="BV875" s="48">
        <f t="shared" si="4643"/>
        <v>0</v>
      </c>
      <c r="BW875" s="48">
        <f t="shared" si="4644"/>
        <v>0</v>
      </c>
      <c r="BX875" s="48">
        <f t="shared" si="4645"/>
        <v>0</v>
      </c>
      <c r="BY875" s="48">
        <f t="shared" si="4646"/>
        <v>0</v>
      </c>
      <c r="BZ875" s="48">
        <f t="shared" si="4647"/>
        <v>0</v>
      </c>
      <c r="CA875" s="48">
        <f t="shared" si="4648"/>
        <v>0</v>
      </c>
      <c r="CB875" s="48">
        <f t="shared" si="4649"/>
        <v>0</v>
      </c>
      <c r="CC875" s="48">
        <f t="shared" si="4650"/>
        <v>0</v>
      </c>
      <c r="CD875" s="48">
        <f t="shared" si="4651"/>
        <v>0</v>
      </c>
      <c r="CE875" s="48">
        <f t="shared" si="4652"/>
        <v>0</v>
      </c>
      <c r="CF875" s="48">
        <f t="shared" si="4653"/>
        <v>6</v>
      </c>
      <c r="CG875" s="48">
        <f t="shared" si="4654"/>
        <v>6</v>
      </c>
      <c r="CH875" s="48">
        <f t="shared" si="4655"/>
        <v>6</v>
      </c>
      <c r="CI875" s="48">
        <f t="shared" si="4656"/>
        <v>1</v>
      </c>
      <c r="CJ875" s="48">
        <f t="shared" si="4657"/>
        <v>1</v>
      </c>
      <c r="CK875" s="48">
        <f t="shared" si="4658"/>
        <v>1</v>
      </c>
      <c r="CL875" s="48">
        <f t="shared" si="4659"/>
        <v>0</v>
      </c>
      <c r="CM875" s="48">
        <f t="shared" si="4660"/>
        <v>0</v>
      </c>
      <c r="CN875" s="48">
        <f t="shared" si="4661"/>
        <v>0</v>
      </c>
      <c r="CO875" s="406"/>
      <c r="CP875" s="248">
        <f t="shared" si="4662"/>
        <v>0</v>
      </c>
      <c r="CQ875" s="248">
        <f t="shared" si="4663"/>
        <v>0</v>
      </c>
      <c r="CR875" s="248">
        <f t="shared" si="4664"/>
        <v>0</v>
      </c>
      <c r="CS875" s="248">
        <f t="shared" si="4665"/>
        <v>0</v>
      </c>
      <c r="CT875" s="248">
        <f t="shared" si="4666"/>
        <v>0</v>
      </c>
      <c r="CU875" s="248">
        <f t="shared" si="4667"/>
        <v>0</v>
      </c>
      <c r="CV875" s="248">
        <f t="shared" si="4668"/>
        <v>0</v>
      </c>
      <c r="CW875" s="248">
        <f t="shared" si="4669"/>
        <v>0</v>
      </c>
      <c r="CX875" s="248">
        <f t="shared" si="4670"/>
        <v>0</v>
      </c>
      <c r="CY875" s="248">
        <f t="shared" si="4671"/>
        <v>0</v>
      </c>
      <c r="CZ875" s="248">
        <f t="shared" si="4672"/>
        <v>0</v>
      </c>
      <c r="DA875" s="248">
        <f t="shared" si="4673"/>
        <v>0</v>
      </c>
      <c r="DB875" s="505">
        <v>1</v>
      </c>
      <c r="DC875" s="505">
        <v>4</v>
      </c>
      <c r="DD875" s="505">
        <v>5</v>
      </c>
      <c r="DE875" s="505">
        <v>7</v>
      </c>
      <c r="DF875" s="505">
        <v>7</v>
      </c>
      <c r="DG875" s="248">
        <f t="shared" si="4674"/>
        <v>0</v>
      </c>
      <c r="DH875" s="248">
        <f t="shared" si="4604"/>
        <v>6</v>
      </c>
      <c r="DI875" s="248">
        <f t="shared" si="4604"/>
        <v>6</v>
      </c>
      <c r="DJ875" s="248">
        <f t="shared" si="4604"/>
        <v>6</v>
      </c>
      <c r="DK875" s="248">
        <f t="shared" si="4604"/>
        <v>6</v>
      </c>
      <c r="DL875" s="248">
        <f t="shared" si="4604"/>
        <v>6</v>
      </c>
      <c r="DM875" s="248">
        <f t="shared" si="4604"/>
        <v>7</v>
      </c>
      <c r="DN875" s="248">
        <f t="shared" si="4675"/>
        <v>0</v>
      </c>
      <c r="DO875" s="248"/>
      <c r="DP875" s="248"/>
      <c r="DQ875" s="248"/>
      <c r="DR875" s="248"/>
      <c r="DS875" s="248"/>
      <c r="DT875" s="248"/>
      <c r="DU875" s="248"/>
      <c r="DV875" s="248"/>
      <c r="DW875" s="248"/>
      <c r="DX875" s="248"/>
      <c r="DY875" s="248"/>
      <c r="DZ875" s="381"/>
      <c r="EA875" s="381"/>
      <c r="EB875" s="381"/>
      <c r="ED875" s="429"/>
      <c r="EE875" s="242"/>
      <c r="EF875" s="242"/>
      <c r="EG875" s="242"/>
      <c r="EH875" s="237">
        <f t="shared" si="4605"/>
        <v>0</v>
      </c>
      <c r="EI875" s="237">
        <f t="shared" si="4606"/>
        <v>0</v>
      </c>
      <c r="EJ875" s="237">
        <f t="shared" si="4607"/>
        <v>0</v>
      </c>
      <c r="EK875" s="217">
        <f t="shared" si="4676"/>
        <v>0.91666666666666663</v>
      </c>
      <c r="EL875" s="14"/>
      <c r="EM875" s="14"/>
      <c r="EN875" s="14"/>
      <c r="EO875" s="46"/>
      <c r="EP875" s="46"/>
      <c r="EQ875" s="381"/>
      <c r="ER875" s="381"/>
      <c r="ES875" s="381"/>
    </row>
    <row r="876" spans="1:150" s="381" customFormat="1">
      <c r="A876" s="482" t="s">
        <v>23</v>
      </c>
      <c r="B876" s="506" t="s">
        <v>221</v>
      </c>
      <c r="C876" s="3" t="s">
        <v>54</v>
      </c>
      <c r="D876" s="3"/>
      <c r="E876" s="3" t="s">
        <v>16</v>
      </c>
      <c r="F876" s="3"/>
      <c r="G876" s="137" t="s">
        <v>91</v>
      </c>
      <c r="H876" s="28"/>
      <c r="I876" s="253">
        <f>I178+I244+I310+I376+I442+I508+I574+I640+I706+I772+I838</f>
        <v>0</v>
      </c>
      <c r="J876" s="226">
        <f>IF(J178="","",J178+J244+J310+J376+J442+J508+J574+J640+J706+J772+J838)</f>
        <v>0</v>
      </c>
      <c r="K876" s="229">
        <f>IF(K178="","",K178+K244+K310+K376+K442+K508+K574+K640+K706+K772+K838)</f>
        <v>0</v>
      </c>
      <c r="L876" s="229"/>
      <c r="M876" s="230"/>
      <c r="N876" s="229"/>
      <c r="O876" s="229"/>
      <c r="P876" s="229"/>
      <c r="Q876" s="229"/>
      <c r="R876" s="229"/>
      <c r="S876" s="229"/>
      <c r="T876" s="229"/>
      <c r="U876" s="280"/>
      <c r="V876" s="141">
        <f>SUM(V865:V875)</f>
        <v>54</v>
      </c>
      <c r="W876" s="151">
        <f t="shared" ref="W876:CH876" si="4678">SUM(W865:W875)</f>
        <v>69</v>
      </c>
      <c r="X876" s="151">
        <f t="shared" si="4678"/>
        <v>107</v>
      </c>
      <c r="Y876" s="151">
        <f t="shared" si="4678"/>
        <v>107</v>
      </c>
      <c r="Z876" s="151">
        <f t="shared" si="4678"/>
        <v>113</v>
      </c>
      <c r="AA876" s="151">
        <f t="shared" si="4678"/>
        <v>120</v>
      </c>
      <c r="AB876" s="151">
        <f t="shared" si="4678"/>
        <v>141</v>
      </c>
      <c r="AC876" s="151">
        <f t="shared" si="4678"/>
        <v>204</v>
      </c>
      <c r="AD876" s="151">
        <f t="shared" si="4678"/>
        <v>235</v>
      </c>
      <c r="AE876" s="151">
        <f t="shared" si="4678"/>
        <v>285</v>
      </c>
      <c r="AF876" s="151">
        <f t="shared" si="4678"/>
        <v>293</v>
      </c>
      <c r="AG876" s="151">
        <f t="shared" si="4678"/>
        <v>311</v>
      </c>
      <c r="AH876" s="151">
        <f t="shared" si="4678"/>
        <v>19</v>
      </c>
      <c r="AI876" s="151">
        <f t="shared" si="4678"/>
        <v>20</v>
      </c>
      <c r="AJ876" s="151">
        <f t="shared" si="4678"/>
        <v>0</v>
      </c>
      <c r="AK876" s="151">
        <f t="shared" si="4678"/>
        <v>0</v>
      </c>
      <c r="AL876" s="151">
        <f t="shared" si="4678"/>
        <v>0</v>
      </c>
      <c r="AM876" s="151">
        <f t="shared" si="4678"/>
        <v>0</v>
      </c>
      <c r="AN876" s="151">
        <f t="shared" si="4678"/>
        <v>0</v>
      </c>
      <c r="AO876" s="151">
        <f t="shared" si="4678"/>
        <v>0</v>
      </c>
      <c r="AP876" s="151">
        <f t="shared" si="4678"/>
        <v>0</v>
      </c>
      <c r="AQ876" s="151">
        <f t="shared" si="4678"/>
        <v>0</v>
      </c>
      <c r="AR876" s="151">
        <f t="shared" si="4678"/>
        <v>0</v>
      </c>
      <c r="AS876" s="151">
        <f t="shared" si="4678"/>
        <v>0</v>
      </c>
      <c r="AT876" s="151">
        <f t="shared" si="4678"/>
        <v>0</v>
      </c>
      <c r="AU876" s="151">
        <f t="shared" si="4678"/>
        <v>0</v>
      </c>
      <c r="AV876" s="151">
        <f t="shared" si="4678"/>
        <v>0</v>
      </c>
      <c r="AW876" s="151">
        <f t="shared" si="4678"/>
        <v>0</v>
      </c>
      <c r="AX876" s="151">
        <f t="shared" si="4678"/>
        <v>54</v>
      </c>
      <c r="AY876" s="151">
        <f t="shared" si="4678"/>
        <v>15</v>
      </c>
      <c r="AZ876" s="151">
        <f t="shared" si="4678"/>
        <v>38</v>
      </c>
      <c r="BA876" s="151">
        <f t="shared" si="4678"/>
        <v>107</v>
      </c>
      <c r="BB876" s="151">
        <f t="shared" si="4678"/>
        <v>6</v>
      </c>
      <c r="BC876" s="151">
        <f t="shared" si="4678"/>
        <v>7</v>
      </c>
      <c r="BD876" s="151">
        <f t="shared" si="4678"/>
        <v>21</v>
      </c>
      <c r="BE876" s="151">
        <f t="shared" si="4678"/>
        <v>63</v>
      </c>
      <c r="BF876" s="151">
        <f t="shared" si="4678"/>
        <v>31</v>
      </c>
      <c r="BG876" s="151">
        <f t="shared" si="4678"/>
        <v>50</v>
      </c>
      <c r="BH876" s="151">
        <f t="shared" si="4678"/>
        <v>8</v>
      </c>
      <c r="BI876" s="151">
        <f t="shared" si="4678"/>
        <v>18</v>
      </c>
      <c r="BJ876" s="151">
        <f t="shared" si="4678"/>
        <v>19</v>
      </c>
      <c r="BK876" s="151">
        <f t="shared" si="4678"/>
        <v>1</v>
      </c>
      <c r="BL876" s="151">
        <f t="shared" si="4678"/>
        <v>0</v>
      </c>
      <c r="BM876" s="151">
        <f t="shared" si="4678"/>
        <v>0</v>
      </c>
      <c r="BN876" s="151">
        <f t="shared" si="4678"/>
        <v>0</v>
      </c>
      <c r="BO876" s="151">
        <f t="shared" si="4678"/>
        <v>0</v>
      </c>
      <c r="BP876" s="151">
        <f t="shared" si="4678"/>
        <v>0</v>
      </c>
      <c r="BQ876" s="151">
        <f t="shared" si="4678"/>
        <v>0</v>
      </c>
      <c r="BR876" s="151">
        <f t="shared" si="4678"/>
        <v>0</v>
      </c>
      <c r="BS876" s="151">
        <f t="shared" si="4678"/>
        <v>0</v>
      </c>
      <c r="BT876" s="151">
        <f t="shared" si="4678"/>
        <v>0</v>
      </c>
      <c r="BU876" s="151">
        <f t="shared" si="4678"/>
        <v>0</v>
      </c>
      <c r="BV876" s="151">
        <f t="shared" si="4678"/>
        <v>0</v>
      </c>
      <c r="BW876" s="151">
        <f t="shared" si="4678"/>
        <v>0</v>
      </c>
      <c r="BX876" s="151">
        <f t="shared" si="4678"/>
        <v>0</v>
      </c>
      <c r="BY876" s="151">
        <f t="shared" si="4678"/>
        <v>0</v>
      </c>
      <c r="BZ876" s="151">
        <f t="shared" si="4678"/>
        <v>107</v>
      </c>
      <c r="CA876" s="151">
        <f t="shared" si="4678"/>
        <v>107</v>
      </c>
      <c r="CB876" s="151">
        <f t="shared" si="4678"/>
        <v>107</v>
      </c>
      <c r="CC876" s="151">
        <f t="shared" si="4678"/>
        <v>120</v>
      </c>
      <c r="CD876" s="151">
        <f t="shared" si="4678"/>
        <v>120</v>
      </c>
      <c r="CE876" s="151">
        <f t="shared" si="4678"/>
        <v>120</v>
      </c>
      <c r="CF876" s="151">
        <f t="shared" si="4678"/>
        <v>115</v>
      </c>
      <c r="CG876" s="151">
        <f t="shared" si="4678"/>
        <v>115</v>
      </c>
      <c r="CH876" s="151">
        <f t="shared" si="4678"/>
        <v>115</v>
      </c>
      <c r="CI876" s="151">
        <f t="shared" ref="CI876:EJ876" si="4679">SUM(CI865:CI875)</f>
        <v>76</v>
      </c>
      <c r="CJ876" s="151">
        <f t="shared" si="4679"/>
        <v>76</v>
      </c>
      <c r="CK876" s="151">
        <f t="shared" si="4679"/>
        <v>76</v>
      </c>
      <c r="CL876" s="151">
        <f t="shared" si="4679"/>
        <v>20</v>
      </c>
      <c r="CM876" s="151">
        <f t="shared" si="4679"/>
        <v>20</v>
      </c>
      <c r="CN876" s="151">
        <f t="shared" si="4679"/>
        <v>20</v>
      </c>
      <c r="CO876" s="151">
        <f t="shared" si="4679"/>
        <v>0</v>
      </c>
      <c r="CP876" s="151">
        <f t="shared" si="4679"/>
        <v>0</v>
      </c>
      <c r="CQ876" s="151">
        <f t="shared" si="4679"/>
        <v>0</v>
      </c>
      <c r="CR876" s="151">
        <f t="shared" si="4679"/>
        <v>0</v>
      </c>
      <c r="CS876" s="151">
        <f t="shared" si="4679"/>
        <v>0</v>
      </c>
      <c r="CT876" s="151">
        <f t="shared" si="4679"/>
        <v>0</v>
      </c>
      <c r="CU876" s="151">
        <f t="shared" si="4679"/>
        <v>0</v>
      </c>
      <c r="CV876" s="151">
        <f t="shared" si="4679"/>
        <v>0</v>
      </c>
      <c r="CW876" s="151">
        <f t="shared" si="4679"/>
        <v>0</v>
      </c>
      <c r="CX876" s="151">
        <f t="shared" si="4679"/>
        <v>0</v>
      </c>
      <c r="CY876" s="151">
        <f t="shared" si="4679"/>
        <v>0</v>
      </c>
      <c r="CZ876" s="151">
        <f t="shared" si="4679"/>
        <v>0</v>
      </c>
      <c r="DA876" s="151">
        <f t="shared" si="4679"/>
        <v>0</v>
      </c>
      <c r="DB876" s="151">
        <f t="shared" si="4679"/>
        <v>132</v>
      </c>
      <c r="DC876" s="151">
        <f t="shared" si="4679"/>
        <v>196</v>
      </c>
      <c r="DD876" s="151">
        <f t="shared" si="4679"/>
        <v>336</v>
      </c>
      <c r="DE876" s="151">
        <f t="shared" si="4679"/>
        <v>421</v>
      </c>
      <c r="DF876" s="151">
        <f t="shared" si="4679"/>
        <v>474</v>
      </c>
      <c r="DG876" s="151">
        <f t="shared" si="4679"/>
        <v>120</v>
      </c>
      <c r="DH876" s="151">
        <f t="shared" si="4679"/>
        <v>141</v>
      </c>
      <c r="DI876" s="151">
        <f t="shared" si="4679"/>
        <v>204</v>
      </c>
      <c r="DJ876" s="151">
        <f t="shared" si="4679"/>
        <v>235</v>
      </c>
      <c r="DK876" s="151">
        <f t="shared" si="4679"/>
        <v>285</v>
      </c>
      <c r="DL876" s="151">
        <f t="shared" si="4679"/>
        <v>293</v>
      </c>
      <c r="DM876" s="151">
        <f t="shared" si="4679"/>
        <v>311</v>
      </c>
      <c r="DN876" s="151">
        <f t="shared" si="4679"/>
        <v>19</v>
      </c>
      <c r="DO876" s="151">
        <f t="shared" si="4679"/>
        <v>20</v>
      </c>
      <c r="DP876" s="151">
        <f t="shared" si="4679"/>
        <v>0</v>
      </c>
      <c r="DQ876" s="151"/>
      <c r="DR876" s="151"/>
      <c r="DS876" s="151"/>
      <c r="DT876" s="151"/>
      <c r="DU876" s="151"/>
      <c r="DV876" s="151"/>
      <c r="DW876" s="151"/>
      <c r="DX876" s="151"/>
      <c r="DY876" s="151"/>
      <c r="DZ876" s="151">
        <f t="shared" si="4679"/>
        <v>0</v>
      </c>
      <c r="EA876" s="151">
        <f t="shared" si="4679"/>
        <v>0</v>
      </c>
      <c r="EB876" s="151">
        <f t="shared" si="4679"/>
        <v>0</v>
      </c>
      <c r="EC876" s="151"/>
      <c r="ED876" s="151">
        <f t="shared" si="4679"/>
        <v>0</v>
      </c>
      <c r="EE876" s="151">
        <f t="shared" si="4679"/>
        <v>0</v>
      </c>
      <c r="EF876" s="151">
        <f t="shared" si="4679"/>
        <v>0</v>
      </c>
      <c r="EG876" s="151">
        <f t="shared" si="4679"/>
        <v>0</v>
      </c>
      <c r="EH876" s="151">
        <f t="shared" si="4679"/>
        <v>1</v>
      </c>
      <c r="EI876" s="151">
        <f t="shared" si="4679"/>
        <v>20</v>
      </c>
      <c r="EJ876" s="151">
        <f t="shared" si="4679"/>
        <v>20</v>
      </c>
      <c r="EK876" s="217">
        <f>$EK$1/12</f>
        <v>0.91666666666666663</v>
      </c>
      <c r="EL876" s="14"/>
      <c r="EM876" s="14"/>
      <c r="EN876" s="14"/>
      <c r="EO876" s="46"/>
      <c r="EP876" s="46"/>
    </row>
    <row r="877" spans="1:150">
      <c r="Y877" s="464"/>
    </row>
    <row r="878" spans="1:150" s="381" customFormat="1" ht="15.75">
      <c r="A878" s="66" t="s">
        <v>225</v>
      </c>
      <c r="C878" s="3"/>
      <c r="D878" s="3"/>
      <c r="E878" s="3"/>
      <c r="F878" s="3"/>
      <c r="G878" s="3"/>
      <c r="H878" s="3"/>
      <c r="I878" s="3"/>
      <c r="Y878" s="464"/>
      <c r="AK878" s="405"/>
      <c r="BM878" s="405"/>
      <c r="CO878" s="405"/>
      <c r="ED878" s="405"/>
    </row>
    <row r="879" spans="1:150">
      <c r="A879" s="484" t="s">
        <v>224</v>
      </c>
      <c r="B879" s="483"/>
      <c r="Y879" s="464"/>
    </row>
    <row r="880" spans="1:150">
      <c r="A880" s="480" t="s">
        <v>204</v>
      </c>
      <c r="B880" s="481" t="s">
        <v>210</v>
      </c>
      <c r="C880" s="3" t="s">
        <v>54</v>
      </c>
      <c r="E880" s="3" t="s">
        <v>16</v>
      </c>
      <c r="G880" s="245" t="s">
        <v>91</v>
      </c>
      <c r="I880" s="237"/>
      <c r="J880" s="248"/>
      <c r="K880" s="376"/>
      <c r="L880" s="376"/>
      <c r="M880" s="247"/>
      <c r="N880" s="376"/>
      <c r="O880" s="376"/>
      <c r="P880" s="376"/>
      <c r="Q880" s="376"/>
      <c r="R880" s="376"/>
      <c r="S880" s="376"/>
      <c r="T880" s="376"/>
      <c r="U880" s="376"/>
      <c r="V880" s="378">
        <v>0</v>
      </c>
      <c r="W880" s="376">
        <v>0</v>
      </c>
      <c r="X880" s="376">
        <v>0</v>
      </c>
      <c r="Y880" s="26">
        <v>0</v>
      </c>
      <c r="Z880" s="376">
        <v>0</v>
      </c>
      <c r="AA880" s="254">
        <v>0</v>
      </c>
      <c r="AB880" s="254">
        <v>0</v>
      </c>
      <c r="AC880" s="436">
        <v>0</v>
      </c>
      <c r="AD880" s="254">
        <v>0</v>
      </c>
      <c r="AE880" s="254">
        <v>0</v>
      </c>
      <c r="AF880" s="254">
        <f>55000/1000000</f>
        <v>5.5E-2</v>
      </c>
      <c r="AG880" s="254">
        <f>55000/1000000</f>
        <v>5.5E-2</v>
      </c>
      <c r="AH880" s="254">
        <v>0</v>
      </c>
      <c r="AI880" s="254">
        <v>0</v>
      </c>
      <c r="AJ880" s="254"/>
      <c r="AK880" s="408"/>
      <c r="AL880" s="248">
        <f t="shared" ref="AL880:AL890" si="4680">J880-I880</f>
        <v>0</v>
      </c>
      <c r="AM880" s="248">
        <f t="shared" ref="AM880:AM890" si="4681">K880-J880</f>
        <v>0</v>
      </c>
      <c r="AN880" s="248">
        <f t="shared" ref="AN880:AN890" si="4682">L880-K880</f>
        <v>0</v>
      </c>
      <c r="AO880" s="248">
        <f>M880</f>
        <v>0</v>
      </c>
      <c r="AP880" s="223">
        <f t="shared" ref="AP880:AP890" si="4683">IF(N880&lt;&gt;"",N880-M880,0)</f>
        <v>0</v>
      </c>
      <c r="AQ880" s="223">
        <f t="shared" ref="AQ880:AQ890" si="4684">IF(O880&lt;&gt;"",O880-N880,0)</f>
        <v>0</v>
      </c>
      <c r="AR880" s="223">
        <f t="shared" ref="AR880:AR890" si="4685">IF(P880&lt;&gt;"",P880-O880,0)</f>
        <v>0</v>
      </c>
      <c r="AS880" s="223">
        <f t="shared" ref="AS880:AS890" si="4686">IF(Q880&lt;&gt;"",Q880-P880,0)</f>
        <v>0</v>
      </c>
      <c r="AT880" s="223">
        <f t="shared" ref="AT880:AT890" si="4687">IF(R880&lt;&gt;"",R880-Q880,0)</f>
        <v>0</v>
      </c>
      <c r="AU880" s="223">
        <f t="shared" ref="AU880:AU890" si="4688">IF(S880&lt;&gt;"",S880-R880,0)</f>
        <v>0</v>
      </c>
      <c r="AV880" s="223">
        <f t="shared" ref="AV880:AV890" si="4689">IF(T880&lt;&gt;"",T880-S880,0)</f>
        <v>0</v>
      </c>
      <c r="AW880" s="223">
        <f t="shared" ref="AW880:AW890" si="4690">IF(U880&lt;&gt;"",U880-T880,0)</f>
        <v>0</v>
      </c>
      <c r="AX880" s="223">
        <f>IF(V880&lt;&gt;"",V880-U880,0)</f>
        <v>0</v>
      </c>
      <c r="AY880" s="223">
        <f t="shared" ref="AY880:AY890" si="4691">IF(W880&lt;&gt;"",W880-V880,0)</f>
        <v>0</v>
      </c>
      <c r="AZ880" s="223">
        <f t="shared" ref="AZ880:AZ890" si="4692">IF(X880&lt;&gt;"",X880-W880,0)</f>
        <v>0</v>
      </c>
      <c r="BA880" s="223">
        <f>Y880</f>
        <v>0</v>
      </c>
      <c r="BB880" s="223">
        <f t="shared" ref="BB880:BB890" si="4693">IF(Z880&lt;&gt;"",Z880-Y880,0)</f>
        <v>0</v>
      </c>
      <c r="BC880" s="223">
        <f t="shared" ref="BC880:BC890" si="4694">IF(AA880&lt;&gt;"",AA880-Z880,0)</f>
        <v>0</v>
      </c>
      <c r="BD880" s="223">
        <f t="shared" ref="BD880:BD890" si="4695">IF(AB880&lt;&gt;"",AB880-AA880,0)</f>
        <v>0</v>
      </c>
      <c r="BE880" s="223">
        <f t="shared" ref="BE880:BE890" si="4696">IF(AC880&lt;&gt;"",AC880-AB880,0)</f>
        <v>0</v>
      </c>
      <c r="BF880" s="223">
        <f t="shared" ref="BF880:BF890" si="4697">IF(AD880&lt;&gt;"",AD880-AC880,0)</f>
        <v>0</v>
      </c>
      <c r="BG880" s="223">
        <f t="shared" ref="BG880:BG890" si="4698">IF(AE880&lt;&gt;"",AE880-AD880,0)</f>
        <v>0</v>
      </c>
      <c r="BH880" s="223">
        <f t="shared" ref="BH880:BH890" si="4699">IF(AF880&lt;&gt;"",AF880-AE880,0)</f>
        <v>5.5E-2</v>
      </c>
      <c r="BI880" s="223">
        <f t="shared" ref="BI880:BI890" si="4700">IF(AG880&lt;&gt;"",AG880-AF880,0)</f>
        <v>0</v>
      </c>
      <c r="BJ880" s="223">
        <f>IF(AH880&lt;&gt;"",AH880)</f>
        <v>0</v>
      </c>
      <c r="BK880" s="223">
        <f t="shared" ref="BK880:BK890" si="4701">IF(AI880&lt;&gt;"",AI880-AH880,0)</f>
        <v>0</v>
      </c>
      <c r="BL880" s="223">
        <f t="shared" ref="BL880:BL890" si="4702">IF(AJ880&lt;&gt;"",AJ880-AI880,0)</f>
        <v>0</v>
      </c>
      <c r="BM880" s="408"/>
      <c r="BN880" s="48">
        <f>BP880</f>
        <v>0</v>
      </c>
      <c r="BO880" s="48">
        <f>BP880</f>
        <v>0</v>
      </c>
      <c r="BP880" s="48">
        <f>SUM(AL880:AN880)</f>
        <v>0</v>
      </c>
      <c r="BQ880" s="48">
        <f>BS880</f>
        <v>0</v>
      </c>
      <c r="BR880" s="48">
        <f>BS880</f>
        <v>0</v>
      </c>
      <c r="BS880" s="48">
        <f>SUM(AO880:AQ880)</f>
        <v>0</v>
      </c>
      <c r="BT880" s="48">
        <f>BV880</f>
        <v>0</v>
      </c>
      <c r="BU880" s="48">
        <f>BV880</f>
        <v>0</v>
      </c>
      <c r="BV880" s="48">
        <f>SUM(AR880:AT880)</f>
        <v>0</v>
      </c>
      <c r="BW880" s="48">
        <f>BY880</f>
        <v>0</v>
      </c>
      <c r="BX880" s="48">
        <f>BY880</f>
        <v>0</v>
      </c>
      <c r="BY880" s="119">
        <f>SUM(AU880:AW880)</f>
        <v>0</v>
      </c>
      <c r="BZ880" s="119">
        <f>CB880</f>
        <v>0</v>
      </c>
      <c r="CA880" s="119">
        <f>CB880</f>
        <v>0</v>
      </c>
      <c r="CB880" s="119">
        <f>SUM(AX880:AZ880)</f>
        <v>0</v>
      </c>
      <c r="CC880" s="119">
        <f>CE880</f>
        <v>0</v>
      </c>
      <c r="CD880" s="119">
        <f>CE880</f>
        <v>0</v>
      </c>
      <c r="CE880" s="119">
        <f>SUM(BA880:BC880)</f>
        <v>0</v>
      </c>
      <c r="CF880" s="119">
        <f>CH880</f>
        <v>0</v>
      </c>
      <c r="CG880" s="119">
        <f>CH880</f>
        <v>0</v>
      </c>
      <c r="CH880" s="119">
        <f>SUM(BD880:BF880)</f>
        <v>0</v>
      </c>
      <c r="CI880" s="119">
        <f>CK880</f>
        <v>5.5E-2</v>
      </c>
      <c r="CJ880" s="119">
        <f>CK880</f>
        <v>5.5E-2</v>
      </c>
      <c r="CK880" s="119">
        <f>SUM(BG880:BI880)</f>
        <v>5.5E-2</v>
      </c>
      <c r="CL880" s="119">
        <f>CN880</f>
        <v>0</v>
      </c>
      <c r="CM880" s="119">
        <f>CN880</f>
        <v>0</v>
      </c>
      <c r="CN880" s="119">
        <f>SUM(BJ880:BL880)</f>
        <v>0</v>
      </c>
      <c r="CO880" s="406"/>
      <c r="CP880" s="248">
        <f t="shared" ref="CP880:CP890" si="4703">I880+AL880</f>
        <v>0</v>
      </c>
      <c r="CQ880" s="248">
        <f t="shared" ref="CQ880:CQ890" si="4704">J880+AM880</f>
        <v>0</v>
      </c>
      <c r="CR880" s="248">
        <f t="shared" ref="CR880:CR890" si="4705">K880+AN880</f>
        <v>0</v>
      </c>
      <c r="CS880" s="248">
        <f>AO880</f>
        <v>0</v>
      </c>
      <c r="CT880" s="248">
        <f t="shared" ref="CT880:CT890" si="4706">M880+AP880</f>
        <v>0</v>
      </c>
      <c r="CU880" s="248">
        <f t="shared" ref="CU880:CU890" si="4707">N880+AQ880</f>
        <v>0</v>
      </c>
      <c r="CV880" s="248">
        <f t="shared" ref="CV880:CV890" si="4708">O880+AR880</f>
        <v>0</v>
      </c>
      <c r="CW880" s="248">
        <f t="shared" ref="CW880:CW890" si="4709">P880+AS880</f>
        <v>0</v>
      </c>
      <c r="CX880" s="248">
        <f t="shared" ref="CX880:CX890" si="4710">Q880+AT880</f>
        <v>0</v>
      </c>
      <c r="CY880" s="248">
        <f t="shared" ref="CY880:CY890" si="4711">R880+AU880</f>
        <v>0</v>
      </c>
      <c r="CZ880" s="248">
        <f t="shared" ref="CZ880:CZ890" si="4712">S880+AV880</f>
        <v>0</v>
      </c>
      <c r="DA880" s="248">
        <f t="shared" ref="DA880:DA890" si="4713">T880+AW880</f>
        <v>0</v>
      </c>
      <c r="DB880" s="504">
        <v>0</v>
      </c>
      <c r="DC880" s="504">
        <v>0</v>
      </c>
      <c r="DD880" s="504">
        <f t="shared" ref="DD880:DD887" si="4714">W880+AZ880</f>
        <v>0</v>
      </c>
      <c r="DE880" s="504">
        <v>0</v>
      </c>
      <c r="DF880" s="504">
        <f>Y880+BB880</f>
        <v>0</v>
      </c>
      <c r="DG880" s="223">
        <f t="shared" ref="DG880:DG890" si="4715">Z880+BC880</f>
        <v>0</v>
      </c>
      <c r="DH880" s="223">
        <f t="shared" ref="DH880:DH890" si="4716">AA880+BD880</f>
        <v>0</v>
      </c>
      <c r="DI880" s="223">
        <f t="shared" ref="DI880:DI890" si="4717">AB880+BE880</f>
        <v>0</v>
      </c>
      <c r="DJ880" s="223">
        <f t="shared" ref="DJ880:DJ890" si="4718">AC880+BF880</f>
        <v>0</v>
      </c>
      <c r="DK880" s="223">
        <f t="shared" ref="DK880:DK890" si="4719">AD880+BG880</f>
        <v>0</v>
      </c>
      <c r="DL880" s="223">
        <f t="shared" ref="DL880:DL890" si="4720">AE880+BH880</f>
        <v>5.5E-2</v>
      </c>
      <c r="DM880" s="223">
        <f t="shared" ref="DM880:DM890" si="4721">AF880+BI880</f>
        <v>5.5E-2</v>
      </c>
      <c r="DN880" s="248">
        <f>AH880</f>
        <v>0</v>
      </c>
      <c r="DO880" s="248">
        <f>AI880</f>
        <v>0</v>
      </c>
      <c r="DP880" s="248"/>
      <c r="DQ880" s="248"/>
      <c r="DR880" s="248"/>
      <c r="DS880" s="248"/>
      <c r="DT880" s="248"/>
      <c r="DU880" s="248"/>
      <c r="DV880" s="248"/>
      <c r="DW880" s="248"/>
      <c r="DX880" s="248"/>
      <c r="DY880" s="248"/>
      <c r="DZ880" s="381"/>
      <c r="EA880" s="381"/>
      <c r="EB880" s="381"/>
      <c r="ED880" s="429"/>
      <c r="EE880" s="242"/>
      <c r="EF880" s="242"/>
      <c r="EG880" s="242"/>
      <c r="EH880" s="243">
        <f t="shared" ref="EH880:EH890" si="4722">HLOOKUP($I$1,Month,ROW()-1)</f>
        <v>0</v>
      </c>
      <c r="EI880" s="243">
        <f t="shared" ref="EI880:EI890" si="4723">HLOOKUP($I$1,Qtr,ROW()-1)</f>
        <v>0</v>
      </c>
      <c r="EJ880" s="243">
        <f t="shared" ref="EJ880:EJ890" si="4724">HLOOKUP($I$1,YTD,ROW()-1)</f>
        <v>0</v>
      </c>
      <c r="EK880" s="217">
        <f>$EK$1/12</f>
        <v>0.91666666666666663</v>
      </c>
      <c r="EL880" s="14"/>
      <c r="EM880" s="14"/>
      <c r="EN880" s="14"/>
      <c r="EO880" s="46"/>
      <c r="EP880" s="46"/>
      <c r="EQ880" s="381"/>
      <c r="ER880" s="381"/>
      <c r="ES880" s="381"/>
    </row>
    <row r="881" spans="1:150" ht="15.75">
      <c r="A881" s="480" t="s">
        <v>204</v>
      </c>
      <c r="B881" s="481" t="s">
        <v>211</v>
      </c>
      <c r="C881" s="3" t="s">
        <v>54</v>
      </c>
      <c r="E881" s="3" t="s">
        <v>16</v>
      </c>
      <c r="G881" s="245" t="s">
        <v>91</v>
      </c>
      <c r="I881" s="237"/>
      <c r="J881" s="248"/>
      <c r="K881" s="376"/>
      <c r="L881" s="376"/>
      <c r="M881" s="247"/>
      <c r="N881" s="376"/>
      <c r="O881" s="376"/>
      <c r="P881" s="376"/>
      <c r="Q881" s="376"/>
      <c r="R881" s="376"/>
      <c r="S881" s="376"/>
      <c r="T881" s="376"/>
      <c r="U881" s="376"/>
      <c r="V881" s="378">
        <v>0</v>
      </c>
      <c r="W881" s="376">
        <v>0</v>
      </c>
      <c r="X881" s="376">
        <v>0</v>
      </c>
      <c r="Y881" s="26">
        <v>1.7652999999999999E-2</v>
      </c>
      <c r="Z881" s="376">
        <v>6.7653000000000005E-2</v>
      </c>
      <c r="AA881" s="254">
        <v>6.7650000000000002E-2</v>
      </c>
      <c r="AB881" s="254">
        <v>6.7653000000000005E-2</v>
      </c>
      <c r="AC881" s="436">
        <v>7.9653000000000002E-2</v>
      </c>
      <c r="AD881" s="254">
        <v>7.9653000000000002E-2</v>
      </c>
      <c r="AE881" s="254">
        <v>7.9653000000000002E-2</v>
      </c>
      <c r="AF881" s="254">
        <f>79653/1000000</f>
        <v>7.9653000000000002E-2</v>
      </c>
      <c r="AG881" s="254">
        <v>7.9653000000000002E-2</v>
      </c>
      <c r="AH881" s="254">
        <v>0</v>
      </c>
      <c r="AI881" s="436">
        <v>2E-3</v>
      </c>
      <c r="AJ881" s="254"/>
      <c r="AK881" s="408"/>
      <c r="AL881" s="248">
        <f t="shared" si="4680"/>
        <v>0</v>
      </c>
      <c r="AM881" s="248">
        <f t="shared" si="4681"/>
        <v>0</v>
      </c>
      <c r="AN881" s="248">
        <f t="shared" si="4682"/>
        <v>0</v>
      </c>
      <c r="AO881" s="248">
        <f t="shared" ref="AO881:AO890" si="4725">M881</f>
        <v>0</v>
      </c>
      <c r="AP881" s="286">
        <f t="shared" si="4683"/>
        <v>0</v>
      </c>
      <c r="AQ881" s="510">
        <f t="shared" si="4684"/>
        <v>0</v>
      </c>
      <c r="AR881" s="510">
        <f t="shared" si="4685"/>
        <v>0</v>
      </c>
      <c r="AS881" s="510">
        <f t="shared" si="4686"/>
        <v>0</v>
      </c>
      <c r="AT881" s="510">
        <f t="shared" si="4687"/>
        <v>0</v>
      </c>
      <c r="AU881" s="510">
        <f t="shared" si="4688"/>
        <v>0</v>
      </c>
      <c r="AV881" s="510">
        <f t="shared" si="4689"/>
        <v>0</v>
      </c>
      <c r="AW881" s="510">
        <f t="shared" si="4690"/>
        <v>0</v>
      </c>
      <c r="AX881" s="510">
        <f t="shared" ref="AX881:AX890" si="4726">IF(V881&lt;&gt;"",V881-U881,0)</f>
        <v>0</v>
      </c>
      <c r="AY881" s="511">
        <f t="shared" si="4691"/>
        <v>0</v>
      </c>
      <c r="AZ881" s="511">
        <f t="shared" si="4692"/>
        <v>0</v>
      </c>
      <c r="BA881" s="504">
        <f t="shared" ref="BA881:BA890" si="4727">Y881</f>
        <v>1.7652999999999999E-2</v>
      </c>
      <c r="BB881" s="511">
        <f t="shared" si="4693"/>
        <v>0.05</v>
      </c>
      <c r="BC881" s="511">
        <f t="shared" si="4694"/>
        <v>-3.0000000000030003E-6</v>
      </c>
      <c r="BD881" s="511">
        <f t="shared" si="4695"/>
        <v>3.0000000000030003E-6</v>
      </c>
      <c r="BE881" s="511">
        <f t="shared" si="4696"/>
        <v>1.1999999999999997E-2</v>
      </c>
      <c r="BF881" s="510">
        <f t="shared" si="4697"/>
        <v>0</v>
      </c>
      <c r="BG881" s="510">
        <f t="shared" si="4698"/>
        <v>0</v>
      </c>
      <c r="BH881" s="510">
        <f t="shared" si="4699"/>
        <v>0</v>
      </c>
      <c r="BI881" s="510">
        <f t="shared" si="4700"/>
        <v>0</v>
      </c>
      <c r="BJ881" s="223">
        <f t="shared" ref="BJ881:BJ890" si="4728">IF(AH881&lt;&gt;"",AH881)</f>
        <v>0</v>
      </c>
      <c r="BK881" s="510">
        <f t="shared" si="4701"/>
        <v>2E-3</v>
      </c>
      <c r="BL881" s="510">
        <f t="shared" si="4702"/>
        <v>0</v>
      </c>
      <c r="BM881" s="408"/>
      <c r="BN881" s="48">
        <f t="shared" ref="BN881:BN890" si="4729">BP881</f>
        <v>0</v>
      </c>
      <c r="BO881" s="48">
        <f t="shared" ref="BO881:BO890" si="4730">BP881</f>
        <v>0</v>
      </c>
      <c r="BP881" s="48">
        <f t="shared" ref="BP881:BP890" si="4731">SUM(AL881:AN881)</f>
        <v>0</v>
      </c>
      <c r="BQ881" s="48">
        <f t="shared" ref="BQ881:BQ890" si="4732">BS881</f>
        <v>0</v>
      </c>
      <c r="BR881" s="48">
        <f t="shared" ref="BR881:BR890" si="4733">BS881</f>
        <v>0</v>
      </c>
      <c r="BS881" s="48">
        <f t="shared" ref="BS881:BS890" si="4734">SUM(AO881:AQ881)</f>
        <v>0</v>
      </c>
      <c r="BT881" s="48">
        <f t="shared" ref="BT881:BT890" si="4735">BV881</f>
        <v>0</v>
      </c>
      <c r="BU881" s="48">
        <f t="shared" ref="BU881:BU890" si="4736">BV881</f>
        <v>0</v>
      </c>
      <c r="BV881" s="48">
        <f t="shared" ref="BV881:BV890" si="4737">SUM(AR881:AT881)</f>
        <v>0</v>
      </c>
      <c r="BW881" s="48">
        <f t="shared" ref="BW881:BW890" si="4738">BY881</f>
        <v>0</v>
      </c>
      <c r="BX881" s="48">
        <f t="shared" ref="BX881:BX890" si="4739">BY881</f>
        <v>0</v>
      </c>
      <c r="BY881" s="119">
        <f t="shared" ref="BY881:BY890" si="4740">SUM(AU881:AW881)</f>
        <v>0</v>
      </c>
      <c r="BZ881" s="119">
        <f t="shared" ref="BZ881:BZ890" si="4741">CB881</f>
        <v>0</v>
      </c>
      <c r="CA881" s="119">
        <f t="shared" ref="CA881:CA890" si="4742">CB881</f>
        <v>0</v>
      </c>
      <c r="CB881" s="119">
        <f t="shared" ref="CB881:CB890" si="4743">SUM(AX881:AZ881)</f>
        <v>0</v>
      </c>
      <c r="CC881" s="119">
        <f t="shared" ref="CC881:CC890" si="4744">CE881</f>
        <v>6.7650000000000002E-2</v>
      </c>
      <c r="CD881" s="119">
        <f t="shared" ref="CD881:CD890" si="4745">CE881</f>
        <v>6.7650000000000002E-2</v>
      </c>
      <c r="CE881" s="119">
        <f t="shared" ref="CE881:CE890" si="4746">SUM(BA881:BC881)</f>
        <v>6.7650000000000002E-2</v>
      </c>
      <c r="CF881" s="119">
        <f t="shared" ref="CF881:CF890" si="4747">CH881</f>
        <v>1.2003E-2</v>
      </c>
      <c r="CG881" s="119">
        <f t="shared" ref="CG881:CG890" si="4748">CH881</f>
        <v>1.2003E-2</v>
      </c>
      <c r="CH881" s="119">
        <f t="shared" ref="CH881:CH890" si="4749">SUM(BD881:BF881)</f>
        <v>1.2003E-2</v>
      </c>
      <c r="CI881" s="119">
        <f t="shared" ref="CI881:CI890" si="4750">CK881</f>
        <v>0</v>
      </c>
      <c r="CJ881" s="119">
        <f t="shared" ref="CJ881:CJ890" si="4751">CK881</f>
        <v>0</v>
      </c>
      <c r="CK881" s="119">
        <f t="shared" ref="CK881:CK890" si="4752">SUM(BG881:BI881)</f>
        <v>0</v>
      </c>
      <c r="CL881" s="119">
        <f t="shared" ref="CL881:CL890" si="4753">CN881</f>
        <v>2E-3</v>
      </c>
      <c r="CM881" s="119">
        <f t="shared" ref="CM881:CM890" si="4754">CN881</f>
        <v>2E-3</v>
      </c>
      <c r="CN881" s="119">
        <f t="shared" ref="CN881:CN890" si="4755">SUM(BJ881:BL881)</f>
        <v>2E-3</v>
      </c>
      <c r="CO881" s="406"/>
      <c r="CP881" s="248">
        <f t="shared" si="4703"/>
        <v>0</v>
      </c>
      <c r="CQ881" s="248">
        <f t="shared" si="4704"/>
        <v>0</v>
      </c>
      <c r="CR881" s="248">
        <f t="shared" si="4705"/>
        <v>0</v>
      </c>
      <c r="CS881" s="248">
        <f t="shared" ref="CS881:CS890" si="4756">AO881</f>
        <v>0</v>
      </c>
      <c r="CT881" s="248">
        <f t="shared" si="4706"/>
        <v>0</v>
      </c>
      <c r="CU881" s="248">
        <f t="shared" si="4707"/>
        <v>0</v>
      </c>
      <c r="CV881" s="248">
        <f t="shared" si="4708"/>
        <v>0</v>
      </c>
      <c r="CW881" s="248">
        <f t="shared" si="4709"/>
        <v>0</v>
      </c>
      <c r="CX881" s="248">
        <f t="shared" si="4710"/>
        <v>0</v>
      </c>
      <c r="CY881" s="248">
        <f t="shared" si="4711"/>
        <v>0</v>
      </c>
      <c r="CZ881" s="248">
        <f t="shared" si="4712"/>
        <v>0</v>
      </c>
      <c r="DA881" s="248">
        <f t="shared" si="4713"/>
        <v>0</v>
      </c>
      <c r="DB881" s="504">
        <v>0</v>
      </c>
      <c r="DC881" s="504">
        <f t="shared" ref="DC881:DC887" si="4757">V881+AY881</f>
        <v>0</v>
      </c>
      <c r="DD881" s="504">
        <f t="shared" si="4714"/>
        <v>0</v>
      </c>
      <c r="DE881" s="504">
        <v>1.7652999999999999E-2</v>
      </c>
      <c r="DF881" s="504">
        <v>6.7653000000000005E-2</v>
      </c>
      <c r="DG881" s="223">
        <f t="shared" si="4715"/>
        <v>6.7650000000000002E-2</v>
      </c>
      <c r="DH881" s="223">
        <f t="shared" si="4716"/>
        <v>6.7653000000000005E-2</v>
      </c>
      <c r="DI881" s="223">
        <f t="shared" si="4717"/>
        <v>7.9653000000000002E-2</v>
      </c>
      <c r="DJ881" s="223">
        <f t="shared" si="4718"/>
        <v>7.9653000000000002E-2</v>
      </c>
      <c r="DK881" s="223">
        <f t="shared" si="4719"/>
        <v>7.9653000000000002E-2</v>
      </c>
      <c r="DL881" s="223">
        <f t="shared" si="4720"/>
        <v>7.9653000000000002E-2</v>
      </c>
      <c r="DM881" s="223">
        <f t="shared" si="4721"/>
        <v>7.9653000000000002E-2</v>
      </c>
      <c r="DN881" s="248">
        <f t="shared" ref="DN881:DO890" si="4758">AH881</f>
        <v>0</v>
      </c>
      <c r="DO881" s="248">
        <f t="shared" si="4758"/>
        <v>2E-3</v>
      </c>
      <c r="DP881" s="248"/>
      <c r="DQ881" s="248"/>
      <c r="DR881" s="248"/>
      <c r="DS881" s="248"/>
      <c r="DT881" s="248"/>
      <c r="DU881" s="248"/>
      <c r="DV881" s="248"/>
      <c r="DW881" s="248"/>
      <c r="DX881" s="248"/>
      <c r="DY881" s="248"/>
      <c r="DZ881" s="381"/>
      <c r="EA881" s="381"/>
      <c r="EB881" s="381"/>
      <c r="ED881" s="429"/>
      <c r="EE881" s="242"/>
      <c r="EF881" s="242"/>
      <c r="EG881" s="242"/>
      <c r="EH881" s="243">
        <f t="shared" si="4722"/>
        <v>2E-3</v>
      </c>
      <c r="EI881" s="243">
        <f t="shared" si="4723"/>
        <v>2E-3</v>
      </c>
      <c r="EJ881" s="243">
        <f t="shared" si="4724"/>
        <v>2E-3</v>
      </c>
      <c r="EK881" s="217">
        <f t="shared" ref="EK881:EK890" si="4759">$EK$1/12</f>
        <v>0.91666666666666663</v>
      </c>
      <c r="EL881" s="14"/>
      <c r="EM881" s="14"/>
      <c r="EN881" s="14"/>
      <c r="EO881" s="46"/>
      <c r="EP881" s="46"/>
      <c r="EQ881" s="381"/>
      <c r="ER881" s="381"/>
      <c r="ES881" s="381"/>
    </row>
    <row r="882" spans="1:150" ht="15.75">
      <c r="A882" s="480" t="s">
        <v>204</v>
      </c>
      <c r="B882" s="481" t="s">
        <v>212</v>
      </c>
      <c r="C882" s="3" t="s">
        <v>54</v>
      </c>
      <c r="E882" s="3" t="s">
        <v>16</v>
      </c>
      <c r="G882" s="245" t="s">
        <v>91</v>
      </c>
      <c r="I882" s="237"/>
      <c r="J882" s="248"/>
      <c r="K882" s="376"/>
      <c r="L882" s="376"/>
      <c r="M882" s="247"/>
      <c r="N882" s="376"/>
      <c r="O882" s="376"/>
      <c r="P882" s="376"/>
      <c r="Q882" s="376"/>
      <c r="R882" s="376"/>
      <c r="S882" s="376"/>
      <c r="T882" s="376"/>
      <c r="U882" s="376"/>
      <c r="V882" s="378">
        <v>0</v>
      </c>
      <c r="W882" s="376">
        <v>0.01</v>
      </c>
      <c r="X882" s="376">
        <v>0.51</v>
      </c>
      <c r="Y882" s="26">
        <v>0.51</v>
      </c>
      <c r="Z882" s="376">
        <v>0.51</v>
      </c>
      <c r="AA882" s="254">
        <v>0.51</v>
      </c>
      <c r="AB882" s="254">
        <v>0.51</v>
      </c>
      <c r="AC882" s="436">
        <v>0.51</v>
      </c>
      <c r="AD882" s="254">
        <v>0.51</v>
      </c>
      <c r="AE882" s="254">
        <v>0.51</v>
      </c>
      <c r="AF882" s="254">
        <f>0.51</f>
        <v>0.51</v>
      </c>
      <c r="AG882" s="254">
        <v>0.5292</v>
      </c>
      <c r="AH882" s="254">
        <v>0</v>
      </c>
      <c r="AI882" s="254">
        <v>0</v>
      </c>
      <c r="AJ882" s="254"/>
      <c r="AK882" s="408"/>
      <c r="AL882" s="248">
        <f t="shared" si="4680"/>
        <v>0</v>
      </c>
      <c r="AM882" s="248">
        <f t="shared" si="4681"/>
        <v>0</v>
      </c>
      <c r="AN882" s="248">
        <f t="shared" si="4682"/>
        <v>0</v>
      </c>
      <c r="AO882" s="248">
        <f t="shared" si="4725"/>
        <v>0</v>
      </c>
      <c r="AP882" s="286">
        <f t="shared" si="4683"/>
        <v>0</v>
      </c>
      <c r="AQ882" s="510">
        <f t="shared" si="4684"/>
        <v>0</v>
      </c>
      <c r="AR882" s="510">
        <f t="shared" si="4685"/>
        <v>0</v>
      </c>
      <c r="AS882" s="510">
        <f t="shared" si="4686"/>
        <v>0</v>
      </c>
      <c r="AT882" s="510">
        <f t="shared" si="4687"/>
        <v>0</v>
      </c>
      <c r="AU882" s="510">
        <f t="shared" si="4688"/>
        <v>0</v>
      </c>
      <c r="AV882" s="510">
        <f t="shared" si="4689"/>
        <v>0</v>
      </c>
      <c r="AW882" s="510">
        <f t="shared" si="4690"/>
        <v>0</v>
      </c>
      <c r="AX882" s="510">
        <f t="shared" si="4726"/>
        <v>0</v>
      </c>
      <c r="AY882" s="510">
        <f t="shared" si="4691"/>
        <v>0.01</v>
      </c>
      <c r="AZ882" s="510">
        <f t="shared" si="4692"/>
        <v>0.5</v>
      </c>
      <c r="BA882" s="223">
        <f t="shared" si="4727"/>
        <v>0.51</v>
      </c>
      <c r="BB882" s="510">
        <f t="shared" si="4693"/>
        <v>0</v>
      </c>
      <c r="BC882" s="510">
        <f t="shared" si="4694"/>
        <v>0</v>
      </c>
      <c r="BD882" s="510">
        <f t="shared" si="4695"/>
        <v>0</v>
      </c>
      <c r="BE882" s="510">
        <f t="shared" si="4696"/>
        <v>0</v>
      </c>
      <c r="BF882" s="510">
        <f t="shared" si="4697"/>
        <v>0</v>
      </c>
      <c r="BG882" s="510">
        <f t="shared" si="4698"/>
        <v>0</v>
      </c>
      <c r="BH882" s="510">
        <f t="shared" si="4699"/>
        <v>0</v>
      </c>
      <c r="BI882" s="510">
        <f t="shared" si="4700"/>
        <v>1.9199999999999995E-2</v>
      </c>
      <c r="BJ882" s="223">
        <f t="shared" si="4728"/>
        <v>0</v>
      </c>
      <c r="BK882" s="510">
        <f t="shared" si="4701"/>
        <v>0</v>
      </c>
      <c r="BL882" s="510">
        <f t="shared" si="4702"/>
        <v>0</v>
      </c>
      <c r="BM882" s="408"/>
      <c r="BN882" s="48">
        <f t="shared" si="4729"/>
        <v>0</v>
      </c>
      <c r="BO882" s="48">
        <f t="shared" si="4730"/>
        <v>0</v>
      </c>
      <c r="BP882" s="48">
        <f t="shared" si="4731"/>
        <v>0</v>
      </c>
      <c r="BQ882" s="48">
        <f t="shared" si="4732"/>
        <v>0</v>
      </c>
      <c r="BR882" s="48">
        <f t="shared" si="4733"/>
        <v>0</v>
      </c>
      <c r="BS882" s="48">
        <f t="shared" si="4734"/>
        <v>0</v>
      </c>
      <c r="BT882" s="48">
        <f t="shared" si="4735"/>
        <v>0</v>
      </c>
      <c r="BU882" s="48">
        <f t="shared" si="4736"/>
        <v>0</v>
      </c>
      <c r="BV882" s="48">
        <f t="shared" si="4737"/>
        <v>0</v>
      </c>
      <c r="BW882" s="48">
        <f t="shared" si="4738"/>
        <v>0</v>
      </c>
      <c r="BX882" s="48">
        <f t="shared" si="4739"/>
        <v>0</v>
      </c>
      <c r="BY882" s="119">
        <f t="shared" si="4740"/>
        <v>0</v>
      </c>
      <c r="BZ882" s="119">
        <f t="shared" si="4741"/>
        <v>0.51</v>
      </c>
      <c r="CA882" s="119">
        <f t="shared" si="4742"/>
        <v>0.51</v>
      </c>
      <c r="CB882" s="119">
        <f t="shared" si="4743"/>
        <v>0.51</v>
      </c>
      <c r="CC882" s="119">
        <f t="shared" si="4744"/>
        <v>0.51</v>
      </c>
      <c r="CD882" s="119">
        <f t="shared" si="4745"/>
        <v>0.51</v>
      </c>
      <c r="CE882" s="119">
        <f t="shared" si="4746"/>
        <v>0.51</v>
      </c>
      <c r="CF882" s="119">
        <f t="shared" si="4747"/>
        <v>0</v>
      </c>
      <c r="CG882" s="119">
        <f t="shared" si="4748"/>
        <v>0</v>
      </c>
      <c r="CH882" s="119">
        <f t="shared" si="4749"/>
        <v>0</v>
      </c>
      <c r="CI882" s="119">
        <f t="shared" si="4750"/>
        <v>1.9199999999999995E-2</v>
      </c>
      <c r="CJ882" s="119">
        <f t="shared" si="4751"/>
        <v>1.9199999999999995E-2</v>
      </c>
      <c r="CK882" s="119">
        <f t="shared" si="4752"/>
        <v>1.9199999999999995E-2</v>
      </c>
      <c r="CL882" s="119">
        <f t="shared" si="4753"/>
        <v>0</v>
      </c>
      <c r="CM882" s="119">
        <f t="shared" si="4754"/>
        <v>0</v>
      </c>
      <c r="CN882" s="119">
        <f t="shared" si="4755"/>
        <v>0</v>
      </c>
      <c r="CO882" s="406"/>
      <c r="CP882" s="248">
        <f t="shared" si="4703"/>
        <v>0</v>
      </c>
      <c r="CQ882" s="248">
        <f t="shared" si="4704"/>
        <v>0</v>
      </c>
      <c r="CR882" s="248">
        <f t="shared" si="4705"/>
        <v>0</v>
      </c>
      <c r="CS882" s="248">
        <f t="shared" si="4756"/>
        <v>0</v>
      </c>
      <c r="CT882" s="248">
        <f t="shared" si="4706"/>
        <v>0</v>
      </c>
      <c r="CU882" s="248">
        <f t="shared" si="4707"/>
        <v>0</v>
      </c>
      <c r="CV882" s="248">
        <f t="shared" si="4708"/>
        <v>0</v>
      </c>
      <c r="CW882" s="248">
        <f t="shared" si="4709"/>
        <v>0</v>
      </c>
      <c r="CX882" s="248">
        <f t="shared" si="4710"/>
        <v>0</v>
      </c>
      <c r="CY882" s="248">
        <f t="shared" si="4711"/>
        <v>0</v>
      </c>
      <c r="CZ882" s="248">
        <f t="shared" si="4712"/>
        <v>0</v>
      </c>
      <c r="DA882" s="248">
        <f t="shared" si="4713"/>
        <v>0</v>
      </c>
      <c r="DB882" s="504">
        <v>0</v>
      </c>
      <c r="DC882" s="504">
        <v>0.01</v>
      </c>
      <c r="DD882" s="504">
        <v>0.51</v>
      </c>
      <c r="DE882" s="504">
        <v>0.51</v>
      </c>
      <c r="DF882" s="504">
        <v>0.51</v>
      </c>
      <c r="DG882" s="223">
        <f t="shared" si="4715"/>
        <v>0.51</v>
      </c>
      <c r="DH882" s="223">
        <f t="shared" si="4716"/>
        <v>0.51</v>
      </c>
      <c r="DI882" s="223">
        <f t="shared" si="4717"/>
        <v>0.51</v>
      </c>
      <c r="DJ882" s="223">
        <f t="shared" si="4718"/>
        <v>0.51</v>
      </c>
      <c r="DK882" s="223">
        <f t="shared" si="4719"/>
        <v>0.51</v>
      </c>
      <c r="DL882" s="223">
        <f t="shared" si="4720"/>
        <v>0.51</v>
      </c>
      <c r="DM882" s="223">
        <f t="shared" si="4721"/>
        <v>0.5292</v>
      </c>
      <c r="DN882" s="248">
        <f t="shared" si="4758"/>
        <v>0</v>
      </c>
      <c r="DO882" s="248">
        <f t="shared" si="4758"/>
        <v>0</v>
      </c>
      <c r="DP882" s="248"/>
      <c r="DQ882" s="248"/>
      <c r="DR882" s="248"/>
      <c r="DS882" s="248"/>
      <c r="DT882" s="248"/>
      <c r="DU882" s="248"/>
      <c r="DV882" s="248"/>
      <c r="DW882" s="248"/>
      <c r="DX882" s="248"/>
      <c r="DY882" s="248"/>
      <c r="DZ882" s="381"/>
      <c r="EA882" s="381"/>
      <c r="EB882" s="381"/>
      <c r="ED882" s="429"/>
      <c r="EE882" s="242"/>
      <c r="EF882" s="242"/>
      <c r="EG882" s="242"/>
      <c r="EH882" s="243">
        <f t="shared" si="4722"/>
        <v>0</v>
      </c>
      <c r="EI882" s="243">
        <f t="shared" si="4723"/>
        <v>0</v>
      </c>
      <c r="EJ882" s="243">
        <f t="shared" si="4724"/>
        <v>0</v>
      </c>
      <c r="EK882" s="217">
        <f t="shared" si="4759"/>
        <v>0.91666666666666663</v>
      </c>
      <c r="EL882" s="14"/>
      <c r="EM882" s="14"/>
      <c r="EN882" s="14"/>
      <c r="EO882" s="46"/>
      <c r="EP882" s="46"/>
      <c r="EQ882" s="381"/>
      <c r="ER882" s="381"/>
      <c r="ES882" s="381"/>
    </row>
    <row r="883" spans="1:150" ht="15.75">
      <c r="A883" s="480" t="s">
        <v>204</v>
      </c>
      <c r="B883" s="481" t="s">
        <v>213</v>
      </c>
      <c r="C883" s="3" t="s">
        <v>54</v>
      </c>
      <c r="E883" s="3" t="s">
        <v>16</v>
      </c>
      <c r="G883" s="245" t="s">
        <v>91</v>
      </c>
      <c r="I883" s="237"/>
      <c r="J883" s="248"/>
      <c r="K883" s="376"/>
      <c r="L883" s="376"/>
      <c r="M883" s="247"/>
      <c r="N883" s="376"/>
      <c r="O883" s="376"/>
      <c r="P883" s="376"/>
      <c r="Q883" s="376"/>
      <c r="R883" s="376"/>
      <c r="S883" s="376"/>
      <c r="T883" s="376"/>
      <c r="U883" s="376"/>
      <c r="V883" s="378">
        <v>0</v>
      </c>
      <c r="W883" s="376">
        <v>0.03</v>
      </c>
      <c r="X883" s="376">
        <v>0.03</v>
      </c>
      <c r="Y883" s="26">
        <v>0.03</v>
      </c>
      <c r="Z883" s="376">
        <v>0.03</v>
      </c>
      <c r="AA883" s="254">
        <v>0.03</v>
      </c>
      <c r="AB883" s="254">
        <v>0.03</v>
      </c>
      <c r="AC883" s="436">
        <v>4.03</v>
      </c>
      <c r="AD883" s="254">
        <v>4.03</v>
      </c>
      <c r="AE883" s="254">
        <v>4.03</v>
      </c>
      <c r="AF883" s="254">
        <v>4.16</v>
      </c>
      <c r="AG883" s="254">
        <v>4.16</v>
      </c>
      <c r="AH883" s="254">
        <v>0</v>
      </c>
      <c r="AI883" s="254">
        <v>0</v>
      </c>
      <c r="AJ883" s="254"/>
      <c r="AK883" s="408"/>
      <c r="AL883" s="248">
        <f t="shared" si="4680"/>
        <v>0</v>
      </c>
      <c r="AM883" s="248">
        <f t="shared" si="4681"/>
        <v>0</v>
      </c>
      <c r="AN883" s="248">
        <f t="shared" si="4682"/>
        <v>0</v>
      </c>
      <c r="AO883" s="248">
        <f t="shared" si="4725"/>
        <v>0</v>
      </c>
      <c r="AP883" s="286">
        <f t="shared" si="4683"/>
        <v>0</v>
      </c>
      <c r="AQ883" s="510">
        <f t="shared" si="4684"/>
        <v>0</v>
      </c>
      <c r="AR883" s="510">
        <f t="shared" si="4685"/>
        <v>0</v>
      </c>
      <c r="AS883" s="510">
        <f t="shared" si="4686"/>
        <v>0</v>
      </c>
      <c r="AT883" s="510">
        <f t="shared" si="4687"/>
        <v>0</v>
      </c>
      <c r="AU883" s="510">
        <f t="shared" si="4688"/>
        <v>0</v>
      </c>
      <c r="AV883" s="510">
        <f t="shared" si="4689"/>
        <v>0</v>
      </c>
      <c r="AW883" s="510">
        <f t="shared" si="4690"/>
        <v>0</v>
      </c>
      <c r="AX883" s="510">
        <f t="shared" si="4726"/>
        <v>0</v>
      </c>
      <c r="AY883" s="510">
        <f t="shared" si="4691"/>
        <v>0.03</v>
      </c>
      <c r="AZ883" s="510">
        <f t="shared" si="4692"/>
        <v>0</v>
      </c>
      <c r="BA883" s="223">
        <f t="shared" si="4727"/>
        <v>0.03</v>
      </c>
      <c r="BB883" s="510">
        <f t="shared" si="4693"/>
        <v>0</v>
      </c>
      <c r="BC883" s="510">
        <f t="shared" si="4694"/>
        <v>0</v>
      </c>
      <c r="BD883" s="510">
        <f t="shared" si="4695"/>
        <v>0</v>
      </c>
      <c r="BE883" s="510">
        <f t="shared" si="4696"/>
        <v>4</v>
      </c>
      <c r="BF883" s="510">
        <f t="shared" si="4697"/>
        <v>0</v>
      </c>
      <c r="BG883" s="510">
        <f t="shared" si="4698"/>
        <v>0</v>
      </c>
      <c r="BH883" s="510">
        <f t="shared" si="4699"/>
        <v>0.12999999999999989</v>
      </c>
      <c r="BI883" s="510">
        <f t="shared" si="4700"/>
        <v>0</v>
      </c>
      <c r="BJ883" s="223">
        <f t="shared" si="4728"/>
        <v>0</v>
      </c>
      <c r="BK883" s="510">
        <f t="shared" si="4701"/>
        <v>0</v>
      </c>
      <c r="BL883" s="510">
        <f t="shared" si="4702"/>
        <v>0</v>
      </c>
      <c r="BM883" s="408"/>
      <c r="BN883" s="48">
        <f t="shared" si="4729"/>
        <v>0</v>
      </c>
      <c r="BO883" s="48">
        <f t="shared" si="4730"/>
        <v>0</v>
      </c>
      <c r="BP883" s="48">
        <f t="shared" si="4731"/>
        <v>0</v>
      </c>
      <c r="BQ883" s="48">
        <f t="shared" si="4732"/>
        <v>0</v>
      </c>
      <c r="BR883" s="48">
        <f t="shared" si="4733"/>
        <v>0</v>
      </c>
      <c r="BS883" s="48">
        <f t="shared" si="4734"/>
        <v>0</v>
      </c>
      <c r="BT883" s="48">
        <f t="shared" si="4735"/>
        <v>0</v>
      </c>
      <c r="BU883" s="48">
        <f t="shared" si="4736"/>
        <v>0</v>
      </c>
      <c r="BV883" s="48">
        <f t="shared" si="4737"/>
        <v>0</v>
      </c>
      <c r="BW883" s="48">
        <f t="shared" si="4738"/>
        <v>0</v>
      </c>
      <c r="BX883" s="48">
        <f t="shared" si="4739"/>
        <v>0</v>
      </c>
      <c r="BY883" s="119">
        <f t="shared" si="4740"/>
        <v>0</v>
      </c>
      <c r="BZ883" s="119">
        <f t="shared" si="4741"/>
        <v>0.03</v>
      </c>
      <c r="CA883" s="119">
        <f t="shared" si="4742"/>
        <v>0.03</v>
      </c>
      <c r="CB883" s="119">
        <f t="shared" si="4743"/>
        <v>0.03</v>
      </c>
      <c r="CC883" s="119">
        <f t="shared" si="4744"/>
        <v>0.03</v>
      </c>
      <c r="CD883" s="119">
        <f t="shared" si="4745"/>
        <v>0.03</v>
      </c>
      <c r="CE883" s="119">
        <f t="shared" si="4746"/>
        <v>0.03</v>
      </c>
      <c r="CF883" s="119">
        <f t="shared" si="4747"/>
        <v>4</v>
      </c>
      <c r="CG883" s="119">
        <f t="shared" si="4748"/>
        <v>4</v>
      </c>
      <c r="CH883" s="119">
        <f t="shared" si="4749"/>
        <v>4</v>
      </c>
      <c r="CI883" s="119">
        <f t="shared" si="4750"/>
        <v>0.12999999999999989</v>
      </c>
      <c r="CJ883" s="119">
        <f t="shared" si="4751"/>
        <v>0.12999999999999989</v>
      </c>
      <c r="CK883" s="119">
        <f t="shared" si="4752"/>
        <v>0.12999999999999989</v>
      </c>
      <c r="CL883" s="119">
        <f t="shared" si="4753"/>
        <v>0</v>
      </c>
      <c r="CM883" s="119">
        <f t="shared" si="4754"/>
        <v>0</v>
      </c>
      <c r="CN883" s="119">
        <f t="shared" si="4755"/>
        <v>0</v>
      </c>
      <c r="CO883" s="406"/>
      <c r="CP883" s="248">
        <f t="shared" si="4703"/>
        <v>0</v>
      </c>
      <c r="CQ883" s="248">
        <f t="shared" si="4704"/>
        <v>0</v>
      </c>
      <c r="CR883" s="248">
        <f t="shared" si="4705"/>
        <v>0</v>
      </c>
      <c r="CS883" s="248">
        <f t="shared" si="4756"/>
        <v>0</v>
      </c>
      <c r="CT883" s="248">
        <f t="shared" si="4706"/>
        <v>0</v>
      </c>
      <c r="CU883" s="248">
        <f t="shared" si="4707"/>
        <v>0</v>
      </c>
      <c r="CV883" s="248">
        <f t="shared" si="4708"/>
        <v>0</v>
      </c>
      <c r="CW883" s="248">
        <f t="shared" si="4709"/>
        <v>0</v>
      </c>
      <c r="CX883" s="248">
        <f t="shared" si="4710"/>
        <v>0</v>
      </c>
      <c r="CY883" s="248">
        <f t="shared" si="4711"/>
        <v>0</v>
      </c>
      <c r="CZ883" s="248">
        <f t="shared" si="4712"/>
        <v>0</v>
      </c>
      <c r="DA883" s="248">
        <f t="shared" si="4713"/>
        <v>0</v>
      </c>
      <c r="DB883" s="504">
        <v>0</v>
      </c>
      <c r="DC883" s="504">
        <v>0.03</v>
      </c>
      <c r="DD883" s="504">
        <v>0.03</v>
      </c>
      <c r="DE883" s="504">
        <v>0.03</v>
      </c>
      <c r="DF883" s="504">
        <v>0.03</v>
      </c>
      <c r="DG883" s="223">
        <f t="shared" si="4715"/>
        <v>0.03</v>
      </c>
      <c r="DH883" s="223">
        <f t="shared" si="4716"/>
        <v>0.03</v>
      </c>
      <c r="DI883" s="223">
        <f t="shared" si="4717"/>
        <v>4.03</v>
      </c>
      <c r="DJ883" s="223">
        <f t="shared" si="4718"/>
        <v>4.03</v>
      </c>
      <c r="DK883" s="223">
        <f t="shared" si="4719"/>
        <v>4.03</v>
      </c>
      <c r="DL883" s="223">
        <f t="shared" si="4720"/>
        <v>4.16</v>
      </c>
      <c r="DM883" s="223">
        <f t="shared" si="4721"/>
        <v>4.16</v>
      </c>
      <c r="DN883" s="248">
        <f t="shared" si="4758"/>
        <v>0</v>
      </c>
      <c r="DO883" s="248">
        <f t="shared" si="4758"/>
        <v>0</v>
      </c>
      <c r="DP883" s="248"/>
      <c r="DQ883" s="248"/>
      <c r="DR883" s="248"/>
      <c r="DS883" s="248"/>
      <c r="DT883" s="248"/>
      <c r="DU883" s="248"/>
      <c r="DV883" s="248"/>
      <c r="DW883" s="248"/>
      <c r="DX883" s="248"/>
      <c r="DY883" s="248"/>
      <c r="DZ883" s="381"/>
      <c r="EA883" s="381"/>
      <c r="EB883" s="381"/>
      <c r="ED883" s="429"/>
      <c r="EE883" s="242"/>
      <c r="EF883" s="242"/>
      <c r="EG883" s="242"/>
      <c r="EH883" s="243">
        <f t="shared" si="4722"/>
        <v>0</v>
      </c>
      <c r="EI883" s="243">
        <f t="shared" si="4723"/>
        <v>0</v>
      </c>
      <c r="EJ883" s="243">
        <f t="shared" si="4724"/>
        <v>0</v>
      </c>
      <c r="EK883" s="217">
        <f t="shared" si="4759"/>
        <v>0.91666666666666663</v>
      </c>
      <c r="EL883" s="14"/>
      <c r="EM883" s="14"/>
      <c r="EN883" s="14"/>
      <c r="EO883" s="46"/>
      <c r="EP883" s="46"/>
      <c r="EQ883" s="381"/>
      <c r="ER883" s="381"/>
      <c r="ES883" s="381"/>
    </row>
    <row r="884" spans="1:150" ht="15.75">
      <c r="A884" s="480" t="s">
        <v>204</v>
      </c>
      <c r="B884" s="481" t="s">
        <v>214</v>
      </c>
      <c r="C884" s="3" t="s">
        <v>54</v>
      </c>
      <c r="E884" s="3" t="s">
        <v>16</v>
      </c>
      <c r="G884" s="245" t="s">
        <v>91</v>
      </c>
      <c r="I884" s="237"/>
      <c r="J884" s="248"/>
      <c r="K884" s="376"/>
      <c r="L884" s="376"/>
      <c r="M884" s="247"/>
      <c r="N884" s="376"/>
      <c r="O884" s="376"/>
      <c r="P884" s="376"/>
      <c r="Q884" s="376"/>
      <c r="R884" s="376"/>
      <c r="S884" s="376"/>
      <c r="T884" s="376"/>
      <c r="U884" s="376"/>
      <c r="V884" s="378">
        <v>0</v>
      </c>
      <c r="W884" s="376">
        <v>0</v>
      </c>
      <c r="X884" s="376">
        <v>0</v>
      </c>
      <c r="Y884" s="26">
        <v>0</v>
      </c>
      <c r="Z884" s="376">
        <v>0.3</v>
      </c>
      <c r="AA884" s="254">
        <v>0.3</v>
      </c>
      <c r="AB884" s="254">
        <v>0.3</v>
      </c>
      <c r="AC884" s="436">
        <v>0.3</v>
      </c>
      <c r="AD884" s="254">
        <v>0.3</v>
      </c>
      <c r="AE884" s="254">
        <v>0.3</v>
      </c>
      <c r="AF884" s="254">
        <v>0.33</v>
      </c>
      <c r="AG884" s="254">
        <f>410000/1000000</f>
        <v>0.41</v>
      </c>
      <c r="AH884" s="254">
        <v>0.7</v>
      </c>
      <c r="AI884" s="254">
        <v>0.7</v>
      </c>
      <c r="AJ884" s="254"/>
      <c r="AK884" s="408"/>
      <c r="AL884" s="248">
        <f t="shared" si="4680"/>
        <v>0</v>
      </c>
      <c r="AM884" s="248">
        <f t="shared" si="4681"/>
        <v>0</v>
      </c>
      <c r="AN884" s="248">
        <f t="shared" si="4682"/>
        <v>0</v>
      </c>
      <c r="AO884" s="248">
        <f t="shared" si="4725"/>
        <v>0</v>
      </c>
      <c r="AP884" s="286">
        <f t="shared" si="4683"/>
        <v>0</v>
      </c>
      <c r="AQ884" s="510">
        <f t="shared" si="4684"/>
        <v>0</v>
      </c>
      <c r="AR884" s="510">
        <f t="shared" si="4685"/>
        <v>0</v>
      </c>
      <c r="AS884" s="510">
        <f t="shared" si="4686"/>
        <v>0</v>
      </c>
      <c r="AT884" s="510">
        <f t="shared" si="4687"/>
        <v>0</v>
      </c>
      <c r="AU884" s="510">
        <f t="shared" si="4688"/>
        <v>0</v>
      </c>
      <c r="AV884" s="510">
        <f t="shared" si="4689"/>
        <v>0</v>
      </c>
      <c r="AW884" s="510">
        <f t="shared" si="4690"/>
        <v>0</v>
      </c>
      <c r="AX884" s="510">
        <f t="shared" si="4726"/>
        <v>0</v>
      </c>
      <c r="AY884" s="510">
        <f t="shared" si="4691"/>
        <v>0</v>
      </c>
      <c r="AZ884" s="510">
        <f t="shared" si="4692"/>
        <v>0</v>
      </c>
      <c r="BA884" s="223">
        <f t="shared" si="4727"/>
        <v>0</v>
      </c>
      <c r="BB884" s="510">
        <f t="shared" si="4693"/>
        <v>0.3</v>
      </c>
      <c r="BC884" s="510">
        <f t="shared" si="4694"/>
        <v>0</v>
      </c>
      <c r="BD884" s="510">
        <f t="shared" si="4695"/>
        <v>0</v>
      </c>
      <c r="BE884" s="510">
        <f t="shared" si="4696"/>
        <v>0</v>
      </c>
      <c r="BF884" s="510">
        <f t="shared" si="4697"/>
        <v>0</v>
      </c>
      <c r="BG884" s="510">
        <f t="shared" si="4698"/>
        <v>0</v>
      </c>
      <c r="BH884" s="510">
        <f t="shared" si="4699"/>
        <v>3.0000000000000027E-2</v>
      </c>
      <c r="BI884" s="510">
        <f t="shared" si="4700"/>
        <v>7.999999999999996E-2</v>
      </c>
      <c r="BJ884" s="223">
        <f t="shared" si="4728"/>
        <v>0.7</v>
      </c>
      <c r="BK884" s="510">
        <f t="shared" si="4701"/>
        <v>0</v>
      </c>
      <c r="BL884" s="510">
        <f t="shared" si="4702"/>
        <v>0</v>
      </c>
      <c r="BM884" s="408"/>
      <c r="BN884" s="48">
        <f t="shared" si="4729"/>
        <v>0</v>
      </c>
      <c r="BO884" s="48">
        <f t="shared" si="4730"/>
        <v>0</v>
      </c>
      <c r="BP884" s="48">
        <f t="shared" si="4731"/>
        <v>0</v>
      </c>
      <c r="BQ884" s="48">
        <f t="shared" si="4732"/>
        <v>0</v>
      </c>
      <c r="BR884" s="48">
        <f t="shared" si="4733"/>
        <v>0</v>
      </c>
      <c r="BS884" s="48">
        <f t="shared" si="4734"/>
        <v>0</v>
      </c>
      <c r="BT884" s="48">
        <f t="shared" si="4735"/>
        <v>0</v>
      </c>
      <c r="BU884" s="48">
        <f t="shared" si="4736"/>
        <v>0</v>
      </c>
      <c r="BV884" s="48">
        <f t="shared" si="4737"/>
        <v>0</v>
      </c>
      <c r="BW884" s="48">
        <f t="shared" si="4738"/>
        <v>0</v>
      </c>
      <c r="BX884" s="48">
        <f t="shared" si="4739"/>
        <v>0</v>
      </c>
      <c r="BY884" s="119">
        <f t="shared" si="4740"/>
        <v>0</v>
      </c>
      <c r="BZ884" s="119">
        <f t="shared" si="4741"/>
        <v>0</v>
      </c>
      <c r="CA884" s="119">
        <f t="shared" si="4742"/>
        <v>0</v>
      </c>
      <c r="CB884" s="119">
        <f t="shared" si="4743"/>
        <v>0</v>
      </c>
      <c r="CC884" s="119">
        <f t="shared" si="4744"/>
        <v>0.3</v>
      </c>
      <c r="CD884" s="119">
        <f t="shared" si="4745"/>
        <v>0.3</v>
      </c>
      <c r="CE884" s="119">
        <f t="shared" si="4746"/>
        <v>0.3</v>
      </c>
      <c r="CF884" s="119">
        <f t="shared" si="4747"/>
        <v>0</v>
      </c>
      <c r="CG884" s="119">
        <f t="shared" si="4748"/>
        <v>0</v>
      </c>
      <c r="CH884" s="119">
        <f t="shared" si="4749"/>
        <v>0</v>
      </c>
      <c r="CI884" s="119">
        <f t="shared" si="4750"/>
        <v>0.10999999999999999</v>
      </c>
      <c r="CJ884" s="119">
        <f t="shared" si="4751"/>
        <v>0.10999999999999999</v>
      </c>
      <c r="CK884" s="119">
        <f t="shared" si="4752"/>
        <v>0.10999999999999999</v>
      </c>
      <c r="CL884" s="119">
        <f t="shared" si="4753"/>
        <v>0.7</v>
      </c>
      <c r="CM884" s="119">
        <f t="shared" si="4754"/>
        <v>0.7</v>
      </c>
      <c r="CN884" s="119">
        <f t="shared" si="4755"/>
        <v>0.7</v>
      </c>
      <c r="CO884" s="406"/>
      <c r="CP884" s="248">
        <f t="shared" si="4703"/>
        <v>0</v>
      </c>
      <c r="CQ884" s="248">
        <f t="shared" si="4704"/>
        <v>0</v>
      </c>
      <c r="CR884" s="248">
        <f t="shared" si="4705"/>
        <v>0</v>
      </c>
      <c r="CS884" s="248">
        <f t="shared" si="4756"/>
        <v>0</v>
      </c>
      <c r="CT884" s="248">
        <f t="shared" si="4706"/>
        <v>0</v>
      </c>
      <c r="CU884" s="248">
        <f t="shared" si="4707"/>
        <v>0</v>
      </c>
      <c r="CV884" s="248">
        <f t="shared" si="4708"/>
        <v>0</v>
      </c>
      <c r="CW884" s="248">
        <f t="shared" si="4709"/>
        <v>0</v>
      </c>
      <c r="CX884" s="248">
        <f t="shared" si="4710"/>
        <v>0</v>
      </c>
      <c r="CY884" s="248">
        <f t="shared" si="4711"/>
        <v>0</v>
      </c>
      <c r="CZ884" s="248">
        <f t="shared" si="4712"/>
        <v>0</v>
      </c>
      <c r="DA884" s="248">
        <f t="shared" si="4713"/>
        <v>0</v>
      </c>
      <c r="DB884" s="504">
        <v>0</v>
      </c>
      <c r="DC884" s="504">
        <v>0</v>
      </c>
      <c r="DD884" s="504">
        <f t="shared" si="4714"/>
        <v>0</v>
      </c>
      <c r="DE884" s="504">
        <v>0</v>
      </c>
      <c r="DF884" s="504">
        <v>0.3</v>
      </c>
      <c r="DG884" s="504">
        <f t="shared" si="4715"/>
        <v>0.3</v>
      </c>
      <c r="DH884" s="504">
        <f t="shared" si="4716"/>
        <v>0.3</v>
      </c>
      <c r="DI884" s="504">
        <f t="shared" si="4717"/>
        <v>0.3</v>
      </c>
      <c r="DJ884" s="504">
        <f t="shared" si="4718"/>
        <v>0.3</v>
      </c>
      <c r="DK884" s="504">
        <f t="shared" si="4719"/>
        <v>0.3</v>
      </c>
      <c r="DL884" s="504">
        <f t="shared" si="4720"/>
        <v>0.33</v>
      </c>
      <c r="DM884" s="504">
        <f t="shared" si="4721"/>
        <v>0.41</v>
      </c>
      <c r="DN884" s="606">
        <f t="shared" si="4758"/>
        <v>0.7</v>
      </c>
      <c r="DO884" s="606">
        <f t="shared" si="4758"/>
        <v>0.7</v>
      </c>
      <c r="DP884" s="248"/>
      <c r="DQ884" s="248"/>
      <c r="DR884" s="248"/>
      <c r="DS884" s="248"/>
      <c r="DT884" s="248"/>
      <c r="DU884" s="248"/>
      <c r="DV884" s="248"/>
      <c r="DW884" s="248"/>
      <c r="DX884" s="248"/>
      <c r="DY884" s="248"/>
      <c r="DZ884" s="381"/>
      <c r="EA884" s="381"/>
      <c r="EB884" s="381"/>
      <c r="ED884" s="429"/>
      <c r="EE884" s="242"/>
      <c r="EF884" s="242"/>
      <c r="EG884" s="242"/>
      <c r="EH884" s="243">
        <f t="shared" si="4722"/>
        <v>0</v>
      </c>
      <c r="EI884" s="243">
        <f t="shared" si="4723"/>
        <v>0.7</v>
      </c>
      <c r="EJ884" s="243">
        <f t="shared" si="4724"/>
        <v>0.7</v>
      </c>
      <c r="EK884" s="217">
        <f t="shared" si="4759"/>
        <v>0.91666666666666663</v>
      </c>
      <c r="EL884" s="14"/>
      <c r="EM884" s="14"/>
      <c r="EN884" s="14"/>
      <c r="EO884" s="46"/>
      <c r="EP884" s="46"/>
      <c r="EQ884" s="381"/>
      <c r="ER884" s="381"/>
      <c r="ES884" s="381"/>
    </row>
    <row r="885" spans="1:150" ht="15.75">
      <c r="A885" s="480" t="s">
        <v>204</v>
      </c>
      <c r="B885" s="481" t="s">
        <v>215</v>
      </c>
      <c r="C885" s="3" t="s">
        <v>54</v>
      </c>
      <c r="E885" s="3" t="s">
        <v>16</v>
      </c>
      <c r="G885" s="245" t="s">
        <v>91</v>
      </c>
      <c r="I885" s="237"/>
      <c r="J885" s="248"/>
      <c r="K885" s="376"/>
      <c r="L885" s="376"/>
      <c r="M885" s="247"/>
      <c r="N885" s="376"/>
      <c r="O885" s="376"/>
      <c r="P885" s="376"/>
      <c r="Q885" s="376"/>
      <c r="R885" s="376"/>
      <c r="S885" s="376"/>
      <c r="T885" s="376"/>
      <c r="U885" s="376"/>
      <c r="V885" s="378">
        <v>0</v>
      </c>
      <c r="W885" s="376">
        <v>0</v>
      </c>
      <c r="X885" s="376">
        <v>0</v>
      </c>
      <c r="Y885" s="26">
        <v>0.43966699999999997</v>
      </c>
      <c r="Z885" s="376">
        <v>2.1396670000000002</v>
      </c>
      <c r="AA885" s="254">
        <v>2.1399499999999998</v>
      </c>
      <c r="AB885" s="254">
        <v>2.1445470000000002</v>
      </c>
      <c r="AC885" s="436">
        <v>2.1445470000000002</v>
      </c>
      <c r="AD885" s="254">
        <v>2.4845470000000001</v>
      </c>
      <c r="AE885" s="254">
        <v>3.9465469999999998</v>
      </c>
      <c r="AF885" s="254">
        <v>3.968</v>
      </c>
      <c r="AG885" s="254">
        <v>5.7685469999999999</v>
      </c>
      <c r="AH885" s="254">
        <v>0</v>
      </c>
      <c r="AI885" s="254">
        <v>0.04</v>
      </c>
      <c r="AJ885" s="254"/>
      <c r="AK885" s="408"/>
      <c r="AL885" s="248">
        <f t="shared" si="4680"/>
        <v>0</v>
      </c>
      <c r="AM885" s="248">
        <f t="shared" si="4681"/>
        <v>0</v>
      </c>
      <c r="AN885" s="248">
        <f t="shared" si="4682"/>
        <v>0</v>
      </c>
      <c r="AO885" s="248">
        <f t="shared" si="4725"/>
        <v>0</v>
      </c>
      <c r="AP885" s="286">
        <f t="shared" si="4683"/>
        <v>0</v>
      </c>
      <c r="AQ885" s="510">
        <f t="shared" si="4684"/>
        <v>0</v>
      </c>
      <c r="AR885" s="510">
        <f t="shared" si="4685"/>
        <v>0</v>
      </c>
      <c r="AS885" s="510">
        <f t="shared" si="4686"/>
        <v>0</v>
      </c>
      <c r="AT885" s="510">
        <f t="shared" si="4687"/>
        <v>0</v>
      </c>
      <c r="AU885" s="510">
        <f t="shared" si="4688"/>
        <v>0</v>
      </c>
      <c r="AV885" s="510">
        <f t="shared" si="4689"/>
        <v>0</v>
      </c>
      <c r="AW885" s="510">
        <f t="shared" si="4690"/>
        <v>0</v>
      </c>
      <c r="AX885" s="510">
        <f t="shared" si="4726"/>
        <v>0</v>
      </c>
      <c r="AY885" s="510">
        <f t="shared" si="4691"/>
        <v>0</v>
      </c>
      <c r="AZ885" s="510">
        <f t="shared" si="4692"/>
        <v>0</v>
      </c>
      <c r="BA885" s="223">
        <f t="shared" si="4727"/>
        <v>0.43966699999999997</v>
      </c>
      <c r="BB885" s="510">
        <f t="shared" si="4693"/>
        <v>1.7000000000000002</v>
      </c>
      <c r="BC885" s="510">
        <f t="shared" si="4694"/>
        <v>2.8299999999958914E-4</v>
      </c>
      <c r="BD885" s="510">
        <f t="shared" si="4695"/>
        <v>4.5970000000004063E-3</v>
      </c>
      <c r="BE885" s="510">
        <f t="shared" si="4696"/>
        <v>0</v>
      </c>
      <c r="BF885" s="510">
        <f t="shared" si="4697"/>
        <v>0.33999999999999986</v>
      </c>
      <c r="BG885" s="510">
        <f t="shared" si="4698"/>
        <v>1.4619999999999997</v>
      </c>
      <c r="BH885" s="510">
        <f t="shared" si="4699"/>
        <v>2.1453000000000166E-2</v>
      </c>
      <c r="BI885" s="510">
        <f t="shared" si="4700"/>
        <v>1.8005469999999999</v>
      </c>
      <c r="BJ885" s="223">
        <f t="shared" si="4728"/>
        <v>0</v>
      </c>
      <c r="BK885" s="510">
        <f t="shared" si="4701"/>
        <v>0.04</v>
      </c>
      <c r="BL885" s="510">
        <f t="shared" si="4702"/>
        <v>0</v>
      </c>
      <c r="BM885" s="408"/>
      <c r="BN885" s="48">
        <f t="shared" si="4729"/>
        <v>0</v>
      </c>
      <c r="BO885" s="48">
        <f t="shared" si="4730"/>
        <v>0</v>
      </c>
      <c r="BP885" s="48">
        <f t="shared" si="4731"/>
        <v>0</v>
      </c>
      <c r="BQ885" s="48">
        <f t="shared" si="4732"/>
        <v>0</v>
      </c>
      <c r="BR885" s="48">
        <f t="shared" si="4733"/>
        <v>0</v>
      </c>
      <c r="BS885" s="48">
        <f t="shared" si="4734"/>
        <v>0</v>
      </c>
      <c r="BT885" s="48">
        <f t="shared" si="4735"/>
        <v>0</v>
      </c>
      <c r="BU885" s="48">
        <f t="shared" si="4736"/>
        <v>0</v>
      </c>
      <c r="BV885" s="48">
        <f t="shared" si="4737"/>
        <v>0</v>
      </c>
      <c r="BW885" s="48">
        <f t="shared" si="4738"/>
        <v>0</v>
      </c>
      <c r="BX885" s="48">
        <f t="shared" si="4739"/>
        <v>0</v>
      </c>
      <c r="BY885" s="119">
        <f t="shared" si="4740"/>
        <v>0</v>
      </c>
      <c r="BZ885" s="119">
        <f t="shared" si="4741"/>
        <v>0</v>
      </c>
      <c r="CA885" s="119">
        <f t="shared" si="4742"/>
        <v>0</v>
      </c>
      <c r="CB885" s="119">
        <f t="shared" si="4743"/>
        <v>0</v>
      </c>
      <c r="CC885" s="119">
        <f t="shared" si="4744"/>
        <v>2.1399499999999998</v>
      </c>
      <c r="CD885" s="119">
        <f t="shared" si="4745"/>
        <v>2.1399499999999998</v>
      </c>
      <c r="CE885" s="119">
        <f t="shared" si="4746"/>
        <v>2.1399499999999998</v>
      </c>
      <c r="CF885" s="119">
        <f t="shared" si="4747"/>
        <v>0.34459700000000026</v>
      </c>
      <c r="CG885" s="119">
        <f t="shared" si="4748"/>
        <v>0.34459700000000026</v>
      </c>
      <c r="CH885" s="119">
        <f t="shared" si="4749"/>
        <v>0.34459700000000026</v>
      </c>
      <c r="CI885" s="119">
        <f t="shared" si="4750"/>
        <v>3.2839999999999998</v>
      </c>
      <c r="CJ885" s="119">
        <f t="shared" si="4751"/>
        <v>3.2839999999999998</v>
      </c>
      <c r="CK885" s="119">
        <f t="shared" si="4752"/>
        <v>3.2839999999999998</v>
      </c>
      <c r="CL885" s="119">
        <f t="shared" si="4753"/>
        <v>0.04</v>
      </c>
      <c r="CM885" s="119">
        <f t="shared" si="4754"/>
        <v>0.04</v>
      </c>
      <c r="CN885" s="119">
        <f t="shared" si="4755"/>
        <v>0.04</v>
      </c>
      <c r="CO885" s="406"/>
      <c r="CP885" s="248">
        <f t="shared" si="4703"/>
        <v>0</v>
      </c>
      <c r="CQ885" s="248">
        <f t="shared" si="4704"/>
        <v>0</v>
      </c>
      <c r="CR885" s="248">
        <f t="shared" si="4705"/>
        <v>0</v>
      </c>
      <c r="CS885" s="248">
        <f t="shared" si="4756"/>
        <v>0</v>
      </c>
      <c r="CT885" s="248">
        <f t="shared" si="4706"/>
        <v>0</v>
      </c>
      <c r="CU885" s="248">
        <f t="shared" si="4707"/>
        <v>0</v>
      </c>
      <c r="CV885" s="248">
        <f t="shared" si="4708"/>
        <v>0</v>
      </c>
      <c r="CW885" s="248">
        <f t="shared" si="4709"/>
        <v>0</v>
      </c>
      <c r="CX885" s="248">
        <f t="shared" si="4710"/>
        <v>0</v>
      </c>
      <c r="CY885" s="248">
        <f t="shared" si="4711"/>
        <v>0</v>
      </c>
      <c r="CZ885" s="248">
        <f t="shared" si="4712"/>
        <v>0</v>
      </c>
      <c r="DA885" s="248">
        <f t="shared" si="4713"/>
        <v>0</v>
      </c>
      <c r="DB885" s="504">
        <v>0</v>
      </c>
      <c r="DC885" s="504">
        <f t="shared" si="4757"/>
        <v>0</v>
      </c>
      <c r="DD885" s="504">
        <f t="shared" si="4714"/>
        <v>0</v>
      </c>
      <c r="DE885" s="504">
        <v>0.43966699999999997</v>
      </c>
      <c r="DF885" s="504">
        <v>2.1396670000000002</v>
      </c>
      <c r="DG885" s="223">
        <f t="shared" si="4715"/>
        <v>2.1399499999999998</v>
      </c>
      <c r="DH885" s="223">
        <f t="shared" si="4716"/>
        <v>2.1445470000000002</v>
      </c>
      <c r="DI885" s="223">
        <f t="shared" si="4717"/>
        <v>2.1445470000000002</v>
      </c>
      <c r="DJ885" s="223">
        <f t="shared" si="4718"/>
        <v>2.4845470000000001</v>
      </c>
      <c r="DK885" s="223">
        <f t="shared" si="4719"/>
        <v>3.9465469999999998</v>
      </c>
      <c r="DL885" s="223">
        <f t="shared" si="4720"/>
        <v>3.968</v>
      </c>
      <c r="DM885" s="223">
        <f t="shared" si="4721"/>
        <v>5.7685469999999999</v>
      </c>
      <c r="DN885" s="248">
        <f t="shared" si="4758"/>
        <v>0</v>
      </c>
      <c r="DO885" s="248">
        <f t="shared" si="4758"/>
        <v>0.04</v>
      </c>
      <c r="DP885" s="248"/>
      <c r="DQ885" s="248"/>
      <c r="DR885" s="248"/>
      <c r="DS885" s="248"/>
      <c r="DT885" s="248"/>
      <c r="DU885" s="248"/>
      <c r="DV885" s="248"/>
      <c r="DW885" s="248"/>
      <c r="DX885" s="248"/>
      <c r="DY885" s="248"/>
      <c r="DZ885" s="381"/>
      <c r="EA885" s="381"/>
      <c r="EB885" s="381"/>
      <c r="ED885" s="429"/>
      <c r="EE885" s="242"/>
      <c r="EF885" s="242"/>
      <c r="EG885" s="242"/>
      <c r="EH885" s="243">
        <f t="shared" si="4722"/>
        <v>0.04</v>
      </c>
      <c r="EI885" s="243">
        <f t="shared" si="4723"/>
        <v>0.04</v>
      </c>
      <c r="EJ885" s="243">
        <f t="shared" si="4724"/>
        <v>0.04</v>
      </c>
      <c r="EK885" s="217">
        <f t="shared" si="4759"/>
        <v>0.91666666666666663</v>
      </c>
      <c r="EL885" s="14"/>
      <c r="EM885" s="14"/>
      <c r="EN885" s="14"/>
      <c r="EO885" s="46"/>
      <c r="EP885" s="46"/>
      <c r="EQ885" s="381"/>
      <c r="ER885" s="381"/>
      <c r="ES885" s="381"/>
    </row>
    <row r="886" spans="1:150" ht="15.75">
      <c r="A886" s="480" t="s">
        <v>204</v>
      </c>
      <c r="B886" s="481" t="s">
        <v>216</v>
      </c>
      <c r="C886" s="3" t="s">
        <v>54</v>
      </c>
      <c r="E886" s="3" t="s">
        <v>16</v>
      </c>
      <c r="G886" s="245" t="s">
        <v>91</v>
      </c>
      <c r="I886" s="237"/>
      <c r="J886" s="248"/>
      <c r="K886" s="376"/>
      <c r="L886" s="376"/>
      <c r="M886" s="247"/>
      <c r="N886" s="376"/>
      <c r="O886" s="376"/>
      <c r="P886" s="376"/>
      <c r="Q886" s="376"/>
      <c r="R886" s="376"/>
      <c r="S886" s="376"/>
      <c r="T886" s="376"/>
      <c r="U886" s="376"/>
      <c r="V886" s="378">
        <v>0.38900000000000001</v>
      </c>
      <c r="W886" s="376">
        <v>0.60747499999999999</v>
      </c>
      <c r="X886" s="376">
        <v>0.72787500000000005</v>
      </c>
      <c r="Y886" s="26">
        <v>1.5260549999999999</v>
      </c>
      <c r="Z886" s="376">
        <v>2.3613400000000002</v>
      </c>
      <c r="AA886" s="254">
        <v>3.9975399999999999</v>
      </c>
      <c r="AB886" s="254">
        <v>4.4630400000000003</v>
      </c>
      <c r="AC886" s="436">
        <v>5.35344</v>
      </c>
      <c r="AD886" s="254">
        <v>5.9657650000000002</v>
      </c>
      <c r="AE886" s="254">
        <v>6.0627649999999997</v>
      </c>
      <c r="AF886" s="254">
        <v>6.1779999999999999</v>
      </c>
      <c r="AG886" s="254">
        <v>6.4071400000000001</v>
      </c>
      <c r="AH886" s="254">
        <v>0.121</v>
      </c>
      <c r="AI886" s="254">
        <v>0.2452</v>
      </c>
      <c r="AJ886" s="254"/>
      <c r="AK886" s="408"/>
      <c r="AL886" s="248">
        <f t="shared" si="4680"/>
        <v>0</v>
      </c>
      <c r="AM886" s="248">
        <f t="shared" si="4681"/>
        <v>0</v>
      </c>
      <c r="AN886" s="248">
        <f t="shared" si="4682"/>
        <v>0</v>
      </c>
      <c r="AO886" s="248">
        <f t="shared" si="4725"/>
        <v>0</v>
      </c>
      <c r="AP886" s="286">
        <f t="shared" si="4683"/>
        <v>0</v>
      </c>
      <c r="AQ886" s="510">
        <f t="shared" si="4684"/>
        <v>0</v>
      </c>
      <c r="AR886" s="510">
        <f t="shared" si="4685"/>
        <v>0</v>
      </c>
      <c r="AS886" s="510">
        <f t="shared" si="4686"/>
        <v>0</v>
      </c>
      <c r="AT886" s="510">
        <f t="shared" si="4687"/>
        <v>0</v>
      </c>
      <c r="AU886" s="510">
        <f t="shared" si="4688"/>
        <v>0</v>
      </c>
      <c r="AV886" s="510">
        <f t="shared" si="4689"/>
        <v>0</v>
      </c>
      <c r="AW886" s="510">
        <f t="shared" si="4690"/>
        <v>0</v>
      </c>
      <c r="AX886" s="510">
        <f t="shared" si="4726"/>
        <v>0.38900000000000001</v>
      </c>
      <c r="AY886" s="510">
        <f t="shared" si="4691"/>
        <v>0.21847499999999997</v>
      </c>
      <c r="AZ886" s="510">
        <f t="shared" si="4692"/>
        <v>0.12040000000000006</v>
      </c>
      <c r="BA886" s="223">
        <f t="shared" si="4727"/>
        <v>1.5260549999999999</v>
      </c>
      <c r="BB886" s="510">
        <f t="shared" si="4693"/>
        <v>0.83528500000000028</v>
      </c>
      <c r="BC886" s="510">
        <f t="shared" si="4694"/>
        <v>1.6361999999999997</v>
      </c>
      <c r="BD886" s="510">
        <f t="shared" si="4695"/>
        <v>0.46550000000000047</v>
      </c>
      <c r="BE886" s="510">
        <f t="shared" si="4696"/>
        <v>0.89039999999999964</v>
      </c>
      <c r="BF886" s="510">
        <f t="shared" si="4697"/>
        <v>0.61232500000000023</v>
      </c>
      <c r="BG886" s="510">
        <f t="shared" si="4698"/>
        <v>9.6999999999999531E-2</v>
      </c>
      <c r="BH886" s="510">
        <f t="shared" si="4699"/>
        <v>0.1152350000000002</v>
      </c>
      <c r="BI886" s="510">
        <f t="shared" si="4700"/>
        <v>0.22914000000000012</v>
      </c>
      <c r="BJ886" s="223">
        <f t="shared" si="4728"/>
        <v>0.121</v>
      </c>
      <c r="BK886" s="510">
        <f t="shared" si="4701"/>
        <v>0.1242</v>
      </c>
      <c r="BL886" s="510">
        <f t="shared" si="4702"/>
        <v>0</v>
      </c>
      <c r="BM886" s="408"/>
      <c r="BN886" s="48">
        <f t="shared" si="4729"/>
        <v>0</v>
      </c>
      <c r="BO886" s="48">
        <f t="shared" si="4730"/>
        <v>0</v>
      </c>
      <c r="BP886" s="48">
        <f t="shared" si="4731"/>
        <v>0</v>
      </c>
      <c r="BQ886" s="48">
        <f t="shared" si="4732"/>
        <v>0</v>
      </c>
      <c r="BR886" s="48">
        <f t="shared" si="4733"/>
        <v>0</v>
      </c>
      <c r="BS886" s="48">
        <f t="shared" si="4734"/>
        <v>0</v>
      </c>
      <c r="BT886" s="48">
        <f t="shared" si="4735"/>
        <v>0</v>
      </c>
      <c r="BU886" s="48">
        <f t="shared" si="4736"/>
        <v>0</v>
      </c>
      <c r="BV886" s="48">
        <f t="shared" si="4737"/>
        <v>0</v>
      </c>
      <c r="BW886" s="48">
        <f t="shared" si="4738"/>
        <v>0</v>
      </c>
      <c r="BX886" s="48">
        <f t="shared" si="4739"/>
        <v>0</v>
      </c>
      <c r="BY886" s="119">
        <f t="shared" si="4740"/>
        <v>0</v>
      </c>
      <c r="BZ886" s="119">
        <f t="shared" si="4741"/>
        <v>0.72787500000000005</v>
      </c>
      <c r="CA886" s="119">
        <f t="shared" si="4742"/>
        <v>0.72787500000000005</v>
      </c>
      <c r="CB886" s="119">
        <f t="shared" si="4743"/>
        <v>0.72787500000000005</v>
      </c>
      <c r="CC886" s="119">
        <f t="shared" si="4744"/>
        <v>3.9975399999999999</v>
      </c>
      <c r="CD886" s="119">
        <f t="shared" si="4745"/>
        <v>3.9975399999999999</v>
      </c>
      <c r="CE886" s="119">
        <f t="shared" si="4746"/>
        <v>3.9975399999999999</v>
      </c>
      <c r="CF886" s="119">
        <f t="shared" si="4747"/>
        <v>1.9682250000000003</v>
      </c>
      <c r="CG886" s="119">
        <f t="shared" si="4748"/>
        <v>1.9682250000000003</v>
      </c>
      <c r="CH886" s="119">
        <f t="shared" si="4749"/>
        <v>1.9682250000000003</v>
      </c>
      <c r="CI886" s="119">
        <f t="shared" si="4750"/>
        <v>0.44137499999999985</v>
      </c>
      <c r="CJ886" s="119">
        <f t="shared" si="4751"/>
        <v>0.44137499999999985</v>
      </c>
      <c r="CK886" s="119">
        <f t="shared" si="4752"/>
        <v>0.44137499999999985</v>
      </c>
      <c r="CL886" s="119">
        <f t="shared" si="4753"/>
        <v>0.2452</v>
      </c>
      <c r="CM886" s="119">
        <f t="shared" si="4754"/>
        <v>0.2452</v>
      </c>
      <c r="CN886" s="119">
        <f t="shared" si="4755"/>
        <v>0.2452</v>
      </c>
      <c r="CO886" s="406"/>
      <c r="CP886" s="248">
        <f t="shared" si="4703"/>
        <v>0</v>
      </c>
      <c r="CQ886" s="248">
        <f t="shared" si="4704"/>
        <v>0</v>
      </c>
      <c r="CR886" s="248">
        <f t="shared" si="4705"/>
        <v>0</v>
      </c>
      <c r="CS886" s="248">
        <f t="shared" si="4756"/>
        <v>0</v>
      </c>
      <c r="CT886" s="248">
        <f t="shared" si="4706"/>
        <v>0</v>
      </c>
      <c r="CU886" s="248">
        <f t="shared" si="4707"/>
        <v>0</v>
      </c>
      <c r="CV886" s="248">
        <f t="shared" si="4708"/>
        <v>0</v>
      </c>
      <c r="CW886" s="248">
        <f t="shared" si="4709"/>
        <v>0</v>
      </c>
      <c r="CX886" s="248">
        <f t="shared" si="4710"/>
        <v>0</v>
      </c>
      <c r="CY886" s="248">
        <f t="shared" si="4711"/>
        <v>0</v>
      </c>
      <c r="CZ886" s="248">
        <f t="shared" si="4712"/>
        <v>0</v>
      </c>
      <c r="DA886" s="248">
        <f t="shared" si="4713"/>
        <v>0</v>
      </c>
      <c r="DB886" s="504">
        <v>0.38900000000000001</v>
      </c>
      <c r="DC886" s="504">
        <v>0.60747499999999999</v>
      </c>
      <c r="DD886" s="504">
        <v>0.72787500000000005</v>
      </c>
      <c r="DE886" s="504">
        <v>1.5260549999999999</v>
      </c>
      <c r="DF886" s="504">
        <v>2.3613400000000002</v>
      </c>
      <c r="DG886" s="223">
        <f t="shared" si="4715"/>
        <v>3.9975399999999999</v>
      </c>
      <c r="DH886" s="223">
        <f t="shared" si="4716"/>
        <v>4.4630400000000003</v>
      </c>
      <c r="DI886" s="223">
        <f t="shared" si="4717"/>
        <v>5.35344</v>
      </c>
      <c r="DJ886" s="223">
        <f t="shared" si="4718"/>
        <v>5.9657650000000002</v>
      </c>
      <c r="DK886" s="223">
        <f t="shared" si="4719"/>
        <v>6.0627649999999997</v>
      </c>
      <c r="DL886" s="223">
        <f t="shared" si="4720"/>
        <v>6.1779999999999999</v>
      </c>
      <c r="DM886" s="223">
        <f t="shared" si="4721"/>
        <v>6.4071400000000001</v>
      </c>
      <c r="DN886" s="606">
        <f t="shared" si="4758"/>
        <v>0.121</v>
      </c>
      <c r="DO886" s="606">
        <f t="shared" si="4758"/>
        <v>0.2452</v>
      </c>
      <c r="DP886" s="248"/>
      <c r="DQ886" s="248"/>
      <c r="DR886" s="248"/>
      <c r="DS886" s="248"/>
      <c r="DT886" s="248"/>
      <c r="DU886" s="248"/>
      <c r="DV886" s="248"/>
      <c r="DW886" s="248"/>
      <c r="DX886" s="248"/>
      <c r="DY886" s="248"/>
      <c r="DZ886" s="381"/>
      <c r="EA886" s="381"/>
      <c r="EB886" s="381"/>
      <c r="ED886" s="429"/>
      <c r="EE886" s="242"/>
      <c r="EF886" s="242"/>
      <c r="EG886" s="242"/>
      <c r="EH886" s="243">
        <f t="shared" si="4722"/>
        <v>0.1242</v>
      </c>
      <c r="EI886" s="243">
        <f t="shared" si="4723"/>
        <v>0.2452</v>
      </c>
      <c r="EJ886" s="243">
        <f t="shared" si="4724"/>
        <v>0.2452</v>
      </c>
      <c r="EK886" s="217">
        <f t="shared" si="4759"/>
        <v>0.91666666666666663</v>
      </c>
      <c r="EL886" s="14"/>
      <c r="EM886" s="14"/>
      <c r="EN886" s="14"/>
      <c r="EO886" s="46"/>
      <c r="EP886" s="46"/>
      <c r="EQ886" s="381"/>
      <c r="ER886" s="381"/>
      <c r="ES886" s="381"/>
    </row>
    <row r="887" spans="1:150" ht="15.75">
      <c r="A887" s="480" t="s">
        <v>204</v>
      </c>
      <c r="B887" s="481" t="s">
        <v>217</v>
      </c>
      <c r="C887" s="3" t="s">
        <v>54</v>
      </c>
      <c r="E887" s="3" t="s">
        <v>16</v>
      </c>
      <c r="G887" s="245" t="s">
        <v>91</v>
      </c>
      <c r="I887" s="237"/>
      <c r="J887" s="248"/>
      <c r="K887" s="376"/>
      <c r="L887" s="376"/>
      <c r="M887" s="247"/>
      <c r="N887" s="376"/>
      <c r="O887" s="376"/>
      <c r="P887" s="376"/>
      <c r="Q887" s="376"/>
      <c r="R887" s="376"/>
      <c r="S887" s="376"/>
      <c r="T887" s="376"/>
      <c r="U887" s="376"/>
      <c r="V887" s="378">
        <v>0</v>
      </c>
      <c r="W887" s="376">
        <v>0</v>
      </c>
      <c r="X887" s="376">
        <v>0</v>
      </c>
      <c r="Y887" s="26">
        <v>0</v>
      </c>
      <c r="Z887" s="376">
        <v>0</v>
      </c>
      <c r="AA887" s="254">
        <v>0</v>
      </c>
      <c r="AB887" s="254">
        <v>0</v>
      </c>
      <c r="AC887" s="436">
        <v>0</v>
      </c>
      <c r="AD887" s="254">
        <v>1.6E-2</v>
      </c>
      <c r="AE887" s="254">
        <v>1.6E-2</v>
      </c>
      <c r="AF887" s="254">
        <v>1.6E-2</v>
      </c>
      <c r="AG887" s="254">
        <v>1.6E-2</v>
      </c>
      <c r="AH887" s="254">
        <v>0</v>
      </c>
      <c r="AI887" s="254">
        <v>0</v>
      </c>
      <c r="AJ887" s="254"/>
      <c r="AK887" s="408"/>
      <c r="AL887" s="248">
        <f t="shared" si="4680"/>
        <v>0</v>
      </c>
      <c r="AM887" s="248">
        <f t="shared" si="4681"/>
        <v>0</v>
      </c>
      <c r="AN887" s="248">
        <f t="shared" si="4682"/>
        <v>0</v>
      </c>
      <c r="AO887" s="248">
        <f t="shared" si="4725"/>
        <v>0</v>
      </c>
      <c r="AP887" s="286">
        <f t="shared" si="4683"/>
        <v>0</v>
      </c>
      <c r="AQ887" s="510">
        <f t="shared" si="4684"/>
        <v>0</v>
      </c>
      <c r="AR887" s="510">
        <f t="shared" si="4685"/>
        <v>0</v>
      </c>
      <c r="AS887" s="510">
        <f t="shared" si="4686"/>
        <v>0</v>
      </c>
      <c r="AT887" s="510">
        <f t="shared" si="4687"/>
        <v>0</v>
      </c>
      <c r="AU887" s="510">
        <f t="shared" si="4688"/>
        <v>0</v>
      </c>
      <c r="AV887" s="510">
        <f t="shared" si="4689"/>
        <v>0</v>
      </c>
      <c r="AW887" s="510">
        <f t="shared" si="4690"/>
        <v>0</v>
      </c>
      <c r="AX887" s="510">
        <f t="shared" si="4726"/>
        <v>0</v>
      </c>
      <c r="AY887" s="510">
        <f t="shared" si="4691"/>
        <v>0</v>
      </c>
      <c r="AZ887" s="510">
        <f t="shared" si="4692"/>
        <v>0</v>
      </c>
      <c r="BA887" s="223">
        <f t="shared" si="4727"/>
        <v>0</v>
      </c>
      <c r="BB887" s="510">
        <f t="shared" si="4693"/>
        <v>0</v>
      </c>
      <c r="BC887" s="510">
        <f t="shared" si="4694"/>
        <v>0</v>
      </c>
      <c r="BD887" s="510">
        <f t="shared" si="4695"/>
        <v>0</v>
      </c>
      <c r="BE887" s="510">
        <f t="shared" si="4696"/>
        <v>0</v>
      </c>
      <c r="BF887" s="510">
        <f t="shared" si="4697"/>
        <v>1.6E-2</v>
      </c>
      <c r="BG887" s="510">
        <f t="shared" si="4698"/>
        <v>0</v>
      </c>
      <c r="BH887" s="510">
        <f t="shared" si="4699"/>
        <v>0</v>
      </c>
      <c r="BI887" s="510">
        <f t="shared" si="4700"/>
        <v>0</v>
      </c>
      <c r="BJ887" s="223">
        <f t="shared" si="4728"/>
        <v>0</v>
      </c>
      <c r="BK887" s="510">
        <f t="shared" si="4701"/>
        <v>0</v>
      </c>
      <c r="BL887" s="510">
        <f t="shared" si="4702"/>
        <v>0</v>
      </c>
      <c r="BM887" s="408"/>
      <c r="BN887" s="48">
        <f t="shared" si="4729"/>
        <v>0</v>
      </c>
      <c r="BO887" s="48">
        <f t="shared" si="4730"/>
        <v>0</v>
      </c>
      <c r="BP887" s="48">
        <f t="shared" si="4731"/>
        <v>0</v>
      </c>
      <c r="BQ887" s="48">
        <f t="shared" si="4732"/>
        <v>0</v>
      </c>
      <c r="BR887" s="48">
        <f t="shared" si="4733"/>
        <v>0</v>
      </c>
      <c r="BS887" s="48">
        <f t="shared" si="4734"/>
        <v>0</v>
      </c>
      <c r="BT887" s="48">
        <f t="shared" si="4735"/>
        <v>0</v>
      </c>
      <c r="BU887" s="48">
        <f t="shared" si="4736"/>
        <v>0</v>
      </c>
      <c r="BV887" s="48">
        <f t="shared" si="4737"/>
        <v>0</v>
      </c>
      <c r="BW887" s="48">
        <f t="shared" si="4738"/>
        <v>0</v>
      </c>
      <c r="BX887" s="48">
        <f t="shared" si="4739"/>
        <v>0</v>
      </c>
      <c r="BY887" s="119">
        <f t="shared" si="4740"/>
        <v>0</v>
      </c>
      <c r="BZ887" s="119">
        <f t="shared" si="4741"/>
        <v>0</v>
      </c>
      <c r="CA887" s="119">
        <f t="shared" si="4742"/>
        <v>0</v>
      </c>
      <c r="CB887" s="119">
        <f t="shared" si="4743"/>
        <v>0</v>
      </c>
      <c r="CC887" s="119">
        <f t="shared" si="4744"/>
        <v>0</v>
      </c>
      <c r="CD887" s="119">
        <f t="shared" si="4745"/>
        <v>0</v>
      </c>
      <c r="CE887" s="119">
        <f t="shared" si="4746"/>
        <v>0</v>
      </c>
      <c r="CF887" s="119">
        <f t="shared" si="4747"/>
        <v>1.6E-2</v>
      </c>
      <c r="CG887" s="119">
        <f t="shared" si="4748"/>
        <v>1.6E-2</v>
      </c>
      <c r="CH887" s="119">
        <f t="shared" si="4749"/>
        <v>1.6E-2</v>
      </c>
      <c r="CI887" s="119">
        <f t="shared" si="4750"/>
        <v>0</v>
      </c>
      <c r="CJ887" s="119">
        <f t="shared" si="4751"/>
        <v>0</v>
      </c>
      <c r="CK887" s="119">
        <f t="shared" si="4752"/>
        <v>0</v>
      </c>
      <c r="CL887" s="119">
        <f t="shared" si="4753"/>
        <v>0</v>
      </c>
      <c r="CM887" s="119">
        <f t="shared" si="4754"/>
        <v>0</v>
      </c>
      <c r="CN887" s="119">
        <f t="shared" si="4755"/>
        <v>0</v>
      </c>
      <c r="CO887" s="406"/>
      <c r="CP887" s="248">
        <f t="shared" si="4703"/>
        <v>0</v>
      </c>
      <c r="CQ887" s="248">
        <f t="shared" si="4704"/>
        <v>0</v>
      </c>
      <c r="CR887" s="248">
        <f t="shared" si="4705"/>
        <v>0</v>
      </c>
      <c r="CS887" s="248">
        <f t="shared" si="4756"/>
        <v>0</v>
      </c>
      <c r="CT887" s="248">
        <f t="shared" si="4706"/>
        <v>0</v>
      </c>
      <c r="CU887" s="248">
        <f t="shared" si="4707"/>
        <v>0</v>
      </c>
      <c r="CV887" s="248">
        <f t="shared" si="4708"/>
        <v>0</v>
      </c>
      <c r="CW887" s="248">
        <f t="shared" si="4709"/>
        <v>0</v>
      </c>
      <c r="CX887" s="248">
        <f t="shared" si="4710"/>
        <v>0</v>
      </c>
      <c r="CY887" s="248">
        <f t="shared" si="4711"/>
        <v>0</v>
      </c>
      <c r="CZ887" s="248">
        <f t="shared" si="4712"/>
        <v>0</v>
      </c>
      <c r="DA887" s="248">
        <f t="shared" si="4713"/>
        <v>0</v>
      </c>
      <c r="DB887" s="504">
        <v>0</v>
      </c>
      <c r="DC887" s="504">
        <f t="shared" si="4757"/>
        <v>0</v>
      </c>
      <c r="DD887" s="504">
        <f t="shared" si="4714"/>
        <v>0</v>
      </c>
      <c r="DE887" s="504">
        <f>+BA887</f>
        <v>0</v>
      </c>
      <c r="DF887" s="504">
        <f>Y887+BB887</f>
        <v>0</v>
      </c>
      <c r="DG887" s="223">
        <f t="shared" si="4715"/>
        <v>0</v>
      </c>
      <c r="DH887" s="223">
        <f t="shared" si="4716"/>
        <v>0</v>
      </c>
      <c r="DI887" s="223">
        <f t="shared" si="4717"/>
        <v>0</v>
      </c>
      <c r="DJ887" s="223">
        <f t="shared" si="4718"/>
        <v>1.6E-2</v>
      </c>
      <c r="DK887" s="223">
        <f t="shared" si="4719"/>
        <v>1.6E-2</v>
      </c>
      <c r="DL887" s="223">
        <f t="shared" si="4720"/>
        <v>1.6E-2</v>
      </c>
      <c r="DM887" s="223">
        <f t="shared" si="4721"/>
        <v>1.6E-2</v>
      </c>
      <c r="DN887" s="248">
        <f t="shared" si="4758"/>
        <v>0</v>
      </c>
      <c r="DO887" s="248">
        <f t="shared" si="4758"/>
        <v>0</v>
      </c>
      <c r="DP887" s="248"/>
      <c r="DQ887" s="248"/>
      <c r="DR887" s="248"/>
      <c r="DS887" s="248"/>
      <c r="DT887" s="248"/>
      <c r="DU887" s="248"/>
      <c r="DV887" s="248"/>
      <c r="DW887" s="248"/>
      <c r="DX887" s="248"/>
      <c r="DY887" s="248"/>
      <c r="DZ887" s="381"/>
      <c r="EA887" s="381"/>
      <c r="EB887" s="381"/>
      <c r="ED887" s="429"/>
      <c r="EE887" s="242"/>
      <c r="EF887" s="242"/>
      <c r="EG887" s="242"/>
      <c r="EH887" s="243">
        <f t="shared" si="4722"/>
        <v>0</v>
      </c>
      <c r="EI887" s="243">
        <f t="shared" si="4723"/>
        <v>0</v>
      </c>
      <c r="EJ887" s="243">
        <f t="shared" si="4724"/>
        <v>0</v>
      </c>
      <c r="EK887" s="217">
        <f t="shared" si="4759"/>
        <v>0.91666666666666663</v>
      </c>
      <c r="EL887" s="14"/>
      <c r="EM887" s="14"/>
      <c r="EN887" s="14"/>
      <c r="EO887" s="46"/>
      <c r="EP887" s="46"/>
      <c r="EQ887" s="381"/>
      <c r="ER887" s="381"/>
      <c r="ES887" s="381"/>
    </row>
    <row r="888" spans="1:150" ht="15.75">
      <c r="A888" s="480" t="s">
        <v>204</v>
      </c>
      <c r="B888" s="481" t="s">
        <v>218</v>
      </c>
      <c r="C888" s="3" t="s">
        <v>54</v>
      </c>
      <c r="E888" s="3" t="s">
        <v>16</v>
      </c>
      <c r="G888" s="245" t="s">
        <v>91</v>
      </c>
      <c r="I888" s="237"/>
      <c r="J888" s="248"/>
      <c r="K888" s="376"/>
      <c r="L888" s="376"/>
      <c r="M888" s="247"/>
      <c r="N888" s="376"/>
      <c r="O888" s="376"/>
      <c r="P888" s="376"/>
      <c r="Q888" s="376"/>
      <c r="R888" s="376"/>
      <c r="S888" s="376"/>
      <c r="T888" s="376"/>
      <c r="U888" s="376"/>
      <c r="V888" s="378">
        <v>0.33300000000000002</v>
      </c>
      <c r="W888" s="376">
        <v>0.33300000000000002</v>
      </c>
      <c r="X888" s="376">
        <v>0.33300000000000002</v>
      </c>
      <c r="Y888" s="26">
        <v>0.33300000000000002</v>
      </c>
      <c r="Z888" s="376">
        <v>0.33300000000000002</v>
      </c>
      <c r="AA888" s="254">
        <v>0.33300000000000002</v>
      </c>
      <c r="AB888" s="254">
        <v>0.68200000000000005</v>
      </c>
      <c r="AC888" s="436">
        <v>0.97450000000000003</v>
      </c>
      <c r="AD888" s="254">
        <v>5.1154999999999999</v>
      </c>
      <c r="AE888" s="254">
        <v>8.4246999999999996</v>
      </c>
      <c r="AF888" s="254">
        <v>8.6980000000000004</v>
      </c>
      <c r="AG888" s="254">
        <v>8.9286999999999992</v>
      </c>
      <c r="AH888" s="254">
        <v>1.32</v>
      </c>
      <c r="AI888" s="254">
        <v>2.6309999999999998</v>
      </c>
      <c r="AJ888" s="254"/>
      <c r="AK888" s="408"/>
      <c r="AL888" s="248">
        <f t="shared" si="4680"/>
        <v>0</v>
      </c>
      <c r="AM888" s="248">
        <f t="shared" si="4681"/>
        <v>0</v>
      </c>
      <c r="AN888" s="248">
        <f t="shared" si="4682"/>
        <v>0</v>
      </c>
      <c r="AO888" s="248">
        <f t="shared" si="4725"/>
        <v>0</v>
      </c>
      <c r="AP888" s="286">
        <f t="shared" si="4683"/>
        <v>0</v>
      </c>
      <c r="AQ888" s="510">
        <f t="shared" si="4684"/>
        <v>0</v>
      </c>
      <c r="AR888" s="510">
        <f t="shared" si="4685"/>
        <v>0</v>
      </c>
      <c r="AS888" s="510">
        <f t="shared" si="4686"/>
        <v>0</v>
      </c>
      <c r="AT888" s="510">
        <f t="shared" si="4687"/>
        <v>0</v>
      </c>
      <c r="AU888" s="510">
        <f t="shared" si="4688"/>
        <v>0</v>
      </c>
      <c r="AV888" s="510">
        <f t="shared" si="4689"/>
        <v>0</v>
      </c>
      <c r="AW888" s="510">
        <f t="shared" si="4690"/>
        <v>0</v>
      </c>
      <c r="AX888" s="510">
        <f t="shared" si="4726"/>
        <v>0.33300000000000002</v>
      </c>
      <c r="AY888" s="510">
        <f t="shared" si="4691"/>
        <v>0</v>
      </c>
      <c r="AZ888" s="510">
        <f t="shared" si="4692"/>
        <v>0</v>
      </c>
      <c r="BA888" s="223">
        <f t="shared" si="4727"/>
        <v>0.33300000000000002</v>
      </c>
      <c r="BB888" s="510">
        <f t="shared" si="4693"/>
        <v>0</v>
      </c>
      <c r="BC888" s="510">
        <f t="shared" si="4694"/>
        <v>0</v>
      </c>
      <c r="BD888" s="510">
        <f t="shared" si="4695"/>
        <v>0.34900000000000003</v>
      </c>
      <c r="BE888" s="510">
        <f t="shared" si="4696"/>
        <v>0.29249999999999998</v>
      </c>
      <c r="BF888" s="510">
        <f t="shared" si="4697"/>
        <v>4.141</v>
      </c>
      <c r="BG888" s="510">
        <f t="shared" si="4698"/>
        <v>3.3091999999999997</v>
      </c>
      <c r="BH888" s="510">
        <f t="shared" si="4699"/>
        <v>0.27330000000000076</v>
      </c>
      <c r="BI888" s="510">
        <f t="shared" si="4700"/>
        <v>0.23069999999999879</v>
      </c>
      <c r="BJ888" s="223">
        <f t="shared" si="4728"/>
        <v>1.32</v>
      </c>
      <c r="BK888" s="510">
        <f t="shared" si="4701"/>
        <v>1.3109999999999997</v>
      </c>
      <c r="BL888" s="510">
        <f t="shared" si="4702"/>
        <v>0</v>
      </c>
      <c r="BM888" s="408"/>
      <c r="BN888" s="48">
        <f t="shared" si="4729"/>
        <v>0</v>
      </c>
      <c r="BO888" s="48">
        <f t="shared" si="4730"/>
        <v>0</v>
      </c>
      <c r="BP888" s="48">
        <f t="shared" si="4731"/>
        <v>0</v>
      </c>
      <c r="BQ888" s="48">
        <f t="shared" si="4732"/>
        <v>0</v>
      </c>
      <c r="BR888" s="48">
        <f t="shared" si="4733"/>
        <v>0</v>
      </c>
      <c r="BS888" s="48">
        <f t="shared" si="4734"/>
        <v>0</v>
      </c>
      <c r="BT888" s="48">
        <f t="shared" si="4735"/>
        <v>0</v>
      </c>
      <c r="BU888" s="48">
        <f t="shared" si="4736"/>
        <v>0</v>
      </c>
      <c r="BV888" s="48">
        <f t="shared" si="4737"/>
        <v>0</v>
      </c>
      <c r="BW888" s="48">
        <f t="shared" si="4738"/>
        <v>0</v>
      </c>
      <c r="BX888" s="48">
        <f t="shared" si="4739"/>
        <v>0</v>
      </c>
      <c r="BY888" s="119">
        <f t="shared" si="4740"/>
        <v>0</v>
      </c>
      <c r="BZ888" s="119">
        <f t="shared" si="4741"/>
        <v>0.33300000000000002</v>
      </c>
      <c r="CA888" s="119">
        <f t="shared" si="4742"/>
        <v>0.33300000000000002</v>
      </c>
      <c r="CB888" s="119">
        <f t="shared" si="4743"/>
        <v>0.33300000000000002</v>
      </c>
      <c r="CC888" s="119">
        <f t="shared" si="4744"/>
        <v>0.33300000000000002</v>
      </c>
      <c r="CD888" s="119">
        <f t="shared" si="4745"/>
        <v>0.33300000000000002</v>
      </c>
      <c r="CE888" s="119">
        <f t="shared" si="4746"/>
        <v>0.33300000000000002</v>
      </c>
      <c r="CF888" s="119">
        <f t="shared" si="4747"/>
        <v>4.7824999999999998</v>
      </c>
      <c r="CG888" s="119">
        <f t="shared" si="4748"/>
        <v>4.7824999999999998</v>
      </c>
      <c r="CH888" s="119">
        <f t="shared" si="4749"/>
        <v>4.7824999999999998</v>
      </c>
      <c r="CI888" s="119">
        <f t="shared" si="4750"/>
        <v>3.8131999999999993</v>
      </c>
      <c r="CJ888" s="119">
        <f t="shared" si="4751"/>
        <v>3.8131999999999993</v>
      </c>
      <c r="CK888" s="119">
        <f t="shared" si="4752"/>
        <v>3.8131999999999993</v>
      </c>
      <c r="CL888" s="119">
        <f t="shared" si="4753"/>
        <v>2.6309999999999998</v>
      </c>
      <c r="CM888" s="119">
        <f t="shared" si="4754"/>
        <v>2.6309999999999998</v>
      </c>
      <c r="CN888" s="119">
        <f t="shared" si="4755"/>
        <v>2.6309999999999998</v>
      </c>
      <c r="CO888" s="406"/>
      <c r="CP888" s="248">
        <f t="shared" si="4703"/>
        <v>0</v>
      </c>
      <c r="CQ888" s="248">
        <f t="shared" si="4704"/>
        <v>0</v>
      </c>
      <c r="CR888" s="248">
        <f t="shared" si="4705"/>
        <v>0</v>
      </c>
      <c r="CS888" s="248">
        <f t="shared" si="4756"/>
        <v>0</v>
      </c>
      <c r="CT888" s="248">
        <f t="shared" si="4706"/>
        <v>0</v>
      </c>
      <c r="CU888" s="248">
        <f t="shared" si="4707"/>
        <v>0</v>
      </c>
      <c r="CV888" s="248">
        <f t="shared" si="4708"/>
        <v>0</v>
      </c>
      <c r="CW888" s="248">
        <f t="shared" si="4709"/>
        <v>0</v>
      </c>
      <c r="CX888" s="248">
        <f t="shared" si="4710"/>
        <v>0</v>
      </c>
      <c r="CY888" s="248">
        <f t="shared" si="4711"/>
        <v>0</v>
      </c>
      <c r="CZ888" s="248">
        <f t="shared" si="4712"/>
        <v>0</v>
      </c>
      <c r="DA888" s="248">
        <f t="shared" si="4713"/>
        <v>0</v>
      </c>
      <c r="DB888" s="504">
        <v>0.33300000000000002</v>
      </c>
      <c r="DC888" s="504">
        <v>0.33300000000000002</v>
      </c>
      <c r="DD888" s="504">
        <v>0.33300000000000002</v>
      </c>
      <c r="DE888" s="504">
        <v>0.33300000000000002</v>
      </c>
      <c r="DF888" s="504">
        <v>0.33300000000000002</v>
      </c>
      <c r="DG888" s="223">
        <f t="shared" si="4715"/>
        <v>0.33300000000000002</v>
      </c>
      <c r="DH888" s="223">
        <f t="shared" si="4716"/>
        <v>0.68200000000000005</v>
      </c>
      <c r="DI888" s="223">
        <f t="shared" si="4717"/>
        <v>0.97450000000000003</v>
      </c>
      <c r="DJ888" s="223">
        <f t="shared" si="4718"/>
        <v>5.1154999999999999</v>
      </c>
      <c r="DK888" s="223">
        <f t="shared" si="4719"/>
        <v>8.4246999999999996</v>
      </c>
      <c r="DL888" s="223">
        <f t="shared" si="4720"/>
        <v>8.6980000000000004</v>
      </c>
      <c r="DM888" s="223">
        <f t="shared" si="4721"/>
        <v>8.9286999999999992</v>
      </c>
      <c r="DN888" s="606">
        <f t="shared" si="4758"/>
        <v>1.32</v>
      </c>
      <c r="DO888" s="606">
        <f t="shared" si="4758"/>
        <v>2.6309999999999998</v>
      </c>
      <c r="DP888" s="248"/>
      <c r="DQ888" s="248"/>
      <c r="DR888" s="248"/>
      <c r="DS888" s="248"/>
      <c r="DT888" s="248"/>
      <c r="DU888" s="248"/>
      <c r="DV888" s="248"/>
      <c r="DW888" s="248"/>
      <c r="DX888" s="248"/>
      <c r="DY888" s="248"/>
      <c r="DZ888" s="381"/>
      <c r="EA888" s="381"/>
      <c r="EB888" s="381"/>
      <c r="ED888" s="429"/>
      <c r="EE888" s="242"/>
      <c r="EF888" s="242"/>
      <c r="EG888" s="242"/>
      <c r="EH888" s="243">
        <f t="shared" si="4722"/>
        <v>1.3109999999999997</v>
      </c>
      <c r="EI888" s="243">
        <f t="shared" si="4723"/>
        <v>2.6309999999999998</v>
      </c>
      <c r="EJ888" s="243">
        <f t="shared" si="4724"/>
        <v>2.6309999999999998</v>
      </c>
      <c r="EK888" s="217">
        <f t="shared" si="4759"/>
        <v>0.91666666666666663</v>
      </c>
      <c r="EL888" s="14"/>
      <c r="EM888" s="14"/>
      <c r="EN888" s="14"/>
      <c r="EO888" s="46"/>
      <c r="EP888" s="46"/>
      <c r="EQ888" s="381"/>
      <c r="ER888" s="381"/>
      <c r="ES888" s="381"/>
    </row>
    <row r="889" spans="1:150" ht="15.75">
      <c r="A889" s="480" t="s">
        <v>204</v>
      </c>
      <c r="B889" s="481" t="s">
        <v>222</v>
      </c>
      <c r="C889" s="3" t="s">
        <v>54</v>
      </c>
      <c r="E889" s="3" t="s">
        <v>16</v>
      </c>
      <c r="G889" s="245" t="s">
        <v>91</v>
      </c>
      <c r="I889" s="237"/>
      <c r="J889" s="248"/>
      <c r="K889" s="376"/>
      <c r="L889" s="376"/>
      <c r="M889" s="247"/>
      <c r="N889" s="376"/>
      <c r="O889" s="376"/>
      <c r="P889" s="376"/>
      <c r="Q889" s="376"/>
      <c r="R889" s="376"/>
      <c r="S889" s="376"/>
      <c r="T889" s="376"/>
      <c r="U889" s="376"/>
      <c r="V889" s="378">
        <v>0.74981299999999995</v>
      </c>
      <c r="W889" s="376">
        <v>0.86981299999999995</v>
      </c>
      <c r="X889" s="376">
        <v>2.9310130000000001</v>
      </c>
      <c r="Y889" s="26">
        <v>2.996013</v>
      </c>
      <c r="Z889" s="376">
        <v>2.996013</v>
      </c>
      <c r="AA889" s="254">
        <v>3.6610100000000001</v>
      </c>
      <c r="AB889" s="254">
        <v>3.6610130000000001</v>
      </c>
      <c r="AC889" s="436">
        <v>6.4610130000000003</v>
      </c>
      <c r="AD889" s="254">
        <v>7.1168529999999999</v>
      </c>
      <c r="AE889" s="254">
        <v>7.1168529999999999</v>
      </c>
      <c r="AF889" s="254">
        <v>7.1159999999999997</v>
      </c>
      <c r="AG889" s="254">
        <v>7.1168529999999999</v>
      </c>
      <c r="AH889" s="254">
        <v>0.53</v>
      </c>
      <c r="AI889" s="254">
        <v>0.53</v>
      </c>
      <c r="AJ889" s="254"/>
      <c r="AK889" s="408"/>
      <c r="AL889" s="248">
        <f t="shared" si="4680"/>
        <v>0</v>
      </c>
      <c r="AM889" s="248">
        <f t="shared" si="4681"/>
        <v>0</v>
      </c>
      <c r="AN889" s="248">
        <f t="shared" si="4682"/>
        <v>0</v>
      </c>
      <c r="AO889" s="248">
        <f t="shared" si="4725"/>
        <v>0</v>
      </c>
      <c r="AP889" s="286">
        <f t="shared" si="4683"/>
        <v>0</v>
      </c>
      <c r="AQ889" s="510">
        <f t="shared" si="4684"/>
        <v>0</v>
      </c>
      <c r="AR889" s="510">
        <f t="shared" si="4685"/>
        <v>0</v>
      </c>
      <c r="AS889" s="510">
        <f t="shared" si="4686"/>
        <v>0</v>
      </c>
      <c r="AT889" s="510">
        <f t="shared" si="4687"/>
        <v>0</v>
      </c>
      <c r="AU889" s="510">
        <f t="shared" si="4688"/>
        <v>0</v>
      </c>
      <c r="AV889" s="510">
        <f t="shared" si="4689"/>
        <v>0</v>
      </c>
      <c r="AW889" s="510">
        <f t="shared" si="4690"/>
        <v>0</v>
      </c>
      <c r="AX889" s="510">
        <f t="shared" si="4726"/>
        <v>0.74981299999999995</v>
      </c>
      <c r="AY889" s="510">
        <f t="shared" si="4691"/>
        <v>0.12</v>
      </c>
      <c r="AZ889" s="510">
        <f t="shared" si="4692"/>
        <v>2.0612000000000004</v>
      </c>
      <c r="BA889" s="223">
        <f t="shared" si="4727"/>
        <v>2.996013</v>
      </c>
      <c r="BB889" s="510">
        <f t="shared" si="4693"/>
        <v>0</v>
      </c>
      <c r="BC889" s="510">
        <f t="shared" si="4694"/>
        <v>0.66499700000000006</v>
      </c>
      <c r="BD889" s="510">
        <f t="shared" si="4695"/>
        <v>2.9999999999752447E-6</v>
      </c>
      <c r="BE889" s="510">
        <f t="shared" si="4696"/>
        <v>2.8000000000000003</v>
      </c>
      <c r="BF889" s="510">
        <f t="shared" si="4697"/>
        <v>0.65583999999999953</v>
      </c>
      <c r="BG889" s="510">
        <f t="shared" si="4698"/>
        <v>0</v>
      </c>
      <c r="BH889" s="510">
        <f t="shared" si="4699"/>
        <v>-8.530000000002147E-4</v>
      </c>
      <c r="BI889" s="510">
        <f t="shared" si="4700"/>
        <v>8.530000000002147E-4</v>
      </c>
      <c r="BJ889" s="223">
        <f t="shared" si="4728"/>
        <v>0.53</v>
      </c>
      <c r="BK889" s="510">
        <f t="shared" si="4701"/>
        <v>0</v>
      </c>
      <c r="BL889" s="510">
        <f t="shared" si="4702"/>
        <v>0</v>
      </c>
      <c r="BM889" s="408"/>
      <c r="BN889" s="48">
        <f t="shared" si="4729"/>
        <v>0</v>
      </c>
      <c r="BO889" s="48">
        <f t="shared" si="4730"/>
        <v>0</v>
      </c>
      <c r="BP889" s="48">
        <f t="shared" si="4731"/>
        <v>0</v>
      </c>
      <c r="BQ889" s="48">
        <f t="shared" si="4732"/>
        <v>0</v>
      </c>
      <c r="BR889" s="48">
        <f t="shared" si="4733"/>
        <v>0</v>
      </c>
      <c r="BS889" s="48">
        <f t="shared" si="4734"/>
        <v>0</v>
      </c>
      <c r="BT889" s="48">
        <f t="shared" si="4735"/>
        <v>0</v>
      </c>
      <c r="BU889" s="48">
        <f t="shared" si="4736"/>
        <v>0</v>
      </c>
      <c r="BV889" s="48">
        <f t="shared" si="4737"/>
        <v>0</v>
      </c>
      <c r="BW889" s="48">
        <f t="shared" si="4738"/>
        <v>0</v>
      </c>
      <c r="BX889" s="48">
        <f t="shared" si="4739"/>
        <v>0</v>
      </c>
      <c r="BY889" s="119">
        <f t="shared" si="4740"/>
        <v>0</v>
      </c>
      <c r="BZ889" s="119">
        <f t="shared" si="4741"/>
        <v>2.9310130000000001</v>
      </c>
      <c r="CA889" s="119">
        <f t="shared" si="4742"/>
        <v>2.9310130000000001</v>
      </c>
      <c r="CB889" s="119">
        <f t="shared" si="4743"/>
        <v>2.9310130000000001</v>
      </c>
      <c r="CC889" s="119">
        <f t="shared" si="4744"/>
        <v>3.6610100000000001</v>
      </c>
      <c r="CD889" s="119">
        <f t="shared" si="4745"/>
        <v>3.6610100000000001</v>
      </c>
      <c r="CE889" s="119">
        <f t="shared" si="4746"/>
        <v>3.6610100000000001</v>
      </c>
      <c r="CF889" s="119">
        <f t="shared" si="4747"/>
        <v>3.4558429999999998</v>
      </c>
      <c r="CG889" s="119">
        <f t="shared" si="4748"/>
        <v>3.4558429999999998</v>
      </c>
      <c r="CH889" s="119">
        <f t="shared" si="4749"/>
        <v>3.4558429999999998</v>
      </c>
      <c r="CI889" s="119">
        <f t="shared" si="4750"/>
        <v>0</v>
      </c>
      <c r="CJ889" s="119">
        <f t="shared" si="4751"/>
        <v>0</v>
      </c>
      <c r="CK889" s="119">
        <f t="shared" si="4752"/>
        <v>0</v>
      </c>
      <c r="CL889" s="119">
        <f t="shared" si="4753"/>
        <v>0.53</v>
      </c>
      <c r="CM889" s="119">
        <f t="shared" si="4754"/>
        <v>0.53</v>
      </c>
      <c r="CN889" s="119">
        <f t="shared" si="4755"/>
        <v>0.53</v>
      </c>
      <c r="CO889" s="406"/>
      <c r="CP889" s="248">
        <f t="shared" si="4703"/>
        <v>0</v>
      </c>
      <c r="CQ889" s="248">
        <f t="shared" si="4704"/>
        <v>0</v>
      </c>
      <c r="CR889" s="248">
        <f t="shared" si="4705"/>
        <v>0</v>
      </c>
      <c r="CS889" s="248">
        <f t="shared" si="4756"/>
        <v>0</v>
      </c>
      <c r="CT889" s="248">
        <f t="shared" si="4706"/>
        <v>0</v>
      </c>
      <c r="CU889" s="248">
        <f t="shared" si="4707"/>
        <v>0</v>
      </c>
      <c r="CV889" s="248">
        <f t="shared" si="4708"/>
        <v>0</v>
      </c>
      <c r="CW889" s="248">
        <f t="shared" si="4709"/>
        <v>0</v>
      </c>
      <c r="CX889" s="248">
        <f t="shared" si="4710"/>
        <v>0</v>
      </c>
      <c r="CY889" s="248">
        <f t="shared" si="4711"/>
        <v>0</v>
      </c>
      <c r="CZ889" s="248">
        <f t="shared" si="4712"/>
        <v>0</v>
      </c>
      <c r="DA889" s="248">
        <f t="shared" si="4713"/>
        <v>0</v>
      </c>
      <c r="DB889" s="504">
        <v>0.74981299999999995</v>
      </c>
      <c r="DC889" s="504">
        <v>0.86981299999999995</v>
      </c>
      <c r="DD889" s="504">
        <v>2.9310130000000001</v>
      </c>
      <c r="DE889" s="504">
        <v>2.996013</v>
      </c>
      <c r="DF889" s="504">
        <v>2.996013</v>
      </c>
      <c r="DG889" s="223">
        <f t="shared" si="4715"/>
        <v>3.6610100000000001</v>
      </c>
      <c r="DH889" s="223">
        <f t="shared" si="4716"/>
        <v>3.6610130000000001</v>
      </c>
      <c r="DI889" s="223">
        <f t="shared" si="4717"/>
        <v>6.4610130000000003</v>
      </c>
      <c r="DJ889" s="223">
        <f t="shared" si="4718"/>
        <v>7.1168529999999999</v>
      </c>
      <c r="DK889" s="223">
        <f t="shared" si="4719"/>
        <v>7.1168529999999999</v>
      </c>
      <c r="DL889" s="223">
        <f t="shared" si="4720"/>
        <v>7.1159999999999997</v>
      </c>
      <c r="DM889" s="223">
        <f t="shared" si="4721"/>
        <v>7.1168529999999999</v>
      </c>
      <c r="DN889" s="606">
        <f t="shared" si="4758"/>
        <v>0.53</v>
      </c>
      <c r="DO889" s="606">
        <f t="shared" si="4758"/>
        <v>0.53</v>
      </c>
      <c r="DP889" s="248"/>
      <c r="DQ889" s="248"/>
      <c r="DR889" s="248"/>
      <c r="DS889" s="248"/>
      <c r="DT889" s="248"/>
      <c r="DU889" s="248"/>
      <c r="DV889" s="248"/>
      <c r="DW889" s="248"/>
      <c r="DX889" s="248"/>
      <c r="DY889" s="248"/>
      <c r="DZ889" s="381"/>
      <c r="EA889" s="381"/>
      <c r="EB889" s="381"/>
      <c r="ED889" s="429"/>
      <c r="EE889" s="242"/>
      <c r="EF889" s="242"/>
      <c r="EG889" s="242"/>
      <c r="EH889" s="243">
        <f t="shared" si="4722"/>
        <v>0</v>
      </c>
      <c r="EI889" s="243">
        <f t="shared" si="4723"/>
        <v>0.53</v>
      </c>
      <c r="EJ889" s="243">
        <f t="shared" si="4724"/>
        <v>0.53</v>
      </c>
      <c r="EK889" s="217">
        <f t="shared" si="4759"/>
        <v>0.91666666666666663</v>
      </c>
      <c r="EL889" s="14"/>
      <c r="EM889" s="14"/>
      <c r="EN889" s="14"/>
      <c r="EO889" s="46"/>
      <c r="EP889" s="46"/>
      <c r="EQ889" s="381"/>
      <c r="ER889" s="381"/>
      <c r="ES889" s="381"/>
    </row>
    <row r="890" spans="1:150" ht="15.75">
      <c r="A890" s="480" t="s">
        <v>204</v>
      </c>
      <c r="B890" s="481" t="s">
        <v>223</v>
      </c>
      <c r="C890" s="3" t="s">
        <v>54</v>
      </c>
      <c r="E890" s="3" t="s">
        <v>16</v>
      </c>
      <c r="G890" s="245" t="s">
        <v>91</v>
      </c>
      <c r="I890" s="237"/>
      <c r="J890" s="248"/>
      <c r="K890" s="376"/>
      <c r="L890" s="376"/>
      <c r="M890" s="247"/>
      <c r="N890" s="376"/>
      <c r="O890" s="376"/>
      <c r="P890" s="376"/>
      <c r="Q890" s="376"/>
      <c r="R890" s="376"/>
      <c r="S890" s="376"/>
      <c r="T890" s="376"/>
      <c r="U890" s="376"/>
      <c r="V890" s="378">
        <v>0.01</v>
      </c>
      <c r="W890" s="376">
        <v>0.01</v>
      </c>
      <c r="X890" s="376">
        <v>0.01</v>
      </c>
      <c r="Y890" s="26">
        <v>0.01</v>
      </c>
      <c r="Z890" s="376">
        <v>0.01</v>
      </c>
      <c r="AA890" s="254">
        <v>0.01</v>
      </c>
      <c r="AB890" s="254">
        <v>0.01</v>
      </c>
      <c r="AC890" s="436">
        <v>0.01</v>
      </c>
      <c r="AD890" s="254">
        <v>0.1</v>
      </c>
      <c r="AE890" s="254">
        <v>0.01</v>
      </c>
      <c r="AF890" s="254">
        <v>0.01</v>
      </c>
      <c r="AG890" s="254">
        <v>0.01</v>
      </c>
      <c r="AH890" s="254">
        <v>0</v>
      </c>
      <c r="AI890" s="254">
        <v>0</v>
      </c>
      <c r="AJ890" s="254"/>
      <c r="AK890" s="408"/>
      <c r="AL890" s="248">
        <f t="shared" si="4680"/>
        <v>0</v>
      </c>
      <c r="AM890" s="248">
        <f t="shared" si="4681"/>
        <v>0</v>
      </c>
      <c r="AN890" s="248">
        <f t="shared" si="4682"/>
        <v>0</v>
      </c>
      <c r="AO890" s="248">
        <f t="shared" si="4725"/>
        <v>0</v>
      </c>
      <c r="AP890" s="286">
        <f t="shared" si="4683"/>
        <v>0</v>
      </c>
      <c r="AQ890" s="510">
        <f t="shared" si="4684"/>
        <v>0</v>
      </c>
      <c r="AR890" s="510">
        <f t="shared" si="4685"/>
        <v>0</v>
      </c>
      <c r="AS890" s="510">
        <f t="shared" si="4686"/>
        <v>0</v>
      </c>
      <c r="AT890" s="510">
        <f t="shared" si="4687"/>
        <v>0</v>
      </c>
      <c r="AU890" s="510">
        <f t="shared" si="4688"/>
        <v>0</v>
      </c>
      <c r="AV890" s="510">
        <f t="shared" si="4689"/>
        <v>0</v>
      </c>
      <c r="AW890" s="510">
        <f t="shared" si="4690"/>
        <v>0</v>
      </c>
      <c r="AX890" s="510">
        <f t="shared" si="4726"/>
        <v>0.01</v>
      </c>
      <c r="AY890" s="510">
        <f t="shared" si="4691"/>
        <v>0</v>
      </c>
      <c r="AZ890" s="510">
        <f t="shared" si="4692"/>
        <v>0</v>
      </c>
      <c r="BA890" s="223">
        <f t="shared" si="4727"/>
        <v>0.01</v>
      </c>
      <c r="BB890" s="510">
        <f t="shared" si="4693"/>
        <v>0</v>
      </c>
      <c r="BC890" s="510">
        <f t="shared" si="4694"/>
        <v>0</v>
      </c>
      <c r="BD890" s="510">
        <f t="shared" si="4695"/>
        <v>0</v>
      </c>
      <c r="BE890" s="510">
        <f t="shared" si="4696"/>
        <v>0</v>
      </c>
      <c r="BF890" s="510">
        <f t="shared" si="4697"/>
        <v>9.0000000000000011E-2</v>
      </c>
      <c r="BG890" s="510">
        <f t="shared" si="4698"/>
        <v>-9.0000000000000011E-2</v>
      </c>
      <c r="BH890" s="510">
        <f t="shared" si="4699"/>
        <v>0</v>
      </c>
      <c r="BI890" s="510">
        <f t="shared" si="4700"/>
        <v>0</v>
      </c>
      <c r="BJ890" s="223">
        <f t="shared" si="4728"/>
        <v>0</v>
      </c>
      <c r="BK890" s="510">
        <f t="shared" si="4701"/>
        <v>0</v>
      </c>
      <c r="BL890" s="510">
        <f t="shared" si="4702"/>
        <v>0</v>
      </c>
      <c r="BM890" s="408"/>
      <c r="BN890" s="48">
        <f t="shared" si="4729"/>
        <v>0</v>
      </c>
      <c r="BO890" s="48">
        <f t="shared" si="4730"/>
        <v>0</v>
      </c>
      <c r="BP890" s="48">
        <f t="shared" si="4731"/>
        <v>0</v>
      </c>
      <c r="BQ890" s="48">
        <f t="shared" si="4732"/>
        <v>0</v>
      </c>
      <c r="BR890" s="48">
        <f t="shared" si="4733"/>
        <v>0</v>
      </c>
      <c r="BS890" s="48">
        <f t="shared" si="4734"/>
        <v>0</v>
      </c>
      <c r="BT890" s="48">
        <f t="shared" si="4735"/>
        <v>0</v>
      </c>
      <c r="BU890" s="48">
        <f t="shared" si="4736"/>
        <v>0</v>
      </c>
      <c r="BV890" s="48">
        <f t="shared" si="4737"/>
        <v>0</v>
      </c>
      <c r="BW890" s="48">
        <f t="shared" si="4738"/>
        <v>0</v>
      </c>
      <c r="BX890" s="48">
        <f t="shared" si="4739"/>
        <v>0</v>
      </c>
      <c r="BY890" s="119">
        <f t="shared" si="4740"/>
        <v>0</v>
      </c>
      <c r="BZ890" s="119">
        <f t="shared" si="4741"/>
        <v>0.01</v>
      </c>
      <c r="CA890" s="119">
        <f t="shared" si="4742"/>
        <v>0.01</v>
      </c>
      <c r="CB890" s="119">
        <f t="shared" si="4743"/>
        <v>0.01</v>
      </c>
      <c r="CC890" s="119">
        <f t="shared" si="4744"/>
        <v>0.01</v>
      </c>
      <c r="CD890" s="119">
        <f t="shared" si="4745"/>
        <v>0.01</v>
      </c>
      <c r="CE890" s="119">
        <f t="shared" si="4746"/>
        <v>0.01</v>
      </c>
      <c r="CF890" s="119">
        <f t="shared" si="4747"/>
        <v>9.0000000000000011E-2</v>
      </c>
      <c r="CG890" s="119">
        <f t="shared" si="4748"/>
        <v>9.0000000000000011E-2</v>
      </c>
      <c r="CH890" s="119">
        <f t="shared" si="4749"/>
        <v>9.0000000000000011E-2</v>
      </c>
      <c r="CI890" s="119">
        <f t="shared" si="4750"/>
        <v>-9.0000000000000011E-2</v>
      </c>
      <c r="CJ890" s="119">
        <f t="shared" si="4751"/>
        <v>-9.0000000000000011E-2</v>
      </c>
      <c r="CK890" s="119">
        <f t="shared" si="4752"/>
        <v>-9.0000000000000011E-2</v>
      </c>
      <c r="CL890" s="119">
        <f t="shared" si="4753"/>
        <v>0</v>
      </c>
      <c r="CM890" s="119">
        <f t="shared" si="4754"/>
        <v>0</v>
      </c>
      <c r="CN890" s="119">
        <f t="shared" si="4755"/>
        <v>0</v>
      </c>
      <c r="CO890" s="406"/>
      <c r="CP890" s="248">
        <f t="shared" si="4703"/>
        <v>0</v>
      </c>
      <c r="CQ890" s="248">
        <f t="shared" si="4704"/>
        <v>0</v>
      </c>
      <c r="CR890" s="248">
        <f t="shared" si="4705"/>
        <v>0</v>
      </c>
      <c r="CS890" s="248">
        <f t="shared" si="4756"/>
        <v>0</v>
      </c>
      <c r="CT890" s="248">
        <f t="shared" si="4706"/>
        <v>0</v>
      </c>
      <c r="CU890" s="248">
        <f t="shared" si="4707"/>
        <v>0</v>
      </c>
      <c r="CV890" s="248">
        <f t="shared" si="4708"/>
        <v>0</v>
      </c>
      <c r="CW890" s="248">
        <f t="shared" si="4709"/>
        <v>0</v>
      </c>
      <c r="CX890" s="248">
        <f t="shared" si="4710"/>
        <v>0</v>
      </c>
      <c r="CY890" s="248">
        <f t="shared" si="4711"/>
        <v>0</v>
      </c>
      <c r="CZ890" s="248">
        <f t="shared" si="4712"/>
        <v>0</v>
      </c>
      <c r="DA890" s="248">
        <f t="shared" si="4713"/>
        <v>0</v>
      </c>
      <c r="DB890" s="504">
        <v>0.01</v>
      </c>
      <c r="DC890" s="223">
        <v>0.1</v>
      </c>
      <c r="DD890" s="504">
        <v>0.01</v>
      </c>
      <c r="DE890" s="504">
        <v>0.01</v>
      </c>
      <c r="DF890" s="504">
        <v>0.01</v>
      </c>
      <c r="DG890" s="504">
        <f t="shared" si="4715"/>
        <v>0.01</v>
      </c>
      <c r="DH890" s="504">
        <f t="shared" si="4716"/>
        <v>0.01</v>
      </c>
      <c r="DI890" s="504">
        <f t="shared" si="4717"/>
        <v>0.01</v>
      </c>
      <c r="DJ890" s="504">
        <f t="shared" si="4718"/>
        <v>0.1</v>
      </c>
      <c r="DK890" s="504">
        <f t="shared" si="4719"/>
        <v>9.999999999999995E-3</v>
      </c>
      <c r="DL890" s="504">
        <f t="shared" si="4720"/>
        <v>0.01</v>
      </c>
      <c r="DM890" s="504">
        <f t="shared" si="4721"/>
        <v>0.01</v>
      </c>
      <c r="DN890" s="248">
        <f t="shared" si="4758"/>
        <v>0</v>
      </c>
      <c r="DO890" s="248">
        <f t="shared" si="4758"/>
        <v>0</v>
      </c>
      <c r="DP890" s="248"/>
      <c r="DQ890" s="248"/>
      <c r="DR890" s="248"/>
      <c r="DS890" s="248"/>
      <c r="DT890" s="248"/>
      <c r="DU890" s="248"/>
      <c r="DV890" s="248"/>
      <c r="DW890" s="248"/>
      <c r="DX890" s="248"/>
      <c r="DY890" s="248"/>
      <c r="DZ890" s="381"/>
      <c r="EA890" s="381"/>
      <c r="EB890" s="381"/>
      <c r="ED890" s="429"/>
      <c r="EE890" s="242"/>
      <c r="EF890" s="242"/>
      <c r="EG890" s="242"/>
      <c r="EH890" s="243">
        <f t="shared" si="4722"/>
        <v>0</v>
      </c>
      <c r="EI890" s="243">
        <f t="shared" si="4723"/>
        <v>0</v>
      </c>
      <c r="EJ890" s="243">
        <f t="shared" si="4724"/>
        <v>0</v>
      </c>
      <c r="EK890" s="217">
        <f t="shared" si="4759"/>
        <v>0.91666666666666663</v>
      </c>
      <c r="EL890" s="14"/>
      <c r="EM890" s="14"/>
      <c r="EN890" s="14"/>
      <c r="EO890" s="46"/>
      <c r="EP890" s="46"/>
      <c r="EQ890" s="381"/>
      <c r="ER890" s="381"/>
      <c r="ES890" s="381"/>
    </row>
    <row r="891" spans="1:150">
      <c r="A891" s="507"/>
      <c r="B891" s="506" t="s">
        <v>221</v>
      </c>
      <c r="C891" s="3" t="s">
        <v>54</v>
      </c>
      <c r="E891" s="3" t="s">
        <v>16</v>
      </c>
      <c r="G891" s="137" t="s">
        <v>91</v>
      </c>
      <c r="H891" s="28"/>
      <c r="I891" s="253"/>
      <c r="J891" s="226"/>
      <c r="K891" s="229"/>
      <c r="L891" s="229"/>
      <c r="M891" s="230"/>
      <c r="N891" s="229"/>
      <c r="O891" s="229"/>
      <c r="P891" s="229"/>
      <c r="Q891" s="229"/>
      <c r="R891" s="229"/>
      <c r="S891" s="229"/>
      <c r="T891" s="229"/>
      <c r="U891" s="280"/>
      <c r="V891" s="141">
        <f>SUM(V880:V890)</f>
        <v>1.481813</v>
      </c>
      <c r="W891" s="151">
        <f t="shared" ref="W891:CH891" si="4760">SUM(W880:W890)</f>
        <v>1.8602879999999999</v>
      </c>
      <c r="X891" s="151">
        <f t="shared" si="4760"/>
        <v>4.5418880000000001</v>
      </c>
      <c r="Y891" s="151">
        <f t="shared" si="4760"/>
        <v>5.8623879999999993</v>
      </c>
      <c r="Z891" s="151">
        <f t="shared" si="4760"/>
        <v>8.7476730000000007</v>
      </c>
      <c r="AA891" s="508">
        <f t="shared" si="4760"/>
        <v>11.049149999999999</v>
      </c>
      <c r="AB891" s="508">
        <f t="shared" si="4760"/>
        <v>11.868253000000001</v>
      </c>
      <c r="AC891" s="508">
        <f t="shared" si="4760"/>
        <v>19.863153000000004</v>
      </c>
      <c r="AD891" s="508">
        <f t="shared" si="4760"/>
        <v>25.718318</v>
      </c>
      <c r="AE891" s="508">
        <f t="shared" si="4760"/>
        <v>30.496517999999998</v>
      </c>
      <c r="AF891" s="508">
        <f t="shared" si="4760"/>
        <v>31.120653000000001</v>
      </c>
      <c r="AG891" s="508">
        <f t="shared" si="4760"/>
        <v>33.481092999999994</v>
      </c>
      <c r="AH891" s="508">
        <f t="shared" si="4760"/>
        <v>2.6710000000000003</v>
      </c>
      <c r="AI891" s="508">
        <f t="shared" si="4760"/>
        <v>4.1482000000000001</v>
      </c>
      <c r="AJ891" s="508">
        <f t="shared" si="4760"/>
        <v>0</v>
      </c>
      <c r="AK891" s="151">
        <f t="shared" si="4760"/>
        <v>0</v>
      </c>
      <c r="AL891" s="151">
        <f t="shared" si="4760"/>
        <v>0</v>
      </c>
      <c r="AM891" s="151">
        <f t="shared" si="4760"/>
        <v>0</v>
      </c>
      <c r="AN891" s="151">
        <f t="shared" si="4760"/>
        <v>0</v>
      </c>
      <c r="AO891" s="151">
        <f t="shared" si="4760"/>
        <v>0</v>
      </c>
      <c r="AP891" s="151">
        <f t="shared" si="4760"/>
        <v>0</v>
      </c>
      <c r="AQ891" s="151">
        <f t="shared" si="4760"/>
        <v>0</v>
      </c>
      <c r="AR891" s="151">
        <f t="shared" si="4760"/>
        <v>0</v>
      </c>
      <c r="AS891" s="151">
        <f t="shared" si="4760"/>
        <v>0</v>
      </c>
      <c r="AT891" s="151">
        <f t="shared" si="4760"/>
        <v>0</v>
      </c>
      <c r="AU891" s="151">
        <f t="shared" si="4760"/>
        <v>0</v>
      </c>
      <c r="AV891" s="151">
        <f t="shared" si="4760"/>
        <v>0</v>
      </c>
      <c r="AW891" s="151">
        <f t="shared" si="4760"/>
        <v>0</v>
      </c>
      <c r="AX891" s="151">
        <f t="shared" si="4760"/>
        <v>1.481813</v>
      </c>
      <c r="AY891" s="151">
        <f t="shared" si="4760"/>
        <v>0.37847499999999995</v>
      </c>
      <c r="AZ891" s="151">
        <f t="shared" si="4760"/>
        <v>2.6816000000000004</v>
      </c>
      <c r="BA891" s="151">
        <f t="shared" si="4760"/>
        <v>5.8623879999999993</v>
      </c>
      <c r="BB891" s="151">
        <f t="shared" si="4760"/>
        <v>2.8852850000000005</v>
      </c>
      <c r="BC891" s="151">
        <f t="shared" si="4760"/>
        <v>2.3014769999999993</v>
      </c>
      <c r="BD891" s="151">
        <f t="shared" si="4760"/>
        <v>0.8191030000000008</v>
      </c>
      <c r="BE891" s="151">
        <f t="shared" si="4760"/>
        <v>7.9948999999999995</v>
      </c>
      <c r="BF891" s="151">
        <f t="shared" si="4760"/>
        <v>5.8551649999999995</v>
      </c>
      <c r="BG891" s="151">
        <f t="shared" si="4760"/>
        <v>4.7781999999999991</v>
      </c>
      <c r="BH891" s="151">
        <f t="shared" si="4760"/>
        <v>0.62413500000000077</v>
      </c>
      <c r="BI891" s="151">
        <f t="shared" si="4760"/>
        <v>2.3604399999999988</v>
      </c>
      <c r="BJ891" s="151">
        <f t="shared" si="4760"/>
        <v>2.6710000000000003</v>
      </c>
      <c r="BK891" s="151">
        <f t="shared" si="4760"/>
        <v>1.4771999999999998</v>
      </c>
      <c r="BL891" s="151">
        <f t="shared" si="4760"/>
        <v>0</v>
      </c>
      <c r="BM891" s="151">
        <f t="shared" si="4760"/>
        <v>0</v>
      </c>
      <c r="BN891" s="151">
        <f t="shared" si="4760"/>
        <v>0</v>
      </c>
      <c r="BO891" s="151">
        <f t="shared" si="4760"/>
        <v>0</v>
      </c>
      <c r="BP891" s="151">
        <f t="shared" si="4760"/>
        <v>0</v>
      </c>
      <c r="BQ891" s="151">
        <f t="shared" si="4760"/>
        <v>0</v>
      </c>
      <c r="BR891" s="151">
        <f t="shared" si="4760"/>
        <v>0</v>
      </c>
      <c r="BS891" s="151">
        <f t="shared" si="4760"/>
        <v>0</v>
      </c>
      <c r="BT891" s="151">
        <f t="shared" si="4760"/>
        <v>0</v>
      </c>
      <c r="BU891" s="151">
        <f t="shared" si="4760"/>
        <v>0</v>
      </c>
      <c r="BV891" s="151">
        <f t="shared" si="4760"/>
        <v>0</v>
      </c>
      <c r="BW891" s="151">
        <f t="shared" si="4760"/>
        <v>0</v>
      </c>
      <c r="BX891" s="151">
        <f t="shared" si="4760"/>
        <v>0</v>
      </c>
      <c r="BY891" s="151">
        <f t="shared" si="4760"/>
        <v>0</v>
      </c>
      <c r="BZ891" s="151">
        <f t="shared" si="4760"/>
        <v>4.5418880000000001</v>
      </c>
      <c r="CA891" s="151">
        <f t="shared" si="4760"/>
        <v>4.5418880000000001</v>
      </c>
      <c r="CB891" s="151">
        <f t="shared" si="4760"/>
        <v>4.5418880000000001</v>
      </c>
      <c r="CC891" s="151">
        <f t="shared" si="4760"/>
        <v>11.049149999999999</v>
      </c>
      <c r="CD891" s="151">
        <f t="shared" si="4760"/>
        <v>11.049149999999999</v>
      </c>
      <c r="CE891" s="151">
        <f t="shared" si="4760"/>
        <v>11.049149999999999</v>
      </c>
      <c r="CF891" s="151">
        <f t="shared" si="4760"/>
        <v>14.669168000000001</v>
      </c>
      <c r="CG891" s="151">
        <f t="shared" si="4760"/>
        <v>14.669168000000001</v>
      </c>
      <c r="CH891" s="151">
        <f t="shared" si="4760"/>
        <v>14.669168000000001</v>
      </c>
      <c r="CI891" s="151">
        <f t="shared" ref="CI891:EJ891" si="4761">SUM(CI880:CI890)</f>
        <v>7.7627749999999986</v>
      </c>
      <c r="CJ891" s="151">
        <f t="shared" si="4761"/>
        <v>7.7627749999999986</v>
      </c>
      <c r="CK891" s="151">
        <f t="shared" si="4761"/>
        <v>7.7627749999999986</v>
      </c>
      <c r="CL891" s="151">
        <f t="shared" si="4761"/>
        <v>4.1482000000000001</v>
      </c>
      <c r="CM891" s="151">
        <f t="shared" si="4761"/>
        <v>4.1482000000000001</v>
      </c>
      <c r="CN891" s="151">
        <f t="shared" si="4761"/>
        <v>4.1482000000000001</v>
      </c>
      <c r="CO891" s="151">
        <f t="shared" si="4761"/>
        <v>0</v>
      </c>
      <c r="CP891" s="151">
        <f t="shared" si="4761"/>
        <v>0</v>
      </c>
      <c r="CQ891" s="151">
        <f t="shared" si="4761"/>
        <v>0</v>
      </c>
      <c r="CR891" s="151">
        <f t="shared" si="4761"/>
        <v>0</v>
      </c>
      <c r="CS891" s="151">
        <f t="shared" si="4761"/>
        <v>0</v>
      </c>
      <c r="CT891" s="151">
        <f t="shared" si="4761"/>
        <v>0</v>
      </c>
      <c r="CU891" s="151">
        <f t="shared" si="4761"/>
        <v>0</v>
      </c>
      <c r="CV891" s="151">
        <f t="shared" si="4761"/>
        <v>0</v>
      </c>
      <c r="CW891" s="151">
        <f t="shared" si="4761"/>
        <v>0</v>
      </c>
      <c r="CX891" s="151">
        <f t="shared" si="4761"/>
        <v>0</v>
      </c>
      <c r="CY891" s="151">
        <f t="shared" si="4761"/>
        <v>0</v>
      </c>
      <c r="CZ891" s="151">
        <f t="shared" si="4761"/>
        <v>0</v>
      </c>
      <c r="DA891" s="151">
        <f t="shared" si="4761"/>
        <v>0</v>
      </c>
      <c r="DB891" s="151">
        <f t="shared" si="4761"/>
        <v>1.481813</v>
      </c>
      <c r="DC891" s="151">
        <f t="shared" si="4761"/>
        <v>1.950288</v>
      </c>
      <c r="DD891" s="151">
        <f t="shared" si="4761"/>
        <v>4.5418880000000001</v>
      </c>
      <c r="DE891" s="151">
        <f t="shared" si="4761"/>
        <v>5.8623879999999993</v>
      </c>
      <c r="DF891" s="151">
        <f t="shared" si="4761"/>
        <v>8.7476730000000007</v>
      </c>
      <c r="DG891" s="151">
        <f t="shared" si="4761"/>
        <v>11.049149999999999</v>
      </c>
      <c r="DH891" s="151">
        <f t="shared" si="4761"/>
        <v>11.868253000000001</v>
      </c>
      <c r="DI891" s="151">
        <f t="shared" si="4761"/>
        <v>19.863153000000004</v>
      </c>
      <c r="DJ891" s="151">
        <f t="shared" si="4761"/>
        <v>25.718318</v>
      </c>
      <c r="DK891" s="151">
        <f t="shared" si="4761"/>
        <v>30.496517999999998</v>
      </c>
      <c r="DL891" s="151">
        <f t="shared" si="4761"/>
        <v>31.120653000000001</v>
      </c>
      <c r="DM891" s="151">
        <f t="shared" si="4761"/>
        <v>33.481092999999994</v>
      </c>
      <c r="DN891" s="151">
        <f t="shared" si="4761"/>
        <v>2.6710000000000003</v>
      </c>
      <c r="DO891" s="151">
        <f t="shared" si="4761"/>
        <v>4.1482000000000001</v>
      </c>
      <c r="DP891" s="151">
        <f t="shared" si="4761"/>
        <v>0</v>
      </c>
      <c r="DQ891" s="151"/>
      <c r="DR891" s="151"/>
      <c r="DS891" s="151"/>
      <c r="DT891" s="151"/>
      <c r="DU891" s="151"/>
      <c r="DV891" s="151"/>
      <c r="DW891" s="151"/>
      <c r="DX891" s="151"/>
      <c r="DY891" s="151"/>
      <c r="DZ891" s="151">
        <f t="shared" si="4761"/>
        <v>0</v>
      </c>
      <c r="EA891" s="151">
        <f t="shared" si="4761"/>
        <v>0</v>
      </c>
      <c r="EB891" s="151">
        <f t="shared" si="4761"/>
        <v>0</v>
      </c>
      <c r="EC891" s="151"/>
      <c r="ED891" s="151">
        <f t="shared" si="4761"/>
        <v>0</v>
      </c>
      <c r="EE891" s="151">
        <f t="shared" si="4761"/>
        <v>0</v>
      </c>
      <c r="EF891" s="151">
        <f t="shared" si="4761"/>
        <v>0</v>
      </c>
      <c r="EG891" s="151">
        <f t="shared" si="4761"/>
        <v>0</v>
      </c>
      <c r="EH891" s="151">
        <f t="shared" si="4761"/>
        <v>1.4771999999999998</v>
      </c>
      <c r="EI891" s="151">
        <f t="shared" si="4761"/>
        <v>4.1482000000000001</v>
      </c>
      <c r="EJ891" s="151">
        <f t="shared" si="4761"/>
        <v>4.1482000000000001</v>
      </c>
      <c r="EK891" s="217">
        <f>$EK$1/12</f>
        <v>0.91666666666666663</v>
      </c>
      <c r="EL891" s="14"/>
      <c r="EM891" s="14"/>
      <c r="EN891" s="14"/>
      <c r="EO891" s="46"/>
      <c r="EP891" s="46"/>
      <c r="EQ891" s="381"/>
      <c r="ER891" s="381"/>
      <c r="ES891" s="381"/>
    </row>
    <row r="892" spans="1:150">
      <c r="BE892" s="509"/>
    </row>
    <row r="894" spans="1:150">
      <c r="A894" s="6" t="s">
        <v>111</v>
      </c>
      <c r="B894" s="381" t="s">
        <v>226</v>
      </c>
    </row>
    <row r="895" spans="1:150">
      <c r="A895" s="6" t="s">
        <v>23</v>
      </c>
      <c r="B895" s="481" t="s">
        <v>210</v>
      </c>
      <c r="C895" s="3" t="s">
        <v>83</v>
      </c>
      <c r="E895" s="4" t="str">
        <f>C869</f>
        <v>AFUniq</v>
      </c>
      <c r="F895" s="4" t="s">
        <v>31</v>
      </c>
      <c r="G895" s="165" t="str">
        <f>C868</f>
        <v>AFUniq</v>
      </c>
      <c r="H895" s="165"/>
      <c r="I895" s="28"/>
      <c r="J895" s="62" t="str">
        <f t="shared" ref="J895:U895" si="4762">IF(J868&lt;&gt;0,J869/J868,"")</f>
        <v/>
      </c>
      <c r="K895" s="62" t="str">
        <f t="shared" si="4762"/>
        <v/>
      </c>
      <c r="L895" s="62" t="str">
        <f t="shared" si="4762"/>
        <v/>
      </c>
      <c r="M895" s="62" t="str">
        <f t="shared" si="4762"/>
        <v/>
      </c>
      <c r="N895" s="62" t="str">
        <f t="shared" si="4762"/>
        <v/>
      </c>
      <c r="O895" s="62" t="str">
        <f t="shared" si="4762"/>
        <v/>
      </c>
      <c r="P895" s="62" t="str">
        <f t="shared" si="4762"/>
        <v/>
      </c>
      <c r="Q895" s="62" t="str">
        <f t="shared" si="4762"/>
        <v/>
      </c>
      <c r="R895" s="62" t="str">
        <f t="shared" si="4762"/>
        <v/>
      </c>
      <c r="S895" s="62" t="str">
        <f t="shared" si="4762"/>
        <v/>
      </c>
      <c r="T895" s="62" t="str">
        <f t="shared" si="4762"/>
        <v/>
      </c>
      <c r="U895" s="62" t="str">
        <f t="shared" si="4762"/>
        <v/>
      </c>
      <c r="V895" s="499">
        <f t="shared" ref="V895:AA895" si="4763">IF(V34&lt;&gt;0,V39/V34," ")</f>
        <v>3.25</v>
      </c>
      <c r="W895" s="499">
        <f t="shared" si="4763"/>
        <v>2.9008163265306122</v>
      </c>
      <c r="X895" s="499">
        <f t="shared" si="4763"/>
        <v>4.2927777777777782</v>
      </c>
      <c r="Y895" s="499">
        <f t="shared" si="4763"/>
        <v>5.4302654867256637</v>
      </c>
      <c r="Z895" s="499">
        <f t="shared" si="4763"/>
        <v>6.2376666666666667</v>
      </c>
      <c r="AA895" s="499">
        <f t="shared" si="4763"/>
        <v>7.6214166666666667</v>
      </c>
      <c r="AB895" s="499">
        <f t="shared" ref="AB895:AF895" si="4764">IF(AB34&lt;&gt;0,AB39/AB34," ")</f>
        <v>8.7949193548387097</v>
      </c>
      <c r="AC895" s="499">
        <f t="shared" si="4764"/>
        <v>9.7879527559055113</v>
      </c>
      <c r="AD895" s="499">
        <f t="shared" si="4764"/>
        <v>10.795984848484848</v>
      </c>
      <c r="AE895" s="499">
        <f t="shared" si="4764"/>
        <v>11.739328358208954</v>
      </c>
      <c r="AF895" s="499">
        <f t="shared" si="4764"/>
        <v>11.904926470588235</v>
      </c>
      <c r="AG895" s="499">
        <f t="shared" ref="AG895:AI895" si="4765">IF(AG34&lt;&gt;0,AG39/AG34," ")</f>
        <v>12.891021897810219</v>
      </c>
      <c r="AH895" s="499">
        <f t="shared" si="4765"/>
        <v>3.0555555555555554</v>
      </c>
      <c r="AI895" s="499">
        <f t="shared" si="4765"/>
        <v>2.3026315789473686</v>
      </c>
      <c r="AJ895" s="499" t="str">
        <f t="shared" ref="AJ895" si="4766">IF(AJ34&lt;&gt;0,AJ39/AJ34," ")</f>
        <v xml:space="preserve"> </v>
      </c>
      <c r="AK895" s="55"/>
      <c r="AL895" s="55" t="str">
        <f t="shared" ref="AL895:BL895" si="4767">IF(AL868&lt;&gt;0,AL869/AL868,"")</f>
        <v/>
      </c>
      <c r="AM895" s="55" t="str">
        <f t="shared" si="4767"/>
        <v/>
      </c>
      <c r="AN895" s="55" t="str">
        <f t="shared" si="4767"/>
        <v/>
      </c>
      <c r="AO895" s="55" t="str">
        <f t="shared" si="4767"/>
        <v/>
      </c>
      <c r="AP895" s="55" t="str">
        <f t="shared" si="4767"/>
        <v/>
      </c>
      <c r="AQ895" s="55" t="str">
        <f t="shared" si="4767"/>
        <v/>
      </c>
      <c r="AR895" s="55" t="str">
        <f t="shared" si="4767"/>
        <v/>
      </c>
      <c r="AS895" s="55" t="str">
        <f t="shared" si="4767"/>
        <v/>
      </c>
      <c r="AT895" s="55" t="str">
        <f t="shared" si="4767"/>
        <v/>
      </c>
      <c r="AU895" s="55" t="str">
        <f t="shared" si="4767"/>
        <v/>
      </c>
      <c r="AV895" s="55" t="str">
        <f t="shared" si="4767"/>
        <v/>
      </c>
      <c r="AW895" s="55" t="str">
        <f t="shared" si="4767"/>
        <v/>
      </c>
      <c r="AX895" s="499">
        <f>IF(AX34&lt;&gt;0,AX39/AX34," ")</f>
        <v>3.25</v>
      </c>
      <c r="AY895" s="499">
        <f t="shared" ref="AY895:BI895" si="4768">IF(AY34&lt;&gt;0,AY39/AY34," ")</f>
        <v>2.7875675675675673</v>
      </c>
      <c r="AZ895" s="499">
        <f t="shared" si="4768"/>
        <v>17.934000000000005</v>
      </c>
      <c r="BA895" s="499">
        <f t="shared" si="4768"/>
        <v>30</v>
      </c>
      <c r="BB895" s="499">
        <f t="shared" ref="BB895:BG895" si="4769">IF(BB34&lt;&gt;0,BB39/BB34," ")</f>
        <v>19.271428571428569</v>
      </c>
      <c r="BC895" s="499" t="str">
        <f t="shared" si="4769"/>
        <v xml:space="preserve"> </v>
      </c>
      <c r="BD895" s="499">
        <f t="shared" si="4769"/>
        <v>43.999999999999972</v>
      </c>
      <c r="BE895" s="499">
        <f t="shared" si="4769"/>
        <v>50.833333333333336</v>
      </c>
      <c r="BF895" s="499">
        <f t="shared" si="4769"/>
        <v>36.4</v>
      </c>
      <c r="BG895" s="499">
        <f t="shared" si="4769"/>
        <v>74</v>
      </c>
      <c r="BH895" s="499">
        <f t="shared" si="4768"/>
        <v>23</v>
      </c>
      <c r="BI895" s="499">
        <f t="shared" si="4768"/>
        <v>147</v>
      </c>
      <c r="BJ895" s="499">
        <f t="shared" ref="BJ895:BK895" si="4770">IF(BJ34&lt;&gt;0,BJ39/BJ34," ")</f>
        <v>3.0555555555555554</v>
      </c>
      <c r="BK895" s="499">
        <f t="shared" si="4770"/>
        <v>2.0689655172413794</v>
      </c>
      <c r="BL895" s="14" t="str">
        <f t="shared" si="4767"/>
        <v/>
      </c>
      <c r="BM895" s="412"/>
      <c r="BN895" s="14" t="str">
        <f t="shared" ref="BN895:BY895" si="4771">IF(BN868&lt;&gt;0,BN869/BN868,"")</f>
        <v/>
      </c>
      <c r="BO895" s="14" t="str">
        <f t="shared" si="4771"/>
        <v/>
      </c>
      <c r="BP895" s="14" t="str">
        <f t="shared" si="4771"/>
        <v/>
      </c>
      <c r="BQ895" s="14" t="str">
        <f t="shared" si="4771"/>
        <v/>
      </c>
      <c r="BR895" s="14" t="str">
        <f t="shared" si="4771"/>
        <v/>
      </c>
      <c r="BS895" s="14" t="str">
        <f t="shared" si="4771"/>
        <v/>
      </c>
      <c r="BT895" s="14" t="str">
        <f t="shared" si="4771"/>
        <v/>
      </c>
      <c r="BU895" s="14" t="str">
        <f t="shared" si="4771"/>
        <v/>
      </c>
      <c r="BV895" s="14" t="str">
        <f t="shared" si="4771"/>
        <v/>
      </c>
      <c r="BW895" s="14" t="str">
        <f t="shared" si="4771"/>
        <v/>
      </c>
      <c r="BX895" s="14" t="str">
        <f t="shared" si="4771"/>
        <v/>
      </c>
      <c r="BY895" s="14" t="str">
        <f t="shared" si="4771"/>
        <v/>
      </c>
      <c r="BZ895" s="498">
        <f>CB895</f>
        <v>4.2927777777777782</v>
      </c>
      <c r="CA895" s="498">
        <f>CB895</f>
        <v>4.2927777777777782</v>
      </c>
      <c r="CB895" s="499">
        <f>IF(CB34&lt;&gt;0,CB39/CB34," ")</f>
        <v>4.2927777777777782</v>
      </c>
      <c r="CC895" s="498">
        <f>CE895</f>
        <v>37.579166666666673</v>
      </c>
      <c r="CD895" s="498">
        <f>CE895</f>
        <v>37.579166666666673</v>
      </c>
      <c r="CE895" s="499">
        <f>IF(CE34&lt;&gt;0,CE39/CE34," ")</f>
        <v>37.579166666666673</v>
      </c>
      <c r="CF895" s="498">
        <f>CH895</f>
        <v>42.541666666666657</v>
      </c>
      <c r="CG895" s="498">
        <f>CH895</f>
        <v>42.541666666666657</v>
      </c>
      <c r="CH895" s="499">
        <f>IF(CH34&lt;&gt;0,CH39/CH34," ")</f>
        <v>42.541666666666657</v>
      </c>
      <c r="CI895" s="498">
        <f>CK895</f>
        <v>68.2</v>
      </c>
      <c r="CJ895" s="498">
        <f>CK895</f>
        <v>68.2</v>
      </c>
      <c r="CK895" s="499">
        <f>IF(CK34&lt;&gt;0,CK39/CK34," ")</f>
        <v>68.2</v>
      </c>
      <c r="CL895" s="499">
        <f>IF(CL34&lt;&gt;0,CL39/CL34," ")</f>
        <v>2.3026315789473686</v>
      </c>
      <c r="CM895" s="499">
        <f>BK895</f>
        <v>2.0689655172413794</v>
      </c>
      <c r="CN895" s="14"/>
      <c r="CO895" s="412"/>
      <c r="CP895" s="14" t="str">
        <f t="shared" ref="CP895:DP895" si="4772">IF(CP868&lt;&gt;0,CP869/CP868,"")</f>
        <v/>
      </c>
      <c r="CQ895" s="14" t="str">
        <f t="shared" si="4772"/>
        <v/>
      </c>
      <c r="CR895" s="14" t="str">
        <f t="shared" si="4772"/>
        <v/>
      </c>
      <c r="CS895" s="14" t="str">
        <f t="shared" si="4772"/>
        <v/>
      </c>
      <c r="CT895" s="14" t="str">
        <f t="shared" si="4772"/>
        <v/>
      </c>
      <c r="CU895" s="14" t="str">
        <f t="shared" si="4772"/>
        <v/>
      </c>
      <c r="CV895" s="14" t="str">
        <f t="shared" si="4772"/>
        <v/>
      </c>
      <c r="CW895" s="14" t="str">
        <f t="shared" si="4772"/>
        <v/>
      </c>
      <c r="CX895" s="14" t="str">
        <f t="shared" si="4772"/>
        <v/>
      </c>
      <c r="CY895" s="14" t="str">
        <f t="shared" si="4772"/>
        <v/>
      </c>
      <c r="CZ895" s="14" t="str">
        <f t="shared" si="4772"/>
        <v/>
      </c>
      <c r="DA895" s="14" t="str">
        <f t="shared" si="4772"/>
        <v/>
      </c>
      <c r="DB895" s="499">
        <f t="shared" ref="DB895:DG895" si="4773">IF(DB34&lt;&gt;0,DB39/DB34," ")</f>
        <v>3.25</v>
      </c>
      <c r="DC895" s="499">
        <f t="shared" si="4773"/>
        <v>2.9008163265306122</v>
      </c>
      <c r="DD895" s="499">
        <f t="shared" si="4773"/>
        <v>4.2927777777777782</v>
      </c>
      <c r="DE895" s="499">
        <f t="shared" si="4773"/>
        <v>5.4302654867256637</v>
      </c>
      <c r="DF895" s="499">
        <f t="shared" si="4773"/>
        <v>6.2376666666666667</v>
      </c>
      <c r="DG895" s="499">
        <f t="shared" si="4773"/>
        <v>7.6214166666666667</v>
      </c>
      <c r="DH895" s="499">
        <f t="shared" ref="DH895:DM895" si="4774">IF(DH34&lt;&gt;0,DH39/DH34," ")</f>
        <v>8.7949193548387097</v>
      </c>
      <c r="DI895" s="499">
        <f t="shared" si="4774"/>
        <v>9.7879527559055113</v>
      </c>
      <c r="DJ895" s="499">
        <f t="shared" si="4774"/>
        <v>10.795984848484848</v>
      </c>
      <c r="DK895" s="499">
        <f t="shared" si="4774"/>
        <v>11.739328358208954</v>
      </c>
      <c r="DL895" s="499">
        <f t="shared" si="4774"/>
        <v>11.904926470588235</v>
      </c>
      <c r="DM895" s="499">
        <f t="shared" si="4774"/>
        <v>12.891021897810219</v>
      </c>
      <c r="DN895" s="499">
        <f t="shared" ref="DN895" si="4775">IF(DN34&lt;&gt;0,DN39/DN34," ")</f>
        <v>3.0555555555555554</v>
      </c>
      <c r="DO895" s="499">
        <f>BK895</f>
        <v>2.0689655172413794</v>
      </c>
      <c r="DP895" s="14" t="str">
        <f t="shared" si="4772"/>
        <v/>
      </c>
      <c r="DQ895" s="14"/>
      <c r="DR895" s="14"/>
      <c r="DS895" s="14"/>
      <c r="DT895" s="14"/>
      <c r="DU895" s="14"/>
      <c r="DV895" s="14"/>
      <c r="DW895" s="14"/>
      <c r="DX895" s="14"/>
      <c r="DY895" s="14"/>
      <c r="DZ895" s="381"/>
      <c r="EA895" s="381"/>
      <c r="EB895" s="381"/>
      <c r="ED895" s="429"/>
      <c r="EE895" s="242"/>
      <c r="EF895" s="242"/>
      <c r="EG895" s="242"/>
      <c r="EH895" s="498">
        <f>EH39/EH34</f>
        <v>2.0689655172413794</v>
      </c>
      <c r="EI895" s="498">
        <f>EI39/EI34</f>
        <v>2.3026315789473686</v>
      </c>
      <c r="EJ895" s="498">
        <f>EJ39/EJ34</f>
        <v>2.3026315789473686</v>
      </c>
      <c r="EK895" s="217"/>
      <c r="EL895" s="267">
        <f>EH895-EE908</f>
        <v>-7.1618037135278509</v>
      </c>
      <c r="EM895" s="267">
        <f>EI895-EF908</f>
        <v>-6.9281376518218618</v>
      </c>
      <c r="EN895" s="267">
        <f>EJ895-EG908</f>
        <v>-7.6973684210526319</v>
      </c>
      <c r="EO895" s="46" t="str">
        <f>IF(EH895&lt;0,,IF(EH895&lt;EE908,"È",IF(EH895=EE908,"Æ","Ç")))</f>
        <v>È</v>
      </c>
      <c r="EP895" s="46" t="str">
        <f>IF(EI895&lt;0,,IF(EI895&lt;EF908,"È",IF(EI895=EF908,"Æ","Ç")))</f>
        <v>È</v>
      </c>
      <c r="EQ895" s="499">
        <f>IF(EH895/EE908&gt;=0.9,1,IF(EH895/EE908&lt;0.75,3,2))</f>
        <v>3</v>
      </c>
      <c r="ER895" s="499">
        <f>IF(EI895/EF908&gt;=0.9,1,IF(EI895/EF908&lt;0.75,3,2))</f>
        <v>3</v>
      </c>
      <c r="ES895" s="499">
        <f>IF(EJ895/EG908&gt;=0.9,1,IF(EJ895/EG908&lt;0.75,3,2))</f>
        <v>3</v>
      </c>
      <c r="ET895" s="381"/>
    </row>
    <row r="896" spans="1:150">
      <c r="B896" s="481" t="s">
        <v>211</v>
      </c>
      <c r="C896" s="3" t="s">
        <v>83</v>
      </c>
      <c r="E896" s="4" t="str">
        <f t="shared" ref="E896:E905" si="4776">C870</f>
        <v>AFUniq</v>
      </c>
      <c r="F896" s="4" t="s">
        <v>31</v>
      </c>
      <c r="G896" s="165" t="str">
        <f t="shared" ref="G896:G905" si="4777">C869</f>
        <v>AFUniq</v>
      </c>
      <c r="H896" s="165"/>
      <c r="I896" s="28"/>
      <c r="J896" s="62" t="str">
        <f t="shared" ref="J896:U896" si="4778">IF(J869&lt;&gt;0,J870/J869,"")</f>
        <v/>
      </c>
      <c r="K896" s="62" t="str">
        <f t="shared" si="4778"/>
        <v/>
      </c>
      <c r="L896" s="62" t="str">
        <f t="shared" si="4778"/>
        <v/>
      </c>
      <c r="M896" s="62" t="str">
        <f t="shared" si="4778"/>
        <v/>
      </c>
      <c r="N896" s="62" t="str">
        <f t="shared" si="4778"/>
        <v/>
      </c>
      <c r="O896" s="62" t="str">
        <f t="shared" si="4778"/>
        <v/>
      </c>
      <c r="P896" s="62" t="str">
        <f t="shared" si="4778"/>
        <v/>
      </c>
      <c r="Q896" s="62" t="str">
        <f t="shared" si="4778"/>
        <v/>
      </c>
      <c r="R896" s="62" t="str">
        <f t="shared" si="4778"/>
        <v/>
      </c>
      <c r="S896" s="62" t="str">
        <f t="shared" si="4778"/>
        <v/>
      </c>
      <c r="T896" s="62" t="str">
        <f t="shared" si="4778"/>
        <v/>
      </c>
      <c r="U896" s="62" t="str">
        <f t="shared" si="4778"/>
        <v/>
      </c>
      <c r="V896" s="499">
        <f t="shared" ref="V896:AA896" si="4779">IF(V100&lt;&gt;0,V105/V100," ")</f>
        <v>2.0682608695652176</v>
      </c>
      <c r="W896" s="499">
        <f t="shared" si="4779"/>
        <v>2.1517073170731709</v>
      </c>
      <c r="X896" s="499">
        <f t="shared" si="4779"/>
        <v>2.3247457627118644</v>
      </c>
      <c r="Y896" s="499">
        <f t="shared" si="4779"/>
        <v>2.5617857142857141</v>
      </c>
      <c r="Z896" s="499">
        <f t="shared" si="4779"/>
        <v>2.9656989247311829</v>
      </c>
      <c r="AA896" s="499">
        <f t="shared" si="4779"/>
        <v>3.3710101010101012</v>
      </c>
      <c r="AB896" s="499">
        <f t="shared" ref="AB896:AF896" si="4780">IF(AB100&lt;&gt;0,AB105/AB100," ")</f>
        <v>3.206578947368421</v>
      </c>
      <c r="AC896" s="499">
        <f t="shared" si="4780"/>
        <v>3.2420610687022897</v>
      </c>
      <c r="AD896" s="499">
        <f t="shared" si="4780"/>
        <v>5.4275163398692809</v>
      </c>
      <c r="AE896" s="499">
        <f t="shared" si="4780"/>
        <v>7.5092814371257486</v>
      </c>
      <c r="AF896" s="499">
        <f t="shared" si="4780"/>
        <v>7.1435714285714296</v>
      </c>
      <c r="AG896" s="499">
        <f t="shared" ref="AG896:AI896" si="4781">IF(AG100&lt;&gt;0,AG105/AG100," ")</f>
        <v>7.0438743455497388</v>
      </c>
      <c r="AH896" s="499">
        <f t="shared" si="4781"/>
        <v>1.8755555555555554</v>
      </c>
      <c r="AI896" s="499">
        <f t="shared" si="4781"/>
        <v>2.0671428571428572</v>
      </c>
      <c r="AJ896" s="499" t="str">
        <f t="shared" ref="AJ896" si="4782">IF(AJ100&lt;&gt;0,AJ105/AJ100," ")</f>
        <v xml:space="preserve"> </v>
      </c>
      <c r="AK896" s="55"/>
      <c r="AL896" s="55" t="str">
        <f t="shared" ref="AL896:BL896" si="4783">IF(AL869&lt;&gt;0,AL870/AL869,"")</f>
        <v/>
      </c>
      <c r="AM896" s="55" t="str">
        <f t="shared" si="4783"/>
        <v/>
      </c>
      <c r="AN896" s="55" t="str">
        <f t="shared" si="4783"/>
        <v/>
      </c>
      <c r="AO896" s="55" t="str">
        <f t="shared" si="4783"/>
        <v/>
      </c>
      <c r="AP896" s="55" t="str">
        <f t="shared" si="4783"/>
        <v/>
      </c>
      <c r="AQ896" s="55" t="str">
        <f t="shared" si="4783"/>
        <v/>
      </c>
      <c r="AR896" s="55" t="str">
        <f t="shared" si="4783"/>
        <v/>
      </c>
      <c r="AS896" s="55" t="str">
        <f t="shared" si="4783"/>
        <v/>
      </c>
      <c r="AT896" s="55" t="str">
        <f t="shared" si="4783"/>
        <v/>
      </c>
      <c r="AU896" s="55" t="str">
        <f t="shared" si="4783"/>
        <v/>
      </c>
      <c r="AV896" s="55" t="str">
        <f t="shared" si="4783"/>
        <v/>
      </c>
      <c r="AW896" s="55" t="str">
        <f t="shared" si="4783"/>
        <v/>
      </c>
      <c r="AX896" s="499">
        <f>IF(AX100&lt;&gt;0,AX105/AX100," ")</f>
        <v>2.0682608695652176</v>
      </c>
      <c r="AY896" s="499">
        <f t="shared" ref="AY896:BI896" si="4784">IF(AY100&lt;&gt;0,AY105/AY100," ")</f>
        <v>2.2583333333333333</v>
      </c>
      <c r="AZ896" s="499">
        <f t="shared" si="4784"/>
        <v>2.7188888888888889</v>
      </c>
      <c r="BA896" s="499">
        <f t="shared" si="4784"/>
        <v>3.1212</v>
      </c>
      <c r="BB896" s="499">
        <f t="shared" ref="BB896:BG896" si="4785">IF(BB100&lt;&gt;0,BB105/BB100," ")</f>
        <v>6.735555555555556</v>
      </c>
      <c r="BC896" s="499">
        <f t="shared" si="4785"/>
        <v>9.653333333333336</v>
      </c>
      <c r="BD896" s="499">
        <f t="shared" si="4785"/>
        <v>2.1213333333333328</v>
      </c>
      <c r="BE896" s="499">
        <f t="shared" si="4785"/>
        <v>3.4799999999999982</v>
      </c>
      <c r="BF896" s="499">
        <f t="shared" si="4785"/>
        <v>18.440909090909091</v>
      </c>
      <c r="BG896" s="499">
        <f t="shared" si="4785"/>
        <v>30.259999999999998</v>
      </c>
      <c r="BH896" s="499">
        <f t="shared" si="4784"/>
        <v>3.0720000000000103</v>
      </c>
      <c r="BI896" s="499">
        <f t="shared" si="4784"/>
        <v>5.0277777777777777</v>
      </c>
      <c r="BJ896" s="499">
        <f t="shared" ref="BJ896:BK896" si="4786">IF(BJ100&lt;&gt;0,BJ105/BJ100," ")</f>
        <v>1.8755555555555554</v>
      </c>
      <c r="BK896" s="499">
        <f t="shared" si="4786"/>
        <v>2.2699999999999996</v>
      </c>
      <c r="BL896" s="14" t="str">
        <f t="shared" si="4783"/>
        <v/>
      </c>
      <c r="BM896" s="412"/>
      <c r="BN896" s="14" t="str">
        <f t="shared" ref="BN896:BY896" si="4787">IF(BN869&lt;&gt;0,BN870/BN869,"")</f>
        <v/>
      </c>
      <c r="BO896" s="14" t="str">
        <f t="shared" si="4787"/>
        <v/>
      </c>
      <c r="BP896" s="14" t="str">
        <f t="shared" si="4787"/>
        <v/>
      </c>
      <c r="BQ896" s="14" t="str">
        <f t="shared" si="4787"/>
        <v/>
      </c>
      <c r="BR896" s="14" t="str">
        <f t="shared" si="4787"/>
        <v/>
      </c>
      <c r="BS896" s="14" t="str">
        <f t="shared" si="4787"/>
        <v/>
      </c>
      <c r="BT896" s="14" t="str">
        <f t="shared" si="4787"/>
        <v/>
      </c>
      <c r="BU896" s="14" t="str">
        <f t="shared" si="4787"/>
        <v/>
      </c>
      <c r="BV896" s="14" t="str">
        <f t="shared" si="4787"/>
        <v/>
      </c>
      <c r="BW896" s="14" t="str">
        <f t="shared" si="4787"/>
        <v/>
      </c>
      <c r="BX896" s="14" t="str">
        <f t="shared" si="4787"/>
        <v/>
      </c>
      <c r="BY896" s="14" t="str">
        <f t="shared" si="4787"/>
        <v/>
      </c>
      <c r="BZ896" s="498">
        <f t="shared" ref="BZ896:BZ905" si="4788">CB896</f>
        <v>2.3247457627118644</v>
      </c>
      <c r="CA896" s="498">
        <f t="shared" ref="CA896:CA905" si="4789">CB896</f>
        <v>2.3247457627118644</v>
      </c>
      <c r="CB896" s="499">
        <f>IF(CB100&lt;&gt;0,CB105/CB100," ")</f>
        <v>2.3247457627118644</v>
      </c>
      <c r="CC896" s="498">
        <f t="shared" ref="CC896:CC905" si="4790">CE896</f>
        <v>4.9142500000000009</v>
      </c>
      <c r="CD896" s="498">
        <f t="shared" ref="CD896:CD905" si="4791">CE896</f>
        <v>4.9142500000000009</v>
      </c>
      <c r="CE896" s="499">
        <f>IF(CE100&lt;&gt;0,CE105/CE100," ")</f>
        <v>4.9142500000000009</v>
      </c>
      <c r="CF896" s="498">
        <f t="shared" ref="CF896:CF905" si="4792">CH896</f>
        <v>9.1977777777777767</v>
      </c>
      <c r="CG896" s="498">
        <f t="shared" ref="CG896:CG905" si="4793">CH896</f>
        <v>9.1977777777777767</v>
      </c>
      <c r="CH896" s="499">
        <f>IF(CH100&lt;&gt;0,CH105/CH100," ")</f>
        <v>9.1977777777777767</v>
      </c>
      <c r="CI896" s="498">
        <f t="shared" ref="CI896:CI905" si="4794">CK896</f>
        <v>37.541666666666664</v>
      </c>
      <c r="CJ896" s="498">
        <f t="shared" ref="CJ896:CJ905" si="4795">CK896</f>
        <v>37.541666666666664</v>
      </c>
      <c r="CK896" s="499">
        <f t="shared" ref="CK896:CL905" si="4796">IF(CK35&lt;&gt;0,CK40/CK35," ")</f>
        <v>37.541666666666664</v>
      </c>
      <c r="CL896" s="499">
        <f t="shared" si="4796"/>
        <v>1.2</v>
      </c>
      <c r="CM896" s="499">
        <f t="shared" ref="CM896:CM905" si="4797">BK896</f>
        <v>2.2699999999999996</v>
      </c>
      <c r="CN896" s="14"/>
      <c r="CO896" s="412"/>
      <c r="CP896" s="14" t="str">
        <f t="shared" ref="CP896:DP896" si="4798">IF(CP869&lt;&gt;0,CP870/CP869,"")</f>
        <v/>
      </c>
      <c r="CQ896" s="14" t="str">
        <f t="shared" si="4798"/>
        <v/>
      </c>
      <c r="CR896" s="14" t="str">
        <f t="shared" si="4798"/>
        <v/>
      </c>
      <c r="CS896" s="14" t="str">
        <f t="shared" si="4798"/>
        <v/>
      </c>
      <c r="CT896" s="14" t="str">
        <f t="shared" si="4798"/>
        <v/>
      </c>
      <c r="CU896" s="14" t="str">
        <f t="shared" si="4798"/>
        <v/>
      </c>
      <c r="CV896" s="14" t="str">
        <f t="shared" si="4798"/>
        <v/>
      </c>
      <c r="CW896" s="14" t="str">
        <f t="shared" si="4798"/>
        <v/>
      </c>
      <c r="CX896" s="14" t="str">
        <f t="shared" si="4798"/>
        <v/>
      </c>
      <c r="CY896" s="14" t="str">
        <f t="shared" si="4798"/>
        <v/>
      </c>
      <c r="CZ896" s="14" t="str">
        <f t="shared" si="4798"/>
        <v/>
      </c>
      <c r="DA896" s="14" t="str">
        <f t="shared" si="4798"/>
        <v/>
      </c>
      <c r="DB896" s="499">
        <f t="shared" ref="DB896:DG896" si="4799">IF(DB100&lt;&gt;0,DB105/DB100," ")</f>
        <v>2.0682608695652176</v>
      </c>
      <c r="DC896" s="499">
        <f t="shared" si="4799"/>
        <v>2.1517073170731709</v>
      </c>
      <c r="DD896" s="499">
        <f t="shared" si="4799"/>
        <v>2.3247457627118644</v>
      </c>
      <c r="DE896" s="499">
        <f t="shared" si="4799"/>
        <v>2.5617857142857141</v>
      </c>
      <c r="DF896" s="499">
        <f t="shared" si="4799"/>
        <v>2.9656989247311829</v>
      </c>
      <c r="DG896" s="499">
        <f t="shared" si="4799"/>
        <v>3.3710101010101012</v>
      </c>
      <c r="DH896" s="499">
        <f t="shared" ref="DH896:DM896" si="4800">IF(DH100&lt;&gt;0,DH105/DH100," ")</f>
        <v>3.206578947368421</v>
      </c>
      <c r="DI896" s="499">
        <f t="shared" si="4800"/>
        <v>3.2420610687022897</v>
      </c>
      <c r="DJ896" s="499">
        <f t="shared" si="4800"/>
        <v>5.4275163398692809</v>
      </c>
      <c r="DK896" s="499">
        <f t="shared" si="4800"/>
        <v>7.5092814371257486</v>
      </c>
      <c r="DL896" s="499">
        <f t="shared" si="4800"/>
        <v>7.1435714285714296</v>
      </c>
      <c r="DM896" s="499">
        <f t="shared" si="4800"/>
        <v>7.0438743455497388</v>
      </c>
      <c r="DN896" s="499">
        <f t="shared" ref="DN896" si="4801">IF(DN100&lt;&gt;0,DN105/DN100," ")</f>
        <v>1.8755555555555554</v>
      </c>
      <c r="DO896" s="499">
        <f t="shared" ref="DO896:DO905" si="4802">BK896</f>
        <v>2.2699999999999996</v>
      </c>
      <c r="DP896" s="14" t="str">
        <f t="shared" si="4798"/>
        <v/>
      </c>
      <c r="DQ896" s="14"/>
      <c r="DR896" s="14"/>
      <c r="DS896" s="14"/>
      <c r="DT896" s="14"/>
      <c r="DU896" s="14"/>
      <c r="DV896" s="14"/>
      <c r="DW896" s="14"/>
      <c r="DX896" s="14"/>
      <c r="DY896" s="14"/>
      <c r="DZ896" s="381"/>
      <c r="EA896" s="381"/>
      <c r="EB896" s="381"/>
      <c r="ED896" s="429"/>
      <c r="EE896" s="242"/>
      <c r="EF896" s="242"/>
      <c r="EG896" s="242"/>
      <c r="EH896" s="499">
        <f>IF(EH100&lt;&gt;0,EH105/EH100," ")</f>
        <v>2.2699999999999996</v>
      </c>
      <c r="EI896" s="499">
        <f>IF(EI100&lt;&gt;0,EI105/EI100," ")</f>
        <v>2.0671428571428572</v>
      </c>
      <c r="EJ896" s="499">
        <f>IF(EJ100&lt;&gt;0,EJ105/EJ100," ")</f>
        <v>2.0671428571428572</v>
      </c>
      <c r="EK896" s="217"/>
      <c r="EL896" s="267">
        <f t="shared" ref="EL896:EL905" si="4803">EH896-EE909</f>
        <v>-9.3832777943072507</v>
      </c>
      <c r="EM896" s="267">
        <f t="shared" ref="EM896:EM905" si="4804">EI896-EF909</f>
        <v>-5.9728571428571424</v>
      </c>
      <c r="EN896" s="267">
        <f t="shared" ref="EN896:EN905" si="4805">EJ896-EG909</f>
        <v>-3.7488539428571426</v>
      </c>
      <c r="EO896" s="46" t="str">
        <f t="shared" ref="EO896:EO905" si="4806">IF(EH896&lt;0,,IF(EH896&lt;EE909,"È",IF(EH896=EE909,"Æ","Ç")))</f>
        <v>È</v>
      </c>
      <c r="EP896" s="46" t="str">
        <f t="shared" ref="EP896:EP905" si="4807">IF(EI896&lt;0,,IF(EI896&lt;EF909,"È",IF(EI896=EF909,"Æ","Ç")))</f>
        <v>È</v>
      </c>
      <c r="EQ896" s="499">
        <f t="shared" ref="EQ896:ES905" si="4808">IF(EH896/EE909&gt;=0.9,1,IF(EH896/EE909&lt;0.75,3,2))</f>
        <v>3</v>
      </c>
      <c r="ER896" s="499">
        <f t="shared" ref="ER896:ER905" si="4809">IF(EI896/EF909&gt;=0.9,1,IF(EI896/EF909&lt;0.75,3,2))</f>
        <v>3</v>
      </c>
      <c r="ES896" s="499">
        <f t="shared" si="4808"/>
        <v>3</v>
      </c>
    </row>
    <row r="897" spans="1:149">
      <c r="B897" s="481" t="s">
        <v>212</v>
      </c>
      <c r="C897" s="3" t="s">
        <v>83</v>
      </c>
      <c r="E897" s="4" t="str">
        <f t="shared" si="4776"/>
        <v>AFUniq</v>
      </c>
      <c r="F897" s="4" t="s">
        <v>31</v>
      </c>
      <c r="G897" s="165" t="str">
        <f t="shared" si="4777"/>
        <v>AFUniq</v>
      </c>
      <c r="H897" s="165"/>
      <c r="I897" s="28"/>
      <c r="J897" s="62" t="str">
        <f t="shared" ref="J897:U897" si="4810">IF(J870&lt;&gt;0,J871/J870,"")</f>
        <v/>
      </c>
      <c r="K897" s="62" t="str">
        <f t="shared" si="4810"/>
        <v/>
      </c>
      <c r="L897" s="62" t="str">
        <f t="shared" si="4810"/>
        <v/>
      </c>
      <c r="M897" s="62" t="str">
        <f t="shared" si="4810"/>
        <v/>
      </c>
      <c r="N897" s="62" t="str">
        <f t="shared" si="4810"/>
        <v/>
      </c>
      <c r="O897" s="62" t="str">
        <f t="shared" si="4810"/>
        <v/>
      </c>
      <c r="P897" s="62" t="str">
        <f t="shared" si="4810"/>
        <v/>
      </c>
      <c r="Q897" s="62" t="str">
        <f t="shared" si="4810"/>
        <v/>
      </c>
      <c r="R897" s="62" t="str">
        <f t="shared" si="4810"/>
        <v/>
      </c>
      <c r="S897" s="62" t="str">
        <f t="shared" si="4810"/>
        <v/>
      </c>
      <c r="T897" s="62" t="str">
        <f t="shared" si="4810"/>
        <v/>
      </c>
      <c r="U897" s="62" t="str">
        <f t="shared" si="4810"/>
        <v/>
      </c>
      <c r="V897" s="499">
        <f t="shared" ref="V897:AA897" si="4811">IF(V166&lt;&gt;0,V171/V166," ")</f>
        <v>1.7547826086956522</v>
      </c>
      <c r="W897" s="499">
        <f t="shared" si="4811"/>
        <v>1.9427272727272726</v>
      </c>
      <c r="X897" s="499">
        <f t="shared" si="4811"/>
        <v>2.3805769230769234</v>
      </c>
      <c r="Y897" s="499">
        <f t="shared" si="4811"/>
        <v>2.7494117647058824</v>
      </c>
      <c r="Z897" s="499">
        <f t="shared" si="4811"/>
        <v>3.55125</v>
      </c>
      <c r="AA897" s="499">
        <f t="shared" si="4811"/>
        <v>3.6093243243243238</v>
      </c>
      <c r="AB897" s="499">
        <f t="shared" ref="AB897:AF897" si="4812">IF(AB166&lt;&gt;0,AB171/AB166," ")</f>
        <v>3.7304938271604939</v>
      </c>
      <c r="AC897" s="499">
        <f t="shared" si="4812"/>
        <v>3.7432558139534886</v>
      </c>
      <c r="AD897" s="499">
        <f t="shared" si="4812"/>
        <v>3.8801030927835054</v>
      </c>
      <c r="AE897" s="499">
        <f t="shared" si="4812"/>
        <v>3.9128712871287128</v>
      </c>
      <c r="AF897" s="499">
        <f t="shared" si="4812"/>
        <v>3.938181818181818</v>
      </c>
      <c r="AG897" s="499">
        <f t="shared" ref="AG897:AI897" si="4813">IF(AG166&lt;&gt;0,AG171/AG166," ")</f>
        <v>4.3382644628099172</v>
      </c>
      <c r="AH897" s="499">
        <f t="shared" si="4813"/>
        <v>2.0421428571428573</v>
      </c>
      <c r="AI897" s="499">
        <f t="shared" si="4813"/>
        <v>2.5548275862068968</v>
      </c>
      <c r="AJ897" s="499" t="str">
        <f t="shared" ref="AJ897" si="4814">IF(AJ166&lt;&gt;0,AJ171/AJ166," ")</f>
        <v xml:space="preserve"> </v>
      </c>
      <c r="AK897" s="55"/>
      <c r="AL897" s="55" t="str">
        <f t="shared" ref="AL897:BL897" si="4815">IF(AL870&lt;&gt;0,AL871/AL870,"")</f>
        <v/>
      </c>
      <c r="AM897" s="55" t="str">
        <f t="shared" si="4815"/>
        <v/>
      </c>
      <c r="AN897" s="55" t="str">
        <f t="shared" si="4815"/>
        <v/>
      </c>
      <c r="AO897" s="55" t="str">
        <f t="shared" si="4815"/>
        <v/>
      </c>
      <c r="AP897" s="55" t="str">
        <f t="shared" si="4815"/>
        <v/>
      </c>
      <c r="AQ897" s="55" t="str">
        <f t="shared" si="4815"/>
        <v/>
      </c>
      <c r="AR897" s="55" t="str">
        <f t="shared" si="4815"/>
        <v/>
      </c>
      <c r="AS897" s="55" t="str">
        <f t="shared" si="4815"/>
        <v/>
      </c>
      <c r="AT897" s="55" t="str">
        <f t="shared" si="4815"/>
        <v/>
      </c>
      <c r="AU897" s="55" t="str">
        <f t="shared" si="4815"/>
        <v/>
      </c>
      <c r="AV897" s="55" t="str">
        <f t="shared" si="4815"/>
        <v/>
      </c>
      <c r="AW897" s="55" t="str">
        <f t="shared" si="4815"/>
        <v/>
      </c>
      <c r="AX897" s="499">
        <f>IF(AX166&lt;&gt;0,AX171/AX166," ")</f>
        <v>1.7547826086956522</v>
      </c>
      <c r="AY897" s="499">
        <f t="shared" ref="AY897:BI897" si="4816">IF(AY166&lt;&gt;0,AY171/AY166," ")</f>
        <v>2.375</v>
      </c>
      <c r="AZ897" s="499">
        <f t="shared" si="4816"/>
        <v>3.1410526315789475</v>
      </c>
      <c r="BA897" s="499">
        <f t="shared" si="4816"/>
        <v>3.9481250000000001</v>
      </c>
      <c r="BB897" s="499">
        <f t="shared" ref="BB897:BG897" si="4817">IF(BB166&lt;&gt;0,BB171/BB166," ")</f>
        <v>17.182499999999997</v>
      </c>
      <c r="BC897" s="499">
        <f t="shared" si="4817"/>
        <v>5.6999999999999886</v>
      </c>
      <c r="BD897" s="499">
        <f t="shared" si="4817"/>
        <v>5.0114285714285769</v>
      </c>
      <c r="BE897" s="499">
        <f t="shared" si="4817"/>
        <v>3.95</v>
      </c>
      <c r="BF897" s="499">
        <f t="shared" si="4817"/>
        <v>4.9499999999999993</v>
      </c>
      <c r="BG897" s="499">
        <f t="shared" si="4817"/>
        <v>4.707499999999996</v>
      </c>
      <c r="BH897" s="499">
        <f t="shared" si="4816"/>
        <v>4.2222222222222223</v>
      </c>
      <c r="BI897" s="499">
        <f t="shared" si="4816"/>
        <v>8.3390909090909062</v>
      </c>
      <c r="BJ897" s="499">
        <f t="shared" ref="BJ897:BK897" si="4818">IF(BJ166&lt;&gt;0,BJ171/BJ166," ")</f>
        <v>2.0421428571428573</v>
      </c>
      <c r="BK897" s="499">
        <f t="shared" si="4818"/>
        <v>3.0333333333333332</v>
      </c>
      <c r="BL897" s="14" t="str">
        <f t="shared" si="4815"/>
        <v/>
      </c>
      <c r="BM897" s="412"/>
      <c r="BN897" s="14" t="str">
        <f t="shared" ref="BN897:BY897" si="4819">IF(BN870&lt;&gt;0,BN871/BN870,"")</f>
        <v/>
      </c>
      <c r="BO897" s="14" t="str">
        <f t="shared" si="4819"/>
        <v/>
      </c>
      <c r="BP897" s="14" t="str">
        <f t="shared" si="4819"/>
        <v/>
      </c>
      <c r="BQ897" s="14" t="str">
        <f t="shared" si="4819"/>
        <v/>
      </c>
      <c r="BR897" s="14" t="str">
        <f t="shared" si="4819"/>
        <v/>
      </c>
      <c r="BS897" s="14" t="str">
        <f t="shared" si="4819"/>
        <v/>
      </c>
      <c r="BT897" s="14" t="str">
        <f t="shared" si="4819"/>
        <v/>
      </c>
      <c r="BU897" s="14" t="str">
        <f t="shared" si="4819"/>
        <v/>
      </c>
      <c r="BV897" s="14" t="str">
        <f t="shared" si="4819"/>
        <v/>
      </c>
      <c r="BW897" s="14" t="str">
        <f t="shared" si="4819"/>
        <v/>
      </c>
      <c r="BX897" s="14" t="str">
        <f t="shared" si="4819"/>
        <v/>
      </c>
      <c r="BY897" s="14" t="str">
        <f t="shared" si="4819"/>
        <v/>
      </c>
      <c r="BZ897" s="498">
        <f t="shared" si="4788"/>
        <v>2.3805769230769234</v>
      </c>
      <c r="CA897" s="498">
        <f t="shared" si="4789"/>
        <v>2.3805769230769234</v>
      </c>
      <c r="CB897" s="499">
        <f>IF(CB166&lt;&gt;0,CB171/CB166," ")</f>
        <v>2.3805769230769234</v>
      </c>
      <c r="CC897" s="498">
        <f t="shared" si="4790"/>
        <v>6.5136363636363619</v>
      </c>
      <c r="CD897" s="498">
        <f t="shared" si="4791"/>
        <v>6.5136363636363619</v>
      </c>
      <c r="CE897" s="499">
        <f>IF(CE166&lt;&gt;0,CE171/CE166," ")</f>
        <v>6.5136363636363619</v>
      </c>
      <c r="CF897" s="498">
        <f t="shared" si="4792"/>
        <v>4.7513043478260881</v>
      </c>
      <c r="CG897" s="498">
        <f t="shared" si="4793"/>
        <v>4.7513043478260881</v>
      </c>
      <c r="CH897" s="499">
        <f>IF(CH166&lt;&gt;0,CH171/CH166," ")</f>
        <v>4.7513043478260881</v>
      </c>
      <c r="CI897" s="498" t="str">
        <f t="shared" si="4794"/>
        <v xml:space="preserve"> </v>
      </c>
      <c r="CJ897" s="498" t="str">
        <f t="shared" si="4795"/>
        <v xml:space="preserve"> </v>
      </c>
      <c r="CK897" s="499" t="str">
        <f t="shared" si="4796"/>
        <v xml:space="preserve"> </v>
      </c>
      <c r="CL897" s="499">
        <v>0</v>
      </c>
      <c r="CM897" s="499">
        <f t="shared" si="4797"/>
        <v>3.0333333333333332</v>
      </c>
      <c r="CN897" s="14"/>
      <c r="CO897" s="412"/>
      <c r="CP897" s="14" t="str">
        <f t="shared" ref="CP897:DP897" si="4820">IF(CP870&lt;&gt;0,CP871/CP870,"")</f>
        <v/>
      </c>
      <c r="CQ897" s="14" t="str">
        <f t="shared" si="4820"/>
        <v/>
      </c>
      <c r="CR897" s="14" t="str">
        <f t="shared" si="4820"/>
        <v/>
      </c>
      <c r="CS897" s="14" t="str">
        <f t="shared" si="4820"/>
        <v/>
      </c>
      <c r="CT897" s="14" t="str">
        <f t="shared" si="4820"/>
        <v/>
      </c>
      <c r="CU897" s="14" t="str">
        <f t="shared" si="4820"/>
        <v/>
      </c>
      <c r="CV897" s="14" t="str">
        <f t="shared" si="4820"/>
        <v/>
      </c>
      <c r="CW897" s="14" t="str">
        <f t="shared" si="4820"/>
        <v/>
      </c>
      <c r="CX897" s="14" t="str">
        <f t="shared" si="4820"/>
        <v/>
      </c>
      <c r="CY897" s="14" t="str">
        <f t="shared" si="4820"/>
        <v/>
      </c>
      <c r="CZ897" s="14" t="str">
        <f t="shared" si="4820"/>
        <v/>
      </c>
      <c r="DA897" s="14" t="str">
        <f t="shared" si="4820"/>
        <v/>
      </c>
      <c r="DB897" s="499">
        <f t="shared" ref="DB897:DG897" si="4821">IF(DB166&lt;&gt;0,DB171/DB166," ")</f>
        <v>1.7547826086956522</v>
      </c>
      <c r="DC897" s="499">
        <f t="shared" si="4821"/>
        <v>1.9427272727272726</v>
      </c>
      <c r="DD897" s="499">
        <f t="shared" si="4821"/>
        <v>2.3805769230769234</v>
      </c>
      <c r="DE897" s="499">
        <f t="shared" si="4821"/>
        <v>2.7494117647058824</v>
      </c>
      <c r="DF897" s="499">
        <f t="shared" si="4821"/>
        <v>3.55125</v>
      </c>
      <c r="DG897" s="499">
        <f t="shared" si="4821"/>
        <v>3.6093243243243238</v>
      </c>
      <c r="DH897" s="499">
        <f t="shared" ref="DH897:DM897" si="4822">IF(DH166&lt;&gt;0,DH171/DH166," ")</f>
        <v>3.7304938271604939</v>
      </c>
      <c r="DI897" s="499">
        <f t="shared" si="4822"/>
        <v>3.7432558139534886</v>
      </c>
      <c r="DJ897" s="499">
        <f t="shared" si="4822"/>
        <v>3.8801030927835054</v>
      </c>
      <c r="DK897" s="499">
        <f t="shared" si="4822"/>
        <v>3.9128712871287128</v>
      </c>
      <c r="DL897" s="499">
        <f t="shared" si="4822"/>
        <v>3.938181818181818</v>
      </c>
      <c r="DM897" s="499">
        <f t="shared" si="4822"/>
        <v>4.3382644628099172</v>
      </c>
      <c r="DN897" s="499">
        <f t="shared" ref="DN897" si="4823">IF(DN166&lt;&gt;0,DN171/DN166," ")</f>
        <v>2.0421428571428573</v>
      </c>
      <c r="DO897" s="499">
        <f t="shared" si="4802"/>
        <v>3.0333333333333332</v>
      </c>
      <c r="DP897" s="14" t="str">
        <f t="shared" si="4820"/>
        <v/>
      </c>
      <c r="DQ897" s="14"/>
      <c r="DR897" s="14"/>
      <c r="DS897" s="14"/>
      <c r="DT897" s="14"/>
      <c r="DU897" s="14"/>
      <c r="DV897" s="14"/>
      <c r="DW897" s="14"/>
      <c r="DX897" s="14"/>
      <c r="DY897" s="14"/>
      <c r="DZ897" s="381"/>
      <c r="EA897" s="381"/>
      <c r="EB897" s="381"/>
      <c r="ED897" s="429"/>
      <c r="EE897" s="242"/>
      <c r="EF897" s="242"/>
      <c r="EG897" s="242"/>
      <c r="EH897" s="499">
        <f>IF(EH166&lt;&gt;0,EH171/EH166," ")</f>
        <v>3.0333333333333332</v>
      </c>
      <c r="EI897" s="499">
        <f>IF(EI166&lt;&gt;0,EI171/EI166," ")</f>
        <v>2.5548275862068968</v>
      </c>
      <c r="EJ897" s="499">
        <f>IF(EJ166&lt;&gt;0,EJ171/EJ166," ")</f>
        <v>2.5548275862068968</v>
      </c>
      <c r="EK897" s="217"/>
      <c r="EL897" s="267">
        <f t="shared" si="4803"/>
        <v>-7.4578947368421051</v>
      </c>
      <c r="EM897" s="267">
        <f t="shared" si="4804"/>
        <v>-2.6907864488808224</v>
      </c>
      <c r="EN897" s="267">
        <f t="shared" si="4805"/>
        <v>-2.6907513611615235</v>
      </c>
      <c r="EO897" s="46" t="str">
        <f t="shared" si="4806"/>
        <v>È</v>
      </c>
      <c r="EP897" s="46" t="str">
        <f t="shared" si="4807"/>
        <v>È</v>
      </c>
      <c r="EQ897" s="499">
        <f t="shared" si="4808"/>
        <v>3</v>
      </c>
      <c r="ER897" s="499">
        <f t="shared" si="4809"/>
        <v>3</v>
      </c>
      <c r="ES897" s="499">
        <f t="shared" si="4808"/>
        <v>3</v>
      </c>
    </row>
    <row r="898" spans="1:149">
      <c r="B898" s="481" t="s">
        <v>213</v>
      </c>
      <c r="C898" s="3" t="s">
        <v>83</v>
      </c>
      <c r="E898" s="4" t="str">
        <f t="shared" si="4776"/>
        <v>AFUniq</v>
      </c>
      <c r="F898" s="4" t="s">
        <v>31</v>
      </c>
      <c r="G898" s="165" t="str">
        <f t="shared" si="4777"/>
        <v>AFUniq</v>
      </c>
      <c r="H898" s="165"/>
      <c r="I898" s="28"/>
      <c r="J898" s="62" t="str">
        <f t="shared" ref="J898:U898" si="4824">IF(J871&lt;&gt;0,J872/J871,"")</f>
        <v/>
      </c>
      <c r="K898" s="62" t="str">
        <f t="shared" si="4824"/>
        <v/>
      </c>
      <c r="L898" s="62" t="str">
        <f t="shared" si="4824"/>
        <v/>
      </c>
      <c r="M898" s="62" t="str">
        <f t="shared" si="4824"/>
        <v/>
      </c>
      <c r="N898" s="62" t="str">
        <f t="shared" si="4824"/>
        <v/>
      </c>
      <c r="O898" s="62" t="str">
        <f t="shared" si="4824"/>
        <v/>
      </c>
      <c r="P898" s="62" t="str">
        <f t="shared" si="4824"/>
        <v/>
      </c>
      <c r="Q898" s="62" t="str">
        <f t="shared" si="4824"/>
        <v/>
      </c>
      <c r="R898" s="62" t="str">
        <f t="shared" si="4824"/>
        <v/>
      </c>
      <c r="S898" s="62" t="str">
        <f t="shared" si="4824"/>
        <v/>
      </c>
      <c r="T898" s="62" t="str">
        <f t="shared" si="4824"/>
        <v/>
      </c>
      <c r="U898" s="62" t="str">
        <f t="shared" si="4824"/>
        <v/>
      </c>
      <c r="V898" s="499">
        <f t="shared" ref="V898:AA898" si="4825">IF(V232&lt;&gt;0,V237/V232," ")</f>
        <v>3.2950000000000004</v>
      </c>
      <c r="W898" s="499">
        <f t="shared" si="4825"/>
        <v>3.6419354838709679</v>
      </c>
      <c r="X898" s="499">
        <f t="shared" si="4825"/>
        <v>3.4611111111111112</v>
      </c>
      <c r="Y898" s="499">
        <f t="shared" si="4825"/>
        <v>3.6238095238095238</v>
      </c>
      <c r="Z898" s="499">
        <f t="shared" si="4825"/>
        <v>3.9835616438356167</v>
      </c>
      <c r="AA898" s="499">
        <f t="shared" si="4825"/>
        <v>4.1881250000000003</v>
      </c>
      <c r="AB898" s="499">
        <f t="shared" ref="AB898:AF898" si="4826">IF(AB232&lt;&gt;0,AB237/AB232," ")</f>
        <v>4.0783333333333331</v>
      </c>
      <c r="AC898" s="499">
        <f t="shared" si="4826"/>
        <v>4.356930693069307</v>
      </c>
      <c r="AD898" s="499">
        <f t="shared" si="4826"/>
        <v>4.5881578947368418</v>
      </c>
      <c r="AE898" s="499">
        <f t="shared" si="4826"/>
        <v>4.7483870967741932</v>
      </c>
      <c r="AF898" s="499">
        <f t="shared" si="4826"/>
        <v>4.8472868217054259</v>
      </c>
      <c r="AG898" s="499">
        <f t="shared" ref="AG898:AI898" si="4827">IF(AG232&lt;&gt;0,AG237/AG232," ")</f>
        <v>4.9213235294117643</v>
      </c>
      <c r="AH898" s="499">
        <f t="shared" si="4827"/>
        <v>3.8846153846153846</v>
      </c>
      <c r="AI898" s="499">
        <f t="shared" si="4827"/>
        <v>4.020833333333333</v>
      </c>
      <c r="AJ898" s="499" t="str">
        <f t="shared" ref="AJ898" si="4828">IF(AJ232&lt;&gt;0,AJ237/AJ232," ")</f>
        <v xml:space="preserve"> </v>
      </c>
      <c r="AK898" s="55"/>
      <c r="AL898" s="55" t="str">
        <f t="shared" ref="AL898:BL898" si="4829">IF(AL871&lt;&gt;0,AL872/AL871,"")</f>
        <v/>
      </c>
      <c r="AM898" s="55" t="str">
        <f t="shared" si="4829"/>
        <v/>
      </c>
      <c r="AN898" s="55" t="str">
        <f t="shared" si="4829"/>
        <v/>
      </c>
      <c r="AO898" s="55" t="str">
        <f t="shared" si="4829"/>
        <v/>
      </c>
      <c r="AP898" s="55" t="str">
        <f t="shared" si="4829"/>
        <v/>
      </c>
      <c r="AQ898" s="55" t="str">
        <f t="shared" si="4829"/>
        <v/>
      </c>
      <c r="AR898" s="55" t="str">
        <f t="shared" si="4829"/>
        <v/>
      </c>
      <c r="AS898" s="55" t="str">
        <f t="shared" si="4829"/>
        <v/>
      </c>
      <c r="AT898" s="55" t="str">
        <f t="shared" si="4829"/>
        <v/>
      </c>
      <c r="AU898" s="55" t="str">
        <f t="shared" si="4829"/>
        <v/>
      </c>
      <c r="AV898" s="55" t="str">
        <f t="shared" si="4829"/>
        <v/>
      </c>
      <c r="AW898" s="55" t="str">
        <f t="shared" si="4829"/>
        <v/>
      </c>
      <c r="AX898" s="499">
        <f>IF(AX232&lt;&gt;0,AX237/AX232," ")</f>
        <v>3.2950000000000004</v>
      </c>
      <c r="AY898" s="499">
        <f t="shared" ref="AY898:BI898" si="4830">IF(AY232&lt;&gt;0,AY237/AY232," ")</f>
        <v>4.2727272727272725</v>
      </c>
      <c r="AZ898" s="499">
        <f t="shared" si="4830"/>
        <v>3.2173913043478262</v>
      </c>
      <c r="BA898" s="499">
        <f t="shared" si="4830"/>
        <v>4.6000000000000005</v>
      </c>
      <c r="BB898" s="499">
        <f t="shared" ref="BB898:BG898" si="4831">IF(BB232&lt;&gt;0,BB237/BB232," ")</f>
        <v>6.25</v>
      </c>
      <c r="BC898" s="499">
        <f t="shared" si="4831"/>
        <v>6.3214285714285712</v>
      </c>
      <c r="BD898" s="499">
        <f t="shared" si="4831"/>
        <v>3.2</v>
      </c>
      <c r="BE898" s="499">
        <f t="shared" si="4831"/>
        <v>6.6363636363636367</v>
      </c>
      <c r="BF898" s="499">
        <f t="shared" si="4831"/>
        <v>6.3846153846153806</v>
      </c>
      <c r="BG898" s="499">
        <f t="shared" si="4831"/>
        <v>6.5750000000000002</v>
      </c>
      <c r="BH898" s="499">
        <f t="shared" si="4830"/>
        <v>7.3</v>
      </c>
      <c r="BI898" s="499">
        <f t="shared" si="4830"/>
        <v>6.2857142857142856</v>
      </c>
      <c r="BJ898" s="499">
        <f t="shared" ref="BJ898:BK898" si="4832">IF(BJ232&lt;&gt;0,BJ237/BJ232," ")</f>
        <v>3.8846153846153846</v>
      </c>
      <c r="BK898" s="499">
        <f t="shared" si="4832"/>
        <v>4.1818181818181817</v>
      </c>
      <c r="BL898" s="14" t="str">
        <f t="shared" si="4829"/>
        <v/>
      </c>
      <c r="BM898" s="412"/>
      <c r="BN898" s="14" t="str">
        <f t="shared" ref="BN898:BY898" si="4833">IF(BN871&lt;&gt;0,BN872/BN871,"")</f>
        <v/>
      </c>
      <c r="BO898" s="14" t="str">
        <f t="shared" si="4833"/>
        <v/>
      </c>
      <c r="BP898" s="14" t="str">
        <f t="shared" si="4833"/>
        <v/>
      </c>
      <c r="BQ898" s="14" t="str">
        <f t="shared" si="4833"/>
        <v/>
      </c>
      <c r="BR898" s="14" t="str">
        <f t="shared" si="4833"/>
        <v/>
      </c>
      <c r="BS898" s="14" t="str">
        <f t="shared" si="4833"/>
        <v/>
      </c>
      <c r="BT898" s="14" t="str">
        <f t="shared" si="4833"/>
        <v/>
      </c>
      <c r="BU898" s="14" t="str">
        <f t="shared" si="4833"/>
        <v/>
      </c>
      <c r="BV898" s="14" t="str">
        <f t="shared" si="4833"/>
        <v/>
      </c>
      <c r="BW898" s="14" t="str">
        <f t="shared" si="4833"/>
        <v/>
      </c>
      <c r="BX898" s="14" t="str">
        <f t="shared" si="4833"/>
        <v/>
      </c>
      <c r="BY898" s="14" t="str">
        <f t="shared" si="4833"/>
        <v/>
      </c>
      <c r="BZ898" s="498">
        <f t="shared" si="4788"/>
        <v>3.4611111111111112</v>
      </c>
      <c r="CA898" s="498">
        <f t="shared" si="4789"/>
        <v>3.4611111111111112</v>
      </c>
      <c r="CB898" s="499">
        <f>IF(CB232&lt;&gt;0,CB237/CB232," ")</f>
        <v>3.4611111111111112</v>
      </c>
      <c r="CC898" s="498">
        <f t="shared" si="4790"/>
        <v>5.6980769230769237</v>
      </c>
      <c r="CD898" s="498">
        <f t="shared" si="4791"/>
        <v>5.6980769230769237</v>
      </c>
      <c r="CE898" s="499">
        <f>IF(CE232&lt;&gt;0,CE237/CE232," ")</f>
        <v>5.6980769230769237</v>
      </c>
      <c r="CF898" s="498">
        <f t="shared" si="4792"/>
        <v>5.5294117647058805</v>
      </c>
      <c r="CG898" s="498">
        <f t="shared" si="4793"/>
        <v>5.5294117647058805</v>
      </c>
      <c r="CH898" s="499">
        <f t="shared" ref="CH898:CL898" si="4834">IF(CH232&lt;&gt;0,CH237/CH232," ")</f>
        <v>5.5294117647058805</v>
      </c>
      <c r="CI898" s="499">
        <f t="shared" si="4834"/>
        <v>6.6477272727272725</v>
      </c>
      <c r="CJ898" s="499">
        <f t="shared" si="4834"/>
        <v>6.6477272727272725</v>
      </c>
      <c r="CK898" s="499">
        <f t="shared" si="4834"/>
        <v>6.6477272727272725</v>
      </c>
      <c r="CL898" s="499">
        <f t="shared" si="4834"/>
        <v>4.020833333333333</v>
      </c>
      <c r="CM898" s="499">
        <f t="shared" si="4797"/>
        <v>4.1818181818181817</v>
      </c>
      <c r="CN898" s="14"/>
      <c r="CO898" s="412"/>
      <c r="CP898" s="14" t="str">
        <f t="shared" ref="CP898:DP898" si="4835">IF(CP871&lt;&gt;0,CP872/CP871,"")</f>
        <v/>
      </c>
      <c r="CQ898" s="14" t="str">
        <f t="shared" si="4835"/>
        <v/>
      </c>
      <c r="CR898" s="14" t="str">
        <f t="shared" si="4835"/>
        <v/>
      </c>
      <c r="CS898" s="14" t="str">
        <f t="shared" si="4835"/>
        <v/>
      </c>
      <c r="CT898" s="14" t="str">
        <f t="shared" si="4835"/>
        <v/>
      </c>
      <c r="CU898" s="14" t="str">
        <f t="shared" si="4835"/>
        <v/>
      </c>
      <c r="CV898" s="14" t="str">
        <f t="shared" si="4835"/>
        <v/>
      </c>
      <c r="CW898" s="14" t="str">
        <f t="shared" si="4835"/>
        <v/>
      </c>
      <c r="CX898" s="14" t="str">
        <f t="shared" si="4835"/>
        <v/>
      </c>
      <c r="CY898" s="14" t="str">
        <f t="shared" si="4835"/>
        <v/>
      </c>
      <c r="CZ898" s="14" t="str">
        <f t="shared" si="4835"/>
        <v/>
      </c>
      <c r="DA898" s="14" t="str">
        <f t="shared" si="4835"/>
        <v/>
      </c>
      <c r="DB898" s="499">
        <f t="shared" ref="DB898:DG898" si="4836">IF(DB232&lt;&gt;0,DB237/DB232," ")</f>
        <v>3.2950000000000004</v>
      </c>
      <c r="DC898" s="499">
        <f t="shared" si="4836"/>
        <v>3.6419354838709679</v>
      </c>
      <c r="DD898" s="499">
        <f t="shared" si="4836"/>
        <v>3.4611111111111112</v>
      </c>
      <c r="DE898" s="499">
        <f t="shared" si="4836"/>
        <v>3.6238095238095238</v>
      </c>
      <c r="DF898" s="499">
        <f t="shared" si="4836"/>
        <v>3.9835616438356167</v>
      </c>
      <c r="DG898" s="499">
        <f t="shared" si="4836"/>
        <v>4.1881250000000003</v>
      </c>
      <c r="DH898" s="499">
        <f t="shared" ref="DH898:DM898" si="4837">IF(DH232&lt;&gt;0,DH237/DH232," ")</f>
        <v>4.0783333333333331</v>
      </c>
      <c r="DI898" s="499">
        <f t="shared" si="4837"/>
        <v>4.356930693069307</v>
      </c>
      <c r="DJ898" s="499">
        <f t="shared" si="4837"/>
        <v>4.5881578947368418</v>
      </c>
      <c r="DK898" s="499">
        <f t="shared" si="4837"/>
        <v>4.7483870967741932</v>
      </c>
      <c r="DL898" s="499">
        <f t="shared" si="4837"/>
        <v>4.8472868217054259</v>
      </c>
      <c r="DM898" s="499">
        <f t="shared" si="4837"/>
        <v>4.9213235294117643</v>
      </c>
      <c r="DN898" s="499">
        <f t="shared" ref="DN898" si="4838">IF(DN232&lt;&gt;0,DN237/DN232," ")</f>
        <v>3.8846153846153846</v>
      </c>
      <c r="DO898" s="499">
        <f t="shared" si="4802"/>
        <v>4.1818181818181817</v>
      </c>
      <c r="DP898" s="14" t="str">
        <f t="shared" si="4835"/>
        <v/>
      </c>
      <c r="DQ898" s="14"/>
      <c r="DR898" s="14"/>
      <c r="DS898" s="14"/>
      <c r="DT898" s="14"/>
      <c r="DU898" s="14"/>
      <c r="DV898" s="14"/>
      <c r="DW898" s="14"/>
      <c r="DX898" s="14"/>
      <c r="DY898" s="14"/>
      <c r="DZ898" s="381"/>
      <c r="EA898" s="381"/>
      <c r="EB898" s="381"/>
      <c r="ED898" s="429"/>
      <c r="EE898" s="242"/>
      <c r="EF898" s="242"/>
      <c r="EG898" s="242"/>
      <c r="EH898" s="499">
        <f>IF(EH232&lt;&gt;0,EH237/EH232," ")</f>
        <v>4.1818181818181817</v>
      </c>
      <c r="EI898" s="499">
        <f>IF(EI232&lt;&gt;0,EI237/EI232," ")</f>
        <v>4.020833333333333</v>
      </c>
      <c r="EJ898" s="499">
        <f>IF(EJ232&lt;&gt;0,EJ237/EJ232," ")</f>
        <v>4.020833333333333</v>
      </c>
      <c r="EK898" s="217"/>
      <c r="EL898" s="267">
        <f t="shared" si="4803"/>
        <v>-4.8181818181818183</v>
      </c>
      <c r="EM898" s="267">
        <f t="shared" si="4804"/>
        <v>-0.47916666666666696</v>
      </c>
      <c r="EN898" s="267">
        <f t="shared" si="4805"/>
        <v>-0.46666666666666679</v>
      </c>
      <c r="EO898" s="46" t="str">
        <f t="shared" si="4806"/>
        <v>È</v>
      </c>
      <c r="EP898" s="46" t="str">
        <f t="shared" si="4807"/>
        <v>È</v>
      </c>
      <c r="EQ898" s="499">
        <f t="shared" si="4808"/>
        <v>3</v>
      </c>
      <c r="ER898" s="499">
        <f t="shared" si="4809"/>
        <v>2</v>
      </c>
      <c r="ES898" s="499">
        <f t="shared" si="4808"/>
        <v>2</v>
      </c>
    </row>
    <row r="899" spans="1:149">
      <c r="B899" s="481" t="s">
        <v>214</v>
      </c>
      <c r="C899" s="3" t="s">
        <v>83</v>
      </c>
      <c r="E899" s="4" t="str">
        <f t="shared" si="4776"/>
        <v>AFUniq</v>
      </c>
      <c r="F899" s="4" t="s">
        <v>31</v>
      </c>
      <c r="G899" s="165" t="str">
        <f t="shared" si="4777"/>
        <v>AFUniq</v>
      </c>
      <c r="H899" s="165"/>
      <c r="I899" s="28"/>
      <c r="J899" s="62" t="str">
        <f t="shared" ref="J899:U899" si="4839">IF(J872&lt;&gt;0,J873/J872,"")</f>
        <v/>
      </c>
      <c r="K899" s="62" t="str">
        <f t="shared" si="4839"/>
        <v/>
      </c>
      <c r="L899" s="62" t="str">
        <f t="shared" si="4839"/>
        <v/>
      </c>
      <c r="M899" s="62" t="str">
        <f t="shared" si="4839"/>
        <v/>
      </c>
      <c r="N899" s="62" t="str">
        <f t="shared" si="4839"/>
        <v/>
      </c>
      <c r="O899" s="62" t="str">
        <f t="shared" si="4839"/>
        <v/>
      </c>
      <c r="P899" s="62" t="str">
        <f t="shared" si="4839"/>
        <v/>
      </c>
      <c r="Q899" s="62" t="str">
        <f t="shared" si="4839"/>
        <v/>
      </c>
      <c r="R899" s="62" t="str">
        <f t="shared" si="4839"/>
        <v/>
      </c>
      <c r="S899" s="62" t="str">
        <f t="shared" si="4839"/>
        <v/>
      </c>
      <c r="T899" s="62" t="str">
        <f t="shared" si="4839"/>
        <v/>
      </c>
      <c r="U899" s="62" t="str">
        <f t="shared" si="4839"/>
        <v/>
      </c>
      <c r="V899" s="499">
        <f t="shared" ref="V899:AA899" si="4840">IF(V298&lt;&gt;0,V303/V298," ")</f>
        <v>4.3904761904761909</v>
      </c>
      <c r="W899" s="499">
        <f t="shared" si="4840"/>
        <v>4.4806451612903224</v>
      </c>
      <c r="X899" s="499">
        <f t="shared" si="4840"/>
        <v>4.8962500000000002</v>
      </c>
      <c r="Y899" s="499">
        <f t="shared" si="4840"/>
        <v>5.0816666666666661</v>
      </c>
      <c r="Z899" s="499">
        <f t="shared" si="4840"/>
        <v>5.3136986301369857</v>
      </c>
      <c r="AA899" s="499">
        <f t="shared" si="4840"/>
        <v>5.4676829268292684</v>
      </c>
      <c r="AB899" s="499">
        <f t="shared" ref="AB899:AF899" si="4841">IF(AB298&lt;&gt;0,AB303/AB298," ")</f>
        <v>5.5783505154639181</v>
      </c>
      <c r="AC899" s="499">
        <f t="shared" si="4841"/>
        <v>5.7418181818181822</v>
      </c>
      <c r="AD899" s="499">
        <f t="shared" si="4841"/>
        <v>5.7606299212598424</v>
      </c>
      <c r="AE899" s="499">
        <f t="shared" si="4841"/>
        <v>5.9017730496453895</v>
      </c>
      <c r="AF899" s="499">
        <f t="shared" si="4841"/>
        <v>5.8680379746835438</v>
      </c>
      <c r="AG899" s="499">
        <f t="shared" ref="AG899:AI899" si="4842">IF(AG298&lt;&gt;0,AG303/AG298," ")</f>
        <v>5.818965517241379</v>
      </c>
      <c r="AH899" s="499">
        <f t="shared" si="4842"/>
        <v>2.9426923076923077</v>
      </c>
      <c r="AI899" s="499">
        <f t="shared" si="4842"/>
        <v>3.3752777777777778</v>
      </c>
      <c r="AJ899" s="499" t="str">
        <f t="shared" ref="AJ899" si="4843">IF(AJ298&lt;&gt;0,AJ303/AJ298," ")</f>
        <v xml:space="preserve"> </v>
      </c>
      <c r="AK899" s="55"/>
      <c r="AL899" s="55" t="str">
        <f t="shared" ref="AL899:BL899" si="4844">IF(AL872&lt;&gt;0,AL873/AL872,"")</f>
        <v/>
      </c>
      <c r="AM899" s="55" t="str">
        <f t="shared" si="4844"/>
        <v/>
      </c>
      <c r="AN899" s="55" t="str">
        <f t="shared" si="4844"/>
        <v/>
      </c>
      <c r="AO899" s="55" t="str">
        <f t="shared" si="4844"/>
        <v/>
      </c>
      <c r="AP899" s="55" t="str">
        <f t="shared" si="4844"/>
        <v/>
      </c>
      <c r="AQ899" s="55" t="str">
        <f t="shared" si="4844"/>
        <v/>
      </c>
      <c r="AR899" s="55" t="str">
        <f t="shared" si="4844"/>
        <v/>
      </c>
      <c r="AS899" s="55" t="str">
        <f t="shared" si="4844"/>
        <v/>
      </c>
      <c r="AT899" s="55" t="str">
        <f t="shared" si="4844"/>
        <v/>
      </c>
      <c r="AU899" s="55" t="str">
        <f t="shared" si="4844"/>
        <v/>
      </c>
      <c r="AV899" s="55" t="str">
        <f t="shared" si="4844"/>
        <v/>
      </c>
      <c r="AW899" s="55" t="str">
        <f t="shared" si="4844"/>
        <v/>
      </c>
      <c r="AX899" s="499">
        <f>IF(AX298&lt;&gt;0,AX303/AX298," ")</f>
        <v>4.3904761904761909</v>
      </c>
      <c r="AY899" s="499">
        <f t="shared" ref="AY899:BI899" si="4845">IF(AY298&lt;&gt;0,AY303/AY298," ")</f>
        <v>4.67</v>
      </c>
      <c r="AZ899" s="499">
        <f t="shared" si="4845"/>
        <v>6.3277777777777766</v>
      </c>
      <c r="BA899" s="499">
        <f t="shared" si="4845"/>
        <v>5.4524999999999988</v>
      </c>
      <c r="BB899" s="499">
        <f t="shared" ref="BB899:BG899" si="4846">IF(BB298&lt;&gt;0,BB303/BB298," ")</f>
        <v>6.384615384615385</v>
      </c>
      <c r="BC899" s="499">
        <f t="shared" si="4846"/>
        <v>6.7166666666666721</v>
      </c>
      <c r="BD899" s="499">
        <f t="shared" si="4846"/>
        <v>6.1833333333333336</v>
      </c>
      <c r="BE899" s="499">
        <f t="shared" si="4846"/>
        <v>6.9615384615384617</v>
      </c>
      <c r="BF899" s="499">
        <f t="shared" si="4846"/>
        <v>5.882352941176471</v>
      </c>
      <c r="BG899" s="499">
        <f t="shared" si="4846"/>
        <v>7.1821428571428543</v>
      </c>
      <c r="BH899" s="499">
        <f t="shared" si="4845"/>
        <v>5.5882352941176467</v>
      </c>
      <c r="BI899" s="499">
        <f t="shared" si="4845"/>
        <v>5.3343750000000014</v>
      </c>
      <c r="BJ899" s="499">
        <f>BJ303/BJ298</f>
        <v>2.9426923076923077</v>
      </c>
      <c r="BK899" s="499">
        <f t="shared" ref="BK899" si="4847">IF(BK298&lt;&gt;0,BK303/BK298," ")</f>
        <v>4.5</v>
      </c>
      <c r="BL899" s="14" t="str">
        <f t="shared" si="4844"/>
        <v/>
      </c>
      <c r="BM899" s="412"/>
      <c r="BN899" s="14" t="str">
        <f t="shared" ref="BN899:BY899" si="4848">IF(BN872&lt;&gt;0,BN873/BN872,"")</f>
        <v/>
      </c>
      <c r="BO899" s="14" t="str">
        <f t="shared" si="4848"/>
        <v/>
      </c>
      <c r="BP899" s="14" t="str">
        <f t="shared" si="4848"/>
        <v/>
      </c>
      <c r="BQ899" s="14" t="str">
        <f t="shared" si="4848"/>
        <v/>
      </c>
      <c r="BR899" s="14" t="str">
        <f t="shared" si="4848"/>
        <v/>
      </c>
      <c r="BS899" s="14" t="str">
        <f t="shared" si="4848"/>
        <v/>
      </c>
      <c r="BT899" s="14" t="str">
        <f t="shared" si="4848"/>
        <v/>
      </c>
      <c r="BU899" s="14" t="str">
        <f t="shared" si="4848"/>
        <v/>
      </c>
      <c r="BV899" s="14" t="str">
        <f t="shared" si="4848"/>
        <v/>
      </c>
      <c r="BW899" s="14" t="str">
        <f t="shared" si="4848"/>
        <v/>
      </c>
      <c r="BX899" s="14" t="str">
        <f t="shared" si="4848"/>
        <v/>
      </c>
      <c r="BY899" s="14" t="str">
        <f t="shared" si="4848"/>
        <v/>
      </c>
      <c r="BZ899" s="498">
        <f t="shared" si="4788"/>
        <v>4.8962500000000002</v>
      </c>
      <c r="CA899" s="498">
        <f t="shared" si="4789"/>
        <v>4.8962500000000002</v>
      </c>
      <c r="CB899" s="499">
        <f>IF(CB298&lt;&gt;0,CB303/CB298," ")</f>
        <v>4.8962500000000002</v>
      </c>
      <c r="CC899" s="498">
        <f t="shared" si="4790"/>
        <v>6.0119047619047628</v>
      </c>
      <c r="CD899" s="498">
        <f t="shared" si="4791"/>
        <v>6.0119047619047628</v>
      </c>
      <c r="CE899" s="499">
        <f>IF(CE298&lt;&gt;0,CE303/CE298," ")</f>
        <v>6.0119047619047628</v>
      </c>
      <c r="CF899" s="498">
        <f t="shared" si="4792"/>
        <v>6.2944444444444443</v>
      </c>
      <c r="CG899" s="498">
        <f t="shared" si="4793"/>
        <v>6.2944444444444443</v>
      </c>
      <c r="CH899" s="499">
        <f>IF(CH298&lt;&gt;0,CH303/CH298," ")</f>
        <v>6.2944444444444443</v>
      </c>
      <c r="CI899" s="498" t="str">
        <f t="shared" si="4794"/>
        <v xml:space="preserve"> </v>
      </c>
      <c r="CJ899" s="498" t="str">
        <f t="shared" si="4795"/>
        <v xml:space="preserve"> </v>
      </c>
      <c r="CK899" s="499" t="str">
        <f t="shared" si="4796"/>
        <v xml:space="preserve"> </v>
      </c>
      <c r="CL899" s="499">
        <v>0</v>
      </c>
      <c r="CM899" s="499">
        <f t="shared" si="4797"/>
        <v>4.5</v>
      </c>
      <c r="CN899" s="14"/>
      <c r="CO899" s="412"/>
      <c r="CP899" s="14" t="str">
        <f t="shared" ref="CP899:DP899" si="4849">IF(CP872&lt;&gt;0,CP873/CP872,"")</f>
        <v/>
      </c>
      <c r="CQ899" s="14" t="str">
        <f t="shared" si="4849"/>
        <v/>
      </c>
      <c r="CR899" s="14" t="str">
        <f t="shared" si="4849"/>
        <v/>
      </c>
      <c r="CS899" s="14" t="str">
        <f t="shared" si="4849"/>
        <v/>
      </c>
      <c r="CT899" s="14" t="str">
        <f t="shared" si="4849"/>
        <v/>
      </c>
      <c r="CU899" s="14" t="str">
        <f t="shared" si="4849"/>
        <v/>
      </c>
      <c r="CV899" s="14" t="str">
        <f t="shared" si="4849"/>
        <v/>
      </c>
      <c r="CW899" s="14" t="str">
        <f t="shared" si="4849"/>
        <v/>
      </c>
      <c r="CX899" s="14" t="str">
        <f t="shared" si="4849"/>
        <v/>
      </c>
      <c r="CY899" s="14" t="str">
        <f t="shared" si="4849"/>
        <v/>
      </c>
      <c r="CZ899" s="14" t="str">
        <f t="shared" si="4849"/>
        <v/>
      </c>
      <c r="DA899" s="14" t="str">
        <f t="shared" si="4849"/>
        <v/>
      </c>
      <c r="DB899" s="499">
        <f t="shared" ref="DB899:DG899" si="4850">IF(DB298&lt;&gt;0,DB303/DB298," ")</f>
        <v>4.3904761904761909</v>
      </c>
      <c r="DC899" s="499">
        <f t="shared" si="4850"/>
        <v>4.4806451612903224</v>
      </c>
      <c r="DD899" s="499">
        <f t="shared" si="4850"/>
        <v>4.8962500000000002</v>
      </c>
      <c r="DE899" s="499">
        <f t="shared" si="4850"/>
        <v>5.0816666666666661</v>
      </c>
      <c r="DF899" s="499">
        <f t="shared" si="4850"/>
        <v>5.3136986301369857</v>
      </c>
      <c r="DG899" s="499">
        <f t="shared" si="4850"/>
        <v>5.4676829268292684</v>
      </c>
      <c r="DH899" s="499">
        <f t="shared" ref="DH899:DM899" si="4851">IF(DH298&lt;&gt;0,DH303/DH298," ")</f>
        <v>5.5783505154639181</v>
      </c>
      <c r="DI899" s="499">
        <f t="shared" si="4851"/>
        <v>5.7418181818181822</v>
      </c>
      <c r="DJ899" s="499">
        <f t="shared" si="4851"/>
        <v>5.7606299212598424</v>
      </c>
      <c r="DK899" s="499">
        <f t="shared" si="4851"/>
        <v>5.9017730496453895</v>
      </c>
      <c r="DL899" s="499">
        <f t="shared" si="4851"/>
        <v>5.8680379746835438</v>
      </c>
      <c r="DM899" s="499">
        <f t="shared" si="4851"/>
        <v>5.818965517241379</v>
      </c>
      <c r="DN899" s="499">
        <f t="shared" ref="DN899" si="4852">IF(DN298&lt;&gt;0,DN303/DN298," ")</f>
        <v>2.9426923076923077</v>
      </c>
      <c r="DO899" s="499">
        <f t="shared" si="4802"/>
        <v>4.5</v>
      </c>
      <c r="DP899" s="14" t="str">
        <f t="shared" si="4849"/>
        <v/>
      </c>
      <c r="DQ899" s="14"/>
      <c r="DR899" s="14"/>
      <c r="DS899" s="14"/>
      <c r="DT899" s="14"/>
      <c r="DU899" s="14"/>
      <c r="DV899" s="14"/>
      <c r="DW899" s="14"/>
      <c r="DX899" s="14"/>
      <c r="DY899" s="14"/>
      <c r="DZ899" s="381"/>
      <c r="EA899" s="381"/>
      <c r="EB899" s="381"/>
      <c r="ED899" s="429"/>
      <c r="EE899" s="242"/>
      <c r="EF899" s="242"/>
      <c r="EG899" s="242"/>
      <c r="EH899" s="499">
        <f>IF(EH298&lt;&gt;0,EH303/EH298," ")</f>
        <v>4.5</v>
      </c>
      <c r="EI899" s="499">
        <f>IF(EI298&lt;&gt;0,EI303/EI298," ")</f>
        <v>3.3752777777777778</v>
      </c>
      <c r="EJ899" s="499">
        <f>IF(EJ298&lt;&gt;0,EJ303/EJ298," ")</f>
        <v>3.3752777777777778</v>
      </c>
      <c r="EK899" s="217"/>
      <c r="EL899" s="267">
        <f t="shared" si="4803"/>
        <v>-6.3436347863803952</v>
      </c>
      <c r="EM899" s="267">
        <f t="shared" si="4804"/>
        <v>-3.4274433106575959</v>
      </c>
      <c r="EN899" s="267">
        <f t="shared" si="4805"/>
        <v>-4.4954650793650792</v>
      </c>
      <c r="EO899" s="46" t="str">
        <f t="shared" si="4806"/>
        <v>È</v>
      </c>
      <c r="EP899" s="46" t="str">
        <f>IF(EI899&lt;0,,IF(EI899&gt;EF912,"È",IF(EI899=EF912,"Æ","Ç")))</f>
        <v>Ç</v>
      </c>
      <c r="EQ899" s="499">
        <f>IF(EH899/EE912&lt;=0.9,1,IF(EH899/EE912&lt;0.75,3,2))</f>
        <v>1</v>
      </c>
      <c r="ER899" s="499">
        <f t="shared" si="4809"/>
        <v>3</v>
      </c>
      <c r="ES899" s="499">
        <f>IF(EJ899/EG912&lt;=0.9,1,IF(EJ899/EG912&lt;0.75,3,2))</f>
        <v>1</v>
      </c>
    </row>
    <row r="900" spans="1:149">
      <c r="B900" s="481" t="s">
        <v>215</v>
      </c>
      <c r="C900" s="3" t="s">
        <v>83</v>
      </c>
      <c r="E900" s="4" t="str">
        <f t="shared" si="4776"/>
        <v>AFUniq</v>
      </c>
      <c r="F900" s="4" t="s">
        <v>31</v>
      </c>
      <c r="G900" s="165" t="str">
        <f t="shared" si="4777"/>
        <v>AFUniq</v>
      </c>
      <c r="H900" s="165"/>
      <c r="I900" s="28"/>
      <c r="J900" s="62" t="str">
        <f t="shared" ref="J900:U900" si="4853">IF(J873&lt;&gt;0,J874/J873,"")</f>
        <v/>
      </c>
      <c r="K900" s="62" t="str">
        <f t="shared" si="4853"/>
        <v/>
      </c>
      <c r="L900" s="62" t="str">
        <f t="shared" si="4853"/>
        <v/>
      </c>
      <c r="M900" s="62" t="str">
        <f t="shared" si="4853"/>
        <v/>
      </c>
      <c r="N900" s="62" t="str">
        <f t="shared" si="4853"/>
        <v/>
      </c>
      <c r="O900" s="62" t="str">
        <f t="shared" si="4853"/>
        <v/>
      </c>
      <c r="P900" s="62" t="str">
        <f t="shared" si="4853"/>
        <v/>
      </c>
      <c r="Q900" s="62" t="str">
        <f t="shared" si="4853"/>
        <v/>
      </c>
      <c r="R900" s="62" t="str">
        <f t="shared" si="4853"/>
        <v/>
      </c>
      <c r="S900" s="62" t="str">
        <f t="shared" si="4853"/>
        <v/>
      </c>
      <c r="T900" s="62" t="str">
        <f t="shared" si="4853"/>
        <v/>
      </c>
      <c r="U900" s="62" t="str">
        <f t="shared" si="4853"/>
        <v/>
      </c>
      <c r="V900" s="499">
        <f t="shared" ref="V900:AA900" si="4854">IF(V364&lt;&gt;0,V369/V364," ")</f>
        <v>2.9685714285714289</v>
      </c>
      <c r="W900" s="499">
        <f t="shared" si="4854"/>
        <v>3.7763076923076926</v>
      </c>
      <c r="X900" s="499">
        <f t="shared" si="4854"/>
        <v>3.9940449438202252</v>
      </c>
      <c r="Y900" s="499">
        <f t="shared" si="4854"/>
        <v>3.4751515151515155</v>
      </c>
      <c r="Z900" s="499">
        <f t="shared" si="4854"/>
        <v>3.4608441558441561</v>
      </c>
      <c r="AA900" s="499">
        <f t="shared" si="4854"/>
        <v>3.4245086705202317</v>
      </c>
      <c r="AB900" s="499">
        <f t="shared" ref="AB900:AF900" si="4855">IF(AB364&lt;&gt;0,AB369/AB364," ")</f>
        <v>3.5175510204081637</v>
      </c>
      <c r="AC900" s="499">
        <f t="shared" si="4855"/>
        <v>3.6458986175115204</v>
      </c>
      <c r="AD900" s="499">
        <f t="shared" si="4855"/>
        <v>3.6077559055118109</v>
      </c>
      <c r="AE900" s="499">
        <f t="shared" si="4855"/>
        <v>3.608191489361702</v>
      </c>
      <c r="AF900" s="499">
        <f t="shared" si="4855"/>
        <v>3.6402941176470591</v>
      </c>
      <c r="AG900" s="499">
        <f t="shared" ref="AG900:AI900" si="4856">IF(AG364&lt;&gt;0,AG369/AG364," ")</f>
        <v>3.7354769230769231</v>
      </c>
      <c r="AH900" s="499">
        <f t="shared" si="4856"/>
        <v>2.5930952380952381</v>
      </c>
      <c r="AI900" s="499">
        <f t="shared" si="4856"/>
        <v>2.621547619047619</v>
      </c>
      <c r="AJ900" s="499" t="str">
        <f t="shared" ref="AJ900" si="4857">IF(AJ364&lt;&gt;0,AJ369/AJ364," ")</f>
        <v xml:space="preserve"> </v>
      </c>
      <c r="AK900" s="55"/>
      <c r="AL900" s="55" t="str">
        <f t="shared" ref="AL900:BL900" si="4858">IF(AL873&lt;&gt;0,AL874/AL873,"")</f>
        <v/>
      </c>
      <c r="AM900" s="55" t="str">
        <f t="shared" si="4858"/>
        <v/>
      </c>
      <c r="AN900" s="55" t="str">
        <f t="shared" si="4858"/>
        <v/>
      </c>
      <c r="AO900" s="55" t="str">
        <f t="shared" si="4858"/>
        <v/>
      </c>
      <c r="AP900" s="55" t="str">
        <f t="shared" si="4858"/>
        <v/>
      </c>
      <c r="AQ900" s="55" t="str">
        <f t="shared" si="4858"/>
        <v/>
      </c>
      <c r="AR900" s="55" t="str">
        <f t="shared" si="4858"/>
        <v/>
      </c>
      <c r="AS900" s="55" t="str">
        <f t="shared" si="4858"/>
        <v/>
      </c>
      <c r="AT900" s="55" t="str">
        <f t="shared" si="4858"/>
        <v/>
      </c>
      <c r="AU900" s="55" t="str">
        <f t="shared" si="4858"/>
        <v/>
      </c>
      <c r="AV900" s="55" t="str">
        <f t="shared" si="4858"/>
        <v/>
      </c>
      <c r="AW900" s="55" t="str">
        <f t="shared" si="4858"/>
        <v/>
      </c>
      <c r="AX900" s="499">
        <f>IF(AX364&lt;&gt;0,AX369/AX364," ")</f>
        <v>2.9685714285714289</v>
      </c>
      <c r="AY900" s="499">
        <f t="shared" ref="AY900:BI900" si="4859">IF(AY364&lt;&gt;0,AY369/AY364," ")</f>
        <v>6.25</v>
      </c>
      <c r="AZ900" s="499">
        <f t="shared" si="4859"/>
        <v>4.5837500000000011</v>
      </c>
      <c r="BA900" s="499">
        <f t="shared" si="4859"/>
        <v>2.4011627906976742</v>
      </c>
      <c r="BB900" s="499">
        <f t="shared" ref="BB900:BG900" si="4860">IF(BB364&lt;&gt;0,BB369/BB364," ")</f>
        <v>3.375</v>
      </c>
      <c r="BC900" s="499">
        <f t="shared" si="4860"/>
        <v>3.1300000000000012</v>
      </c>
      <c r="BD900" s="499">
        <f t="shared" si="4860"/>
        <v>4.2173913043478262</v>
      </c>
      <c r="BE900" s="499">
        <f t="shared" si="4860"/>
        <v>4.8438095238095196</v>
      </c>
      <c r="BF900" s="499">
        <f t="shared" si="4860"/>
        <v>3.3840540540540549</v>
      </c>
      <c r="BG900" s="499">
        <f t="shared" si="4860"/>
        <v>3.6121428571428567</v>
      </c>
      <c r="BH900" s="499">
        <f t="shared" si="4859"/>
        <v>4.0175000000000027</v>
      </c>
      <c r="BI900" s="499">
        <f t="shared" si="4859"/>
        <v>5.2684210526315738</v>
      </c>
      <c r="BJ900" s="499">
        <f t="shared" ref="BJ900:BK900" si="4861">IF(BJ364&lt;&gt;0,BJ369/BJ364," ")</f>
        <v>2.5930952380952381</v>
      </c>
      <c r="BK900" s="499">
        <f t="shared" si="4861"/>
        <v>2.6500000000000004</v>
      </c>
      <c r="BL900" s="14" t="str">
        <f t="shared" si="4858"/>
        <v/>
      </c>
      <c r="BM900" s="412"/>
      <c r="BN900" s="14" t="str">
        <f t="shared" ref="BN900:BY900" si="4862">IF(BN873&lt;&gt;0,BN874/BN873,"")</f>
        <v/>
      </c>
      <c r="BO900" s="14" t="str">
        <f t="shared" si="4862"/>
        <v/>
      </c>
      <c r="BP900" s="14" t="str">
        <f t="shared" si="4862"/>
        <v/>
      </c>
      <c r="BQ900" s="14" t="str">
        <f t="shared" si="4862"/>
        <v/>
      </c>
      <c r="BR900" s="14" t="str">
        <f t="shared" si="4862"/>
        <v/>
      </c>
      <c r="BS900" s="14" t="str">
        <f t="shared" si="4862"/>
        <v/>
      </c>
      <c r="BT900" s="14" t="str">
        <f t="shared" si="4862"/>
        <v/>
      </c>
      <c r="BU900" s="14" t="str">
        <f t="shared" si="4862"/>
        <v/>
      </c>
      <c r="BV900" s="14" t="str">
        <f t="shared" si="4862"/>
        <v/>
      </c>
      <c r="BW900" s="14" t="str">
        <f t="shared" si="4862"/>
        <v/>
      </c>
      <c r="BX900" s="14" t="str">
        <f t="shared" si="4862"/>
        <v/>
      </c>
      <c r="BY900" s="14" t="str">
        <f t="shared" si="4862"/>
        <v/>
      </c>
      <c r="BZ900" s="498">
        <f t="shared" si="4788"/>
        <v>3.9940449438202252</v>
      </c>
      <c r="CA900" s="498">
        <f t="shared" si="4789"/>
        <v>3.9940449438202252</v>
      </c>
      <c r="CB900" s="499">
        <f>IF(CB364&lt;&gt;0,CB369/CB364," ")</f>
        <v>3.9940449438202252</v>
      </c>
      <c r="CC900" s="498">
        <f t="shared" si="4790"/>
        <v>2.8210714285714289</v>
      </c>
      <c r="CD900" s="498">
        <f t="shared" si="4791"/>
        <v>2.8210714285714289</v>
      </c>
      <c r="CE900" s="499">
        <f>IF(CE364&lt;&gt;0,CE369/CE364," ")</f>
        <v>2.8210714285714289</v>
      </c>
      <c r="CF900" s="498">
        <f t="shared" si="4792"/>
        <v>3.999135802469135</v>
      </c>
      <c r="CG900" s="498">
        <f t="shared" si="4793"/>
        <v>3.999135802469135</v>
      </c>
      <c r="CH900" s="499">
        <f>IF(CH364&lt;&gt;0,CH369/CH364," ")</f>
        <v>3.999135802469135</v>
      </c>
      <c r="CI900" s="498">
        <f t="shared" si="4794"/>
        <v>-5.8651026392961877E-3</v>
      </c>
      <c r="CJ900" s="498">
        <f t="shared" si="4795"/>
        <v>-5.8651026392961877E-3</v>
      </c>
      <c r="CK900" s="499">
        <f t="shared" si="4796"/>
        <v>-5.8651026392961877E-3</v>
      </c>
      <c r="CL900" s="499">
        <f t="shared" si="4796"/>
        <v>0</v>
      </c>
      <c r="CM900" s="499">
        <f t="shared" si="4797"/>
        <v>2.6500000000000004</v>
      </c>
      <c r="CN900" s="14"/>
      <c r="CO900" s="412"/>
      <c r="CP900" s="14" t="str">
        <f t="shared" ref="CP900:DP900" si="4863">IF(CP873&lt;&gt;0,CP874/CP873,"")</f>
        <v/>
      </c>
      <c r="CQ900" s="14" t="str">
        <f t="shared" si="4863"/>
        <v/>
      </c>
      <c r="CR900" s="14" t="str">
        <f t="shared" si="4863"/>
        <v/>
      </c>
      <c r="CS900" s="14" t="str">
        <f t="shared" si="4863"/>
        <v/>
      </c>
      <c r="CT900" s="14" t="str">
        <f t="shared" si="4863"/>
        <v/>
      </c>
      <c r="CU900" s="14" t="str">
        <f t="shared" si="4863"/>
        <v/>
      </c>
      <c r="CV900" s="14" t="str">
        <f t="shared" si="4863"/>
        <v/>
      </c>
      <c r="CW900" s="14" t="str">
        <f t="shared" si="4863"/>
        <v/>
      </c>
      <c r="CX900" s="14" t="str">
        <f t="shared" si="4863"/>
        <v/>
      </c>
      <c r="CY900" s="14" t="str">
        <f t="shared" si="4863"/>
        <v/>
      </c>
      <c r="CZ900" s="14" t="str">
        <f t="shared" si="4863"/>
        <v/>
      </c>
      <c r="DA900" s="14" t="str">
        <f t="shared" si="4863"/>
        <v/>
      </c>
      <c r="DB900" s="499">
        <f t="shared" ref="DB900:DG900" si="4864">IF(DB364&lt;&gt;0,DB369/DB364," ")</f>
        <v>2.9685714285714289</v>
      </c>
      <c r="DC900" s="499">
        <f t="shared" si="4864"/>
        <v>3.7763076923076926</v>
      </c>
      <c r="DD900" s="499">
        <f t="shared" si="4864"/>
        <v>3.9940449438202252</v>
      </c>
      <c r="DE900" s="499">
        <f t="shared" si="4864"/>
        <v>3.4751515151515155</v>
      </c>
      <c r="DF900" s="499">
        <f t="shared" si="4864"/>
        <v>3.4608441558441561</v>
      </c>
      <c r="DG900" s="499">
        <f t="shared" si="4864"/>
        <v>3.4245086705202317</v>
      </c>
      <c r="DH900" s="499">
        <f t="shared" ref="DH900:DM900" si="4865">IF(DH364&lt;&gt;0,DH369/DH364," ")</f>
        <v>3.5175510204081637</v>
      </c>
      <c r="DI900" s="499">
        <f t="shared" si="4865"/>
        <v>3.6458986175115204</v>
      </c>
      <c r="DJ900" s="499">
        <f t="shared" si="4865"/>
        <v>3.6077559055118109</v>
      </c>
      <c r="DK900" s="499">
        <f t="shared" si="4865"/>
        <v>3.608191489361702</v>
      </c>
      <c r="DL900" s="499">
        <f t="shared" si="4865"/>
        <v>3.6402941176470591</v>
      </c>
      <c r="DM900" s="499">
        <f t="shared" si="4865"/>
        <v>3.7354769230769231</v>
      </c>
      <c r="DN900" s="499">
        <f t="shared" ref="DN900" si="4866">IF(DN364&lt;&gt;0,DN369/DN364," ")</f>
        <v>2.5930952380952381</v>
      </c>
      <c r="DO900" s="499">
        <f t="shared" si="4802"/>
        <v>2.6500000000000004</v>
      </c>
      <c r="DP900" s="14" t="str">
        <f t="shared" si="4863"/>
        <v/>
      </c>
      <c r="DQ900" s="14"/>
      <c r="DR900" s="14"/>
      <c r="DS900" s="14"/>
      <c r="DT900" s="14"/>
      <c r="DU900" s="14"/>
      <c r="DV900" s="14"/>
      <c r="DW900" s="14"/>
      <c r="DX900" s="14"/>
      <c r="DY900" s="14"/>
      <c r="DZ900" s="381"/>
      <c r="EA900" s="381"/>
      <c r="EB900" s="381"/>
      <c r="ED900" s="429"/>
      <c r="EE900" s="242"/>
      <c r="EF900" s="242"/>
      <c r="EG900" s="242"/>
      <c r="EH900" s="499">
        <f>IF(EH364&lt;&gt;0,EH369/EH364," ")</f>
        <v>2.6500000000000004</v>
      </c>
      <c r="EI900" s="499">
        <f>IF(EI364&lt;&gt;0,EI369/EI364," ")</f>
        <v>2.621547619047619</v>
      </c>
      <c r="EJ900" s="499">
        <f>IF(EJ364&lt;&gt;0,EJ369/EJ364," ")</f>
        <v>2.621547619047619</v>
      </c>
      <c r="EK900" s="217"/>
      <c r="EL900" s="267">
        <f t="shared" si="4803"/>
        <v>-2.8499999999999996</v>
      </c>
      <c r="EM900" s="267">
        <f t="shared" si="4804"/>
        <v>-5.3870360719395061</v>
      </c>
      <c r="EN900" s="267">
        <f t="shared" si="4805"/>
        <v>-1.3827442264459435</v>
      </c>
      <c r="EO900" s="46" t="str">
        <f t="shared" si="4806"/>
        <v>È</v>
      </c>
      <c r="EP900" s="46" t="str">
        <f>IF(EI900&lt;0,,IF(EI900&gt;EF913,"È",IF(EI900=EF913,"Æ","Ç")))</f>
        <v>Ç</v>
      </c>
      <c r="EQ900" s="499">
        <f t="shared" si="4808"/>
        <v>3</v>
      </c>
      <c r="ER900" s="499">
        <f>IF(EI900/EF913&lt;=0.9,1,IF(EI900/EF913&gt;0.75,3,2))</f>
        <v>1</v>
      </c>
      <c r="ES900" s="499">
        <f t="shared" si="4808"/>
        <v>3</v>
      </c>
    </row>
    <row r="901" spans="1:149">
      <c r="B901" s="481" t="s">
        <v>216</v>
      </c>
      <c r="C901" s="3" t="s">
        <v>83</v>
      </c>
      <c r="E901" s="4" t="str">
        <f t="shared" si="4776"/>
        <v>AFUniq</v>
      </c>
      <c r="F901" s="4" t="s">
        <v>31</v>
      </c>
      <c r="G901" s="165" t="str">
        <f t="shared" si="4777"/>
        <v>AFUniq</v>
      </c>
      <c r="H901" s="165"/>
      <c r="I901" s="28"/>
      <c r="J901" s="62" t="str">
        <f t="shared" ref="J901:U901" si="4867">IF(J874&lt;&gt;0,J875/J874,"")</f>
        <v/>
      </c>
      <c r="K901" s="62" t="str">
        <f t="shared" si="4867"/>
        <v/>
      </c>
      <c r="L901" s="62" t="str">
        <f t="shared" si="4867"/>
        <v/>
      </c>
      <c r="M901" s="62" t="str">
        <f t="shared" si="4867"/>
        <v/>
      </c>
      <c r="N901" s="62" t="str">
        <f t="shared" si="4867"/>
        <v/>
      </c>
      <c r="O901" s="62" t="str">
        <f t="shared" si="4867"/>
        <v/>
      </c>
      <c r="P901" s="62" t="str">
        <f t="shared" si="4867"/>
        <v/>
      </c>
      <c r="Q901" s="62" t="str">
        <f t="shared" si="4867"/>
        <v/>
      </c>
      <c r="R901" s="62" t="str">
        <f t="shared" si="4867"/>
        <v/>
      </c>
      <c r="S901" s="62" t="str">
        <f t="shared" si="4867"/>
        <v/>
      </c>
      <c r="T901" s="62" t="str">
        <f t="shared" si="4867"/>
        <v/>
      </c>
      <c r="U901" s="62" t="str">
        <f t="shared" si="4867"/>
        <v/>
      </c>
      <c r="V901" s="499">
        <f t="shared" ref="V901:AA901" si="4868">IF(V430&lt;&gt;0,V435/V430," ")</f>
        <v>2.2114606741573031</v>
      </c>
      <c r="W901" s="499">
        <f t="shared" si="4868"/>
        <v>2.4481212121212121</v>
      </c>
      <c r="X901" s="499">
        <f t="shared" si="4868"/>
        <v>2.8274778761061947</v>
      </c>
      <c r="Y901" s="499">
        <f t="shared" si="4868"/>
        <v>3.3995289855072461</v>
      </c>
      <c r="Z901" s="499">
        <f t="shared" si="4868"/>
        <v>4.0686585365853656</v>
      </c>
      <c r="AA901" s="499">
        <f t="shared" si="4868"/>
        <v>4.5174246575342467</v>
      </c>
      <c r="AB901" s="499">
        <f t="shared" ref="AB901:AF901" si="4869">IF(AB430&lt;&gt;0,AB435/AB430," ")</f>
        <v>4.7515662650602408</v>
      </c>
      <c r="AC901" s="499">
        <f t="shared" si="4869"/>
        <v>4.9845043103448274</v>
      </c>
      <c r="AD901" s="499">
        <f t="shared" si="4869"/>
        <v>5.2845866141732287</v>
      </c>
      <c r="AE901" s="499">
        <f t="shared" si="4869"/>
        <v>5.4976130198915003</v>
      </c>
      <c r="AF901" s="499">
        <f t="shared" si="4869"/>
        <v>5.6472315436241614</v>
      </c>
      <c r="AG901" s="499">
        <f t="shared" ref="AG901:AI901" si="4870">IF(AG430&lt;&gt;0,AG435/AG430," ")</f>
        <v>5.8314263565891471</v>
      </c>
      <c r="AH901" s="499">
        <f t="shared" si="4870"/>
        <v>2.5219230769230769</v>
      </c>
      <c r="AI901" s="499">
        <f t="shared" si="4870"/>
        <v>3.4123188405797102</v>
      </c>
      <c r="AJ901" s="499" t="str">
        <f t="shared" ref="AJ901" si="4871">IF(AJ430&lt;&gt;0,AJ435/AJ430," ")</f>
        <v xml:space="preserve"> </v>
      </c>
      <c r="AK901" s="55"/>
      <c r="AL901" s="55" t="str">
        <f t="shared" ref="AL901:BL901" si="4872">IF(AL874&lt;&gt;0,AL875/AL874,"")</f>
        <v/>
      </c>
      <c r="AM901" s="55" t="str">
        <f t="shared" si="4872"/>
        <v/>
      </c>
      <c r="AN901" s="55" t="str">
        <f t="shared" si="4872"/>
        <v/>
      </c>
      <c r="AO901" s="55" t="str">
        <f t="shared" si="4872"/>
        <v/>
      </c>
      <c r="AP901" s="55" t="str">
        <f t="shared" si="4872"/>
        <v/>
      </c>
      <c r="AQ901" s="55" t="str">
        <f t="shared" si="4872"/>
        <v/>
      </c>
      <c r="AR901" s="55" t="str">
        <f t="shared" si="4872"/>
        <v/>
      </c>
      <c r="AS901" s="55" t="str">
        <f t="shared" si="4872"/>
        <v/>
      </c>
      <c r="AT901" s="55" t="str">
        <f t="shared" si="4872"/>
        <v/>
      </c>
      <c r="AU901" s="55" t="str">
        <f t="shared" si="4872"/>
        <v/>
      </c>
      <c r="AV901" s="55" t="str">
        <f t="shared" si="4872"/>
        <v/>
      </c>
      <c r="AW901" s="55" t="str">
        <f t="shared" si="4872"/>
        <v/>
      </c>
      <c r="AX901" s="499">
        <f>IF(AX430&lt;&gt;0,AX435/AX430," ")</f>
        <v>2.2114606741573031</v>
      </c>
      <c r="AY901" s="499">
        <f t="shared" ref="AY901:BI901" si="4873">IF(AY430&lt;&gt;0,AY435/AY430," ")</f>
        <v>2.7252631578947368</v>
      </c>
      <c r="AZ901" s="499">
        <f t="shared" si="4873"/>
        <v>3.853606557377049</v>
      </c>
      <c r="BA901" s="499">
        <f t="shared" si="4873"/>
        <v>5.9851999999999999</v>
      </c>
      <c r="BB901" s="499">
        <f t="shared" ref="BB901:BG901" si="4874">IF(BB430&lt;&gt;0,BB435/BB430," ")</f>
        <v>7.6201923076923075</v>
      </c>
      <c r="BC901" s="499">
        <f t="shared" si="4874"/>
        <v>8.4956756756756739</v>
      </c>
      <c r="BD901" s="499">
        <f t="shared" si="4874"/>
        <v>6.4608000000000034</v>
      </c>
      <c r="BE901" s="499">
        <f t="shared" si="4874"/>
        <v>6.9573469387755074</v>
      </c>
      <c r="BF901" s="499">
        <f t="shared" si="4874"/>
        <v>8.4490909090909145</v>
      </c>
      <c r="BG901" s="499">
        <f t="shared" si="4874"/>
        <v>7.9024444444444368</v>
      </c>
      <c r="BH901" s="499">
        <f t="shared" si="4873"/>
        <v>7.5713953488372132</v>
      </c>
      <c r="BI901" s="499">
        <f t="shared" si="4873"/>
        <v>8.0718367346938766</v>
      </c>
      <c r="BJ901" s="499">
        <f t="shared" ref="BJ901:BK901" si="4875">IF(BJ430&lt;&gt;0,BJ435/BJ430," ")</f>
        <v>2.5219230769230769</v>
      </c>
      <c r="BK901" s="499">
        <f t="shared" si="4875"/>
        <v>4.9155844155844157</v>
      </c>
      <c r="BL901" s="14" t="str">
        <f t="shared" si="4872"/>
        <v/>
      </c>
      <c r="BM901" s="412"/>
      <c r="BN901" s="14" t="str">
        <f t="shared" ref="BN901:BY901" si="4876">IF(BN874&lt;&gt;0,BN875/BN874,"")</f>
        <v/>
      </c>
      <c r="BO901" s="14" t="str">
        <f t="shared" si="4876"/>
        <v/>
      </c>
      <c r="BP901" s="14" t="str">
        <f t="shared" si="4876"/>
        <v/>
      </c>
      <c r="BQ901" s="14" t="str">
        <f t="shared" si="4876"/>
        <v/>
      </c>
      <c r="BR901" s="14" t="str">
        <f t="shared" si="4876"/>
        <v/>
      </c>
      <c r="BS901" s="14" t="str">
        <f t="shared" si="4876"/>
        <v/>
      </c>
      <c r="BT901" s="14" t="str">
        <f t="shared" si="4876"/>
        <v/>
      </c>
      <c r="BU901" s="14" t="str">
        <f t="shared" si="4876"/>
        <v/>
      </c>
      <c r="BV901" s="14" t="str">
        <f t="shared" si="4876"/>
        <v/>
      </c>
      <c r="BW901" s="14" t="str">
        <f t="shared" si="4876"/>
        <v/>
      </c>
      <c r="BX901" s="14" t="str">
        <f t="shared" si="4876"/>
        <v/>
      </c>
      <c r="BY901" s="14" t="str">
        <f t="shared" si="4876"/>
        <v/>
      </c>
      <c r="BZ901" s="498">
        <f t="shared" si="4788"/>
        <v>2.8274778761061947</v>
      </c>
      <c r="CA901" s="498">
        <f t="shared" si="4789"/>
        <v>2.8274778761061947</v>
      </c>
      <c r="CB901" s="499">
        <f>IF(CB430&lt;&gt;0,CB435/CB430," ")</f>
        <v>2.8274778761061947</v>
      </c>
      <c r="CC901" s="498">
        <f t="shared" si="4790"/>
        <v>7.2651079136690644</v>
      </c>
      <c r="CD901" s="498">
        <f t="shared" si="4791"/>
        <v>7.2651079136690644</v>
      </c>
      <c r="CE901" s="499">
        <f>IF(CE430&lt;&gt;0,CE435/CE430," ")</f>
        <v>7.2651079136690644</v>
      </c>
      <c r="CF901" s="498">
        <f t="shared" si="4792"/>
        <v>7.2427272727272749</v>
      </c>
      <c r="CG901" s="498">
        <f t="shared" si="4793"/>
        <v>7.2427272727272749</v>
      </c>
      <c r="CH901" s="499">
        <f>IF(CH430&lt;&gt;0,CH435/CH430," ")</f>
        <v>7.2427272727272749</v>
      </c>
      <c r="CI901" s="498" t="e">
        <f t="shared" si="4794"/>
        <v>#VALUE!</v>
      </c>
      <c r="CJ901" s="498" t="e">
        <f t="shared" si="4795"/>
        <v>#VALUE!</v>
      </c>
      <c r="CK901" s="499" t="e">
        <f t="shared" si="4796"/>
        <v>#VALUE!</v>
      </c>
      <c r="CL901" s="499">
        <v>0</v>
      </c>
      <c r="CM901" s="499">
        <f t="shared" si="4797"/>
        <v>4.9155844155844157</v>
      </c>
      <c r="CN901" s="14"/>
      <c r="CO901" s="412"/>
      <c r="CP901" s="14" t="str">
        <f t="shared" ref="CP901:DP901" si="4877">IF(CP874&lt;&gt;0,CP875/CP874,"")</f>
        <v/>
      </c>
      <c r="CQ901" s="14" t="str">
        <f t="shared" si="4877"/>
        <v/>
      </c>
      <c r="CR901" s="14" t="str">
        <f t="shared" si="4877"/>
        <v/>
      </c>
      <c r="CS901" s="14" t="str">
        <f t="shared" si="4877"/>
        <v/>
      </c>
      <c r="CT901" s="14" t="str">
        <f t="shared" si="4877"/>
        <v/>
      </c>
      <c r="CU901" s="14" t="str">
        <f t="shared" si="4877"/>
        <v/>
      </c>
      <c r="CV901" s="14" t="str">
        <f t="shared" si="4877"/>
        <v/>
      </c>
      <c r="CW901" s="14" t="str">
        <f t="shared" si="4877"/>
        <v/>
      </c>
      <c r="CX901" s="14" t="str">
        <f t="shared" si="4877"/>
        <v/>
      </c>
      <c r="CY901" s="14" t="str">
        <f t="shared" si="4877"/>
        <v/>
      </c>
      <c r="CZ901" s="14" t="str">
        <f t="shared" si="4877"/>
        <v/>
      </c>
      <c r="DA901" s="14" t="str">
        <f t="shared" si="4877"/>
        <v/>
      </c>
      <c r="DB901" s="499">
        <f t="shared" ref="DB901:DG901" si="4878">IF(DB430&lt;&gt;0,DB435/DB430," ")</f>
        <v>2.2114606741573031</v>
      </c>
      <c r="DC901" s="499">
        <f t="shared" si="4878"/>
        <v>2.4481212121212121</v>
      </c>
      <c r="DD901" s="499">
        <f t="shared" si="4878"/>
        <v>2.8274778761061947</v>
      </c>
      <c r="DE901" s="499">
        <f t="shared" si="4878"/>
        <v>3.3995289855072461</v>
      </c>
      <c r="DF901" s="499">
        <f t="shared" si="4878"/>
        <v>4.0686585365853656</v>
      </c>
      <c r="DG901" s="499">
        <f t="shared" si="4878"/>
        <v>4.5174246575342467</v>
      </c>
      <c r="DH901" s="499">
        <f t="shared" ref="DH901:DM901" si="4879">IF(DH430&lt;&gt;0,DH435/DH430," ")</f>
        <v>4.7515662650602408</v>
      </c>
      <c r="DI901" s="499">
        <f t="shared" si="4879"/>
        <v>4.9845043103448274</v>
      </c>
      <c r="DJ901" s="499">
        <f t="shared" si="4879"/>
        <v>5.2845866141732287</v>
      </c>
      <c r="DK901" s="499">
        <f t="shared" si="4879"/>
        <v>5.4976130198915003</v>
      </c>
      <c r="DL901" s="499">
        <f t="shared" si="4879"/>
        <v>5.6472315436241614</v>
      </c>
      <c r="DM901" s="499">
        <f t="shared" si="4879"/>
        <v>5.8314263565891471</v>
      </c>
      <c r="DN901" s="499">
        <f t="shared" ref="DN901" si="4880">IF(DN430&lt;&gt;0,DN435/DN430," ")</f>
        <v>2.5219230769230769</v>
      </c>
      <c r="DO901" s="499">
        <f t="shared" si="4802"/>
        <v>4.9155844155844157</v>
      </c>
      <c r="DP901" s="14" t="str">
        <f t="shared" si="4877"/>
        <v/>
      </c>
      <c r="DQ901" s="14"/>
      <c r="DR901" s="14"/>
      <c r="DS901" s="14"/>
      <c r="DT901" s="14"/>
      <c r="DU901" s="14"/>
      <c r="DV901" s="14"/>
      <c r="DW901" s="14"/>
      <c r="DX901" s="14"/>
      <c r="DY901" s="14"/>
      <c r="DZ901" s="381"/>
      <c r="EA901" s="381"/>
      <c r="EB901" s="381"/>
      <c r="ED901" s="429"/>
      <c r="EE901" s="242"/>
      <c r="EF901" s="242"/>
      <c r="EG901" s="242"/>
      <c r="EH901" s="499">
        <f>IF(EH430&lt;&gt;0,EH435/EH430," ")</f>
        <v>4.9155844155844157</v>
      </c>
      <c r="EI901" s="499">
        <f>IF(EI430&lt;&gt;0,EI435/EI430," ")</f>
        <v>3.4123188405797102</v>
      </c>
      <c r="EJ901" s="499">
        <f>IF(EJ430&lt;&gt;0,EJ435/EJ430," ")</f>
        <v>3.4123188405797102</v>
      </c>
      <c r="EK901" s="217"/>
      <c r="EL901" s="267">
        <f t="shared" si="4803"/>
        <v>-4.0844155844155843</v>
      </c>
      <c r="EM901" s="267">
        <f t="shared" si="4804"/>
        <v>-0.97934782608695636</v>
      </c>
      <c r="EN901" s="267">
        <f t="shared" si="4805"/>
        <v>-2.4432367149758449</v>
      </c>
      <c r="EO901" s="46" t="str">
        <f>IF(EH901&lt;0,,IF(EH901&gt;EE914,"È",IF(EH901=EE914,"Æ","Ç")))</f>
        <v>Ç</v>
      </c>
      <c r="EP901" s="46" t="str">
        <f>IF(EI901&lt;0,,IF(EI901&gt;EF914,"È",IF(EI901=EF914,"Æ","Ç")))</f>
        <v>Ç</v>
      </c>
      <c r="EQ901" s="499">
        <f>IF(EH901/EE914&lt;=0.9,1,IF(EH901/EE914&lt;0.75,3,2))</f>
        <v>1</v>
      </c>
      <c r="ER901" s="499">
        <f>IF(EI901/EF914&lt;=0.9,1,IF(EI901/EF914&lt;0.75,3,2))</f>
        <v>1</v>
      </c>
      <c r="ES901" s="499">
        <f>IF(EJ901/EG914&lt;=0.9,1,IF(EJ901/EG914&lt;0.75,3,2))</f>
        <v>1</v>
      </c>
    </row>
    <row r="902" spans="1:149">
      <c r="B902" s="481" t="s">
        <v>217</v>
      </c>
      <c r="C902" s="3" t="s">
        <v>83</v>
      </c>
      <c r="E902" s="4" t="str">
        <f t="shared" si="4776"/>
        <v>AFUniq</v>
      </c>
      <c r="F902" s="4" t="s">
        <v>31</v>
      </c>
      <c r="G902" s="165" t="str">
        <f t="shared" si="4777"/>
        <v>AFUniq</v>
      </c>
      <c r="H902" s="165"/>
      <c r="I902" s="28"/>
      <c r="J902" s="62" t="str">
        <f t="shared" ref="J902:U902" si="4881">IF(J875&lt;&gt;0,J876/J875,"")</f>
        <v/>
      </c>
      <c r="K902" s="62" t="str">
        <f t="shared" si="4881"/>
        <v/>
      </c>
      <c r="L902" s="62" t="str">
        <f t="shared" si="4881"/>
        <v/>
      </c>
      <c r="M902" s="62" t="str">
        <f t="shared" si="4881"/>
        <v/>
      </c>
      <c r="N902" s="62" t="str">
        <f t="shared" si="4881"/>
        <v/>
      </c>
      <c r="O902" s="62" t="str">
        <f t="shared" si="4881"/>
        <v/>
      </c>
      <c r="P902" s="62" t="str">
        <f t="shared" si="4881"/>
        <v/>
      </c>
      <c r="Q902" s="62" t="str">
        <f t="shared" si="4881"/>
        <v/>
      </c>
      <c r="R902" s="62" t="str">
        <f t="shared" si="4881"/>
        <v/>
      </c>
      <c r="S902" s="62" t="str">
        <f t="shared" si="4881"/>
        <v/>
      </c>
      <c r="T902" s="62" t="str">
        <f t="shared" si="4881"/>
        <v/>
      </c>
      <c r="U902" s="62" t="str">
        <f t="shared" si="4881"/>
        <v/>
      </c>
      <c r="V902" s="499">
        <f t="shared" ref="V902:AA902" si="4882">IF(V496&lt;&gt;0,V501/V496," ")</f>
        <v>1.9545454545454546</v>
      </c>
      <c r="W902" s="499">
        <f t="shared" si="4882"/>
        <v>1.6071428571428572</v>
      </c>
      <c r="X902" s="499">
        <f t="shared" si="4882"/>
        <v>1.5795454545454546</v>
      </c>
      <c r="Y902" s="499">
        <f t="shared" si="4882"/>
        <v>2.4162500000000002</v>
      </c>
      <c r="Z902" s="499">
        <f t="shared" si="4882"/>
        <v>2.7922222222222222</v>
      </c>
      <c r="AA902" s="499">
        <f t="shared" si="4882"/>
        <v>2.7641304347826088</v>
      </c>
      <c r="AB902" s="499">
        <f t="shared" ref="AB902:AF902" si="4883">IF(AB496&lt;&gt;0,AB501/AB496," ")</f>
        <v>2.7673076923076922</v>
      </c>
      <c r="AC902" s="499">
        <f t="shared" si="4883"/>
        <v>2.5062500000000001</v>
      </c>
      <c r="AD902" s="499">
        <f t="shared" si="4883"/>
        <v>2.7109589041095892</v>
      </c>
      <c r="AE902" s="499">
        <f t="shared" si="4883"/>
        <v>2.7234177215189872</v>
      </c>
      <c r="AF902" s="499">
        <f t="shared" si="4883"/>
        <v>2.6155913978494625</v>
      </c>
      <c r="AG902" s="499">
        <f t="shared" ref="AG902:AI902" si="4884">IF(AG496&lt;&gt;0,AG501/AG496," ")</f>
        <v>2.9059405940594059</v>
      </c>
      <c r="AH902" s="499">
        <f t="shared" si="4884"/>
        <v>2.375</v>
      </c>
      <c r="AI902" s="499">
        <f t="shared" si="4884"/>
        <v>2.267391304347826</v>
      </c>
      <c r="AJ902" s="499" t="str">
        <f t="shared" ref="AJ902" si="4885">IF(AJ496&lt;&gt;0,AJ501/AJ496," ")</f>
        <v xml:space="preserve"> </v>
      </c>
      <c r="AK902" s="55"/>
      <c r="AL902" s="55" t="str">
        <f t="shared" ref="AL902:BL902" si="4886">IF(AL875&lt;&gt;0,AL876/AL875,"")</f>
        <v/>
      </c>
      <c r="AM902" s="55" t="str">
        <f t="shared" si="4886"/>
        <v/>
      </c>
      <c r="AN902" s="55" t="str">
        <f t="shared" si="4886"/>
        <v/>
      </c>
      <c r="AO902" s="55" t="str">
        <f t="shared" si="4886"/>
        <v/>
      </c>
      <c r="AP902" s="55" t="str">
        <f t="shared" si="4886"/>
        <v/>
      </c>
      <c r="AQ902" s="55" t="str">
        <f t="shared" si="4886"/>
        <v/>
      </c>
      <c r="AR902" s="55" t="str">
        <f t="shared" si="4886"/>
        <v/>
      </c>
      <c r="AS902" s="55" t="str">
        <f t="shared" si="4886"/>
        <v/>
      </c>
      <c r="AT902" s="55" t="str">
        <f t="shared" si="4886"/>
        <v/>
      </c>
      <c r="AU902" s="55" t="str">
        <f t="shared" si="4886"/>
        <v/>
      </c>
      <c r="AV902" s="55" t="str">
        <f t="shared" si="4886"/>
        <v/>
      </c>
      <c r="AW902" s="55" t="str">
        <f t="shared" si="4886"/>
        <v/>
      </c>
      <c r="AX902" s="499">
        <f>IF(AX496&lt;&gt;0,AX501/AX496," ")</f>
        <v>1.9545454545454546</v>
      </c>
      <c r="AY902" s="499">
        <f t="shared" ref="AY902:BI902" si="4887">IF(AY496&lt;&gt;0,AY501/AY496," ")</f>
        <v>1.2250000000000001</v>
      </c>
      <c r="AZ902" s="499">
        <f t="shared" si="4887"/>
        <v>1</v>
      </c>
      <c r="BA902" s="499">
        <f t="shared" si="4887"/>
        <v>3.4388888888888891</v>
      </c>
      <c r="BB902" s="499">
        <f t="shared" ref="BB902:BG902" si="4888">IF(BB496&lt;&gt;0,BB501/BB496," ")</f>
        <v>5.8</v>
      </c>
      <c r="BC902" s="499">
        <f t="shared" si="4888"/>
        <v>1.5</v>
      </c>
      <c r="BD902" s="499">
        <f t="shared" si="4888"/>
        <v>2.7916666666666665</v>
      </c>
      <c r="BE902" s="499">
        <f t="shared" si="4888"/>
        <v>1.375</v>
      </c>
      <c r="BF902" s="499">
        <f t="shared" si="4888"/>
        <v>4.166666666666667</v>
      </c>
      <c r="BG902" s="499">
        <f t="shared" si="4888"/>
        <v>2.875</v>
      </c>
      <c r="BH902" s="499">
        <f t="shared" si="4887"/>
        <v>2.0071428571428567</v>
      </c>
      <c r="BI902" s="499">
        <f t="shared" si="4887"/>
        <v>6.28125</v>
      </c>
      <c r="BJ902" s="499">
        <f t="shared" ref="BJ902:BK902" si="4889">IF(BJ496&lt;&gt;0,BJ501/BJ496," ")</f>
        <v>2.375</v>
      </c>
      <c r="BK902" s="499">
        <f t="shared" si="4889"/>
        <v>2.15</v>
      </c>
      <c r="BL902" s="14" t="str">
        <f t="shared" si="4886"/>
        <v/>
      </c>
      <c r="BM902" s="412"/>
      <c r="BN902" s="14" t="str">
        <f t="shared" ref="BN902:BY902" si="4890">IF(BN875&lt;&gt;0,BN876/BN875,"")</f>
        <v/>
      </c>
      <c r="BO902" s="14" t="str">
        <f t="shared" si="4890"/>
        <v/>
      </c>
      <c r="BP902" s="14" t="str">
        <f t="shared" si="4890"/>
        <v/>
      </c>
      <c r="BQ902" s="14" t="str">
        <f t="shared" si="4890"/>
        <v/>
      </c>
      <c r="BR902" s="14" t="str">
        <f t="shared" si="4890"/>
        <v/>
      </c>
      <c r="BS902" s="14" t="str">
        <f t="shared" si="4890"/>
        <v/>
      </c>
      <c r="BT902" s="14" t="str">
        <f t="shared" si="4890"/>
        <v/>
      </c>
      <c r="BU902" s="14" t="str">
        <f t="shared" si="4890"/>
        <v/>
      </c>
      <c r="BV902" s="14" t="str">
        <f t="shared" si="4890"/>
        <v/>
      </c>
      <c r="BW902" s="14" t="str">
        <f t="shared" si="4890"/>
        <v/>
      </c>
      <c r="BX902" s="14" t="str">
        <f t="shared" si="4890"/>
        <v/>
      </c>
      <c r="BY902" s="14" t="str">
        <f t="shared" si="4890"/>
        <v/>
      </c>
      <c r="BZ902" s="498">
        <f t="shared" si="4788"/>
        <v>1.5795454545454546</v>
      </c>
      <c r="CA902" s="498">
        <f t="shared" si="4789"/>
        <v>1.5795454545454546</v>
      </c>
      <c r="CB902" s="499">
        <f>IF(CB496&lt;&gt;0,CB501/CB496," ")</f>
        <v>1.5795454545454546</v>
      </c>
      <c r="CC902" s="498">
        <f t="shared" si="4790"/>
        <v>3.85</v>
      </c>
      <c r="CD902" s="498">
        <f t="shared" si="4791"/>
        <v>3.85</v>
      </c>
      <c r="CE902" s="499">
        <f>IF(CE496&lt;&gt;0,CE501/CE496," ")</f>
        <v>3.85</v>
      </c>
      <c r="CF902" s="498">
        <f t="shared" si="4792"/>
        <v>2.6203703703703702</v>
      </c>
      <c r="CG902" s="498">
        <f t="shared" si="4793"/>
        <v>2.6203703703703702</v>
      </c>
      <c r="CH902" s="499">
        <f>IF(CH496&lt;&gt;0,CH501/CH496," ")</f>
        <v>2.6203703703703702</v>
      </c>
      <c r="CI902" s="498" t="e">
        <f t="shared" si="4794"/>
        <v>#VALUE!</v>
      </c>
      <c r="CJ902" s="498" t="e">
        <f t="shared" si="4795"/>
        <v>#VALUE!</v>
      </c>
      <c r="CK902" s="499" t="e">
        <f t="shared" si="4796"/>
        <v>#VALUE!</v>
      </c>
      <c r="CL902" s="499">
        <v>0</v>
      </c>
      <c r="CM902" s="499">
        <f t="shared" si="4797"/>
        <v>2.15</v>
      </c>
      <c r="CN902" s="14"/>
      <c r="CO902" s="412"/>
      <c r="CP902" s="14" t="str">
        <f t="shared" ref="CP902:DP902" si="4891">IF(CP875&lt;&gt;0,CP876/CP875,"")</f>
        <v/>
      </c>
      <c r="CQ902" s="14" t="str">
        <f t="shared" si="4891"/>
        <v/>
      </c>
      <c r="CR902" s="14" t="str">
        <f t="shared" si="4891"/>
        <v/>
      </c>
      <c r="CS902" s="14" t="str">
        <f t="shared" si="4891"/>
        <v/>
      </c>
      <c r="CT902" s="14" t="str">
        <f t="shared" si="4891"/>
        <v/>
      </c>
      <c r="CU902" s="14" t="str">
        <f t="shared" si="4891"/>
        <v/>
      </c>
      <c r="CV902" s="14" t="str">
        <f t="shared" si="4891"/>
        <v/>
      </c>
      <c r="CW902" s="14" t="str">
        <f t="shared" si="4891"/>
        <v/>
      </c>
      <c r="CX902" s="14" t="str">
        <f t="shared" si="4891"/>
        <v/>
      </c>
      <c r="CY902" s="14" t="str">
        <f t="shared" si="4891"/>
        <v/>
      </c>
      <c r="CZ902" s="14" t="str">
        <f t="shared" si="4891"/>
        <v/>
      </c>
      <c r="DA902" s="14" t="str">
        <f t="shared" si="4891"/>
        <v/>
      </c>
      <c r="DB902" s="499">
        <f t="shared" ref="DB902:DG902" si="4892">IF(DB496&lt;&gt;0,DB501/DB496," ")</f>
        <v>1.9545454545454546</v>
      </c>
      <c r="DC902" s="499">
        <f t="shared" si="4892"/>
        <v>1.6071428571428572</v>
      </c>
      <c r="DD902" s="499">
        <f t="shared" si="4892"/>
        <v>1.5795454545454546</v>
      </c>
      <c r="DE902" s="499">
        <f t="shared" si="4892"/>
        <v>2.4162500000000002</v>
      </c>
      <c r="DF902" s="499">
        <f t="shared" si="4892"/>
        <v>2.7922222222222222</v>
      </c>
      <c r="DG902" s="499">
        <f t="shared" si="4892"/>
        <v>2.7641304347826088</v>
      </c>
      <c r="DH902" s="499">
        <f t="shared" ref="DH902:DM902" si="4893">IF(DH496&lt;&gt;0,DH501/DH496," ")</f>
        <v>2.7673076923076922</v>
      </c>
      <c r="DI902" s="499">
        <f t="shared" si="4893"/>
        <v>2.5062500000000001</v>
      </c>
      <c r="DJ902" s="499">
        <f t="shared" si="4893"/>
        <v>2.7109589041095892</v>
      </c>
      <c r="DK902" s="499">
        <f t="shared" si="4893"/>
        <v>2.7234177215189872</v>
      </c>
      <c r="DL902" s="499">
        <f t="shared" si="4893"/>
        <v>2.6155913978494625</v>
      </c>
      <c r="DM902" s="499">
        <f t="shared" si="4893"/>
        <v>2.9059405940594059</v>
      </c>
      <c r="DN902" s="499">
        <f t="shared" ref="DN902" si="4894">IF(DN496&lt;&gt;0,DN501/DN496," ")</f>
        <v>2.375</v>
      </c>
      <c r="DO902" s="499">
        <f t="shared" si="4802"/>
        <v>2.15</v>
      </c>
      <c r="DP902" s="14" t="str">
        <f t="shared" si="4891"/>
        <v/>
      </c>
      <c r="DQ902" s="14"/>
      <c r="DR902" s="14"/>
      <c r="DS902" s="14"/>
      <c r="DT902" s="14"/>
      <c r="DU902" s="14"/>
      <c r="DV902" s="14"/>
      <c r="DW902" s="14"/>
      <c r="DX902" s="14"/>
      <c r="DY902" s="14"/>
      <c r="DZ902" s="381"/>
      <c r="EA902" s="381"/>
      <c r="EB902" s="381"/>
      <c r="ED902" s="429"/>
      <c r="EE902" s="242"/>
      <c r="EF902" s="242"/>
      <c r="EG902" s="242"/>
      <c r="EH902" s="499">
        <f>IF(EH496&lt;&gt;0,EH501/EH496," ")</f>
        <v>2.15</v>
      </c>
      <c r="EI902" s="499">
        <v>2.2999999999999998</v>
      </c>
      <c r="EJ902" s="499">
        <f>IF(EJ496&lt;&gt;0,EJ501/EJ496," ")</f>
        <v>2.267391304347826</v>
      </c>
      <c r="EK902" s="217"/>
      <c r="EL902" s="267">
        <f t="shared" si="4803"/>
        <v>0.67799999999999971</v>
      </c>
      <c r="EM902" s="267">
        <f t="shared" si="4804"/>
        <v>-0.64400000000000013</v>
      </c>
      <c r="EN902" s="267">
        <f t="shared" si="4805"/>
        <v>-2.1246086956521744</v>
      </c>
      <c r="EO902" s="46" t="str">
        <f>IF(EH902&lt;0,,IF(EH902&gt;EE915,"È",IF(EH902=EE915,"Æ","Ç")))</f>
        <v>È</v>
      </c>
      <c r="EP902" s="46" t="str">
        <f>IF(EI902&lt;0,,IF(EI902&gt;EF915,"È",IF(EI902=EF915,"Æ","Ç")))</f>
        <v>Ç</v>
      </c>
      <c r="EQ902" s="499">
        <f>IF(EH902/EE915&lt;=0.9,1,IF(EH902/EE915&gt;0.75,3,2))</f>
        <v>3</v>
      </c>
      <c r="ER902" s="499">
        <f>IF(EI902/EF915&lt;=0.9,1,IF(EI902/EF915&lt;0.75,3,2))</f>
        <v>1</v>
      </c>
      <c r="ES902" s="499">
        <f>IF(EJ902/EG915&lt;=0.9,1,IF(EJ902/EG915&gt;0.75,3,2))</f>
        <v>1</v>
      </c>
    </row>
    <row r="903" spans="1:149">
      <c r="B903" s="481" t="s">
        <v>218</v>
      </c>
      <c r="C903" s="3" t="s">
        <v>83</v>
      </c>
      <c r="E903" s="4">
        <f t="shared" si="4776"/>
        <v>0</v>
      </c>
      <c r="F903" s="4" t="s">
        <v>31</v>
      </c>
      <c r="G903" s="165" t="str">
        <f t="shared" si="4777"/>
        <v>AFUniq</v>
      </c>
      <c r="H903" s="165"/>
      <c r="I903" s="28"/>
      <c r="J903" s="62" t="str">
        <f t="shared" ref="J903:U903" si="4895">IF(J876&lt;&gt;0,J877/J876,"")</f>
        <v/>
      </c>
      <c r="K903" s="62" t="str">
        <f t="shared" si="4895"/>
        <v/>
      </c>
      <c r="L903" s="62" t="str">
        <f t="shared" si="4895"/>
        <v/>
      </c>
      <c r="M903" s="62" t="str">
        <f t="shared" si="4895"/>
        <v/>
      </c>
      <c r="N903" s="62" t="str">
        <f t="shared" si="4895"/>
        <v/>
      </c>
      <c r="O903" s="62" t="str">
        <f t="shared" si="4895"/>
        <v/>
      </c>
      <c r="P903" s="62" t="str">
        <f t="shared" si="4895"/>
        <v/>
      </c>
      <c r="Q903" s="62" t="str">
        <f t="shared" si="4895"/>
        <v/>
      </c>
      <c r="R903" s="62" t="str">
        <f t="shared" si="4895"/>
        <v/>
      </c>
      <c r="S903" s="62" t="str">
        <f t="shared" si="4895"/>
        <v/>
      </c>
      <c r="T903" s="62" t="str">
        <f t="shared" si="4895"/>
        <v/>
      </c>
      <c r="U903" s="62" t="str">
        <f t="shared" si="4895"/>
        <v/>
      </c>
      <c r="V903" s="499">
        <f t="shared" ref="V903:AA903" si="4896">IF(V562&lt;&gt;0,V567/V562," ")</f>
        <v>2.2051724137931035</v>
      </c>
      <c r="W903" s="499">
        <f t="shared" si="4896"/>
        <v>2.5378612716763005</v>
      </c>
      <c r="X903" s="499">
        <f t="shared" si="4896"/>
        <v>2.6354430379746838</v>
      </c>
      <c r="Y903" s="499">
        <f t="shared" si="4896"/>
        <v>2.4124624624624627</v>
      </c>
      <c r="Z903" s="499">
        <f t="shared" si="4896"/>
        <v>2.615891472868217</v>
      </c>
      <c r="AA903" s="499">
        <f t="shared" si="4896"/>
        <v>2.9368360277136261</v>
      </c>
      <c r="AB903" s="499">
        <f t="shared" ref="AB903:AF903" si="4897">IF(AB562&lt;&gt;0,AB567/AB562," ")</f>
        <v>3.1529835390946501</v>
      </c>
      <c r="AC903" s="499">
        <f t="shared" si="4897"/>
        <v>3.2280219780219781</v>
      </c>
      <c r="AD903" s="499">
        <f t="shared" si="4897"/>
        <v>3.3504901960784315</v>
      </c>
      <c r="AE903" s="499">
        <f t="shared" si="4897"/>
        <v>3.5291793313069908</v>
      </c>
      <c r="AF903" s="499">
        <f t="shared" si="4897"/>
        <v>3.5718398876404494</v>
      </c>
      <c r="AG903" s="499">
        <f t="shared" ref="AG903:AI903" si="4898">IF(AG562&lt;&gt;0,AG567/AG562," ")</f>
        <v>3.5942708333333333</v>
      </c>
      <c r="AH903" s="499">
        <f t="shared" si="4898"/>
        <v>2.0389380530973451</v>
      </c>
      <c r="AI903" s="499">
        <f t="shared" si="4898"/>
        <v>2.1874782608695651</v>
      </c>
      <c r="AJ903" s="499" t="str">
        <f t="shared" ref="AJ903" si="4899">IF(AJ562&lt;&gt;0,AJ567/AJ562," ")</f>
        <v xml:space="preserve"> </v>
      </c>
      <c r="AK903" s="55"/>
      <c r="AL903" s="55" t="str">
        <f t="shared" ref="AL903:BL903" si="4900">IF(AL876&lt;&gt;0,AL877/AL876,"")</f>
        <v/>
      </c>
      <c r="AM903" s="55" t="str">
        <f t="shared" si="4900"/>
        <v/>
      </c>
      <c r="AN903" s="55" t="str">
        <f t="shared" si="4900"/>
        <v/>
      </c>
      <c r="AO903" s="55" t="str">
        <f t="shared" si="4900"/>
        <v/>
      </c>
      <c r="AP903" s="55" t="str">
        <f t="shared" si="4900"/>
        <v/>
      </c>
      <c r="AQ903" s="55" t="str">
        <f t="shared" si="4900"/>
        <v/>
      </c>
      <c r="AR903" s="55" t="str">
        <f t="shared" si="4900"/>
        <v/>
      </c>
      <c r="AS903" s="55" t="str">
        <f t="shared" si="4900"/>
        <v/>
      </c>
      <c r="AT903" s="55" t="str">
        <f t="shared" si="4900"/>
        <v/>
      </c>
      <c r="AU903" s="55" t="str">
        <f t="shared" si="4900"/>
        <v/>
      </c>
      <c r="AV903" s="55" t="str">
        <f t="shared" si="4900"/>
        <v/>
      </c>
      <c r="AW903" s="55" t="str">
        <f t="shared" si="4900"/>
        <v/>
      </c>
      <c r="AX903" s="499">
        <f>IF(AX562&lt;&gt;0,AX567/AX562," ")</f>
        <v>2.2051724137931035</v>
      </c>
      <c r="AY903" s="499">
        <f t="shared" ref="AY903:BI903" si="4901">IF(AY562&lt;&gt;0,AY567/AY562," ")</f>
        <v>2.8744186046511628</v>
      </c>
      <c r="AZ903" s="499">
        <f t="shared" si="4901"/>
        <v>2.8992187500000002</v>
      </c>
      <c r="BA903" s="499">
        <f t="shared" si="4901"/>
        <v>1.8619791666666667</v>
      </c>
      <c r="BB903" s="499">
        <f t="shared" ref="BB903:BG903" si="4902">IF(BB562&lt;&gt;0,BB567/BB562," ")</f>
        <v>3.8703703703703702</v>
      </c>
      <c r="BC903" s="499">
        <f t="shared" si="4902"/>
        <v>5.6369565217391315</v>
      </c>
      <c r="BD903" s="499">
        <f t="shared" si="4902"/>
        <v>4.918867924528298</v>
      </c>
      <c r="BE903" s="499">
        <f t="shared" si="4902"/>
        <v>3.8358333333333348</v>
      </c>
      <c r="BF903" s="499">
        <f t="shared" si="4902"/>
        <v>4.3636363636363633</v>
      </c>
      <c r="BG903" s="499">
        <f t="shared" si="4902"/>
        <v>5.9065217391304312</v>
      </c>
      <c r="BH903" s="499">
        <f t="shared" si="4901"/>
        <v>4.0916666666666721</v>
      </c>
      <c r="BI903" s="499">
        <f t="shared" si="4901"/>
        <v>3.8794642857142856</v>
      </c>
      <c r="BJ903" s="499">
        <f t="shared" ref="BJ903:BK903" si="4903">IF(BJ562&lt;&gt;0,BJ567/BJ562," ")</f>
        <v>2.0389380530973451</v>
      </c>
      <c r="BK903" s="499">
        <f t="shared" si="4903"/>
        <v>2.3309401709401714</v>
      </c>
      <c r="BL903" s="14" t="str">
        <f t="shared" si="4900"/>
        <v/>
      </c>
      <c r="BM903" s="412"/>
      <c r="BN903" s="14" t="str">
        <f t="shared" ref="BN903:BY903" si="4904">IF(BN876&lt;&gt;0,BN877/BN876,"")</f>
        <v/>
      </c>
      <c r="BO903" s="14" t="str">
        <f t="shared" si="4904"/>
        <v/>
      </c>
      <c r="BP903" s="14" t="str">
        <f t="shared" si="4904"/>
        <v/>
      </c>
      <c r="BQ903" s="14" t="str">
        <f t="shared" si="4904"/>
        <v/>
      </c>
      <c r="BR903" s="14" t="str">
        <f t="shared" si="4904"/>
        <v/>
      </c>
      <c r="BS903" s="14" t="str">
        <f t="shared" si="4904"/>
        <v/>
      </c>
      <c r="BT903" s="14" t="str">
        <f t="shared" si="4904"/>
        <v/>
      </c>
      <c r="BU903" s="14" t="str">
        <f t="shared" si="4904"/>
        <v/>
      </c>
      <c r="BV903" s="14" t="str">
        <f t="shared" si="4904"/>
        <v/>
      </c>
      <c r="BW903" s="14" t="str">
        <f t="shared" si="4904"/>
        <v/>
      </c>
      <c r="BX903" s="14" t="str">
        <f t="shared" si="4904"/>
        <v/>
      </c>
      <c r="BY903" s="14" t="str">
        <f t="shared" si="4904"/>
        <v/>
      </c>
      <c r="BZ903" s="498">
        <f t="shared" si="4788"/>
        <v>2.6354430379746838</v>
      </c>
      <c r="CA903" s="498">
        <f t="shared" si="4789"/>
        <v>2.6354430379746838</v>
      </c>
      <c r="CB903" s="499">
        <f>IF(CB562&lt;&gt;0,CB567/CB562," ")</f>
        <v>2.6354430379746838</v>
      </c>
      <c r="CC903" s="498">
        <f t="shared" si="4790"/>
        <v>3.3012755102040821</v>
      </c>
      <c r="CD903" s="498">
        <f t="shared" si="4791"/>
        <v>3.3012755102040821</v>
      </c>
      <c r="CE903" s="499">
        <f>IF(CE562&lt;&gt;0,CE567/CE562," ")</f>
        <v>3.3012755102040821</v>
      </c>
      <c r="CF903" s="498">
        <f t="shared" si="4792"/>
        <v>4.3511173184357537</v>
      </c>
      <c r="CG903" s="498">
        <f t="shared" si="4793"/>
        <v>4.3511173184357537</v>
      </c>
      <c r="CH903" s="499">
        <f>IF(CH562&lt;&gt;0,CH567/CH562," ")</f>
        <v>4.3511173184357537</v>
      </c>
      <c r="CI903" s="498">
        <f t="shared" si="4794"/>
        <v>0.23577235772357724</v>
      </c>
      <c r="CJ903" s="498">
        <f t="shared" si="4795"/>
        <v>0.23577235772357724</v>
      </c>
      <c r="CK903" s="499">
        <f t="shared" si="4796"/>
        <v>0.23577235772357724</v>
      </c>
      <c r="CL903" s="499">
        <f t="shared" si="4796"/>
        <v>0.46153846153846156</v>
      </c>
      <c r="CM903" s="499">
        <f t="shared" si="4797"/>
        <v>2.3309401709401714</v>
      </c>
      <c r="CN903" s="14"/>
      <c r="CO903" s="412"/>
      <c r="CP903" s="14" t="str">
        <f t="shared" ref="CP903:DP903" si="4905">IF(CP876&lt;&gt;0,CP877/CP876,"")</f>
        <v/>
      </c>
      <c r="CQ903" s="14" t="str">
        <f t="shared" si="4905"/>
        <v/>
      </c>
      <c r="CR903" s="14" t="str">
        <f t="shared" si="4905"/>
        <v/>
      </c>
      <c r="CS903" s="14" t="str">
        <f t="shared" si="4905"/>
        <v/>
      </c>
      <c r="CT903" s="14" t="str">
        <f t="shared" si="4905"/>
        <v/>
      </c>
      <c r="CU903" s="14" t="str">
        <f t="shared" si="4905"/>
        <v/>
      </c>
      <c r="CV903" s="14" t="str">
        <f t="shared" si="4905"/>
        <v/>
      </c>
      <c r="CW903" s="14" t="str">
        <f t="shared" si="4905"/>
        <v/>
      </c>
      <c r="CX903" s="14" t="str">
        <f t="shared" si="4905"/>
        <v/>
      </c>
      <c r="CY903" s="14" t="str">
        <f t="shared" si="4905"/>
        <v/>
      </c>
      <c r="CZ903" s="14" t="str">
        <f t="shared" si="4905"/>
        <v/>
      </c>
      <c r="DA903" s="14" t="str">
        <f t="shared" si="4905"/>
        <v/>
      </c>
      <c r="DB903" s="499">
        <f t="shared" ref="DB903:DG903" si="4906">IF(DB562&lt;&gt;0,DB567/DB562," ")</f>
        <v>2.2051724137931035</v>
      </c>
      <c r="DC903" s="499">
        <f t="shared" si="4906"/>
        <v>2.5378612716763005</v>
      </c>
      <c r="DD903" s="499">
        <f t="shared" si="4906"/>
        <v>2.6354430379746838</v>
      </c>
      <c r="DE903" s="499">
        <f t="shared" si="4906"/>
        <v>2.4124624624624627</v>
      </c>
      <c r="DF903" s="499">
        <f t="shared" si="4906"/>
        <v>2.615891472868217</v>
      </c>
      <c r="DG903" s="499">
        <f t="shared" si="4906"/>
        <v>2.9368360277136261</v>
      </c>
      <c r="DH903" s="499">
        <f t="shared" ref="DH903:DM903" si="4907">IF(DH562&lt;&gt;0,DH567/DH562," ")</f>
        <v>3.1529835390946501</v>
      </c>
      <c r="DI903" s="499">
        <f t="shared" si="4907"/>
        <v>3.2280219780219781</v>
      </c>
      <c r="DJ903" s="499">
        <f t="shared" si="4907"/>
        <v>3.3504901960784315</v>
      </c>
      <c r="DK903" s="499">
        <f t="shared" si="4907"/>
        <v>3.5291793313069908</v>
      </c>
      <c r="DL903" s="499">
        <f t="shared" si="4907"/>
        <v>3.5718398876404494</v>
      </c>
      <c r="DM903" s="499">
        <f t="shared" si="4907"/>
        <v>3.5942708333333333</v>
      </c>
      <c r="DN903" s="499">
        <f t="shared" ref="DN903" si="4908">IF(DN562&lt;&gt;0,DN567/DN562," ")</f>
        <v>2.0389380530973451</v>
      </c>
      <c r="DO903" s="499">
        <f t="shared" si="4802"/>
        <v>2.3309401709401714</v>
      </c>
      <c r="DP903" s="14" t="str">
        <f t="shared" si="4905"/>
        <v/>
      </c>
      <c r="DQ903" s="14"/>
      <c r="DR903" s="14"/>
      <c r="DS903" s="14"/>
      <c r="DT903" s="14"/>
      <c r="DU903" s="14"/>
      <c r="DV903" s="14"/>
      <c r="DW903" s="14"/>
      <c r="DX903" s="14"/>
      <c r="DY903" s="14"/>
      <c r="DZ903" s="381"/>
      <c r="EA903" s="381"/>
      <c r="EB903" s="381"/>
      <c r="ED903" s="429"/>
      <c r="EE903" s="242"/>
      <c r="EF903" s="242"/>
      <c r="EG903" s="242"/>
      <c r="EH903" s="499">
        <f>IF(EH562&lt;&gt;0,EH567/EH562," ")</f>
        <v>2.3309401709401714</v>
      </c>
      <c r="EI903" s="499">
        <f>IF(EI562&lt;&gt;0,EI567/EI562," ")</f>
        <v>2.1874782608695651</v>
      </c>
      <c r="EJ903" s="499">
        <f>IF(EJ562&lt;&gt;0,EJ567/EJ562," ")</f>
        <v>2.1874782608695651</v>
      </c>
      <c r="EK903" s="217"/>
      <c r="EL903" s="267">
        <f t="shared" si="4803"/>
        <v>0.41789669267930196</v>
      </c>
      <c r="EM903" s="267">
        <f t="shared" si="4804"/>
        <v>-3.6907826086956521</v>
      </c>
      <c r="EN903" s="267">
        <f t="shared" si="4805"/>
        <v>-3.6907826086956521</v>
      </c>
      <c r="EO903" s="46" t="str">
        <f t="shared" si="4806"/>
        <v>Ç</v>
      </c>
      <c r="EP903" s="46" t="str">
        <f t="shared" si="4807"/>
        <v>È</v>
      </c>
      <c r="EQ903" s="499">
        <v>3</v>
      </c>
      <c r="ER903" s="499">
        <f t="shared" si="4809"/>
        <v>3</v>
      </c>
      <c r="ES903" s="499">
        <v>3</v>
      </c>
    </row>
    <row r="904" spans="1:149">
      <c r="B904" s="481" t="s">
        <v>222</v>
      </c>
      <c r="C904" s="3" t="s">
        <v>83</v>
      </c>
      <c r="E904" s="4">
        <f t="shared" si="4776"/>
        <v>0</v>
      </c>
      <c r="F904" s="4" t="s">
        <v>31</v>
      </c>
      <c r="G904" s="165">
        <f t="shared" si="4777"/>
        <v>0</v>
      </c>
      <c r="H904" s="165"/>
      <c r="I904" s="28"/>
      <c r="J904" s="62" t="str">
        <f t="shared" ref="J904:U904" si="4909">IF(J877&lt;&gt;0,J878/J877,"")</f>
        <v/>
      </c>
      <c r="K904" s="62" t="str">
        <f t="shared" si="4909"/>
        <v/>
      </c>
      <c r="L904" s="62" t="str">
        <f t="shared" si="4909"/>
        <v/>
      </c>
      <c r="M904" s="62" t="str">
        <f t="shared" si="4909"/>
        <v/>
      </c>
      <c r="N904" s="62" t="str">
        <f t="shared" si="4909"/>
        <v/>
      </c>
      <c r="O904" s="62" t="str">
        <f t="shared" si="4909"/>
        <v/>
      </c>
      <c r="P904" s="62" t="str">
        <f t="shared" si="4909"/>
        <v/>
      </c>
      <c r="Q904" s="62" t="str">
        <f t="shared" si="4909"/>
        <v/>
      </c>
      <c r="R904" s="62" t="str">
        <f t="shared" si="4909"/>
        <v/>
      </c>
      <c r="S904" s="62" t="str">
        <f t="shared" si="4909"/>
        <v/>
      </c>
      <c r="T904" s="62" t="str">
        <f t="shared" si="4909"/>
        <v/>
      </c>
      <c r="U904" s="62" t="str">
        <f t="shared" si="4909"/>
        <v/>
      </c>
      <c r="V904" s="499">
        <f t="shared" ref="V904:AA904" si="4910">IF(V628&lt;&gt;0,V633/V628," ")</f>
        <v>3.5078125</v>
      </c>
      <c r="W904" s="499">
        <f t="shared" si="4910"/>
        <v>4.9102564102564106</v>
      </c>
      <c r="X904" s="499">
        <f t="shared" si="4910"/>
        <v>6.454225352112676</v>
      </c>
      <c r="Y904" s="499">
        <f t="shared" si="4910"/>
        <v>6.774647887323944</v>
      </c>
      <c r="Z904" s="499">
        <f t="shared" si="4910"/>
        <v>6.774647887323944</v>
      </c>
      <c r="AA904" s="499">
        <f t="shared" si="4910"/>
        <v>7.965217391304348</v>
      </c>
      <c r="AB904" s="499">
        <f t="shared" ref="AB904:AF904" si="4911">IF(AB628&lt;&gt;0,AB633/AB628," ")</f>
        <v>8.1180672268907568</v>
      </c>
      <c r="AC904" s="499">
        <f t="shared" si="4911"/>
        <v>8.6037931034482753</v>
      </c>
      <c r="AD904" s="499">
        <f t="shared" si="4911"/>
        <v>8.7597619047619055</v>
      </c>
      <c r="AE904" s="499">
        <f t="shared" si="4911"/>
        <v>8.671098901098901</v>
      </c>
      <c r="AF904" s="499">
        <f t="shared" si="4911"/>
        <v>8.7940099009900994</v>
      </c>
      <c r="AG904" s="499">
        <f t="shared" ref="AG904:AI904" si="4912">IF(AG628&lt;&gt;0,AG633/AG628," ")</f>
        <v>10.053708920187793</v>
      </c>
      <c r="AH904" s="499">
        <f t="shared" si="4912"/>
        <v>9.9730769230769223</v>
      </c>
      <c r="AI904" s="499">
        <f t="shared" si="4912"/>
        <v>10.093396226415095</v>
      </c>
      <c r="AJ904" s="499" t="str">
        <f t="shared" ref="AJ904" si="4913">IF(AJ628&lt;&gt;0,AJ633/AJ628," ")</f>
        <v xml:space="preserve"> </v>
      </c>
      <c r="AK904" s="55"/>
      <c r="AL904" s="55" t="str">
        <f t="shared" ref="AL904:BL904" si="4914">IF(AL877&lt;&gt;0,AL878/AL877,"")</f>
        <v/>
      </c>
      <c r="AM904" s="55" t="str">
        <f t="shared" si="4914"/>
        <v/>
      </c>
      <c r="AN904" s="55" t="str">
        <f t="shared" si="4914"/>
        <v/>
      </c>
      <c r="AO904" s="55" t="str">
        <f t="shared" si="4914"/>
        <v/>
      </c>
      <c r="AP904" s="55" t="str">
        <f t="shared" si="4914"/>
        <v/>
      </c>
      <c r="AQ904" s="55" t="str">
        <f t="shared" si="4914"/>
        <v/>
      </c>
      <c r="AR904" s="55" t="str">
        <f t="shared" si="4914"/>
        <v/>
      </c>
      <c r="AS904" s="55" t="str">
        <f t="shared" si="4914"/>
        <v/>
      </c>
      <c r="AT904" s="55" t="str">
        <f t="shared" si="4914"/>
        <v/>
      </c>
      <c r="AU904" s="55" t="str">
        <f t="shared" si="4914"/>
        <v/>
      </c>
      <c r="AV904" s="55" t="str">
        <f t="shared" si="4914"/>
        <v/>
      </c>
      <c r="AW904" s="55" t="str">
        <f t="shared" si="4914"/>
        <v/>
      </c>
      <c r="AX904" s="499">
        <f>IF(AX628&lt;&gt;0,AX633/AX628," ")</f>
        <v>3.5078125</v>
      </c>
      <c r="AY904" s="499">
        <f t="shared" ref="AY904:BI904" si="4915">IF(AY628&lt;&gt;0,AY633/AY628," ")</f>
        <v>11.321428571428571</v>
      </c>
      <c r="AZ904" s="499">
        <f t="shared" si="4915"/>
        <v>8.3359375</v>
      </c>
      <c r="BA904" s="499" t="str">
        <f t="shared" si="4915"/>
        <v xml:space="preserve"> </v>
      </c>
      <c r="BB904" s="499" t="str">
        <f t="shared" ref="BB904:BG904" si="4916">IF(BB628&lt;&gt;0,BB633/BB628," ")</f>
        <v xml:space="preserve"> </v>
      </c>
      <c r="BC904" s="499">
        <f t="shared" si="4916"/>
        <v>9.8863636363636367</v>
      </c>
      <c r="BD904" s="499">
        <f t="shared" si="4916"/>
        <v>12.512499999999989</v>
      </c>
      <c r="BE904" s="499">
        <f t="shared" si="4916"/>
        <v>10.826923076923077</v>
      </c>
      <c r="BF904" s="499">
        <f t="shared" si="4916"/>
        <v>9.7430434782608764</v>
      </c>
      <c r="BG904" s="499">
        <f t="shared" si="4916"/>
        <v>7.6071428571428568</v>
      </c>
      <c r="BH904" s="499">
        <f t="shared" si="4915"/>
        <v>9.9124999999999996</v>
      </c>
      <c r="BI904" s="499">
        <f t="shared" si="4915"/>
        <v>33.18636363636363</v>
      </c>
      <c r="BJ904" s="499">
        <f t="shared" ref="BJ904:BK904" si="4917">IF(BJ628&lt;&gt;0,BJ633/BJ628," ")</f>
        <v>9.9730769230769223</v>
      </c>
      <c r="BK904" s="499">
        <f t="shared" si="4917"/>
        <v>10.428571428571432</v>
      </c>
      <c r="BL904" s="14" t="str">
        <f t="shared" si="4914"/>
        <v/>
      </c>
      <c r="BM904" s="412"/>
      <c r="BN904" s="14" t="str">
        <f t="shared" ref="BN904:BY904" si="4918">IF(BN877&lt;&gt;0,BN878/BN877,"")</f>
        <v/>
      </c>
      <c r="BO904" s="14" t="str">
        <f t="shared" si="4918"/>
        <v/>
      </c>
      <c r="BP904" s="14" t="str">
        <f t="shared" si="4918"/>
        <v/>
      </c>
      <c r="BQ904" s="14" t="str">
        <f t="shared" si="4918"/>
        <v/>
      </c>
      <c r="BR904" s="14" t="str">
        <f t="shared" si="4918"/>
        <v/>
      </c>
      <c r="BS904" s="14" t="str">
        <f t="shared" si="4918"/>
        <v/>
      </c>
      <c r="BT904" s="14" t="str">
        <f t="shared" si="4918"/>
        <v/>
      </c>
      <c r="BU904" s="14" t="str">
        <f t="shared" si="4918"/>
        <v/>
      </c>
      <c r="BV904" s="14" t="str">
        <f t="shared" si="4918"/>
        <v/>
      </c>
      <c r="BW904" s="14" t="str">
        <f t="shared" si="4918"/>
        <v/>
      </c>
      <c r="BX904" s="14" t="str">
        <f t="shared" si="4918"/>
        <v/>
      </c>
      <c r="BY904" s="14" t="str">
        <f t="shared" si="4918"/>
        <v/>
      </c>
      <c r="BZ904" s="498">
        <f t="shared" si="4788"/>
        <v>6.454225352112676</v>
      </c>
      <c r="CA904" s="498">
        <f t="shared" si="4789"/>
        <v>6.454225352112676</v>
      </c>
      <c r="CB904" s="499">
        <f>IF(CB628&lt;&gt;0,CB633/CB628," ")</f>
        <v>6.454225352112676</v>
      </c>
      <c r="CC904" s="498">
        <f t="shared" si="4790"/>
        <v>10.403409090909092</v>
      </c>
      <c r="CD904" s="498">
        <f t="shared" si="4791"/>
        <v>10.403409090909092</v>
      </c>
      <c r="CE904" s="499">
        <f>IF(CE628&lt;&gt;0,CE633/CE628," ")</f>
        <v>10.403409090909092</v>
      </c>
      <c r="CF904" s="498">
        <f t="shared" si="4792"/>
        <v>10.483773584905663</v>
      </c>
      <c r="CG904" s="498">
        <f t="shared" si="4793"/>
        <v>10.483773584905663</v>
      </c>
      <c r="CH904" s="499">
        <f>IF(CH628&lt;&gt;0,CH633/CH628," ")</f>
        <v>10.483773584905663</v>
      </c>
      <c r="CI904" s="498">
        <f t="shared" si="4794"/>
        <v>2</v>
      </c>
      <c r="CJ904" s="498">
        <f t="shared" si="4795"/>
        <v>2</v>
      </c>
      <c r="CK904" s="499">
        <f t="shared" si="4796"/>
        <v>2</v>
      </c>
      <c r="CL904" s="499">
        <v>0</v>
      </c>
      <c r="CM904" s="499">
        <f t="shared" si="4797"/>
        <v>10.428571428571432</v>
      </c>
      <c r="CN904" s="14"/>
      <c r="CO904" s="412"/>
      <c r="CP904" s="14" t="str">
        <f t="shared" ref="CP904:DP904" si="4919">IF(CP877&lt;&gt;0,CP878/CP877,"")</f>
        <v/>
      </c>
      <c r="CQ904" s="14" t="str">
        <f t="shared" si="4919"/>
        <v/>
      </c>
      <c r="CR904" s="14" t="str">
        <f t="shared" si="4919"/>
        <v/>
      </c>
      <c r="CS904" s="14" t="str">
        <f t="shared" si="4919"/>
        <v/>
      </c>
      <c r="CT904" s="14" t="str">
        <f t="shared" si="4919"/>
        <v/>
      </c>
      <c r="CU904" s="14" t="str">
        <f t="shared" si="4919"/>
        <v/>
      </c>
      <c r="CV904" s="14" t="str">
        <f t="shared" si="4919"/>
        <v/>
      </c>
      <c r="CW904" s="14" t="str">
        <f t="shared" si="4919"/>
        <v/>
      </c>
      <c r="CX904" s="14" t="str">
        <f t="shared" si="4919"/>
        <v/>
      </c>
      <c r="CY904" s="14" t="str">
        <f t="shared" si="4919"/>
        <v/>
      </c>
      <c r="CZ904" s="14" t="str">
        <f t="shared" si="4919"/>
        <v/>
      </c>
      <c r="DA904" s="14" t="str">
        <f t="shared" si="4919"/>
        <v/>
      </c>
      <c r="DB904" s="499">
        <f t="shared" ref="DB904:DG904" si="4920">IF(DB628&lt;&gt;0,DB633/DB628," ")</f>
        <v>3.5078125</v>
      </c>
      <c r="DC904" s="499">
        <f t="shared" si="4920"/>
        <v>4.9102564102564106</v>
      </c>
      <c r="DD904" s="499">
        <f t="shared" si="4920"/>
        <v>6.454225352112676</v>
      </c>
      <c r="DE904" s="499">
        <f t="shared" si="4920"/>
        <v>6.774647887323944</v>
      </c>
      <c r="DF904" s="499">
        <f t="shared" si="4920"/>
        <v>6.774647887323944</v>
      </c>
      <c r="DG904" s="499">
        <f t="shared" si="4920"/>
        <v>7.965217391304348</v>
      </c>
      <c r="DH904" s="499">
        <f t="shared" ref="DH904:DM904" si="4921">IF(DH628&lt;&gt;0,DH633/DH628," ")</f>
        <v>8.1180672268907568</v>
      </c>
      <c r="DI904" s="499">
        <f t="shared" si="4921"/>
        <v>8.6037931034482753</v>
      </c>
      <c r="DJ904" s="499">
        <f t="shared" si="4921"/>
        <v>8.7597619047619055</v>
      </c>
      <c r="DK904" s="499">
        <f t="shared" si="4921"/>
        <v>8.671098901098901</v>
      </c>
      <c r="DL904" s="499">
        <f t="shared" si="4921"/>
        <v>8.7940099009900994</v>
      </c>
      <c r="DM904" s="499">
        <f t="shared" si="4921"/>
        <v>10.053708920187793</v>
      </c>
      <c r="DN904" s="499">
        <f t="shared" ref="DN904" si="4922">IF(DN628&lt;&gt;0,DN633/DN628," ")</f>
        <v>9.9730769230769223</v>
      </c>
      <c r="DO904" s="499">
        <f t="shared" si="4802"/>
        <v>10.428571428571432</v>
      </c>
      <c r="DP904" s="14" t="str">
        <f t="shared" si="4919"/>
        <v/>
      </c>
      <c r="DQ904" s="14"/>
      <c r="DR904" s="14"/>
      <c r="DS904" s="14"/>
      <c r="DT904" s="14"/>
      <c r="DU904" s="14"/>
      <c r="DV904" s="14"/>
      <c r="DW904" s="14"/>
      <c r="DX904" s="14"/>
      <c r="DY904" s="14"/>
      <c r="DZ904" s="381"/>
      <c r="EA904" s="381"/>
      <c r="EB904" s="381"/>
      <c r="ED904" s="429"/>
      <c r="EE904" s="242"/>
      <c r="EF904" s="242"/>
      <c r="EG904" s="242"/>
      <c r="EH904" s="499">
        <f>IF(EH628&lt;&gt;0,EH633/EH628," ")</f>
        <v>10.428571428571432</v>
      </c>
      <c r="EI904" s="499">
        <f>IF(EI628&lt;&gt;0,EI633/EI628," ")</f>
        <v>10.093396226415095</v>
      </c>
      <c r="EJ904" s="499">
        <f>IF(EJ628&lt;&gt;0,EJ633/EJ628," ")</f>
        <v>10.093396226415095</v>
      </c>
      <c r="EK904" s="217"/>
      <c r="EL904" s="267">
        <f t="shared" si="4803"/>
        <v>1.2330158730158765</v>
      </c>
      <c r="EM904" s="267">
        <f t="shared" si="4804"/>
        <v>4.5760628930817617</v>
      </c>
      <c r="EN904" s="267">
        <f t="shared" si="4805"/>
        <v>5.3422851153039836</v>
      </c>
      <c r="EO904" s="46" t="str">
        <f>IF(EH904&lt;0,,IF(EH904&lt;EE917,"È",IF(EH904=EE917,"Æ","Ç")))</f>
        <v>Ç</v>
      </c>
      <c r="EP904" s="46" t="str">
        <f>IF(EI904&lt;0,,IF(EI904&lt;EF917,"È",IF(EI904=EF917,"Æ","Ç")))</f>
        <v>Ç</v>
      </c>
      <c r="EQ904" s="499">
        <f t="shared" si="4808"/>
        <v>1</v>
      </c>
      <c r="ER904" s="499">
        <f t="shared" si="4809"/>
        <v>1</v>
      </c>
      <c r="ES904" s="499">
        <f t="shared" si="4808"/>
        <v>1</v>
      </c>
    </row>
    <row r="905" spans="1:149">
      <c r="B905" s="481" t="s">
        <v>223</v>
      </c>
      <c r="C905" s="3" t="s">
        <v>83</v>
      </c>
      <c r="E905" s="4">
        <f t="shared" si="4776"/>
        <v>0</v>
      </c>
      <c r="F905" s="4" t="s">
        <v>31</v>
      </c>
      <c r="G905" s="165">
        <f t="shared" si="4777"/>
        <v>0</v>
      </c>
      <c r="H905" s="165"/>
      <c r="I905" s="28"/>
      <c r="J905" s="62" t="str">
        <f t="shared" ref="J905:U905" si="4923">IF(J878&lt;&gt;0,J879/J878,"")</f>
        <v/>
      </c>
      <c r="K905" s="62" t="str">
        <f t="shared" si="4923"/>
        <v/>
      </c>
      <c r="L905" s="62" t="str">
        <f t="shared" si="4923"/>
        <v/>
      </c>
      <c r="M905" s="62" t="str">
        <f t="shared" si="4923"/>
        <v/>
      </c>
      <c r="N905" s="62" t="str">
        <f t="shared" si="4923"/>
        <v/>
      </c>
      <c r="O905" s="62" t="str">
        <f t="shared" si="4923"/>
        <v/>
      </c>
      <c r="P905" s="62" t="str">
        <f t="shared" si="4923"/>
        <v/>
      </c>
      <c r="Q905" s="62" t="str">
        <f t="shared" si="4923"/>
        <v/>
      </c>
      <c r="R905" s="62" t="str">
        <f t="shared" si="4923"/>
        <v/>
      </c>
      <c r="S905" s="62" t="str">
        <f t="shared" si="4923"/>
        <v/>
      </c>
      <c r="T905" s="62" t="str">
        <f t="shared" si="4923"/>
        <v/>
      </c>
      <c r="U905" s="62" t="str">
        <f t="shared" si="4923"/>
        <v/>
      </c>
      <c r="V905" s="499">
        <f t="shared" ref="V905:AA905" si="4924">IF(V694&lt;&gt;0,V699/V694," ")</f>
        <v>1.4235294117647059</v>
      </c>
      <c r="W905" s="499">
        <f t="shared" si="4924"/>
        <v>1.5233333333333334</v>
      </c>
      <c r="X905" s="499">
        <f t="shared" si="4924"/>
        <v>1.45</v>
      </c>
      <c r="Y905" s="499">
        <f t="shared" si="4924"/>
        <v>1.5381355932203389</v>
      </c>
      <c r="Z905" s="499">
        <f t="shared" si="4924"/>
        <v>1.5535714285714286</v>
      </c>
      <c r="AA905" s="499">
        <f t="shared" si="4924"/>
        <v>1.9319277108433734</v>
      </c>
      <c r="AB905" s="499">
        <f t="shared" ref="AB905:AF905" si="4925">IF(AB694&lt;&gt;0,AB699/AB694," ")</f>
        <v>1.901685393258427</v>
      </c>
      <c r="AC905" s="499">
        <f t="shared" si="4925"/>
        <v>1.8976190476190475</v>
      </c>
      <c r="AD905" s="499">
        <f t="shared" si="4925"/>
        <v>1.9758771929824561</v>
      </c>
      <c r="AE905" s="499">
        <f t="shared" si="4925"/>
        <v>2.1838842975206614</v>
      </c>
      <c r="AF905" s="499">
        <f t="shared" si="4925"/>
        <v>2.2365384615384616</v>
      </c>
      <c r="AG905" s="499">
        <f t="shared" ref="AG905:AI905" si="4926">IF(AG694&lt;&gt;0,AG699/AG694," ")</f>
        <v>2.3253676470588234</v>
      </c>
      <c r="AH905" s="499">
        <f t="shared" si="4926"/>
        <v>2.625</v>
      </c>
      <c r="AI905" s="499">
        <f t="shared" si="4926"/>
        <v>2.4500000000000002</v>
      </c>
      <c r="AJ905" s="499" t="str">
        <f t="shared" ref="AJ905" si="4927">IF(AJ694&lt;&gt;0,AJ699/AJ694," ")</f>
        <v xml:space="preserve"> </v>
      </c>
      <c r="AK905" s="55"/>
      <c r="AL905" s="55" t="str">
        <f t="shared" ref="AL905:BL905" si="4928">IF(AL878&lt;&gt;0,AL879/AL878,"")</f>
        <v/>
      </c>
      <c r="AM905" s="55" t="str">
        <f t="shared" si="4928"/>
        <v/>
      </c>
      <c r="AN905" s="55" t="str">
        <f t="shared" si="4928"/>
        <v/>
      </c>
      <c r="AO905" s="55" t="str">
        <f t="shared" si="4928"/>
        <v/>
      </c>
      <c r="AP905" s="55" t="str">
        <f t="shared" si="4928"/>
        <v/>
      </c>
      <c r="AQ905" s="55" t="str">
        <f t="shared" si="4928"/>
        <v/>
      </c>
      <c r="AR905" s="55" t="str">
        <f t="shared" si="4928"/>
        <v/>
      </c>
      <c r="AS905" s="55" t="str">
        <f t="shared" si="4928"/>
        <v/>
      </c>
      <c r="AT905" s="55" t="str">
        <f t="shared" si="4928"/>
        <v/>
      </c>
      <c r="AU905" s="55" t="str">
        <f t="shared" si="4928"/>
        <v/>
      </c>
      <c r="AV905" s="55" t="str">
        <f t="shared" si="4928"/>
        <v/>
      </c>
      <c r="AW905" s="55" t="str">
        <f t="shared" si="4928"/>
        <v/>
      </c>
      <c r="AX905" s="499">
        <f>IF(AX694&lt;&gt;0,AX699/AX694," ")</f>
        <v>1.4235294117647059</v>
      </c>
      <c r="AY905" s="499">
        <f t="shared" ref="AY905:BI905" si="4929">IF(AY694&lt;&gt;0,AY699/AY694," ")</f>
        <v>1.6538461538461542</v>
      </c>
      <c r="AZ905" s="499">
        <f t="shared" si="4929"/>
        <v>1.3125</v>
      </c>
      <c r="BA905" s="499">
        <f t="shared" si="4929"/>
        <v>1.8499999999999999</v>
      </c>
      <c r="BB905" s="499">
        <f t="shared" ref="BB905:BG905" si="4930">IF(BB694&lt;&gt;0,BB699/BB694," ")</f>
        <v>1.6363636363636365</v>
      </c>
      <c r="BC905" s="499">
        <f t="shared" si="4930"/>
        <v>3.9692307692307689</v>
      </c>
      <c r="BD905" s="499">
        <f t="shared" si="4930"/>
        <v>1.4833333333333343</v>
      </c>
      <c r="BE905" s="499">
        <f t="shared" si="4930"/>
        <v>1.875</v>
      </c>
      <c r="BF905" s="499">
        <f t="shared" si="4930"/>
        <v>2.8888888888888888</v>
      </c>
      <c r="BG905" s="499">
        <f t="shared" si="4930"/>
        <v>5.5714285714285712</v>
      </c>
      <c r="BH905" s="499">
        <f t="shared" si="4929"/>
        <v>2.9444444444444446</v>
      </c>
      <c r="BI905" s="499">
        <f t="shared" si="4929"/>
        <v>4.25</v>
      </c>
      <c r="BJ905" s="499">
        <f t="shared" ref="BJ905:BK905" si="4931">IF(BJ694&lt;&gt;0,BJ699/BJ694," ")</f>
        <v>2.625</v>
      </c>
      <c r="BK905" s="499">
        <f t="shared" si="4931"/>
        <v>2.3333333333333335</v>
      </c>
      <c r="BL905" s="14" t="str">
        <f t="shared" si="4928"/>
        <v/>
      </c>
      <c r="BM905" s="412"/>
      <c r="BN905" s="14" t="str">
        <f t="shared" ref="BN905:BY905" si="4932">IF(BN878&lt;&gt;0,BN879/BN878,"")</f>
        <v/>
      </c>
      <c r="BO905" s="14" t="str">
        <f t="shared" si="4932"/>
        <v/>
      </c>
      <c r="BP905" s="14" t="str">
        <f t="shared" si="4932"/>
        <v/>
      </c>
      <c r="BQ905" s="14" t="str">
        <f t="shared" si="4932"/>
        <v/>
      </c>
      <c r="BR905" s="14" t="str">
        <f t="shared" si="4932"/>
        <v/>
      </c>
      <c r="BS905" s="14" t="str">
        <f t="shared" si="4932"/>
        <v/>
      </c>
      <c r="BT905" s="14" t="str">
        <f t="shared" si="4932"/>
        <v/>
      </c>
      <c r="BU905" s="14" t="str">
        <f t="shared" si="4932"/>
        <v/>
      </c>
      <c r="BV905" s="14" t="str">
        <f t="shared" si="4932"/>
        <v/>
      </c>
      <c r="BW905" s="14" t="str">
        <f t="shared" si="4932"/>
        <v/>
      </c>
      <c r="BX905" s="14" t="str">
        <f t="shared" si="4932"/>
        <v/>
      </c>
      <c r="BY905" s="14" t="str">
        <f t="shared" si="4932"/>
        <v/>
      </c>
      <c r="BZ905" s="498">
        <f t="shared" si="4788"/>
        <v>1.45</v>
      </c>
      <c r="CA905" s="498">
        <f t="shared" si="4789"/>
        <v>1.45</v>
      </c>
      <c r="CB905" s="499">
        <f>IF(CB694&lt;&gt;0,CB699/CB694," ")</f>
        <v>1.45</v>
      </c>
      <c r="CC905" s="498">
        <f t="shared" si="4790"/>
        <v>2.5310810810810809</v>
      </c>
      <c r="CD905" s="498">
        <f t="shared" si="4791"/>
        <v>2.5310810810810809</v>
      </c>
      <c r="CE905" s="499">
        <f>IF(CE694&lt;&gt;0,CE699/CE694," ")</f>
        <v>2.5310810810810809</v>
      </c>
      <c r="CF905" s="498">
        <f t="shared" si="4792"/>
        <v>2.0935483870967744</v>
      </c>
      <c r="CG905" s="498">
        <f t="shared" si="4793"/>
        <v>2.0935483870967744</v>
      </c>
      <c r="CH905" s="499">
        <f>IF(CH694&lt;&gt;0,CH699/CH694," ")</f>
        <v>2.0935483870967744</v>
      </c>
      <c r="CI905" s="498">
        <f t="shared" si="4794"/>
        <v>0</v>
      </c>
      <c r="CJ905" s="498">
        <f t="shared" si="4795"/>
        <v>0</v>
      </c>
      <c r="CK905" s="499">
        <f t="shared" si="4796"/>
        <v>0</v>
      </c>
      <c r="CL905" s="499">
        <v>0</v>
      </c>
      <c r="CM905" s="499">
        <f t="shared" si="4797"/>
        <v>2.3333333333333335</v>
      </c>
      <c r="CN905" s="14"/>
      <c r="CO905" s="412"/>
      <c r="CP905" s="14" t="str">
        <f t="shared" ref="CP905:DP905" si="4933">IF(CP878&lt;&gt;0,CP879/CP878,"")</f>
        <v/>
      </c>
      <c r="CQ905" s="14" t="str">
        <f t="shared" si="4933"/>
        <v/>
      </c>
      <c r="CR905" s="14" t="str">
        <f t="shared" si="4933"/>
        <v/>
      </c>
      <c r="CS905" s="14" t="str">
        <f t="shared" si="4933"/>
        <v/>
      </c>
      <c r="CT905" s="14" t="str">
        <f t="shared" si="4933"/>
        <v/>
      </c>
      <c r="CU905" s="14" t="str">
        <f t="shared" si="4933"/>
        <v/>
      </c>
      <c r="CV905" s="14" t="str">
        <f t="shared" si="4933"/>
        <v/>
      </c>
      <c r="CW905" s="14" t="str">
        <f t="shared" si="4933"/>
        <v/>
      </c>
      <c r="CX905" s="14" t="str">
        <f t="shared" si="4933"/>
        <v/>
      </c>
      <c r="CY905" s="14" t="str">
        <f t="shared" si="4933"/>
        <v/>
      </c>
      <c r="CZ905" s="14" t="str">
        <f t="shared" si="4933"/>
        <v/>
      </c>
      <c r="DA905" s="14" t="str">
        <f t="shared" si="4933"/>
        <v/>
      </c>
      <c r="DB905" s="499">
        <f t="shared" ref="DB905:DG905" si="4934">IF(DB694&lt;&gt;0,DB699/DB694," ")</f>
        <v>1.4235294117647059</v>
      </c>
      <c r="DC905" s="499">
        <f t="shared" si="4934"/>
        <v>1.5233333333333334</v>
      </c>
      <c r="DD905" s="499">
        <f t="shared" si="4934"/>
        <v>1.45</v>
      </c>
      <c r="DE905" s="499">
        <f t="shared" si="4934"/>
        <v>1.5381355932203389</v>
      </c>
      <c r="DF905" s="499">
        <f t="shared" si="4934"/>
        <v>1.5535714285714286</v>
      </c>
      <c r="DG905" s="499">
        <f t="shared" si="4934"/>
        <v>1.9319277108433734</v>
      </c>
      <c r="DH905" s="499">
        <f t="shared" ref="DH905:DM905" si="4935">IF(DH694&lt;&gt;0,DH699/DH694," ")</f>
        <v>1.901685393258427</v>
      </c>
      <c r="DI905" s="499">
        <f t="shared" si="4935"/>
        <v>1.8976190476190475</v>
      </c>
      <c r="DJ905" s="499">
        <f t="shared" si="4935"/>
        <v>1.9758771929824561</v>
      </c>
      <c r="DK905" s="499">
        <f t="shared" si="4935"/>
        <v>2.1838842975206614</v>
      </c>
      <c r="DL905" s="499">
        <f t="shared" si="4935"/>
        <v>2.2365384615384616</v>
      </c>
      <c r="DM905" s="499">
        <f t="shared" si="4935"/>
        <v>2.3253676470588234</v>
      </c>
      <c r="DN905" s="499">
        <f t="shared" ref="DN905" si="4936">IF(DN694&lt;&gt;0,DN699/DN694," ")</f>
        <v>2.625</v>
      </c>
      <c r="DO905" s="499">
        <f t="shared" si="4802"/>
        <v>2.3333333333333335</v>
      </c>
      <c r="DP905" s="14" t="str">
        <f t="shared" si="4933"/>
        <v/>
      </c>
      <c r="DQ905" s="14"/>
      <c r="DR905" s="14"/>
      <c r="DS905" s="14"/>
      <c r="DT905" s="14"/>
      <c r="DU905" s="14"/>
      <c r="DV905" s="14"/>
      <c r="DW905" s="14"/>
      <c r="DX905" s="14"/>
      <c r="DY905" s="14"/>
      <c r="DZ905" s="381"/>
      <c r="EA905" s="381"/>
      <c r="EB905" s="381"/>
      <c r="ED905" s="429"/>
      <c r="EE905" s="242"/>
      <c r="EF905" s="242"/>
      <c r="EG905" s="242"/>
      <c r="EH905" s="499">
        <f>IF(EH694&lt;&gt;0,EH699/EH694," ")</f>
        <v>2.3333333333333335</v>
      </c>
      <c r="EI905" s="499">
        <f>IF(EI694&lt;&gt;0,EI699/EI694," ")</f>
        <v>2.4500000000000002</v>
      </c>
      <c r="EJ905" s="499">
        <f>IF(EJ694&lt;&gt;0,EJ699/EJ694," ")</f>
        <v>2.4500000000000002</v>
      </c>
      <c r="EK905" s="217"/>
      <c r="EL905" s="267">
        <f t="shared" si="4803"/>
        <v>0.66666666666666674</v>
      </c>
      <c r="EM905" s="267">
        <f t="shared" si="4804"/>
        <v>-0.8833333333333333</v>
      </c>
      <c r="EN905" s="267">
        <f t="shared" si="4805"/>
        <v>-0.8833333333333333</v>
      </c>
      <c r="EO905" s="46" t="str">
        <f t="shared" si="4806"/>
        <v>Ç</v>
      </c>
      <c r="EP905" s="46" t="str">
        <f t="shared" si="4807"/>
        <v>È</v>
      </c>
      <c r="EQ905" s="499">
        <f t="shared" si="4808"/>
        <v>1</v>
      </c>
      <c r="ER905" s="499">
        <f t="shared" si="4809"/>
        <v>3</v>
      </c>
      <c r="ES905" s="499">
        <f t="shared" si="4808"/>
        <v>3</v>
      </c>
    </row>
    <row r="906" spans="1:149">
      <c r="A906" s="507"/>
      <c r="B906" s="506" t="s">
        <v>221</v>
      </c>
      <c r="C906" s="3" t="s">
        <v>83</v>
      </c>
      <c r="E906" s="4" t="str">
        <f>C880</f>
        <v>AFUniq</v>
      </c>
      <c r="F906" s="4" t="s">
        <v>31</v>
      </c>
      <c r="G906" s="165">
        <f>C879</f>
        <v>0</v>
      </c>
      <c r="V906" s="267">
        <f>IF(V760&lt;&gt;0,V765/V760)</f>
        <v>2.5659343434343436</v>
      </c>
      <c r="W906" s="267">
        <f t="shared" ref="W906:AE906" si="4937">IF(W760&lt;&gt;0,W765/W760)</f>
        <v>2.8167950481430535</v>
      </c>
      <c r="X906" s="267">
        <f t="shared" si="4937"/>
        <v>3.27300796812749</v>
      </c>
      <c r="Y906" s="267">
        <f t="shared" si="4937"/>
        <v>3.4008545034642035</v>
      </c>
      <c r="Z906" s="267">
        <f t="shared" si="4937"/>
        <v>3.7375235531628532</v>
      </c>
      <c r="AA906" s="267">
        <f t="shared" si="4937"/>
        <v>4.2007425149700595</v>
      </c>
      <c r="AB906" s="267">
        <f t="shared" si="4937"/>
        <v>4.3689371980676333</v>
      </c>
      <c r="AC906" s="267">
        <f t="shared" si="4937"/>
        <v>4.549150763358778</v>
      </c>
      <c r="AD906" s="267">
        <f t="shared" si="4937"/>
        <v>4.8608545918367341</v>
      </c>
      <c r="AE906" s="267">
        <f t="shared" si="4937"/>
        <v>5.1458300550747431</v>
      </c>
      <c r="AF906" s="267">
        <f>IF(AF760=0," ",AF765/AF760)</f>
        <v>5.1699600580973124</v>
      </c>
      <c r="AG906" s="267">
        <f t="shared" ref="AG906:AI906" si="4938">IF(AG760=0," ",AG765/AG760)</f>
        <v>5.3631048523922633</v>
      </c>
      <c r="AH906" s="267">
        <f t="shared" si="4938"/>
        <v>3.1177136258660507</v>
      </c>
      <c r="AI906" s="267">
        <f t="shared" si="4938"/>
        <v>3.1887760097919222</v>
      </c>
      <c r="AJ906" s="267"/>
      <c r="AX906" s="267">
        <f>SUM(AX895:AX905)</f>
        <v>29.029611551569051</v>
      </c>
      <c r="AY906" s="267">
        <f t="shared" ref="AY906:BI906" si="4939">SUM(AY895:AY905)</f>
        <v>42.413584661448795</v>
      </c>
      <c r="AZ906" s="267">
        <f t="shared" si="4939"/>
        <v>55.324123409970497</v>
      </c>
      <c r="BA906" s="267">
        <f t="shared" si="4939"/>
        <v>62.659055846253231</v>
      </c>
      <c r="BB906" s="267">
        <f t="shared" si="4939"/>
        <v>78.126025826025824</v>
      </c>
      <c r="BC906" s="267">
        <f t="shared" si="4939"/>
        <v>61.009655174437775</v>
      </c>
      <c r="BD906" s="267">
        <f t="shared" si="4939"/>
        <v>92.900654466971346</v>
      </c>
      <c r="BE906" s="267">
        <f t="shared" si="4939"/>
        <v>101.57514830407689</v>
      </c>
      <c r="BF906" s="267">
        <f t="shared" si="4939"/>
        <v>105.05325777729873</v>
      </c>
      <c r="BG906" s="267">
        <f t="shared" si="4939"/>
        <v>156.19932332643199</v>
      </c>
      <c r="BH906" s="267">
        <f t="shared" si="4939"/>
        <v>73.727106833431066</v>
      </c>
      <c r="BI906" s="267">
        <f t="shared" si="4939"/>
        <v>232.92429368198631</v>
      </c>
      <c r="BJ906" s="267">
        <f>SUM(BJ895:BJ905)/11</f>
        <v>3.2661449956140221</v>
      </c>
      <c r="BK906" s="267">
        <f>SUM(BK895:BK905)/11</f>
        <v>3.7147769437111133</v>
      </c>
      <c r="BZ906" s="267">
        <f>SUM(BZ895:BZ905)</f>
        <v>36.296198239236915</v>
      </c>
      <c r="CA906" s="267">
        <f t="shared" ref="CA906:CK906" si="4940">SUM(CA895:CA905)</f>
        <v>36.296198239236915</v>
      </c>
      <c r="CB906" s="267">
        <f t="shared" si="4940"/>
        <v>36.296198239236915</v>
      </c>
      <c r="CC906" s="267">
        <f t="shared" si="4940"/>
        <v>90.888979739719474</v>
      </c>
      <c r="CD906" s="267">
        <f t="shared" si="4940"/>
        <v>90.888979739719474</v>
      </c>
      <c r="CE906" s="267">
        <f t="shared" si="4940"/>
        <v>90.888979739719474</v>
      </c>
      <c r="CF906" s="267">
        <f>SUM(CF895:CF905)</f>
        <v>99.105277737425808</v>
      </c>
      <c r="CG906" s="267">
        <f>SUM(CG895:CG905)</f>
        <v>99.105277737425808</v>
      </c>
      <c r="CH906" s="267">
        <f>SUM(CH895:CH905)</f>
        <v>99.105277737425808</v>
      </c>
      <c r="CI906" s="267" t="e">
        <f t="shared" si="4940"/>
        <v>#VALUE!</v>
      </c>
      <c r="CJ906" s="267" t="e">
        <f t="shared" si="4940"/>
        <v>#VALUE!</v>
      </c>
      <c r="CK906" s="267" t="e">
        <f t="shared" si="4940"/>
        <v>#VALUE!</v>
      </c>
      <c r="CL906" s="267">
        <f>SUM(CL895:CL905)/11</f>
        <v>0.7259093976199239</v>
      </c>
      <c r="CM906" s="267">
        <f>SUM(CM895:CM905)/11</f>
        <v>3.7147769437111133</v>
      </c>
      <c r="DB906" s="267">
        <f>SUM(DB895:DB905)</f>
        <v>29.029611551569051</v>
      </c>
      <c r="DC906" s="267">
        <f t="shared" ref="DC906:DL906" si="4941">SUM(DC895:DC905)</f>
        <v>31.920854338330152</v>
      </c>
      <c r="DD906" s="267">
        <f t="shared" si="4941"/>
        <v>36.296198239236915</v>
      </c>
      <c r="DE906" s="267">
        <f t="shared" si="4941"/>
        <v>39.463115599858959</v>
      </c>
      <c r="DF906" s="267">
        <f t="shared" si="4941"/>
        <v>43.317711568785789</v>
      </c>
      <c r="DG906" s="267">
        <f t="shared" si="4941"/>
        <v>47.797603911528796</v>
      </c>
      <c r="DH906" s="267">
        <f t="shared" si="4941"/>
        <v>49.597837115184802</v>
      </c>
      <c r="DI906" s="267">
        <f t="shared" si="4941"/>
        <v>51.738105570394424</v>
      </c>
      <c r="DJ906" s="267">
        <f t="shared" si="4941"/>
        <v>56.141822814751741</v>
      </c>
      <c r="DK906" s="267">
        <f t="shared" si="4941"/>
        <v>60.025025989581742</v>
      </c>
      <c r="DL906" s="267">
        <f t="shared" si="4941"/>
        <v>60.207509823020139</v>
      </c>
      <c r="DM906" s="267">
        <f>SUM(DM895:DM905)</f>
        <v>63.459641027128455</v>
      </c>
      <c r="DN906" s="267">
        <f>SUM(DN895:DN905)/11</f>
        <v>3.2661449956140221</v>
      </c>
      <c r="DO906" s="267">
        <f>SUM(DO895:DO905)/11</f>
        <v>3.7147769437111133</v>
      </c>
      <c r="EH906" s="267">
        <f>EH765/EH773</f>
        <v>3.268906250000001</v>
      </c>
      <c r="EI906" s="267">
        <f>EI765/EI773</f>
        <v>3.1887760097919222</v>
      </c>
      <c r="EJ906" s="267">
        <f>EJ765/EJ773</f>
        <v>3.1887760097919222</v>
      </c>
      <c r="EL906" s="267"/>
      <c r="EM906" s="267">
        <v>6</v>
      </c>
      <c r="EN906" s="267">
        <v>6</v>
      </c>
      <c r="EO906" s="46" t="str">
        <f t="shared" ref="EO906" si="4942">IF(EH906&lt;0,,IF(EH906&lt;EE919,"È",IF(EH906=EE919,"Æ","Ç")))</f>
        <v>È</v>
      </c>
      <c r="EP906" s="46" t="str">
        <f>IF(EI906&lt;0,,IF(EI906&gt;EF919,"È",IF(EI906=EF919,"Æ","Ç")))</f>
        <v>Ç</v>
      </c>
      <c r="EQ906" s="499">
        <f>IF(EH906/EE919&gt;=0.9,1,IF(EH906/EE919&lt;0.75,3,2))</f>
        <v>3</v>
      </c>
      <c r="ER906" s="499">
        <v>3</v>
      </c>
      <c r="ES906" s="499">
        <f>IF(EJ906/EG919&gt;=0.9,1,IF(EJ906/EG919&lt;0.75,3,2))</f>
        <v>3</v>
      </c>
    </row>
    <row r="907" spans="1:149">
      <c r="A907" s="6" t="s">
        <v>112</v>
      </c>
      <c r="B907" s="381" t="s">
        <v>226</v>
      </c>
    </row>
    <row r="908" spans="1:149">
      <c r="A908" s="6" t="s">
        <v>23</v>
      </c>
      <c r="B908" s="381" t="s">
        <v>210</v>
      </c>
      <c r="C908" s="3" t="s">
        <v>74</v>
      </c>
      <c r="E908" s="4" t="str">
        <f>C865</f>
        <v>AFUniq</v>
      </c>
      <c r="F908" s="4" t="s">
        <v>31</v>
      </c>
      <c r="G908" s="165">
        <f>C864</f>
        <v>0</v>
      </c>
      <c r="H908" s="165"/>
      <c r="I908" s="165"/>
      <c r="J908" s="55" t="e">
        <f t="shared" ref="J908:U908" si="4943">J865/J864</f>
        <v>#DIV/0!</v>
      </c>
      <c r="K908" s="55" t="e">
        <f t="shared" si="4943"/>
        <v>#DIV/0!</v>
      </c>
      <c r="L908" s="55" t="e">
        <f t="shared" si="4943"/>
        <v>#DIV/0!</v>
      </c>
      <c r="M908" s="55" t="e">
        <f t="shared" si="4943"/>
        <v>#DIV/0!</v>
      </c>
      <c r="N908" s="55" t="e">
        <f t="shared" si="4943"/>
        <v>#DIV/0!</v>
      </c>
      <c r="O908" s="55" t="e">
        <f t="shared" si="4943"/>
        <v>#DIV/0!</v>
      </c>
      <c r="P908" s="55" t="e">
        <f t="shared" si="4943"/>
        <v>#DIV/0!</v>
      </c>
      <c r="Q908" s="55" t="e">
        <f t="shared" si="4943"/>
        <v>#DIV/0!</v>
      </c>
      <c r="R908" s="55" t="e">
        <f t="shared" si="4943"/>
        <v>#DIV/0!</v>
      </c>
      <c r="S908" s="55" t="e">
        <f t="shared" si="4943"/>
        <v>#DIV/0!</v>
      </c>
      <c r="T908" s="55" t="e">
        <f t="shared" si="4943"/>
        <v>#DIV/0!</v>
      </c>
      <c r="U908" s="55" t="e">
        <f t="shared" si="4943"/>
        <v>#DIV/0!</v>
      </c>
      <c r="V908" s="499">
        <f t="shared" ref="V908:AA908" si="4944">V14/V22</f>
        <v>9.9767441860465116</v>
      </c>
      <c r="W908" s="499">
        <f t="shared" si="4944"/>
        <v>9.9767441860465116</v>
      </c>
      <c r="X908" s="499">
        <f t="shared" si="4944"/>
        <v>9.9767441860465116</v>
      </c>
      <c r="Y908" s="499">
        <f t="shared" si="4944"/>
        <v>9.9767441860465116</v>
      </c>
      <c r="Z908" s="499">
        <f t="shared" si="4944"/>
        <v>9.9767441860465116</v>
      </c>
      <c r="AA908" s="499">
        <f t="shared" si="4944"/>
        <v>9.9767441860465116</v>
      </c>
      <c r="AB908" s="499">
        <f t="shared" ref="AB908:AF908" si="4945">AB14/AB22</f>
        <v>9.9767441860465116</v>
      </c>
      <c r="AC908" s="499">
        <f t="shared" si="4945"/>
        <v>9.9767441860465116</v>
      </c>
      <c r="AD908" s="499">
        <f t="shared" si="4945"/>
        <v>9.9767441860465116</v>
      </c>
      <c r="AE908" s="499">
        <f t="shared" si="4945"/>
        <v>9.9767441860465116</v>
      </c>
      <c r="AF908" s="499">
        <f t="shared" si="4945"/>
        <v>9.9767441860465116</v>
      </c>
      <c r="AG908" s="499">
        <f t="shared" ref="AG908" si="4946">AG14/AG22</f>
        <v>9.9767441860465116</v>
      </c>
      <c r="AH908" s="499">
        <f t="shared" ref="AH908:AJ908" si="4947">AH14/AH22</f>
        <v>9.2307692307692299</v>
      </c>
      <c r="AI908" s="499">
        <f t="shared" si="4947"/>
        <v>9.2307692307692299</v>
      </c>
      <c r="AJ908" s="499">
        <f t="shared" si="4947"/>
        <v>9.2307692307692299</v>
      </c>
      <c r="AK908" s="412"/>
      <c r="AL908" s="14" t="e">
        <f t="shared" ref="AL908:AW908" si="4948">AL865/AL864</f>
        <v>#DIV/0!</v>
      </c>
      <c r="AM908" s="14" t="e">
        <f t="shared" si="4948"/>
        <v>#DIV/0!</v>
      </c>
      <c r="AN908" s="14" t="e">
        <f t="shared" si="4948"/>
        <v>#DIV/0!</v>
      </c>
      <c r="AO908" s="14" t="e">
        <f t="shared" si="4948"/>
        <v>#DIV/0!</v>
      </c>
      <c r="AP908" s="14" t="e">
        <f t="shared" si="4948"/>
        <v>#DIV/0!</v>
      </c>
      <c r="AQ908" s="14" t="e">
        <f t="shared" si="4948"/>
        <v>#DIV/0!</v>
      </c>
      <c r="AR908" s="14" t="e">
        <f t="shared" si="4948"/>
        <v>#DIV/0!</v>
      </c>
      <c r="AS908" s="14" t="e">
        <f t="shared" si="4948"/>
        <v>#DIV/0!</v>
      </c>
      <c r="AT908" s="14" t="e">
        <f t="shared" si="4948"/>
        <v>#DIV/0!</v>
      </c>
      <c r="AU908" s="14" t="e">
        <f t="shared" si="4948"/>
        <v>#DIV/0!</v>
      </c>
      <c r="AV908" s="14" t="e">
        <f t="shared" si="4948"/>
        <v>#DIV/0!</v>
      </c>
      <c r="AW908" s="14" t="e">
        <f t="shared" si="4948"/>
        <v>#DIV/0!</v>
      </c>
      <c r="AX908" s="499">
        <f t="shared" ref="AX908:BI908" si="4949">AX14/AX22</f>
        <v>9.9767441860465116</v>
      </c>
      <c r="AY908" s="499">
        <f t="shared" si="4949"/>
        <v>9.9767441860465116</v>
      </c>
      <c r="AZ908" s="499">
        <f t="shared" si="4949"/>
        <v>9.9767441860465116</v>
      </c>
      <c r="BA908" s="499">
        <f t="shared" si="4949"/>
        <v>9.9767441860465116</v>
      </c>
      <c r="BB908" s="499">
        <f t="shared" si="4949"/>
        <v>9.9767441860465116</v>
      </c>
      <c r="BC908" s="499">
        <f t="shared" si="4949"/>
        <v>9.9767441860465116</v>
      </c>
      <c r="BD908" s="499">
        <f t="shared" si="4949"/>
        <v>9.9767441860465116</v>
      </c>
      <c r="BE908" s="499">
        <f t="shared" si="4949"/>
        <v>9.9767441860465116</v>
      </c>
      <c r="BF908" s="499">
        <f t="shared" si="4949"/>
        <v>9.9767441860465116</v>
      </c>
      <c r="BG908" s="499">
        <f t="shared" si="4949"/>
        <v>9.9767441860465116</v>
      </c>
      <c r="BH908" s="499">
        <f t="shared" si="4949"/>
        <v>9.9767441860465116</v>
      </c>
      <c r="BI908" s="499">
        <f t="shared" si="4949"/>
        <v>9.9767441860465116</v>
      </c>
      <c r="BJ908" s="14"/>
      <c r="BK908" s="14"/>
      <c r="BL908" s="14"/>
      <c r="BM908" s="412"/>
      <c r="BN908" s="14" t="e">
        <f t="shared" ref="BN908:BY908" si="4950">BN865/BN864</f>
        <v>#DIV/0!</v>
      </c>
      <c r="BO908" s="14" t="e">
        <f t="shared" si="4950"/>
        <v>#DIV/0!</v>
      </c>
      <c r="BP908" s="14" t="e">
        <f t="shared" si="4950"/>
        <v>#DIV/0!</v>
      </c>
      <c r="BQ908" s="14" t="e">
        <f t="shared" si="4950"/>
        <v>#DIV/0!</v>
      </c>
      <c r="BR908" s="14" t="e">
        <f t="shared" si="4950"/>
        <v>#DIV/0!</v>
      </c>
      <c r="BS908" s="14" t="e">
        <f t="shared" si="4950"/>
        <v>#DIV/0!</v>
      </c>
      <c r="BT908" s="14" t="e">
        <f t="shared" si="4950"/>
        <v>#DIV/0!</v>
      </c>
      <c r="BU908" s="14" t="e">
        <f t="shared" si="4950"/>
        <v>#DIV/0!</v>
      </c>
      <c r="BV908" s="14" t="e">
        <f t="shared" si="4950"/>
        <v>#DIV/0!</v>
      </c>
      <c r="BW908" s="14" t="e">
        <f t="shared" si="4950"/>
        <v>#DIV/0!</v>
      </c>
      <c r="BX908" s="14" t="e">
        <f t="shared" si="4950"/>
        <v>#DIV/0!</v>
      </c>
      <c r="BY908" s="14" t="e">
        <f t="shared" si="4950"/>
        <v>#DIV/0!</v>
      </c>
      <c r="BZ908" s="499">
        <f>CB908</f>
        <v>29.930232558139537</v>
      </c>
      <c r="CA908" s="499">
        <f>CB908</f>
        <v>29.930232558139537</v>
      </c>
      <c r="CB908" s="499">
        <f>CB14/CB22*3</f>
        <v>29.930232558139537</v>
      </c>
      <c r="CC908" s="498">
        <f>CE908</f>
        <v>59.860465116279073</v>
      </c>
      <c r="CD908" s="498">
        <f>CE908</f>
        <v>59.860465116279073</v>
      </c>
      <c r="CE908" s="499">
        <f>CE14/CE22*6</f>
        <v>59.860465116279073</v>
      </c>
      <c r="CF908" s="498">
        <f>CH908</f>
        <v>89.79069767441861</v>
      </c>
      <c r="CG908" s="498">
        <f>CH908</f>
        <v>89.79069767441861</v>
      </c>
      <c r="CH908" s="499">
        <f>CH14/CH22*9</f>
        <v>89.79069767441861</v>
      </c>
      <c r="CI908" s="498">
        <f>CK908</f>
        <v>119.72093023255815</v>
      </c>
      <c r="CJ908" s="498">
        <f>CK908</f>
        <v>119.72093023255815</v>
      </c>
      <c r="CK908" s="499">
        <f>CK14/CK22*12</f>
        <v>119.72093023255815</v>
      </c>
      <c r="CL908" s="14"/>
      <c r="CM908" s="14"/>
      <c r="CN908" s="14"/>
      <c r="CO908" s="412"/>
      <c r="CP908" s="14" t="e">
        <f t="shared" ref="CP908:DA908" si="4951">CP865/CP864</f>
        <v>#DIV/0!</v>
      </c>
      <c r="CQ908" s="14" t="e">
        <f t="shared" si="4951"/>
        <v>#DIV/0!</v>
      </c>
      <c r="CR908" s="14" t="e">
        <f t="shared" si="4951"/>
        <v>#DIV/0!</v>
      </c>
      <c r="CS908" s="14" t="e">
        <f t="shared" si="4951"/>
        <v>#DIV/0!</v>
      </c>
      <c r="CT908" s="14" t="e">
        <f t="shared" si="4951"/>
        <v>#DIV/0!</v>
      </c>
      <c r="CU908" s="14" t="e">
        <f t="shared" si="4951"/>
        <v>#DIV/0!</v>
      </c>
      <c r="CV908" s="14" t="e">
        <f t="shared" si="4951"/>
        <v>#DIV/0!</v>
      </c>
      <c r="CW908" s="14" t="e">
        <f t="shared" si="4951"/>
        <v>#DIV/0!</v>
      </c>
      <c r="CX908" s="14" t="e">
        <f t="shared" si="4951"/>
        <v>#DIV/0!</v>
      </c>
      <c r="CY908" s="14" t="e">
        <f t="shared" si="4951"/>
        <v>#DIV/0!</v>
      </c>
      <c r="CZ908" s="14" t="e">
        <f t="shared" si="4951"/>
        <v>#DIV/0!</v>
      </c>
      <c r="DA908" s="14" t="e">
        <f t="shared" si="4951"/>
        <v>#DIV/0!</v>
      </c>
      <c r="DB908" s="499">
        <f>DB14/DB22</f>
        <v>9.9767441860465116</v>
      </c>
      <c r="DC908" s="499">
        <f t="shared" ref="DC908:DM908" si="4952">DC14/DC22</f>
        <v>9.9767441860465116</v>
      </c>
      <c r="DD908" s="499">
        <f t="shared" si="4952"/>
        <v>9.9767441860465116</v>
      </c>
      <c r="DE908" s="499">
        <f t="shared" si="4952"/>
        <v>9.9767441860465116</v>
      </c>
      <c r="DF908" s="499">
        <f t="shared" si="4952"/>
        <v>9.9767441860465116</v>
      </c>
      <c r="DG908" s="499">
        <f t="shared" si="4952"/>
        <v>9.9767441860465116</v>
      </c>
      <c r="DH908" s="499">
        <f t="shared" si="4952"/>
        <v>9.9767441860465116</v>
      </c>
      <c r="DI908" s="499">
        <f t="shared" si="4952"/>
        <v>9.9767441860465116</v>
      </c>
      <c r="DJ908" s="499">
        <f t="shared" si="4952"/>
        <v>9.9767441860465116</v>
      </c>
      <c r="DK908" s="499">
        <f t="shared" si="4952"/>
        <v>9.9767441860465116</v>
      </c>
      <c r="DL908" s="499">
        <f t="shared" si="4952"/>
        <v>9.9767441860465116</v>
      </c>
      <c r="DM908" s="499">
        <f t="shared" si="4952"/>
        <v>9.9767441860465116</v>
      </c>
      <c r="DN908" s="499">
        <f>DN14/DN22</f>
        <v>9.2307692307692299</v>
      </c>
      <c r="DO908" s="499">
        <f>DO14/DO22</f>
        <v>4.615384615384615</v>
      </c>
      <c r="DP908" s="499">
        <f>DP14/DP22</f>
        <v>3.0769230769230771</v>
      </c>
      <c r="DQ908" s="499"/>
      <c r="DR908" s="499"/>
      <c r="DS908" s="499"/>
      <c r="DT908" s="499"/>
      <c r="DU908" s="499"/>
      <c r="DV908" s="499"/>
      <c r="DW908" s="499"/>
      <c r="DX908" s="499"/>
      <c r="DY908" s="499"/>
      <c r="DZ908" s="14"/>
      <c r="EA908" s="498">
        <f>EA14/EA22</f>
        <v>10.188671555719578</v>
      </c>
      <c r="EB908" s="498">
        <f>EB14/EB22</f>
        <v>9.9767441860465116</v>
      </c>
      <c r="EC908" s="498"/>
      <c r="ED908" s="429"/>
      <c r="EE908" s="499">
        <f>EE14/EE22</f>
        <v>9.2307692307692299</v>
      </c>
      <c r="EF908" s="499">
        <f>EF14/EF22</f>
        <v>9.2307692307692299</v>
      </c>
      <c r="EG908" s="499">
        <f>EG14/EG22</f>
        <v>10</v>
      </c>
      <c r="EH908" s="381"/>
      <c r="EI908" s="381"/>
      <c r="EJ908" s="381"/>
      <c r="EK908" s="217"/>
      <c r="EL908" s="251"/>
      <c r="EM908" s="251"/>
      <c r="EN908" s="251"/>
      <c r="EO908" s="381"/>
      <c r="EP908" s="381"/>
      <c r="EQ908" s="381"/>
      <c r="ER908" s="381"/>
      <c r="ES908" s="381"/>
    </row>
    <row r="909" spans="1:149">
      <c r="B909" s="481" t="s">
        <v>211</v>
      </c>
      <c r="C909" s="3" t="s">
        <v>74</v>
      </c>
      <c r="E909" s="4" t="str">
        <f t="shared" ref="E909:E918" si="4953">C866</f>
        <v>AFUniq</v>
      </c>
      <c r="F909" s="4" t="s">
        <v>31</v>
      </c>
      <c r="G909" s="165" t="str">
        <f t="shared" ref="G909:G918" si="4954">C865</f>
        <v>AFUniq</v>
      </c>
      <c r="H909" s="165"/>
      <c r="I909" s="165"/>
      <c r="J909" s="55" t="e">
        <f t="shared" ref="J909:U909" si="4955">J866/J865</f>
        <v>#DIV/0!</v>
      </c>
      <c r="K909" s="55" t="e">
        <f t="shared" si="4955"/>
        <v>#DIV/0!</v>
      </c>
      <c r="L909" s="55" t="e">
        <f t="shared" si="4955"/>
        <v>#DIV/0!</v>
      </c>
      <c r="M909" s="55" t="e">
        <f t="shared" si="4955"/>
        <v>#DIV/0!</v>
      </c>
      <c r="N909" s="55" t="e">
        <f t="shared" si="4955"/>
        <v>#DIV/0!</v>
      </c>
      <c r="O909" s="55" t="e">
        <f t="shared" si="4955"/>
        <v>#DIV/0!</v>
      </c>
      <c r="P909" s="55" t="e">
        <f t="shared" si="4955"/>
        <v>#DIV/0!</v>
      </c>
      <c r="Q909" s="55" t="e">
        <f t="shared" si="4955"/>
        <v>#DIV/0!</v>
      </c>
      <c r="R909" s="55" t="e">
        <f t="shared" si="4955"/>
        <v>#DIV/0!</v>
      </c>
      <c r="S909" s="55" t="e">
        <f t="shared" si="4955"/>
        <v>#DIV/0!</v>
      </c>
      <c r="T909" s="55" t="e">
        <f t="shared" si="4955"/>
        <v>#DIV/0!</v>
      </c>
      <c r="U909" s="55" t="e">
        <f t="shared" si="4955"/>
        <v>#DIV/0!</v>
      </c>
      <c r="V909" s="499">
        <f t="shared" ref="V909:AA909" si="4956">V80/V88</f>
        <v>6.008459783794506</v>
      </c>
      <c r="W909" s="499">
        <f t="shared" si="4956"/>
        <v>6.008459783794506</v>
      </c>
      <c r="X909" s="499">
        <f t="shared" si="4956"/>
        <v>6.0084597837945051</v>
      </c>
      <c r="Y909" s="499">
        <f t="shared" si="4956"/>
        <v>6.008459783794506</v>
      </c>
      <c r="Z909" s="499">
        <f t="shared" si="4956"/>
        <v>6.0084597837945051</v>
      </c>
      <c r="AA909" s="499">
        <f t="shared" si="4956"/>
        <v>6.008459783794506</v>
      </c>
      <c r="AB909" s="499">
        <f t="shared" ref="AB909:AF909" si="4957">AB80/AB88</f>
        <v>6.0084597837945051</v>
      </c>
      <c r="AC909" s="499">
        <f t="shared" si="4957"/>
        <v>6.008459783794506</v>
      </c>
      <c r="AD909" s="499">
        <f t="shared" si="4957"/>
        <v>6.0084597837945051</v>
      </c>
      <c r="AE909" s="499">
        <f t="shared" si="4957"/>
        <v>6.0084597837945051</v>
      </c>
      <c r="AF909" s="499">
        <f t="shared" si="4957"/>
        <v>6.008459783794506</v>
      </c>
      <c r="AG909" s="499">
        <f t="shared" ref="AG909" si="4958">AG80/AG88</f>
        <v>6.008459783794506</v>
      </c>
      <c r="AH909" s="499">
        <f t="shared" ref="AH909:AJ909" si="4959">AH80/AH88</f>
        <v>5.6400000000000006</v>
      </c>
      <c r="AI909" s="499">
        <f t="shared" si="4959"/>
        <v>11.280000000000001</v>
      </c>
      <c r="AJ909" s="499">
        <f t="shared" si="4959"/>
        <v>22.560000000000002</v>
      </c>
      <c r="AK909" s="412"/>
      <c r="AL909" s="14" t="e">
        <f t="shared" ref="AL909:AW909" si="4960">AL866/AL865</f>
        <v>#DIV/0!</v>
      </c>
      <c r="AM909" s="14" t="e">
        <f t="shared" si="4960"/>
        <v>#DIV/0!</v>
      </c>
      <c r="AN909" s="14" t="e">
        <f t="shared" si="4960"/>
        <v>#DIV/0!</v>
      </c>
      <c r="AO909" s="14" t="e">
        <f t="shared" si="4960"/>
        <v>#DIV/0!</v>
      </c>
      <c r="AP909" s="14" t="e">
        <f t="shared" si="4960"/>
        <v>#DIV/0!</v>
      </c>
      <c r="AQ909" s="14" t="e">
        <f t="shared" si="4960"/>
        <v>#DIV/0!</v>
      </c>
      <c r="AR909" s="14" t="e">
        <f t="shared" si="4960"/>
        <v>#DIV/0!</v>
      </c>
      <c r="AS909" s="14" t="e">
        <f t="shared" si="4960"/>
        <v>#DIV/0!</v>
      </c>
      <c r="AT909" s="14" t="e">
        <f t="shared" si="4960"/>
        <v>#DIV/0!</v>
      </c>
      <c r="AU909" s="14" t="e">
        <f t="shared" si="4960"/>
        <v>#DIV/0!</v>
      </c>
      <c r="AV909" s="14" t="e">
        <f t="shared" si="4960"/>
        <v>#DIV/0!</v>
      </c>
      <c r="AW909" s="14" t="e">
        <f t="shared" si="4960"/>
        <v>#DIV/0!</v>
      </c>
      <c r="AX909" s="499">
        <f t="shared" ref="AX909:BI909" si="4961">AX80/AX88</f>
        <v>6.008459783794506</v>
      </c>
      <c r="AY909" s="499">
        <f t="shared" si="4961"/>
        <v>6.008459783794506</v>
      </c>
      <c r="AZ909" s="499">
        <f t="shared" si="4961"/>
        <v>6.0084597837945051</v>
      </c>
      <c r="BA909" s="499">
        <f t="shared" si="4961"/>
        <v>6.008459783794506</v>
      </c>
      <c r="BB909" s="499">
        <f t="shared" si="4961"/>
        <v>6.0084597837945033</v>
      </c>
      <c r="BC909" s="499">
        <f t="shared" si="4961"/>
        <v>6.008459783794506</v>
      </c>
      <c r="BD909" s="499">
        <f t="shared" si="4961"/>
        <v>6.008459783794506</v>
      </c>
      <c r="BE909" s="499">
        <f t="shared" si="4961"/>
        <v>6.008459783794506</v>
      </c>
      <c r="BF909" s="499">
        <f t="shared" si="4961"/>
        <v>6.0084597837945006</v>
      </c>
      <c r="BG909" s="499">
        <f t="shared" si="4961"/>
        <v>6.008459783794506</v>
      </c>
      <c r="BH909" s="499">
        <f t="shared" si="4961"/>
        <v>6.008459783794506</v>
      </c>
      <c r="BI909" s="499">
        <f t="shared" si="4961"/>
        <v>6.008459783794506</v>
      </c>
      <c r="BJ909" s="14"/>
      <c r="BK909" s="14"/>
      <c r="BL909" s="14"/>
      <c r="BM909" s="412"/>
      <c r="BN909" s="14" t="e">
        <f t="shared" ref="BN909:BY909" si="4962">BN866/BN865</f>
        <v>#DIV/0!</v>
      </c>
      <c r="BO909" s="14" t="e">
        <f t="shared" si="4962"/>
        <v>#DIV/0!</v>
      </c>
      <c r="BP909" s="14" t="e">
        <f t="shared" si="4962"/>
        <v>#DIV/0!</v>
      </c>
      <c r="BQ909" s="14" t="e">
        <f t="shared" si="4962"/>
        <v>#DIV/0!</v>
      </c>
      <c r="BR909" s="14" t="e">
        <f t="shared" si="4962"/>
        <v>#DIV/0!</v>
      </c>
      <c r="BS909" s="14" t="e">
        <f t="shared" si="4962"/>
        <v>#DIV/0!</v>
      </c>
      <c r="BT909" s="14" t="e">
        <f t="shared" si="4962"/>
        <v>#DIV/0!</v>
      </c>
      <c r="BU909" s="14" t="e">
        <f t="shared" si="4962"/>
        <v>#DIV/0!</v>
      </c>
      <c r="BV909" s="14" t="e">
        <f t="shared" si="4962"/>
        <v>#DIV/0!</v>
      </c>
      <c r="BW909" s="14" t="e">
        <f t="shared" si="4962"/>
        <v>#DIV/0!</v>
      </c>
      <c r="BX909" s="14" t="e">
        <f t="shared" si="4962"/>
        <v>#DIV/0!</v>
      </c>
      <c r="BY909" s="14" t="e">
        <f t="shared" si="4962"/>
        <v>#DIV/0!</v>
      </c>
      <c r="BZ909" s="499">
        <f t="shared" ref="BZ909:BZ918" si="4963">CB909</f>
        <v>18.025379351383513</v>
      </c>
      <c r="CA909" s="499">
        <f t="shared" ref="CA909:CA918" si="4964">CB909</f>
        <v>18.025379351383513</v>
      </c>
      <c r="CB909" s="499">
        <f>CB80/CB88*3</f>
        <v>18.025379351383513</v>
      </c>
      <c r="CC909" s="498">
        <f t="shared" ref="CC909:CC918" si="4965">CE909</f>
        <v>36.050758702767034</v>
      </c>
      <c r="CD909" s="498">
        <f t="shared" ref="CD909:CD918" si="4966">CE909</f>
        <v>36.050758702767034</v>
      </c>
      <c r="CE909" s="499">
        <f>CE80/CE88*6</f>
        <v>36.050758702767034</v>
      </c>
      <c r="CF909" s="498">
        <f t="shared" ref="CF909:CF918" si="4967">CH909</f>
        <v>54.076138054150547</v>
      </c>
      <c r="CG909" s="498">
        <f t="shared" ref="CG909:CG918" si="4968">CH909</f>
        <v>54.076138054150547</v>
      </c>
      <c r="CH909" s="499">
        <f>CH80/CH88*9</f>
        <v>54.076138054150547</v>
      </c>
      <c r="CI909" s="498">
        <f t="shared" ref="CI909:CI918" si="4969">CK909</f>
        <v>72.101517405534068</v>
      </c>
      <c r="CJ909" s="498">
        <f t="shared" ref="CJ909:CJ918" si="4970">CK909</f>
        <v>72.101517405534068</v>
      </c>
      <c r="CK909" s="499">
        <f>CK80/CK88*12</f>
        <v>72.101517405534068</v>
      </c>
      <c r="CL909" s="14"/>
      <c r="CM909" s="14"/>
      <c r="CN909" s="14"/>
      <c r="CO909" s="412"/>
      <c r="CP909" s="14" t="e">
        <f t="shared" ref="CP909:DA909" si="4971">CP866/CP865</f>
        <v>#DIV/0!</v>
      </c>
      <c r="CQ909" s="14" t="e">
        <f t="shared" si="4971"/>
        <v>#DIV/0!</v>
      </c>
      <c r="CR909" s="14" t="e">
        <f t="shared" si="4971"/>
        <v>#DIV/0!</v>
      </c>
      <c r="CS909" s="14" t="e">
        <f t="shared" si="4971"/>
        <v>#DIV/0!</v>
      </c>
      <c r="CT909" s="14" t="e">
        <f t="shared" si="4971"/>
        <v>#DIV/0!</v>
      </c>
      <c r="CU909" s="14" t="e">
        <f t="shared" si="4971"/>
        <v>#DIV/0!</v>
      </c>
      <c r="CV909" s="14" t="e">
        <f t="shared" si="4971"/>
        <v>#DIV/0!</v>
      </c>
      <c r="CW909" s="14" t="e">
        <f t="shared" si="4971"/>
        <v>#DIV/0!</v>
      </c>
      <c r="CX909" s="14" t="e">
        <f t="shared" si="4971"/>
        <v>#DIV/0!</v>
      </c>
      <c r="CY909" s="14" t="e">
        <f t="shared" si="4971"/>
        <v>#DIV/0!</v>
      </c>
      <c r="CZ909" s="14" t="e">
        <f t="shared" si="4971"/>
        <v>#DIV/0!</v>
      </c>
      <c r="DA909" s="14" t="e">
        <f t="shared" si="4971"/>
        <v>#DIV/0!</v>
      </c>
      <c r="DB909" s="499">
        <f>DB80/DB88</f>
        <v>6.008459783794506</v>
      </c>
      <c r="DC909" s="499">
        <f t="shared" ref="DC909:DM909" si="4972">DC80/DC88</f>
        <v>6.008459783794506</v>
      </c>
      <c r="DD909" s="499">
        <f t="shared" si="4972"/>
        <v>6.0084597837945051</v>
      </c>
      <c r="DE909" s="499">
        <f t="shared" si="4972"/>
        <v>6.008459783794506</v>
      </c>
      <c r="DF909" s="499">
        <f t="shared" si="4972"/>
        <v>6.0084597837945051</v>
      </c>
      <c r="DG909" s="499">
        <f t="shared" si="4972"/>
        <v>6.008459783794506</v>
      </c>
      <c r="DH909" s="499">
        <f t="shared" si="4972"/>
        <v>6.0084597837945051</v>
      </c>
      <c r="DI909" s="499">
        <f t="shared" si="4972"/>
        <v>6.008459783794506</v>
      </c>
      <c r="DJ909" s="499">
        <f t="shared" si="4972"/>
        <v>6.0084597837945051</v>
      </c>
      <c r="DK909" s="499">
        <f t="shared" si="4972"/>
        <v>6.0084597837945051</v>
      </c>
      <c r="DL909" s="499">
        <f t="shared" si="4972"/>
        <v>6.008459783794506</v>
      </c>
      <c r="DM909" s="499">
        <f t="shared" si="4972"/>
        <v>6.008459783794506</v>
      </c>
      <c r="DN909" s="499">
        <f>DN80/DN88</f>
        <v>5.6400000000000006</v>
      </c>
      <c r="DO909" s="499">
        <f>DO80/DO88</f>
        <v>11.280000000000001</v>
      </c>
      <c r="DP909" s="499">
        <f>DP80/DP88</f>
        <v>22.560000000000002</v>
      </c>
      <c r="DQ909" s="499"/>
      <c r="DR909" s="499"/>
      <c r="DS909" s="499"/>
      <c r="DT909" s="499"/>
      <c r="DU909" s="499"/>
      <c r="DV909" s="499"/>
      <c r="DW909" s="499"/>
      <c r="DX909" s="499"/>
      <c r="DY909" s="499"/>
      <c r="DZ909" s="14"/>
      <c r="EA909" s="499">
        <f>EA80/EA88</f>
        <v>3.2186161229299728</v>
      </c>
      <c r="EB909" s="499">
        <f>EB80/EB88</f>
        <v>6.008459783794506</v>
      </c>
      <c r="EC909" s="499"/>
      <c r="ED909" s="429"/>
      <c r="EE909" s="499">
        <f>EE80/EE88</f>
        <v>11.65327779430725</v>
      </c>
      <c r="EF909" s="499">
        <f>EF80/EF88</f>
        <v>8.0399999999999991</v>
      </c>
      <c r="EG909" s="499">
        <f>EG80/EG88</f>
        <v>5.8159967999999997</v>
      </c>
      <c r="EH909" s="381"/>
      <c r="EI909" s="381"/>
      <c r="EJ909" s="381"/>
      <c r="EK909" s="217"/>
      <c r="EL909" s="251"/>
      <c r="EM909" s="251"/>
      <c r="EN909" s="251"/>
      <c r="EO909" s="381"/>
      <c r="EP909" s="381"/>
      <c r="EQ909" s="381"/>
      <c r="ER909" s="381"/>
      <c r="ES909" s="381"/>
    </row>
    <row r="910" spans="1:149">
      <c r="B910" s="481" t="s">
        <v>212</v>
      </c>
      <c r="C910" s="3" t="s">
        <v>74</v>
      </c>
      <c r="E910" s="4" t="str">
        <f t="shared" si="4953"/>
        <v>AFUniq</v>
      </c>
      <c r="F910" s="4" t="s">
        <v>31</v>
      </c>
      <c r="G910" s="165" t="str">
        <f t="shared" si="4954"/>
        <v>AFUniq</v>
      </c>
      <c r="H910" s="165"/>
      <c r="I910" s="165"/>
      <c r="J910" s="55" t="e">
        <f t="shared" ref="J910:U910" si="4973">J867/J866</f>
        <v>#DIV/0!</v>
      </c>
      <c r="K910" s="55" t="e">
        <f t="shared" si="4973"/>
        <v>#DIV/0!</v>
      </c>
      <c r="L910" s="55" t="e">
        <f t="shared" si="4973"/>
        <v>#DIV/0!</v>
      </c>
      <c r="M910" s="55" t="e">
        <f t="shared" si="4973"/>
        <v>#DIV/0!</v>
      </c>
      <c r="N910" s="55" t="e">
        <f t="shared" si="4973"/>
        <v>#DIV/0!</v>
      </c>
      <c r="O910" s="55" t="e">
        <f t="shared" si="4973"/>
        <v>#DIV/0!</v>
      </c>
      <c r="P910" s="55" t="e">
        <f t="shared" si="4973"/>
        <v>#DIV/0!</v>
      </c>
      <c r="Q910" s="55" t="e">
        <f t="shared" si="4973"/>
        <v>#DIV/0!</v>
      </c>
      <c r="R910" s="55" t="e">
        <f t="shared" si="4973"/>
        <v>#DIV/0!</v>
      </c>
      <c r="S910" s="55" t="e">
        <f t="shared" si="4973"/>
        <v>#DIV/0!</v>
      </c>
      <c r="T910" s="55" t="e">
        <f t="shared" si="4973"/>
        <v>#DIV/0!</v>
      </c>
      <c r="U910" s="55" t="e">
        <f t="shared" si="4973"/>
        <v>#DIV/0!</v>
      </c>
      <c r="V910" s="499">
        <f t="shared" ref="V910:AA910" si="4974">V146/V154</f>
        <v>4.7459999999999996</v>
      </c>
      <c r="W910" s="499">
        <f t="shared" si="4974"/>
        <v>4.7459999999999996</v>
      </c>
      <c r="X910" s="499">
        <f t="shared" si="4974"/>
        <v>4.7459999999999996</v>
      </c>
      <c r="Y910" s="499">
        <f t="shared" si="4974"/>
        <v>4.7459999999999996</v>
      </c>
      <c r="Z910" s="499">
        <f t="shared" si="4974"/>
        <v>4.7459999999999996</v>
      </c>
      <c r="AA910" s="499">
        <f t="shared" si="4974"/>
        <v>4.7459999999999996</v>
      </c>
      <c r="AB910" s="499">
        <f t="shared" ref="AB910:AF910" si="4975">AB146/AB154</f>
        <v>4.7460000000000004</v>
      </c>
      <c r="AC910" s="499">
        <f t="shared" si="4975"/>
        <v>4.7459999999999996</v>
      </c>
      <c r="AD910" s="499">
        <f t="shared" si="4975"/>
        <v>4.7459999999999996</v>
      </c>
      <c r="AE910" s="499">
        <f t="shared" si="4975"/>
        <v>4.7459999999999996</v>
      </c>
      <c r="AF910" s="499">
        <f t="shared" si="4975"/>
        <v>4.7459999999999996</v>
      </c>
      <c r="AG910" s="499">
        <f t="shared" ref="AG910" si="4976">AG146/AG154</f>
        <v>4.7459999999999987</v>
      </c>
      <c r="AH910" s="499">
        <f t="shared" ref="AH910:AJ910" si="4977">AH146/AH154</f>
        <v>5.2456140350877192</v>
      </c>
      <c r="AI910" s="499">
        <f t="shared" si="4977"/>
        <v>10.491228070175438</v>
      </c>
      <c r="AJ910" s="499">
        <f t="shared" si="4977"/>
        <v>15.736842105263158</v>
      </c>
      <c r="AK910" s="412"/>
      <c r="AL910" s="14" t="e">
        <f t="shared" ref="AL910:AW910" si="4978">AL867/AL866</f>
        <v>#DIV/0!</v>
      </c>
      <c r="AM910" s="14" t="e">
        <f t="shared" si="4978"/>
        <v>#DIV/0!</v>
      </c>
      <c r="AN910" s="14" t="e">
        <f t="shared" si="4978"/>
        <v>#DIV/0!</v>
      </c>
      <c r="AO910" s="14" t="e">
        <f t="shared" si="4978"/>
        <v>#DIV/0!</v>
      </c>
      <c r="AP910" s="14" t="e">
        <f t="shared" si="4978"/>
        <v>#DIV/0!</v>
      </c>
      <c r="AQ910" s="14" t="e">
        <f t="shared" si="4978"/>
        <v>#DIV/0!</v>
      </c>
      <c r="AR910" s="14" t="e">
        <f t="shared" si="4978"/>
        <v>#DIV/0!</v>
      </c>
      <c r="AS910" s="14" t="e">
        <f t="shared" si="4978"/>
        <v>#DIV/0!</v>
      </c>
      <c r="AT910" s="14" t="e">
        <f t="shared" si="4978"/>
        <v>#DIV/0!</v>
      </c>
      <c r="AU910" s="14" t="e">
        <f t="shared" si="4978"/>
        <v>#DIV/0!</v>
      </c>
      <c r="AV910" s="14" t="e">
        <f t="shared" si="4978"/>
        <v>#DIV/0!</v>
      </c>
      <c r="AW910" s="14" t="e">
        <f t="shared" si="4978"/>
        <v>#DIV/0!</v>
      </c>
      <c r="AX910" s="499">
        <f t="shared" ref="AX910:BI910" si="4979">AX146/AX154</f>
        <v>4.7459999999999996</v>
      </c>
      <c r="AY910" s="499">
        <f t="shared" si="4979"/>
        <v>4.7459999999999996</v>
      </c>
      <c r="AZ910" s="499">
        <f t="shared" si="4979"/>
        <v>4.7459999999999996</v>
      </c>
      <c r="BA910" s="499">
        <f t="shared" si="4979"/>
        <v>4.7459999999999996</v>
      </c>
      <c r="BB910" s="499">
        <f t="shared" si="4979"/>
        <v>4.7459999999999996</v>
      </c>
      <c r="BC910" s="499">
        <f t="shared" si="4979"/>
        <v>4.7459999999999996</v>
      </c>
      <c r="BD910" s="499">
        <f t="shared" si="4979"/>
        <v>4.7460000000000022</v>
      </c>
      <c r="BE910" s="499">
        <f t="shared" si="4979"/>
        <v>4.7459999999999969</v>
      </c>
      <c r="BF910" s="499">
        <f t="shared" si="4979"/>
        <v>4.7459999999999969</v>
      </c>
      <c r="BG910" s="499">
        <f t="shared" si="4979"/>
        <v>4.7459999999999969</v>
      </c>
      <c r="BH910" s="499">
        <f t="shared" si="4979"/>
        <v>4.7459999999999969</v>
      </c>
      <c r="BI910" s="499">
        <f t="shared" si="4979"/>
        <v>4.7459999999999969</v>
      </c>
      <c r="BJ910" s="14"/>
      <c r="BK910" s="14"/>
      <c r="BL910" s="14"/>
      <c r="BM910" s="412"/>
      <c r="BN910" s="14" t="e">
        <f t="shared" ref="BN910:BY910" si="4980">BN867/BN866</f>
        <v>#DIV/0!</v>
      </c>
      <c r="BO910" s="14" t="e">
        <f t="shared" si="4980"/>
        <v>#DIV/0!</v>
      </c>
      <c r="BP910" s="14" t="e">
        <f t="shared" si="4980"/>
        <v>#DIV/0!</v>
      </c>
      <c r="BQ910" s="14" t="e">
        <f t="shared" si="4980"/>
        <v>#DIV/0!</v>
      </c>
      <c r="BR910" s="14" t="e">
        <f t="shared" si="4980"/>
        <v>#DIV/0!</v>
      </c>
      <c r="BS910" s="14" t="e">
        <f t="shared" si="4980"/>
        <v>#DIV/0!</v>
      </c>
      <c r="BT910" s="14" t="e">
        <f t="shared" si="4980"/>
        <v>#DIV/0!</v>
      </c>
      <c r="BU910" s="14" t="e">
        <f t="shared" si="4980"/>
        <v>#DIV/0!</v>
      </c>
      <c r="BV910" s="14" t="e">
        <f t="shared" si="4980"/>
        <v>#DIV/0!</v>
      </c>
      <c r="BW910" s="14" t="e">
        <f t="shared" si="4980"/>
        <v>#DIV/0!</v>
      </c>
      <c r="BX910" s="14" t="e">
        <f t="shared" si="4980"/>
        <v>#DIV/0!</v>
      </c>
      <c r="BY910" s="14" t="e">
        <f t="shared" si="4980"/>
        <v>#DIV/0!</v>
      </c>
      <c r="BZ910" s="499">
        <f t="shared" si="4963"/>
        <v>14.238</v>
      </c>
      <c r="CA910" s="499">
        <f t="shared" si="4964"/>
        <v>14.238</v>
      </c>
      <c r="CB910" s="499">
        <f>CB146/CB154*3</f>
        <v>14.238</v>
      </c>
      <c r="CC910" s="498">
        <f t="shared" si="4965"/>
        <v>4.7459999999999996</v>
      </c>
      <c r="CD910" s="498">
        <f t="shared" si="4966"/>
        <v>4.7459999999999996</v>
      </c>
      <c r="CE910" s="499">
        <f>CE146/CE154*6</f>
        <v>4.7459999999999996</v>
      </c>
      <c r="CF910" s="498">
        <f t="shared" si="4967"/>
        <v>4.7459999999999987</v>
      </c>
      <c r="CG910" s="498">
        <f t="shared" si="4968"/>
        <v>4.7459999999999987</v>
      </c>
      <c r="CH910" s="499">
        <f>CH146/CH154*9</f>
        <v>4.7459999999999987</v>
      </c>
      <c r="CI910" s="498">
        <f t="shared" si="4969"/>
        <v>4.7459999999999969</v>
      </c>
      <c r="CJ910" s="498">
        <f t="shared" si="4970"/>
        <v>4.7459999999999969</v>
      </c>
      <c r="CK910" s="499">
        <f>CK146/CK154*12</f>
        <v>4.7459999999999969</v>
      </c>
      <c r="CL910" s="14"/>
      <c r="CM910" s="14"/>
      <c r="CN910" s="14"/>
      <c r="CO910" s="412"/>
      <c r="CP910" s="14" t="e">
        <f t="shared" ref="CP910:DA910" si="4981">CP867/CP866</f>
        <v>#DIV/0!</v>
      </c>
      <c r="CQ910" s="14" t="e">
        <f t="shared" si="4981"/>
        <v>#DIV/0!</v>
      </c>
      <c r="CR910" s="14" t="e">
        <f t="shared" si="4981"/>
        <v>#DIV/0!</v>
      </c>
      <c r="CS910" s="14" t="e">
        <f t="shared" si="4981"/>
        <v>#DIV/0!</v>
      </c>
      <c r="CT910" s="14" t="e">
        <f t="shared" si="4981"/>
        <v>#DIV/0!</v>
      </c>
      <c r="CU910" s="14" t="e">
        <f t="shared" si="4981"/>
        <v>#DIV/0!</v>
      </c>
      <c r="CV910" s="14" t="e">
        <f t="shared" si="4981"/>
        <v>#DIV/0!</v>
      </c>
      <c r="CW910" s="14" t="e">
        <f t="shared" si="4981"/>
        <v>#DIV/0!</v>
      </c>
      <c r="CX910" s="14" t="e">
        <f t="shared" si="4981"/>
        <v>#DIV/0!</v>
      </c>
      <c r="CY910" s="14" t="e">
        <f t="shared" si="4981"/>
        <v>#DIV/0!</v>
      </c>
      <c r="CZ910" s="14" t="e">
        <f t="shared" si="4981"/>
        <v>#DIV/0!</v>
      </c>
      <c r="DA910" s="14" t="e">
        <f t="shared" si="4981"/>
        <v>#DIV/0!</v>
      </c>
      <c r="DB910" s="499">
        <f>DB146/DB154</f>
        <v>4.7459999999999996</v>
      </c>
      <c r="DC910" s="499">
        <f t="shared" ref="DC910:DM910" si="4982">DC146/DC154</f>
        <v>4.7459999999999996</v>
      </c>
      <c r="DD910" s="499">
        <f t="shared" si="4982"/>
        <v>4.7459999999999996</v>
      </c>
      <c r="DE910" s="499">
        <f t="shared" si="4982"/>
        <v>4.7459999999999996</v>
      </c>
      <c r="DF910" s="499">
        <f t="shared" si="4982"/>
        <v>4.7459999999999996</v>
      </c>
      <c r="DG910" s="499">
        <f t="shared" si="4982"/>
        <v>4.7459999999999996</v>
      </c>
      <c r="DH910" s="499">
        <f t="shared" si="4982"/>
        <v>4.7460000000000004</v>
      </c>
      <c r="DI910" s="499">
        <f t="shared" si="4982"/>
        <v>4.7459999999999996</v>
      </c>
      <c r="DJ910" s="499">
        <f t="shared" si="4982"/>
        <v>4.7459999999999996</v>
      </c>
      <c r="DK910" s="499">
        <f t="shared" si="4982"/>
        <v>4.7459999999999996</v>
      </c>
      <c r="DL910" s="499">
        <f t="shared" si="4982"/>
        <v>4.7459999999999996</v>
      </c>
      <c r="DM910" s="499">
        <f t="shared" si="4982"/>
        <v>4.7459999999999987</v>
      </c>
      <c r="DN910" s="499">
        <f>DN146/DN154</f>
        <v>5.2456140350877192</v>
      </c>
      <c r="DO910" s="499">
        <f>DO146/DO154</f>
        <v>15.736842105263158</v>
      </c>
      <c r="DP910" s="499">
        <f>DP146/DP154</f>
        <v>31.473684210526315</v>
      </c>
      <c r="DQ910" s="499"/>
      <c r="DR910" s="499"/>
      <c r="DS910" s="499"/>
      <c r="DT910" s="499"/>
      <c r="DU910" s="499"/>
      <c r="DV910" s="499"/>
      <c r="DW910" s="499"/>
      <c r="DX910" s="499"/>
      <c r="DY910" s="499"/>
      <c r="DZ910" s="14"/>
      <c r="EA910" s="499">
        <f>EA146/EA154</f>
        <v>5.357142860747051</v>
      </c>
      <c r="EB910" s="499">
        <f>EB146/EB154</f>
        <v>4.7459999999999987</v>
      </c>
      <c r="EC910" s="499"/>
      <c r="ED910" s="429"/>
      <c r="EE910" s="499">
        <f>EE146/EE154</f>
        <v>10.491228070175438</v>
      </c>
      <c r="EF910" s="499">
        <f>EF146/EF154</f>
        <v>5.2456140350877192</v>
      </c>
      <c r="EG910" s="499">
        <f>EG146/EG154</f>
        <v>5.2455789473684202</v>
      </c>
      <c r="EH910" s="381"/>
      <c r="EI910" s="381"/>
      <c r="EJ910" s="381"/>
      <c r="EK910" s="217"/>
      <c r="EL910" s="251"/>
      <c r="EM910" s="251"/>
      <c r="EN910" s="251"/>
      <c r="EO910" s="381"/>
      <c r="EP910" s="381"/>
      <c r="EQ910" s="381"/>
      <c r="ER910" s="381"/>
      <c r="ES910" s="381"/>
    </row>
    <row r="911" spans="1:149">
      <c r="B911" s="481" t="s">
        <v>213</v>
      </c>
      <c r="C911" s="3" t="s">
        <v>74</v>
      </c>
      <c r="E911" s="4" t="str">
        <f t="shared" si="4953"/>
        <v>AFUniq</v>
      </c>
      <c r="F911" s="4" t="s">
        <v>31</v>
      </c>
      <c r="G911" s="165" t="str">
        <f t="shared" si="4954"/>
        <v>AFUniq</v>
      </c>
      <c r="H911" s="165"/>
      <c r="I911" s="165"/>
      <c r="J911" s="55" t="e">
        <f t="shared" ref="J911:U911" si="4983">J868/J867</f>
        <v>#DIV/0!</v>
      </c>
      <c r="K911" s="55" t="e">
        <f t="shared" si="4983"/>
        <v>#DIV/0!</v>
      </c>
      <c r="L911" s="55" t="e">
        <f t="shared" si="4983"/>
        <v>#DIV/0!</v>
      </c>
      <c r="M911" s="55" t="e">
        <f t="shared" si="4983"/>
        <v>#DIV/0!</v>
      </c>
      <c r="N911" s="55" t="e">
        <f t="shared" si="4983"/>
        <v>#DIV/0!</v>
      </c>
      <c r="O911" s="55" t="e">
        <f t="shared" si="4983"/>
        <v>#DIV/0!</v>
      </c>
      <c r="P911" s="55" t="e">
        <f t="shared" si="4983"/>
        <v>#DIV/0!</v>
      </c>
      <c r="Q911" s="55" t="e">
        <f t="shared" si="4983"/>
        <v>#DIV/0!</v>
      </c>
      <c r="R911" s="55" t="e">
        <f t="shared" si="4983"/>
        <v>#DIV/0!</v>
      </c>
      <c r="S911" s="55" t="e">
        <f t="shared" si="4983"/>
        <v>#DIV/0!</v>
      </c>
      <c r="T911" s="55" t="e">
        <f t="shared" si="4983"/>
        <v>#DIV/0!</v>
      </c>
      <c r="U911" s="55" t="e">
        <f t="shared" si="4983"/>
        <v>#DIV/0!</v>
      </c>
      <c r="V911" s="499">
        <f t="shared" ref="V911:AA911" si="4984">V212/V220</f>
        <v>5.9833333333333334</v>
      </c>
      <c r="W911" s="499">
        <f t="shared" si="4984"/>
        <v>5.9833333333333334</v>
      </c>
      <c r="X911" s="499">
        <f t="shared" si="4984"/>
        <v>5.9833333333333334</v>
      </c>
      <c r="Y911" s="499">
        <f t="shared" si="4984"/>
        <v>5.9833333333333334</v>
      </c>
      <c r="Z911" s="499">
        <f t="shared" si="4984"/>
        <v>5.9833333333333334</v>
      </c>
      <c r="AA911" s="499">
        <f t="shared" si="4984"/>
        <v>5.9833333333333334</v>
      </c>
      <c r="AB911" s="499">
        <f t="shared" ref="AB911:AF911" si="4985">AB212/AB220</f>
        <v>5.9833333333333334</v>
      </c>
      <c r="AC911" s="499">
        <f t="shared" si="4985"/>
        <v>5.9833333333333334</v>
      </c>
      <c r="AD911" s="499">
        <f t="shared" si="4985"/>
        <v>5.9833333333333334</v>
      </c>
      <c r="AE911" s="499">
        <f t="shared" si="4985"/>
        <v>5.9833333333333334</v>
      </c>
      <c r="AF911" s="499">
        <f t="shared" si="4985"/>
        <v>5.9833333333333334</v>
      </c>
      <c r="AG911" s="499">
        <f t="shared" ref="AG911" si="4986">AG212/AG220</f>
        <v>5.9833333333333334</v>
      </c>
      <c r="AH911" s="499">
        <f t="shared" ref="AH911:AJ911" si="4987">AH212/AH220</f>
        <v>4.5</v>
      </c>
      <c r="AI911" s="499">
        <f t="shared" si="4987"/>
        <v>9</v>
      </c>
      <c r="AJ911" s="499">
        <f t="shared" si="4987"/>
        <v>13.5</v>
      </c>
      <c r="AK911" s="412"/>
      <c r="AL911" s="14" t="e">
        <f t="shared" ref="AL911:AW911" si="4988">AL868/AL867</f>
        <v>#DIV/0!</v>
      </c>
      <c r="AM911" s="14" t="e">
        <f t="shared" si="4988"/>
        <v>#DIV/0!</v>
      </c>
      <c r="AN911" s="14" t="e">
        <f t="shared" si="4988"/>
        <v>#DIV/0!</v>
      </c>
      <c r="AO911" s="14" t="e">
        <f t="shared" si="4988"/>
        <v>#DIV/0!</v>
      </c>
      <c r="AP911" s="14" t="e">
        <f t="shared" si="4988"/>
        <v>#DIV/0!</v>
      </c>
      <c r="AQ911" s="14" t="e">
        <f t="shared" si="4988"/>
        <v>#DIV/0!</v>
      </c>
      <c r="AR911" s="14" t="e">
        <f t="shared" si="4988"/>
        <v>#DIV/0!</v>
      </c>
      <c r="AS911" s="14" t="e">
        <f t="shared" si="4988"/>
        <v>#DIV/0!</v>
      </c>
      <c r="AT911" s="14" t="e">
        <f t="shared" si="4988"/>
        <v>#DIV/0!</v>
      </c>
      <c r="AU911" s="14" t="e">
        <f t="shared" si="4988"/>
        <v>#DIV/0!</v>
      </c>
      <c r="AV911" s="14" t="e">
        <f t="shared" si="4988"/>
        <v>#DIV/0!</v>
      </c>
      <c r="AW911" s="14" t="e">
        <f t="shared" si="4988"/>
        <v>#DIV/0!</v>
      </c>
      <c r="AX911" s="499">
        <f t="shared" ref="AX911:BI911" si="4989">AX212/AX220</f>
        <v>5.9833333333333334</v>
      </c>
      <c r="AY911" s="499">
        <f t="shared" si="4989"/>
        <v>5.9833333333333334</v>
      </c>
      <c r="AZ911" s="499">
        <f t="shared" si="4989"/>
        <v>5.9833333333333334</v>
      </c>
      <c r="BA911" s="499">
        <f t="shared" si="4989"/>
        <v>5.9833333333333334</v>
      </c>
      <c r="BB911" s="499">
        <f t="shared" si="4989"/>
        <v>5.9833333333333334</v>
      </c>
      <c r="BC911" s="499">
        <f t="shared" si="4989"/>
        <v>5.9833333333333334</v>
      </c>
      <c r="BD911" s="499">
        <f t="shared" si="4989"/>
        <v>5.9833333333333334</v>
      </c>
      <c r="BE911" s="499">
        <f t="shared" si="4989"/>
        <v>5.9833333333333334</v>
      </c>
      <c r="BF911" s="499">
        <f t="shared" si="4989"/>
        <v>5.9833333333333334</v>
      </c>
      <c r="BG911" s="499">
        <f t="shared" si="4989"/>
        <v>5.9833333333333334</v>
      </c>
      <c r="BH911" s="499">
        <f t="shared" si="4989"/>
        <v>5.9833333333333334</v>
      </c>
      <c r="BI911" s="499">
        <f t="shared" si="4989"/>
        <v>5.9833333333333334</v>
      </c>
      <c r="BJ911" s="14"/>
      <c r="BK911" s="14"/>
      <c r="BL911" s="14"/>
      <c r="BM911" s="412"/>
      <c r="BN911" s="14" t="e">
        <f t="shared" ref="BN911:BY911" si="4990">BN868/BN867</f>
        <v>#DIV/0!</v>
      </c>
      <c r="BO911" s="14" t="e">
        <f t="shared" si="4990"/>
        <v>#DIV/0!</v>
      </c>
      <c r="BP911" s="14" t="e">
        <f t="shared" si="4990"/>
        <v>#DIV/0!</v>
      </c>
      <c r="BQ911" s="14" t="e">
        <f t="shared" si="4990"/>
        <v>#DIV/0!</v>
      </c>
      <c r="BR911" s="14" t="e">
        <f t="shared" si="4990"/>
        <v>#DIV/0!</v>
      </c>
      <c r="BS911" s="14" t="e">
        <f t="shared" si="4990"/>
        <v>#DIV/0!</v>
      </c>
      <c r="BT911" s="14" t="e">
        <f t="shared" si="4990"/>
        <v>#DIV/0!</v>
      </c>
      <c r="BU911" s="14" t="e">
        <f t="shared" si="4990"/>
        <v>#DIV/0!</v>
      </c>
      <c r="BV911" s="14" t="e">
        <f t="shared" si="4990"/>
        <v>#DIV/0!</v>
      </c>
      <c r="BW911" s="14" t="e">
        <f t="shared" si="4990"/>
        <v>#DIV/0!</v>
      </c>
      <c r="BX911" s="14" t="e">
        <f t="shared" si="4990"/>
        <v>#DIV/0!</v>
      </c>
      <c r="BY911" s="14" t="e">
        <f t="shared" si="4990"/>
        <v>#DIV/0!</v>
      </c>
      <c r="BZ911" s="499">
        <f t="shared" si="4963"/>
        <v>17.95</v>
      </c>
      <c r="CA911" s="499">
        <f t="shared" si="4964"/>
        <v>17.95</v>
      </c>
      <c r="CB911" s="499">
        <f>CB212/CB220*3</f>
        <v>17.95</v>
      </c>
      <c r="CC911" s="498">
        <f t="shared" si="4965"/>
        <v>5.9833333333333334</v>
      </c>
      <c r="CD911" s="498">
        <f t="shared" si="4966"/>
        <v>5.9833333333333334</v>
      </c>
      <c r="CE911" s="499">
        <f>CE212/CE220*6</f>
        <v>5.9833333333333334</v>
      </c>
      <c r="CF911" s="498">
        <f t="shared" si="4967"/>
        <v>5.9833333333333334</v>
      </c>
      <c r="CG911" s="498">
        <f t="shared" si="4968"/>
        <v>5.9833333333333334</v>
      </c>
      <c r="CH911" s="499">
        <f>CH212/CH220*9</f>
        <v>5.9833333333333334</v>
      </c>
      <c r="CI911" s="498">
        <f t="shared" si="4969"/>
        <v>5.9833333333333334</v>
      </c>
      <c r="CJ911" s="498">
        <f t="shared" si="4970"/>
        <v>5.9833333333333334</v>
      </c>
      <c r="CK911" s="499">
        <f>CK212/CK220*12</f>
        <v>5.9833333333333334</v>
      </c>
      <c r="CL911" s="14"/>
      <c r="CM911" s="14"/>
      <c r="CN911" s="14"/>
      <c r="CO911" s="412"/>
      <c r="CP911" s="14" t="e">
        <f t="shared" ref="CP911:DA911" si="4991">CP868/CP867</f>
        <v>#DIV/0!</v>
      </c>
      <c r="CQ911" s="14" t="e">
        <f t="shared" si="4991"/>
        <v>#DIV/0!</v>
      </c>
      <c r="CR911" s="14" t="e">
        <f t="shared" si="4991"/>
        <v>#DIV/0!</v>
      </c>
      <c r="CS911" s="14" t="e">
        <f t="shared" si="4991"/>
        <v>#DIV/0!</v>
      </c>
      <c r="CT911" s="14" t="e">
        <f t="shared" si="4991"/>
        <v>#DIV/0!</v>
      </c>
      <c r="CU911" s="14" t="e">
        <f t="shared" si="4991"/>
        <v>#DIV/0!</v>
      </c>
      <c r="CV911" s="14" t="e">
        <f t="shared" si="4991"/>
        <v>#DIV/0!</v>
      </c>
      <c r="CW911" s="14" t="e">
        <f t="shared" si="4991"/>
        <v>#DIV/0!</v>
      </c>
      <c r="CX911" s="14" t="e">
        <f t="shared" si="4991"/>
        <v>#DIV/0!</v>
      </c>
      <c r="CY911" s="14" t="e">
        <f t="shared" si="4991"/>
        <v>#DIV/0!</v>
      </c>
      <c r="CZ911" s="14" t="e">
        <f t="shared" si="4991"/>
        <v>#DIV/0!</v>
      </c>
      <c r="DA911" s="14" t="e">
        <f t="shared" si="4991"/>
        <v>#DIV/0!</v>
      </c>
      <c r="DB911" s="499">
        <f>DB212/DB220</f>
        <v>5.9833333333333334</v>
      </c>
      <c r="DC911" s="499">
        <f t="shared" ref="DC911:DM911" si="4992">DC212/DC220</f>
        <v>5.9833333333333334</v>
      </c>
      <c r="DD911" s="499">
        <f t="shared" si="4992"/>
        <v>5.9833333333333334</v>
      </c>
      <c r="DE911" s="499">
        <f t="shared" si="4992"/>
        <v>5.9833333333333334</v>
      </c>
      <c r="DF911" s="499">
        <f t="shared" si="4992"/>
        <v>5.9833333333333334</v>
      </c>
      <c r="DG911" s="499">
        <f t="shared" si="4992"/>
        <v>5.9833333333333334</v>
      </c>
      <c r="DH911" s="499">
        <f t="shared" si="4992"/>
        <v>5.9833333333333334</v>
      </c>
      <c r="DI911" s="499">
        <f t="shared" si="4992"/>
        <v>5.9833333333333334</v>
      </c>
      <c r="DJ911" s="499">
        <f t="shared" si="4992"/>
        <v>5.9833333333333334</v>
      </c>
      <c r="DK911" s="499">
        <f t="shared" si="4992"/>
        <v>5.9833333333333334</v>
      </c>
      <c r="DL911" s="499">
        <f t="shared" si="4992"/>
        <v>5.9833333333333334</v>
      </c>
      <c r="DM911" s="499">
        <f t="shared" si="4992"/>
        <v>5.9833333333333334</v>
      </c>
      <c r="DN911" s="499">
        <f>DN212/DN220</f>
        <v>4.5</v>
      </c>
      <c r="DO911" s="499">
        <f>DO212/DO220</f>
        <v>6.75</v>
      </c>
      <c r="DP911" s="499">
        <f>DP212/DP220</f>
        <v>9</v>
      </c>
      <c r="DQ911" s="499"/>
      <c r="DR911" s="499"/>
      <c r="DS911" s="499"/>
      <c r="DT911" s="499"/>
      <c r="DU911" s="499"/>
      <c r="DV911" s="499"/>
      <c r="DW911" s="499"/>
      <c r="DX911" s="499"/>
      <c r="DY911" s="499"/>
      <c r="DZ911" s="14"/>
      <c r="EA911" s="499">
        <f>EA212/EA220</f>
        <v>4.5175202195867028</v>
      </c>
      <c r="EB911" s="499">
        <f>EB212/EB220</f>
        <v>4.4874999999999998</v>
      </c>
      <c r="EC911" s="499"/>
      <c r="ED911" s="429"/>
      <c r="EE911" s="499">
        <f>EE212/EE220</f>
        <v>9</v>
      </c>
      <c r="EF911" s="499">
        <f>EF212/EF220</f>
        <v>4.5</v>
      </c>
      <c r="EG911" s="499">
        <f>EG212/EG220</f>
        <v>4.4874999999999998</v>
      </c>
      <c r="EH911" s="381"/>
      <c r="EI911" s="381"/>
      <c r="EJ911" s="381"/>
      <c r="EK911" s="217"/>
      <c r="EL911" s="251"/>
      <c r="EM911" s="251"/>
      <c r="EN911" s="251"/>
      <c r="EO911" s="381"/>
      <c r="EP911" s="381"/>
      <c r="EQ911" s="381"/>
      <c r="ER911" s="381"/>
      <c r="ES911" s="381"/>
    </row>
    <row r="912" spans="1:149">
      <c r="B912" s="481" t="s">
        <v>214</v>
      </c>
      <c r="C912" s="3" t="s">
        <v>74</v>
      </c>
      <c r="E912" s="4" t="str">
        <f t="shared" si="4953"/>
        <v>AFUniq</v>
      </c>
      <c r="F912" s="4" t="s">
        <v>31</v>
      </c>
      <c r="G912" s="165" t="str">
        <f t="shared" si="4954"/>
        <v>AFUniq</v>
      </c>
      <c r="H912" s="165"/>
      <c r="I912" s="165"/>
      <c r="J912" s="55" t="e">
        <f t="shared" ref="J912:U912" si="4993">J869/J868</f>
        <v>#DIV/0!</v>
      </c>
      <c r="K912" s="55" t="e">
        <f t="shared" si="4993"/>
        <v>#DIV/0!</v>
      </c>
      <c r="L912" s="55" t="e">
        <f t="shared" si="4993"/>
        <v>#DIV/0!</v>
      </c>
      <c r="M912" s="55" t="e">
        <f t="shared" si="4993"/>
        <v>#DIV/0!</v>
      </c>
      <c r="N912" s="55" t="e">
        <f t="shared" si="4993"/>
        <v>#DIV/0!</v>
      </c>
      <c r="O912" s="55" t="e">
        <f t="shared" si="4993"/>
        <v>#DIV/0!</v>
      </c>
      <c r="P912" s="55" t="e">
        <f t="shared" si="4993"/>
        <v>#DIV/0!</v>
      </c>
      <c r="Q912" s="55" t="e">
        <f t="shared" si="4993"/>
        <v>#DIV/0!</v>
      </c>
      <c r="R912" s="55" t="e">
        <f t="shared" si="4993"/>
        <v>#DIV/0!</v>
      </c>
      <c r="S912" s="55" t="e">
        <f t="shared" si="4993"/>
        <v>#DIV/0!</v>
      </c>
      <c r="T912" s="55" t="e">
        <f t="shared" si="4993"/>
        <v>#DIV/0!</v>
      </c>
      <c r="U912" s="55" t="e">
        <f t="shared" si="4993"/>
        <v>#DIV/0!</v>
      </c>
      <c r="V912" s="499">
        <f t="shared" ref="V912:AA912" si="4994">V278/V286</f>
        <v>6.9700426516301599</v>
      </c>
      <c r="W912" s="499">
        <f t="shared" si="4994"/>
        <v>6.9700426516301599</v>
      </c>
      <c r="X912" s="499">
        <f t="shared" si="4994"/>
        <v>6.970042651630159</v>
      </c>
      <c r="Y912" s="499">
        <f t="shared" si="4994"/>
        <v>6.9700426516301599</v>
      </c>
      <c r="Z912" s="499">
        <f t="shared" si="4994"/>
        <v>6.9700426516301599</v>
      </c>
      <c r="AA912" s="499">
        <f t="shared" si="4994"/>
        <v>6.970042651630159</v>
      </c>
      <c r="AB912" s="499">
        <f t="shared" ref="AB912:AF912" si="4995">AB278/AB286</f>
        <v>6.9700426516301599</v>
      </c>
      <c r="AC912" s="499">
        <f t="shared" si="4995"/>
        <v>6.9700426516301599</v>
      </c>
      <c r="AD912" s="499">
        <f t="shared" si="4995"/>
        <v>6.9700426516301599</v>
      </c>
      <c r="AE912" s="499">
        <f t="shared" si="4995"/>
        <v>6.9700426516301599</v>
      </c>
      <c r="AF912" s="499">
        <f t="shared" si="4995"/>
        <v>6.970042651630159</v>
      </c>
      <c r="AG912" s="499">
        <f t="shared" ref="AG912" si="4996">AG278/AG286</f>
        <v>6.970042651630159</v>
      </c>
      <c r="AH912" s="499">
        <f t="shared" ref="AH912:AJ912" si="4997">AH278/AH286</f>
        <v>5.4218173931901923</v>
      </c>
      <c r="AI912" s="499">
        <f t="shared" si="4997"/>
        <v>10.843634786380395</v>
      </c>
      <c r="AJ912" s="499">
        <f t="shared" si="4997"/>
        <v>16.265452179570595</v>
      </c>
      <c r="AK912" s="412"/>
      <c r="AL912" s="14" t="e">
        <f t="shared" ref="AL912:AW912" si="4998">AL869/AL868</f>
        <v>#DIV/0!</v>
      </c>
      <c r="AM912" s="14" t="e">
        <f t="shared" si="4998"/>
        <v>#DIV/0!</v>
      </c>
      <c r="AN912" s="14" t="e">
        <f t="shared" si="4998"/>
        <v>#DIV/0!</v>
      </c>
      <c r="AO912" s="14" t="e">
        <f t="shared" si="4998"/>
        <v>#DIV/0!</v>
      </c>
      <c r="AP912" s="14" t="e">
        <f t="shared" si="4998"/>
        <v>#DIV/0!</v>
      </c>
      <c r="AQ912" s="14" t="e">
        <f t="shared" si="4998"/>
        <v>#DIV/0!</v>
      </c>
      <c r="AR912" s="14" t="e">
        <f t="shared" si="4998"/>
        <v>#DIV/0!</v>
      </c>
      <c r="AS912" s="14" t="e">
        <f t="shared" si="4998"/>
        <v>#DIV/0!</v>
      </c>
      <c r="AT912" s="14" t="e">
        <f t="shared" si="4998"/>
        <v>#DIV/0!</v>
      </c>
      <c r="AU912" s="14" t="e">
        <f t="shared" si="4998"/>
        <v>#DIV/0!</v>
      </c>
      <c r="AV912" s="14" t="e">
        <f t="shared" si="4998"/>
        <v>#DIV/0!</v>
      </c>
      <c r="AW912" s="14" t="e">
        <f t="shared" si="4998"/>
        <v>#DIV/0!</v>
      </c>
      <c r="AX912" s="499">
        <f t="shared" ref="AX912:BI912" si="4999">AX278/AX286</f>
        <v>6.9700426516301599</v>
      </c>
      <c r="AY912" s="499">
        <f t="shared" si="4999"/>
        <v>6.9700426516301599</v>
      </c>
      <c r="AZ912" s="499">
        <f t="shared" si="4999"/>
        <v>6.970042651630159</v>
      </c>
      <c r="BA912" s="499">
        <f t="shared" si="4999"/>
        <v>6.9700426516301608</v>
      </c>
      <c r="BB912" s="499">
        <f t="shared" si="4999"/>
        <v>6.9700426516301608</v>
      </c>
      <c r="BC912" s="499">
        <f t="shared" si="4999"/>
        <v>6.9700426516301563</v>
      </c>
      <c r="BD912" s="499">
        <f t="shared" si="4999"/>
        <v>6.9700426516301608</v>
      </c>
      <c r="BE912" s="499">
        <f t="shared" si="4999"/>
        <v>6.9700426516301608</v>
      </c>
      <c r="BF912" s="499">
        <f t="shared" si="4999"/>
        <v>6.9700426516301608</v>
      </c>
      <c r="BG912" s="499">
        <f t="shared" si="4999"/>
        <v>6.9700426516301608</v>
      </c>
      <c r="BH912" s="499">
        <f t="shared" si="4999"/>
        <v>6.9700426516301528</v>
      </c>
      <c r="BI912" s="499">
        <f t="shared" si="4999"/>
        <v>6.9700426516301608</v>
      </c>
      <c r="BJ912" s="14"/>
      <c r="BK912" s="14"/>
      <c r="BL912" s="14"/>
      <c r="BM912" s="412"/>
      <c r="BN912" s="14" t="e">
        <f t="shared" ref="BN912:BY912" si="5000">BN869/BN868</f>
        <v>#DIV/0!</v>
      </c>
      <c r="BO912" s="14" t="e">
        <f t="shared" si="5000"/>
        <v>#DIV/0!</v>
      </c>
      <c r="BP912" s="14" t="e">
        <f t="shared" si="5000"/>
        <v>#DIV/0!</v>
      </c>
      <c r="BQ912" s="14" t="e">
        <f t="shared" si="5000"/>
        <v>#DIV/0!</v>
      </c>
      <c r="BR912" s="14" t="e">
        <f t="shared" si="5000"/>
        <v>#DIV/0!</v>
      </c>
      <c r="BS912" s="14" t="e">
        <f t="shared" si="5000"/>
        <v>#DIV/0!</v>
      </c>
      <c r="BT912" s="14" t="e">
        <f t="shared" si="5000"/>
        <v>#DIV/0!</v>
      </c>
      <c r="BU912" s="14" t="e">
        <f t="shared" si="5000"/>
        <v>#DIV/0!</v>
      </c>
      <c r="BV912" s="14" t="e">
        <f t="shared" si="5000"/>
        <v>#DIV/0!</v>
      </c>
      <c r="BW912" s="14" t="e">
        <f t="shared" si="5000"/>
        <v>#DIV/0!</v>
      </c>
      <c r="BX912" s="14" t="e">
        <f t="shared" si="5000"/>
        <v>#DIV/0!</v>
      </c>
      <c r="BY912" s="14" t="e">
        <f t="shared" si="5000"/>
        <v>#DIV/0!</v>
      </c>
      <c r="BZ912" s="499">
        <f t="shared" si="4963"/>
        <v>20.914663774403472</v>
      </c>
      <c r="CA912" s="499">
        <f t="shared" si="4964"/>
        <v>20.914663774403472</v>
      </c>
      <c r="CB912" s="499">
        <f>CB278/CB286*3</f>
        <v>20.914663774403472</v>
      </c>
      <c r="CC912" s="498">
        <f t="shared" si="4965"/>
        <v>6.9707145439209546</v>
      </c>
      <c r="CD912" s="498">
        <f t="shared" si="4966"/>
        <v>6.9707145439209546</v>
      </c>
      <c r="CE912" s="499">
        <f>CE278/CE286*6</f>
        <v>6.9707145439209546</v>
      </c>
      <c r="CF912" s="498">
        <f t="shared" si="4967"/>
        <v>6.9704345730580783</v>
      </c>
      <c r="CG912" s="498">
        <f t="shared" si="4968"/>
        <v>6.9704345730580783</v>
      </c>
      <c r="CH912" s="499">
        <f>CH278/CH286*9</f>
        <v>6.9704345730580783</v>
      </c>
      <c r="CI912" s="498">
        <f t="shared" si="4969"/>
        <v>6.969874698795179</v>
      </c>
      <c r="CJ912" s="498">
        <f t="shared" si="4970"/>
        <v>6.969874698795179</v>
      </c>
      <c r="CK912" s="499">
        <f>CK278/CK286*12</f>
        <v>6.969874698795179</v>
      </c>
      <c r="CL912" s="14"/>
      <c r="CM912" s="14"/>
      <c r="CN912" s="14"/>
      <c r="CO912" s="412"/>
      <c r="CP912" s="14" t="e">
        <f t="shared" ref="CP912:DA912" si="5001">CP869/CP868</f>
        <v>#DIV/0!</v>
      </c>
      <c r="CQ912" s="14" t="e">
        <f t="shared" si="5001"/>
        <v>#DIV/0!</v>
      </c>
      <c r="CR912" s="14" t="e">
        <f t="shared" si="5001"/>
        <v>#DIV/0!</v>
      </c>
      <c r="CS912" s="14" t="e">
        <f t="shared" si="5001"/>
        <v>#DIV/0!</v>
      </c>
      <c r="CT912" s="14" t="e">
        <f t="shared" si="5001"/>
        <v>#DIV/0!</v>
      </c>
      <c r="CU912" s="14" t="e">
        <f t="shared" si="5001"/>
        <v>#DIV/0!</v>
      </c>
      <c r="CV912" s="14" t="e">
        <f t="shared" si="5001"/>
        <v>#DIV/0!</v>
      </c>
      <c r="CW912" s="14" t="e">
        <f t="shared" si="5001"/>
        <v>#DIV/0!</v>
      </c>
      <c r="CX912" s="14" t="e">
        <f t="shared" si="5001"/>
        <v>#DIV/0!</v>
      </c>
      <c r="CY912" s="14" t="e">
        <f t="shared" si="5001"/>
        <v>#DIV/0!</v>
      </c>
      <c r="CZ912" s="14" t="e">
        <f t="shared" si="5001"/>
        <v>#DIV/0!</v>
      </c>
      <c r="DA912" s="14" t="e">
        <f t="shared" si="5001"/>
        <v>#DIV/0!</v>
      </c>
      <c r="DB912" s="499">
        <f>DB278/DB286</f>
        <v>6.9700426516301599</v>
      </c>
      <c r="DC912" s="499">
        <f t="shared" ref="DC912:DM912" si="5002">DC278/DC286</f>
        <v>6.9700426516301599</v>
      </c>
      <c r="DD912" s="499">
        <f t="shared" si="5002"/>
        <v>6.970042651630159</v>
      </c>
      <c r="DE912" s="499">
        <f t="shared" si="5002"/>
        <v>6.9700426516301599</v>
      </c>
      <c r="DF912" s="499">
        <f t="shared" si="5002"/>
        <v>6.9700426516301599</v>
      </c>
      <c r="DG912" s="499">
        <f t="shared" si="5002"/>
        <v>6.970042651630159</v>
      </c>
      <c r="DH912" s="499">
        <f t="shared" si="5002"/>
        <v>6.9700426516301599</v>
      </c>
      <c r="DI912" s="499">
        <f t="shared" si="5002"/>
        <v>6.9700426516301599</v>
      </c>
      <c r="DJ912" s="499">
        <f t="shared" si="5002"/>
        <v>6.9700426516301599</v>
      </c>
      <c r="DK912" s="499">
        <f t="shared" si="5002"/>
        <v>6.9700426516301599</v>
      </c>
      <c r="DL912" s="499">
        <f t="shared" si="5002"/>
        <v>6.970042651630159</v>
      </c>
      <c r="DM912" s="499">
        <f t="shared" si="5002"/>
        <v>6.970042651630159</v>
      </c>
      <c r="DN912" s="499">
        <f>DN278/DN286</f>
        <v>5.4218173931901976</v>
      </c>
      <c r="DO912" s="499">
        <f>DO278/DO286</f>
        <v>8.1327260897852973</v>
      </c>
      <c r="DP912" s="499">
        <f>DP278/DP286</f>
        <v>10.843634786380395</v>
      </c>
      <c r="DQ912" s="499"/>
      <c r="DR912" s="499"/>
      <c r="DS912" s="499"/>
      <c r="DT912" s="499"/>
      <c r="DU912" s="499"/>
      <c r="DV912" s="499"/>
      <c r="DW912" s="499"/>
      <c r="DX912" s="499"/>
      <c r="DY912" s="499"/>
      <c r="DZ912" s="14"/>
      <c r="EA912" s="499">
        <f>EA278/EA286</f>
        <v>5.8239576439444072</v>
      </c>
      <c r="EB912" s="499">
        <f>EB278/EB286</f>
        <v>7.870742857142857</v>
      </c>
      <c r="EC912" s="499"/>
      <c r="ED912" s="429"/>
      <c r="EE912" s="499">
        <f>EE278/EE286</f>
        <v>10.843634786380395</v>
      </c>
      <c r="EF912" s="499">
        <f>EF278/EF286</f>
        <v>6.8027210884353737</v>
      </c>
      <c r="EG912" s="499">
        <f>EG278/EG286</f>
        <v>7.870742857142857</v>
      </c>
      <c r="EH912" s="381"/>
      <c r="EI912" s="381"/>
      <c r="EJ912" s="381"/>
      <c r="EK912" s="217"/>
      <c r="EL912" s="251"/>
      <c r="EM912" s="251"/>
      <c r="EN912" s="251"/>
      <c r="EO912" s="381"/>
      <c r="EP912" s="381"/>
      <c r="EQ912" s="381"/>
      <c r="ER912" s="381"/>
      <c r="ES912" s="381"/>
    </row>
    <row r="913" spans="1:149">
      <c r="B913" s="481" t="s">
        <v>215</v>
      </c>
      <c r="C913" s="3" t="s">
        <v>74</v>
      </c>
      <c r="E913" s="4" t="str">
        <f t="shared" si="4953"/>
        <v>AFUniq</v>
      </c>
      <c r="F913" s="4" t="s">
        <v>31</v>
      </c>
      <c r="G913" s="165" t="str">
        <f t="shared" si="4954"/>
        <v>AFUniq</v>
      </c>
      <c r="H913" s="165"/>
      <c r="I913" s="165"/>
      <c r="J913" s="55" t="e">
        <f t="shared" ref="J913:U913" si="5003">J870/J869</f>
        <v>#DIV/0!</v>
      </c>
      <c r="K913" s="55" t="e">
        <f t="shared" si="5003"/>
        <v>#DIV/0!</v>
      </c>
      <c r="L913" s="55" t="e">
        <f t="shared" si="5003"/>
        <v>#DIV/0!</v>
      </c>
      <c r="M913" s="55" t="e">
        <f t="shared" si="5003"/>
        <v>#DIV/0!</v>
      </c>
      <c r="N913" s="55" t="e">
        <f t="shared" si="5003"/>
        <v>#DIV/0!</v>
      </c>
      <c r="O913" s="55" t="e">
        <f t="shared" si="5003"/>
        <v>#DIV/0!</v>
      </c>
      <c r="P913" s="55" t="e">
        <f t="shared" si="5003"/>
        <v>#DIV/0!</v>
      </c>
      <c r="Q913" s="55" t="e">
        <f t="shared" si="5003"/>
        <v>#DIV/0!</v>
      </c>
      <c r="R913" s="55" t="e">
        <f t="shared" si="5003"/>
        <v>#DIV/0!</v>
      </c>
      <c r="S913" s="55" t="e">
        <f t="shared" si="5003"/>
        <v>#DIV/0!</v>
      </c>
      <c r="T913" s="55" t="e">
        <f t="shared" si="5003"/>
        <v>#DIV/0!</v>
      </c>
      <c r="U913" s="55" t="e">
        <f t="shared" si="5003"/>
        <v>#DIV/0!</v>
      </c>
      <c r="V913" s="499">
        <f t="shared" ref="V913:AA913" si="5004">V344/V352</f>
        <v>5.5</v>
      </c>
      <c r="W913" s="499">
        <f t="shared" si="5004"/>
        <v>5.5</v>
      </c>
      <c r="X913" s="499">
        <f t="shared" si="5004"/>
        <v>5.5</v>
      </c>
      <c r="Y913" s="499">
        <f t="shared" si="5004"/>
        <v>5.5</v>
      </c>
      <c r="Z913" s="499">
        <f t="shared" si="5004"/>
        <v>5.5</v>
      </c>
      <c r="AA913" s="499">
        <f t="shared" si="5004"/>
        <v>5.5</v>
      </c>
      <c r="AB913" s="499">
        <f t="shared" ref="AB913:AF913" si="5005">AB344/AB352</f>
        <v>5.5</v>
      </c>
      <c r="AC913" s="499">
        <f t="shared" si="5005"/>
        <v>5.5</v>
      </c>
      <c r="AD913" s="499">
        <f t="shared" si="5005"/>
        <v>5.5</v>
      </c>
      <c r="AE913" s="499">
        <f t="shared" si="5005"/>
        <v>5.5</v>
      </c>
      <c r="AF913" s="499">
        <f t="shared" si="5005"/>
        <v>5.5</v>
      </c>
      <c r="AG913" s="499">
        <f t="shared" ref="AG913" si="5006">AG344/AG352</f>
        <v>5.5</v>
      </c>
      <c r="AH913" s="499">
        <f t="shared" ref="AH913:AJ913" si="5007">AH344/AH352</f>
        <v>4.0042918454935617</v>
      </c>
      <c r="AI913" s="499">
        <f t="shared" si="5007"/>
        <v>8.0085836909871233</v>
      </c>
      <c r="AJ913" s="499">
        <f t="shared" si="5007"/>
        <v>12.012875536480687</v>
      </c>
      <c r="AK913" s="412"/>
      <c r="AL913" s="14" t="e">
        <f t="shared" ref="AL913:AW913" si="5008">AL870/AL869</f>
        <v>#DIV/0!</v>
      </c>
      <c r="AM913" s="14" t="e">
        <f t="shared" si="5008"/>
        <v>#DIV/0!</v>
      </c>
      <c r="AN913" s="14" t="e">
        <f t="shared" si="5008"/>
        <v>#DIV/0!</v>
      </c>
      <c r="AO913" s="14" t="e">
        <f t="shared" si="5008"/>
        <v>#DIV/0!</v>
      </c>
      <c r="AP913" s="14" t="e">
        <f t="shared" si="5008"/>
        <v>#DIV/0!</v>
      </c>
      <c r="AQ913" s="14" t="e">
        <f t="shared" si="5008"/>
        <v>#DIV/0!</v>
      </c>
      <c r="AR913" s="14" t="e">
        <f t="shared" si="5008"/>
        <v>#DIV/0!</v>
      </c>
      <c r="AS913" s="14" t="e">
        <f t="shared" si="5008"/>
        <v>#DIV/0!</v>
      </c>
      <c r="AT913" s="14" t="e">
        <f t="shared" si="5008"/>
        <v>#DIV/0!</v>
      </c>
      <c r="AU913" s="14" t="e">
        <f t="shared" si="5008"/>
        <v>#DIV/0!</v>
      </c>
      <c r="AV913" s="14" t="e">
        <f t="shared" si="5008"/>
        <v>#DIV/0!</v>
      </c>
      <c r="AW913" s="14" t="e">
        <f t="shared" si="5008"/>
        <v>#DIV/0!</v>
      </c>
      <c r="AX913" s="499">
        <f t="shared" ref="AX913:BI913" si="5009">AX344/AX352</f>
        <v>5.5</v>
      </c>
      <c r="AY913" s="499">
        <f t="shared" si="5009"/>
        <v>5.5</v>
      </c>
      <c r="AZ913" s="499">
        <f t="shared" si="5009"/>
        <v>5.5</v>
      </c>
      <c r="BA913" s="499">
        <f t="shared" si="5009"/>
        <v>5.5</v>
      </c>
      <c r="BB913" s="499">
        <f t="shared" si="5009"/>
        <v>5.5</v>
      </c>
      <c r="BC913" s="499">
        <f t="shared" si="5009"/>
        <v>5.5</v>
      </c>
      <c r="BD913" s="499">
        <f t="shared" si="5009"/>
        <v>5.5</v>
      </c>
      <c r="BE913" s="499">
        <f t="shared" si="5009"/>
        <v>5.5</v>
      </c>
      <c r="BF913" s="499">
        <f t="shared" si="5009"/>
        <v>5.5</v>
      </c>
      <c r="BG913" s="499">
        <f t="shared" si="5009"/>
        <v>5.5</v>
      </c>
      <c r="BH913" s="499">
        <f t="shared" si="5009"/>
        <v>5.5</v>
      </c>
      <c r="BI913" s="499">
        <f t="shared" si="5009"/>
        <v>5.5</v>
      </c>
      <c r="BJ913" s="14"/>
      <c r="BK913" s="14"/>
      <c r="BL913" s="14"/>
      <c r="BM913" s="412"/>
      <c r="BN913" s="14" t="e">
        <f t="shared" ref="BN913:BY913" si="5010">BN870/BN869</f>
        <v>#DIV/0!</v>
      </c>
      <c r="BO913" s="14" t="e">
        <f t="shared" si="5010"/>
        <v>#DIV/0!</v>
      </c>
      <c r="BP913" s="14" t="e">
        <f t="shared" si="5010"/>
        <v>#DIV/0!</v>
      </c>
      <c r="BQ913" s="14" t="e">
        <f t="shared" si="5010"/>
        <v>#DIV/0!</v>
      </c>
      <c r="BR913" s="14" t="e">
        <f t="shared" si="5010"/>
        <v>#DIV/0!</v>
      </c>
      <c r="BS913" s="14" t="e">
        <f t="shared" si="5010"/>
        <v>#DIV/0!</v>
      </c>
      <c r="BT913" s="14" t="e">
        <f t="shared" si="5010"/>
        <v>#DIV/0!</v>
      </c>
      <c r="BU913" s="14" t="e">
        <f t="shared" si="5010"/>
        <v>#DIV/0!</v>
      </c>
      <c r="BV913" s="14" t="e">
        <f t="shared" si="5010"/>
        <v>#DIV/0!</v>
      </c>
      <c r="BW913" s="14" t="e">
        <f t="shared" si="5010"/>
        <v>#DIV/0!</v>
      </c>
      <c r="BX913" s="14" t="e">
        <f t="shared" si="5010"/>
        <v>#DIV/0!</v>
      </c>
      <c r="BY913" s="14" t="e">
        <f t="shared" si="5010"/>
        <v>#DIV/0!</v>
      </c>
      <c r="BZ913" s="499">
        <f t="shared" si="4963"/>
        <v>16.5</v>
      </c>
      <c r="CA913" s="499">
        <f t="shared" si="4964"/>
        <v>16.5</v>
      </c>
      <c r="CB913" s="499">
        <f>CB344/CB352*3</f>
        <v>16.5</v>
      </c>
      <c r="CC913" s="498">
        <f t="shared" si="4965"/>
        <v>5.5</v>
      </c>
      <c r="CD913" s="498">
        <f t="shared" si="4966"/>
        <v>5.5</v>
      </c>
      <c r="CE913" s="499">
        <f>CE344/CE352*6</f>
        <v>5.5</v>
      </c>
      <c r="CF913" s="498">
        <f t="shared" si="4967"/>
        <v>5.5</v>
      </c>
      <c r="CG913" s="498">
        <f t="shared" si="4968"/>
        <v>5.5</v>
      </c>
      <c r="CH913" s="499">
        <f>CH344/CH352*9</f>
        <v>5.5</v>
      </c>
      <c r="CI913" s="498">
        <f t="shared" si="4969"/>
        <v>5.5</v>
      </c>
      <c r="CJ913" s="498">
        <f t="shared" si="4970"/>
        <v>5.5</v>
      </c>
      <c r="CK913" s="499">
        <f>CK344/CK352*12</f>
        <v>5.5</v>
      </c>
      <c r="CL913" s="14"/>
      <c r="CM913" s="14"/>
      <c r="CN913" s="14"/>
      <c r="CO913" s="412"/>
      <c r="CP913" s="14" t="e">
        <f t="shared" ref="CP913:DA913" si="5011">CP870/CP869</f>
        <v>#DIV/0!</v>
      </c>
      <c r="CQ913" s="14" t="e">
        <f t="shared" si="5011"/>
        <v>#DIV/0!</v>
      </c>
      <c r="CR913" s="14" t="e">
        <f t="shared" si="5011"/>
        <v>#DIV/0!</v>
      </c>
      <c r="CS913" s="14" t="e">
        <f t="shared" si="5011"/>
        <v>#DIV/0!</v>
      </c>
      <c r="CT913" s="14" t="e">
        <f t="shared" si="5011"/>
        <v>#DIV/0!</v>
      </c>
      <c r="CU913" s="14" t="e">
        <f t="shared" si="5011"/>
        <v>#DIV/0!</v>
      </c>
      <c r="CV913" s="14" t="e">
        <f t="shared" si="5011"/>
        <v>#DIV/0!</v>
      </c>
      <c r="CW913" s="14" t="e">
        <f t="shared" si="5011"/>
        <v>#DIV/0!</v>
      </c>
      <c r="CX913" s="14" t="e">
        <f t="shared" si="5011"/>
        <v>#DIV/0!</v>
      </c>
      <c r="CY913" s="14" t="e">
        <f t="shared" si="5011"/>
        <v>#DIV/0!</v>
      </c>
      <c r="CZ913" s="14" t="e">
        <f t="shared" si="5011"/>
        <v>#DIV/0!</v>
      </c>
      <c r="DA913" s="14" t="e">
        <f t="shared" si="5011"/>
        <v>#DIV/0!</v>
      </c>
      <c r="DB913" s="499">
        <f>DB344/DB352</f>
        <v>5.5</v>
      </c>
      <c r="DC913" s="499">
        <f t="shared" ref="DC913:DM913" si="5012">DC344/DC352</f>
        <v>5.5</v>
      </c>
      <c r="DD913" s="499">
        <f t="shared" si="5012"/>
        <v>5.5</v>
      </c>
      <c r="DE913" s="499">
        <f t="shared" si="5012"/>
        <v>5.5</v>
      </c>
      <c r="DF913" s="499">
        <f t="shared" si="5012"/>
        <v>5.5</v>
      </c>
      <c r="DG913" s="499">
        <f t="shared" si="5012"/>
        <v>5.5</v>
      </c>
      <c r="DH913" s="499">
        <f t="shared" si="5012"/>
        <v>5.5</v>
      </c>
      <c r="DI913" s="499">
        <f t="shared" si="5012"/>
        <v>5.5</v>
      </c>
      <c r="DJ913" s="499">
        <f t="shared" si="5012"/>
        <v>5.5</v>
      </c>
      <c r="DK913" s="499">
        <f t="shared" si="5012"/>
        <v>5.5</v>
      </c>
      <c r="DL913" s="499">
        <f t="shared" si="5012"/>
        <v>5.5</v>
      </c>
      <c r="DM913" s="499">
        <f t="shared" si="5012"/>
        <v>5.5</v>
      </c>
      <c r="DN913" s="499">
        <f>DN344/DN352</f>
        <v>4.0042918454935617</v>
      </c>
      <c r="DO913" s="499">
        <f>DO344/DO352</f>
        <v>6.0064377682403434</v>
      </c>
      <c r="DP913" s="499">
        <f>DP344/DP352</f>
        <v>8.0085836909871251</v>
      </c>
      <c r="DQ913" s="499"/>
      <c r="DR913" s="499"/>
      <c r="DS913" s="499"/>
      <c r="DT913" s="499"/>
      <c r="DU913" s="499"/>
      <c r="DV913" s="499"/>
      <c r="DW913" s="499"/>
      <c r="DX913" s="499"/>
      <c r="DY913" s="499"/>
      <c r="DZ913" s="14"/>
      <c r="EA913" s="499">
        <f>EA344/EA352</f>
        <v>5.1551760049989586</v>
      </c>
      <c r="EB913" s="499">
        <f>EB344/EB352</f>
        <v>5.5</v>
      </c>
      <c r="EC913" s="499"/>
      <c r="ED913" s="429"/>
      <c r="EE913" s="499">
        <v>5.5</v>
      </c>
      <c r="EF913" s="499">
        <f>EF344/EF352</f>
        <v>8.0085836909871251</v>
      </c>
      <c r="EG913" s="499">
        <f>EG344/EG352</f>
        <v>4.0042918454935625</v>
      </c>
      <c r="EH913" s="381"/>
      <c r="EI913" s="381"/>
      <c r="EJ913" s="381"/>
      <c r="EK913" s="217"/>
      <c r="EL913" s="251"/>
      <c r="EM913" s="251"/>
      <c r="EN913" s="251"/>
      <c r="EO913" s="381"/>
      <c r="EP913" s="381"/>
      <c r="EQ913" s="381"/>
      <c r="ER913" s="381"/>
      <c r="ES913" s="381"/>
    </row>
    <row r="914" spans="1:149">
      <c r="B914" s="481" t="s">
        <v>216</v>
      </c>
      <c r="C914" s="3" t="s">
        <v>74</v>
      </c>
      <c r="E914" s="4" t="str">
        <f t="shared" si="4953"/>
        <v>AFUniq</v>
      </c>
      <c r="F914" s="4" t="s">
        <v>31</v>
      </c>
      <c r="G914" s="165" t="str">
        <f t="shared" si="4954"/>
        <v>AFUniq</v>
      </c>
      <c r="H914" s="165"/>
      <c r="I914" s="165"/>
      <c r="J914" s="55" t="e">
        <f t="shared" ref="J914:U914" si="5013">J871/J870</f>
        <v>#DIV/0!</v>
      </c>
      <c r="K914" s="55" t="e">
        <f t="shared" si="5013"/>
        <v>#DIV/0!</v>
      </c>
      <c r="L914" s="55" t="e">
        <f t="shared" si="5013"/>
        <v>#DIV/0!</v>
      </c>
      <c r="M914" s="55" t="e">
        <f t="shared" si="5013"/>
        <v>#DIV/0!</v>
      </c>
      <c r="N914" s="55" t="e">
        <f t="shared" si="5013"/>
        <v>#DIV/0!</v>
      </c>
      <c r="O914" s="55" t="e">
        <f t="shared" si="5013"/>
        <v>#DIV/0!</v>
      </c>
      <c r="P914" s="55" t="e">
        <f t="shared" si="5013"/>
        <v>#DIV/0!</v>
      </c>
      <c r="Q914" s="55" t="e">
        <f t="shared" si="5013"/>
        <v>#DIV/0!</v>
      </c>
      <c r="R914" s="55" t="e">
        <f t="shared" si="5013"/>
        <v>#DIV/0!</v>
      </c>
      <c r="S914" s="55" t="e">
        <f t="shared" si="5013"/>
        <v>#DIV/0!</v>
      </c>
      <c r="T914" s="55" t="e">
        <f t="shared" si="5013"/>
        <v>#DIV/0!</v>
      </c>
      <c r="U914" s="55" t="e">
        <f t="shared" si="5013"/>
        <v>#DIV/0!</v>
      </c>
      <c r="V914" s="499">
        <f t="shared" ref="V914:AA914" si="5014">V410/V418</f>
        <v>4.5030303030303029</v>
      </c>
      <c r="W914" s="499">
        <f t="shared" si="5014"/>
        <v>4.5030303030303029</v>
      </c>
      <c r="X914" s="499">
        <f t="shared" si="5014"/>
        <v>4.5030303030303029</v>
      </c>
      <c r="Y914" s="499">
        <f t="shared" si="5014"/>
        <v>4.5030303030303029</v>
      </c>
      <c r="Z914" s="499">
        <f t="shared" si="5014"/>
        <v>4.5030303030303029</v>
      </c>
      <c r="AA914" s="499">
        <f t="shared" si="5014"/>
        <v>4.5030303030303029</v>
      </c>
      <c r="AB914" s="499">
        <f t="shared" ref="AB914:AF914" si="5015">AB410/AB418</f>
        <v>4.5030303030303029</v>
      </c>
      <c r="AC914" s="499">
        <f t="shared" si="5015"/>
        <v>4.5030303030303029</v>
      </c>
      <c r="AD914" s="499">
        <f t="shared" si="5015"/>
        <v>4.5030303030303029</v>
      </c>
      <c r="AE914" s="499">
        <f t="shared" si="5015"/>
        <v>4.5030303030303029</v>
      </c>
      <c r="AF914" s="499">
        <f t="shared" si="5015"/>
        <v>4.5030303030303029</v>
      </c>
      <c r="AG914" s="499">
        <f t="shared" ref="AG914" si="5016">AG410/AG418</f>
        <v>4.5030303030303029</v>
      </c>
      <c r="AH914" s="499">
        <f t="shared" ref="AH914:AJ914" si="5017">AH410/AH418</f>
        <v>4.5</v>
      </c>
      <c r="AI914" s="499">
        <f t="shared" si="5017"/>
        <v>4.5</v>
      </c>
      <c r="AJ914" s="499" t="e">
        <f t="shared" si="5017"/>
        <v>#DIV/0!</v>
      </c>
      <c r="AK914" s="412"/>
      <c r="AL914" s="14" t="e">
        <f t="shared" ref="AL914:AW914" si="5018">AL871/AL870</f>
        <v>#DIV/0!</v>
      </c>
      <c r="AM914" s="14" t="e">
        <f t="shared" si="5018"/>
        <v>#DIV/0!</v>
      </c>
      <c r="AN914" s="14" t="e">
        <f t="shared" si="5018"/>
        <v>#DIV/0!</v>
      </c>
      <c r="AO914" s="14" t="e">
        <f t="shared" si="5018"/>
        <v>#DIV/0!</v>
      </c>
      <c r="AP914" s="14" t="e">
        <f t="shared" si="5018"/>
        <v>#DIV/0!</v>
      </c>
      <c r="AQ914" s="14" t="e">
        <f t="shared" si="5018"/>
        <v>#DIV/0!</v>
      </c>
      <c r="AR914" s="14" t="e">
        <f t="shared" si="5018"/>
        <v>#DIV/0!</v>
      </c>
      <c r="AS914" s="14" t="e">
        <f t="shared" si="5018"/>
        <v>#DIV/0!</v>
      </c>
      <c r="AT914" s="14" t="e">
        <f t="shared" si="5018"/>
        <v>#DIV/0!</v>
      </c>
      <c r="AU914" s="14" t="e">
        <f t="shared" si="5018"/>
        <v>#DIV/0!</v>
      </c>
      <c r="AV914" s="14" t="e">
        <f t="shared" si="5018"/>
        <v>#DIV/0!</v>
      </c>
      <c r="AW914" s="14" t="e">
        <f t="shared" si="5018"/>
        <v>#DIV/0!</v>
      </c>
      <c r="AX914" s="499">
        <f t="shared" ref="AX914:BI914" si="5019">AX410/AX418</f>
        <v>4.5030303030303029</v>
      </c>
      <c r="AY914" s="499">
        <f t="shared" si="5019"/>
        <v>4.5030303030303029</v>
      </c>
      <c r="AZ914" s="499">
        <f t="shared" si="5019"/>
        <v>4.5030303030303029</v>
      </c>
      <c r="BA914" s="499">
        <f t="shared" si="5019"/>
        <v>4.5030303030303029</v>
      </c>
      <c r="BB914" s="499">
        <f t="shared" si="5019"/>
        <v>4.5030303030303029</v>
      </c>
      <c r="BC914" s="499">
        <f t="shared" si="5019"/>
        <v>4.5030303030303029</v>
      </c>
      <c r="BD914" s="499">
        <f t="shared" si="5019"/>
        <v>4.5030303030303029</v>
      </c>
      <c r="BE914" s="499">
        <f t="shared" si="5019"/>
        <v>4.5030303030303029</v>
      </c>
      <c r="BF914" s="499">
        <f t="shared" si="5019"/>
        <v>4.5030303030303029</v>
      </c>
      <c r="BG914" s="499">
        <f t="shared" si="5019"/>
        <v>4.5030303030303029</v>
      </c>
      <c r="BH914" s="499">
        <f t="shared" si="5019"/>
        <v>4.5030303030303029</v>
      </c>
      <c r="BI914" s="499">
        <f t="shared" si="5019"/>
        <v>4.5030303030303029</v>
      </c>
      <c r="BJ914" s="14"/>
      <c r="BK914" s="14"/>
      <c r="BL914" s="14"/>
      <c r="BM914" s="412"/>
      <c r="BN914" s="14" t="e">
        <f t="shared" ref="BN914:BY914" si="5020">BN871/BN870</f>
        <v>#DIV/0!</v>
      </c>
      <c r="BO914" s="14" t="e">
        <f t="shared" si="5020"/>
        <v>#DIV/0!</v>
      </c>
      <c r="BP914" s="14" t="e">
        <f t="shared" si="5020"/>
        <v>#DIV/0!</v>
      </c>
      <c r="BQ914" s="14" t="e">
        <f t="shared" si="5020"/>
        <v>#DIV/0!</v>
      </c>
      <c r="BR914" s="14" t="e">
        <f t="shared" si="5020"/>
        <v>#DIV/0!</v>
      </c>
      <c r="BS914" s="14" t="e">
        <f t="shared" si="5020"/>
        <v>#DIV/0!</v>
      </c>
      <c r="BT914" s="14" t="e">
        <f t="shared" si="5020"/>
        <v>#DIV/0!</v>
      </c>
      <c r="BU914" s="14" t="e">
        <f t="shared" si="5020"/>
        <v>#DIV/0!</v>
      </c>
      <c r="BV914" s="14" t="e">
        <f t="shared" si="5020"/>
        <v>#DIV/0!</v>
      </c>
      <c r="BW914" s="14" t="e">
        <f t="shared" si="5020"/>
        <v>#DIV/0!</v>
      </c>
      <c r="BX914" s="14" t="e">
        <f t="shared" si="5020"/>
        <v>#DIV/0!</v>
      </c>
      <c r="BY914" s="14" t="e">
        <f t="shared" si="5020"/>
        <v>#DIV/0!</v>
      </c>
      <c r="BZ914" s="499">
        <f t="shared" si="4963"/>
        <v>13.509090909090908</v>
      </c>
      <c r="CA914" s="499">
        <f t="shared" si="4964"/>
        <v>13.509090909090908</v>
      </c>
      <c r="CB914" s="499">
        <f>CB410/CB418*3</f>
        <v>13.509090909090908</v>
      </c>
      <c r="CC914" s="498">
        <f t="shared" si="4965"/>
        <v>4.5030303030303021</v>
      </c>
      <c r="CD914" s="498">
        <f t="shared" si="4966"/>
        <v>4.5030303030303021</v>
      </c>
      <c r="CE914" s="499">
        <f>CE410/CE418*6</f>
        <v>4.5030303030303021</v>
      </c>
      <c r="CF914" s="498">
        <f t="shared" si="4967"/>
        <v>4.5030303030303029</v>
      </c>
      <c r="CG914" s="498">
        <f t="shared" si="4968"/>
        <v>4.5030303030303029</v>
      </c>
      <c r="CH914" s="499">
        <f>CH410/CH418*9</f>
        <v>4.5030303030303029</v>
      </c>
      <c r="CI914" s="498">
        <f t="shared" si="4969"/>
        <v>4.5030303030303021</v>
      </c>
      <c r="CJ914" s="498">
        <f t="shared" si="4970"/>
        <v>4.5030303030303021</v>
      </c>
      <c r="CK914" s="499">
        <f>CK410/CK418*12</f>
        <v>4.5030303030303021</v>
      </c>
      <c r="CL914" s="14"/>
      <c r="CM914" s="14"/>
      <c r="CN914" s="14"/>
      <c r="CO914" s="412"/>
      <c r="CP914" s="14" t="e">
        <f t="shared" ref="CP914:DA914" si="5021">CP871/CP870</f>
        <v>#DIV/0!</v>
      </c>
      <c r="CQ914" s="14" t="e">
        <f t="shared" si="5021"/>
        <v>#DIV/0!</v>
      </c>
      <c r="CR914" s="14" t="e">
        <f t="shared" si="5021"/>
        <v>#DIV/0!</v>
      </c>
      <c r="CS914" s="14" t="e">
        <f t="shared" si="5021"/>
        <v>#DIV/0!</v>
      </c>
      <c r="CT914" s="14" t="e">
        <f t="shared" si="5021"/>
        <v>#DIV/0!</v>
      </c>
      <c r="CU914" s="14" t="e">
        <f t="shared" si="5021"/>
        <v>#DIV/0!</v>
      </c>
      <c r="CV914" s="14" t="e">
        <f t="shared" si="5021"/>
        <v>#DIV/0!</v>
      </c>
      <c r="CW914" s="14" t="e">
        <f t="shared" si="5021"/>
        <v>#DIV/0!</v>
      </c>
      <c r="CX914" s="14" t="e">
        <f t="shared" si="5021"/>
        <v>#DIV/0!</v>
      </c>
      <c r="CY914" s="14" t="e">
        <f t="shared" si="5021"/>
        <v>#DIV/0!</v>
      </c>
      <c r="CZ914" s="14" t="e">
        <f t="shared" si="5021"/>
        <v>#DIV/0!</v>
      </c>
      <c r="DA914" s="14" t="e">
        <f t="shared" si="5021"/>
        <v>#DIV/0!</v>
      </c>
      <c r="DB914" s="499">
        <f>DB410/DB418</f>
        <v>4.5030303030303029</v>
      </c>
      <c r="DC914" s="499">
        <f t="shared" ref="DC914:DP914" si="5022">DC410/DC418</f>
        <v>4.5030303030303029</v>
      </c>
      <c r="DD914" s="499">
        <f t="shared" si="5022"/>
        <v>4.5030303030303029</v>
      </c>
      <c r="DE914" s="499">
        <f t="shared" si="5022"/>
        <v>4.5030303030303029</v>
      </c>
      <c r="DF914" s="499">
        <f t="shared" si="5022"/>
        <v>4.5030303030303029</v>
      </c>
      <c r="DG914" s="499">
        <f t="shared" si="5022"/>
        <v>4.5030303030303029</v>
      </c>
      <c r="DH914" s="499">
        <f t="shared" si="5022"/>
        <v>4.5030303030303029</v>
      </c>
      <c r="DI914" s="499">
        <f t="shared" si="5022"/>
        <v>4.5030303030303029</v>
      </c>
      <c r="DJ914" s="499">
        <f t="shared" si="5022"/>
        <v>4.5030303030303029</v>
      </c>
      <c r="DK914" s="499">
        <f t="shared" si="5022"/>
        <v>4.5030303030303029</v>
      </c>
      <c r="DL914" s="499">
        <f t="shared" si="5022"/>
        <v>4.5030303030303029</v>
      </c>
      <c r="DM914" s="499">
        <f t="shared" si="5022"/>
        <v>4.5030303030303029</v>
      </c>
      <c r="DN914" s="499">
        <f t="shared" si="5022"/>
        <v>4.4407894736842106</v>
      </c>
      <c r="DO914" s="499">
        <f t="shared" si="5022"/>
        <v>6.7052980132450335</v>
      </c>
      <c r="DP914" s="499">
        <f t="shared" si="5022"/>
        <v>2025</v>
      </c>
      <c r="DQ914" s="499"/>
      <c r="DR914" s="499"/>
      <c r="DS914" s="499"/>
      <c r="DT914" s="499"/>
      <c r="DU914" s="499"/>
      <c r="DV914" s="499"/>
      <c r="DW914" s="499"/>
      <c r="DX914" s="499"/>
      <c r="DY914" s="499"/>
      <c r="DZ914" s="14"/>
      <c r="EA914" s="499">
        <f>EA410/EA418</f>
        <v>4.738245624327484</v>
      </c>
      <c r="EB914" s="499">
        <f>EB410/EB418</f>
        <v>4.5030303030303029</v>
      </c>
      <c r="EC914" s="499"/>
      <c r="ED914" s="429"/>
      <c r="EE914" s="499">
        <f>EE410/EE418</f>
        <v>9</v>
      </c>
      <c r="EF914" s="499">
        <f>EF410/EF418</f>
        <v>4.3916666666666666</v>
      </c>
      <c r="EG914" s="499">
        <f>EG410/EG418</f>
        <v>5.8555555555555552</v>
      </c>
      <c r="EH914" s="381"/>
      <c r="EI914" s="381"/>
      <c r="EJ914" s="381"/>
      <c r="EK914" s="217"/>
      <c r="EL914" s="251"/>
      <c r="EM914" s="251"/>
      <c r="EN914" s="251"/>
      <c r="EO914" s="381"/>
      <c r="EP914" s="381"/>
      <c r="EQ914" s="381"/>
      <c r="ER914" s="381"/>
      <c r="ES914" s="381"/>
    </row>
    <row r="915" spans="1:149">
      <c r="B915" s="481" t="s">
        <v>217</v>
      </c>
      <c r="C915" s="3" t="s">
        <v>74</v>
      </c>
      <c r="E915" s="4" t="str">
        <f t="shared" si="4953"/>
        <v>AFUniq</v>
      </c>
      <c r="F915" s="4" t="s">
        <v>31</v>
      </c>
      <c r="G915" s="165" t="str">
        <f t="shared" si="4954"/>
        <v>AFUniq</v>
      </c>
      <c r="H915" s="165"/>
      <c r="I915" s="165"/>
      <c r="J915" s="55" t="e">
        <f t="shared" ref="J915:U915" si="5023">J872/J871</f>
        <v>#DIV/0!</v>
      </c>
      <c r="K915" s="55" t="e">
        <f t="shared" si="5023"/>
        <v>#DIV/0!</v>
      </c>
      <c r="L915" s="55" t="e">
        <f t="shared" si="5023"/>
        <v>#DIV/0!</v>
      </c>
      <c r="M915" s="55" t="e">
        <f t="shared" si="5023"/>
        <v>#DIV/0!</v>
      </c>
      <c r="N915" s="55" t="e">
        <f t="shared" si="5023"/>
        <v>#DIV/0!</v>
      </c>
      <c r="O915" s="55" t="e">
        <f t="shared" si="5023"/>
        <v>#DIV/0!</v>
      </c>
      <c r="P915" s="55" t="e">
        <f t="shared" si="5023"/>
        <v>#DIV/0!</v>
      </c>
      <c r="Q915" s="55" t="e">
        <f t="shared" si="5023"/>
        <v>#DIV/0!</v>
      </c>
      <c r="R915" s="55" t="e">
        <f t="shared" si="5023"/>
        <v>#DIV/0!</v>
      </c>
      <c r="S915" s="55" t="e">
        <f t="shared" si="5023"/>
        <v>#DIV/0!</v>
      </c>
      <c r="T915" s="55" t="e">
        <f t="shared" si="5023"/>
        <v>#DIV/0!</v>
      </c>
      <c r="U915" s="55" t="e">
        <f t="shared" si="5023"/>
        <v>#DIV/0!</v>
      </c>
      <c r="V915" s="499">
        <f t="shared" ref="V915:AA915" si="5024">V476/V484</f>
        <v>2.9917355371900825</v>
      </c>
      <c r="W915" s="499">
        <f t="shared" si="5024"/>
        <v>2.9917866411015055</v>
      </c>
      <c r="X915" s="499">
        <f t="shared" si="5024"/>
        <v>2.9918036761140745</v>
      </c>
      <c r="Y915" s="499">
        <f t="shared" si="5024"/>
        <v>2.9918121936907527</v>
      </c>
      <c r="Z915" s="499">
        <f t="shared" si="5024"/>
        <v>2.9918173042592859</v>
      </c>
      <c r="AA915" s="499">
        <f t="shared" si="5024"/>
        <v>2.9918207113143613</v>
      </c>
      <c r="AB915" s="499">
        <f t="shared" ref="AB915:AF915" si="5025">AB476/AB484</f>
        <v>2.9918231449297261</v>
      </c>
      <c r="AC915" s="499">
        <f t="shared" si="5025"/>
        <v>2.9918249701437643</v>
      </c>
      <c r="AD915" s="499">
        <f t="shared" si="5025"/>
        <v>2.9918263897561723</v>
      </c>
      <c r="AE915" s="499">
        <f t="shared" si="5025"/>
        <v>2.9918275254470377</v>
      </c>
      <c r="AF915" s="499">
        <f t="shared" si="5025"/>
        <v>2.9918284546492755</v>
      </c>
      <c r="AG915" s="499">
        <f t="shared" ref="AG915" si="5026">AG476/AG484</f>
        <v>2.9918292289849</v>
      </c>
      <c r="AH915" s="499">
        <f t="shared" ref="AH915:AJ915" si="5027">AH476/AH484</f>
        <v>1.4720000000000002</v>
      </c>
      <c r="AI915" s="499">
        <f t="shared" si="5027"/>
        <v>1.4720000000000002</v>
      </c>
      <c r="AJ915" s="499">
        <f t="shared" si="5027"/>
        <v>4.4160000000000004</v>
      </c>
      <c r="AK915" s="412"/>
      <c r="AL915" s="14" t="e">
        <f t="shared" ref="AL915:AW915" si="5028">AL872/AL871</f>
        <v>#DIV/0!</v>
      </c>
      <c r="AM915" s="14" t="e">
        <f t="shared" si="5028"/>
        <v>#DIV/0!</v>
      </c>
      <c r="AN915" s="14" t="e">
        <f t="shared" si="5028"/>
        <v>#DIV/0!</v>
      </c>
      <c r="AO915" s="14" t="e">
        <f t="shared" si="5028"/>
        <v>#DIV/0!</v>
      </c>
      <c r="AP915" s="14" t="e">
        <f t="shared" si="5028"/>
        <v>#DIV/0!</v>
      </c>
      <c r="AQ915" s="14" t="e">
        <f t="shared" si="5028"/>
        <v>#DIV/0!</v>
      </c>
      <c r="AR915" s="14" t="e">
        <f t="shared" si="5028"/>
        <v>#DIV/0!</v>
      </c>
      <c r="AS915" s="14" t="e">
        <f t="shared" si="5028"/>
        <v>#DIV/0!</v>
      </c>
      <c r="AT915" s="14" t="e">
        <f t="shared" si="5028"/>
        <v>#DIV/0!</v>
      </c>
      <c r="AU915" s="14" t="e">
        <f t="shared" si="5028"/>
        <v>#DIV/0!</v>
      </c>
      <c r="AV915" s="14" t="e">
        <f t="shared" si="5028"/>
        <v>#DIV/0!</v>
      </c>
      <c r="AW915" s="14" t="e">
        <f t="shared" si="5028"/>
        <v>#DIV/0!</v>
      </c>
      <c r="AX915" s="499">
        <f t="shared" ref="AX915:BI915" si="5029">AX476/AX484</f>
        <v>2.9917355371900825</v>
      </c>
      <c r="AY915" s="499">
        <f t="shared" si="5029"/>
        <v>2.9917388429752059</v>
      </c>
      <c r="AZ915" s="499">
        <f t="shared" si="5029"/>
        <v>2.9917388429752072</v>
      </c>
      <c r="BA915" s="499">
        <f t="shared" si="5029"/>
        <v>2.9917388429752054</v>
      </c>
      <c r="BB915" s="499">
        <f t="shared" si="5029"/>
        <v>2.9917388429752054</v>
      </c>
      <c r="BC915" s="499">
        <f t="shared" si="5029"/>
        <v>2.9917388429752054</v>
      </c>
      <c r="BD915" s="499">
        <f t="shared" si="5029"/>
        <v>2.9917388429752054</v>
      </c>
      <c r="BE915" s="499">
        <f t="shared" si="5029"/>
        <v>2.9917388429752054</v>
      </c>
      <c r="BF915" s="499">
        <f t="shared" si="5029"/>
        <v>2.9917388429752054</v>
      </c>
      <c r="BG915" s="499">
        <f t="shared" si="5029"/>
        <v>2.9917388429752054</v>
      </c>
      <c r="BH915" s="499">
        <f t="shared" si="5029"/>
        <v>2.9917388429752054</v>
      </c>
      <c r="BI915" s="499">
        <f t="shared" si="5029"/>
        <v>2.9917388429752054</v>
      </c>
      <c r="BJ915" s="14"/>
      <c r="BK915" s="14"/>
      <c r="BL915" s="14"/>
      <c r="BM915" s="412"/>
      <c r="BN915" s="14" t="e">
        <f t="shared" ref="BN915:BY915" si="5030">BN872/BN871</f>
        <v>#DIV/0!</v>
      </c>
      <c r="BO915" s="14" t="e">
        <f t="shared" si="5030"/>
        <v>#DIV/0!</v>
      </c>
      <c r="BP915" s="14" t="e">
        <f t="shared" si="5030"/>
        <v>#DIV/0!</v>
      </c>
      <c r="BQ915" s="14" t="e">
        <f t="shared" si="5030"/>
        <v>#DIV/0!</v>
      </c>
      <c r="BR915" s="14" t="e">
        <f t="shared" si="5030"/>
        <v>#DIV/0!</v>
      </c>
      <c r="BS915" s="14" t="e">
        <f t="shared" si="5030"/>
        <v>#DIV/0!</v>
      </c>
      <c r="BT915" s="14" t="e">
        <f t="shared" si="5030"/>
        <v>#DIV/0!</v>
      </c>
      <c r="BU915" s="14" t="e">
        <f t="shared" si="5030"/>
        <v>#DIV/0!</v>
      </c>
      <c r="BV915" s="14" t="e">
        <f t="shared" si="5030"/>
        <v>#DIV/0!</v>
      </c>
      <c r="BW915" s="14" t="e">
        <f t="shared" si="5030"/>
        <v>#DIV/0!</v>
      </c>
      <c r="BX915" s="14" t="e">
        <f t="shared" si="5030"/>
        <v>#DIV/0!</v>
      </c>
      <c r="BY915" s="14" t="e">
        <f t="shared" si="5030"/>
        <v>#DIV/0!</v>
      </c>
      <c r="BZ915" s="499">
        <f t="shared" si="4963"/>
        <v>8.9755099342127025</v>
      </c>
      <c r="CA915" s="499">
        <f t="shared" si="4964"/>
        <v>8.9755099342127025</v>
      </c>
      <c r="CB915" s="499">
        <f>CB476/CB484*3</f>
        <v>8.9755099342127025</v>
      </c>
      <c r="CC915" s="498">
        <f t="shared" si="4965"/>
        <v>2.99183774670237</v>
      </c>
      <c r="CD915" s="498">
        <f t="shared" si="4966"/>
        <v>2.99183774670237</v>
      </c>
      <c r="CE915" s="499">
        <f>CE476/CE484*6</f>
        <v>2.99183774670237</v>
      </c>
      <c r="CF915" s="498">
        <f t="shared" si="4967"/>
        <v>2.99183774670237</v>
      </c>
      <c r="CG915" s="498">
        <f t="shared" si="4968"/>
        <v>2.99183774670237</v>
      </c>
      <c r="CH915" s="499">
        <f>CH476/CH484*9</f>
        <v>2.99183774670237</v>
      </c>
      <c r="CI915" s="498">
        <f t="shared" si="4969"/>
        <v>2.9917388429752054</v>
      </c>
      <c r="CJ915" s="498">
        <f t="shared" si="4970"/>
        <v>2.9917388429752054</v>
      </c>
      <c r="CK915" s="499">
        <f>CK476/CK484*12</f>
        <v>2.9917388429752054</v>
      </c>
      <c r="CL915" s="14"/>
      <c r="CM915" s="14"/>
      <c r="CN915" s="14"/>
      <c r="CO915" s="412"/>
      <c r="CP915" s="14" t="e">
        <f t="shared" ref="CP915:DA915" si="5031">CP872/CP871</f>
        <v>#DIV/0!</v>
      </c>
      <c r="CQ915" s="14" t="e">
        <f t="shared" si="5031"/>
        <v>#DIV/0!</v>
      </c>
      <c r="CR915" s="14" t="e">
        <f t="shared" si="5031"/>
        <v>#DIV/0!</v>
      </c>
      <c r="CS915" s="14" t="e">
        <f t="shared" si="5031"/>
        <v>#DIV/0!</v>
      </c>
      <c r="CT915" s="14" t="e">
        <f t="shared" si="5031"/>
        <v>#DIV/0!</v>
      </c>
      <c r="CU915" s="14" t="e">
        <f t="shared" si="5031"/>
        <v>#DIV/0!</v>
      </c>
      <c r="CV915" s="14" t="e">
        <f t="shared" si="5031"/>
        <v>#DIV/0!</v>
      </c>
      <c r="CW915" s="14" t="e">
        <f t="shared" si="5031"/>
        <v>#DIV/0!</v>
      </c>
      <c r="CX915" s="14" t="e">
        <f t="shared" si="5031"/>
        <v>#DIV/0!</v>
      </c>
      <c r="CY915" s="14" t="e">
        <f t="shared" si="5031"/>
        <v>#DIV/0!</v>
      </c>
      <c r="CZ915" s="14" t="e">
        <f t="shared" si="5031"/>
        <v>#DIV/0!</v>
      </c>
      <c r="DA915" s="14" t="e">
        <f t="shared" si="5031"/>
        <v>#DIV/0!</v>
      </c>
      <c r="DB915" s="499">
        <f>DB476/DB484</f>
        <v>2.9917355371900825</v>
      </c>
      <c r="DC915" s="499">
        <f t="shared" ref="DC915:DM915" si="5032">DC476/DC484</f>
        <v>2.9917866411015055</v>
      </c>
      <c r="DD915" s="499">
        <f t="shared" si="5032"/>
        <v>2.9918036761140745</v>
      </c>
      <c r="DE915" s="499">
        <f t="shared" si="5032"/>
        <v>2.9918121936907527</v>
      </c>
      <c r="DF915" s="499">
        <f t="shared" si="5032"/>
        <v>2.9918173042592859</v>
      </c>
      <c r="DG915" s="499">
        <f t="shared" si="5032"/>
        <v>2.9918207113143613</v>
      </c>
      <c r="DH915" s="499">
        <f t="shared" si="5032"/>
        <v>2.9918231449297261</v>
      </c>
      <c r="DI915" s="499">
        <f t="shared" si="5032"/>
        <v>2.9918249701437643</v>
      </c>
      <c r="DJ915" s="499">
        <f t="shared" si="5032"/>
        <v>2.9918263897561723</v>
      </c>
      <c r="DK915" s="499">
        <f t="shared" si="5032"/>
        <v>2.9918275254470377</v>
      </c>
      <c r="DL915" s="499">
        <f t="shared" si="5032"/>
        <v>2.9918284546492755</v>
      </c>
      <c r="DM915" s="499">
        <f t="shared" si="5032"/>
        <v>2.9918292289849</v>
      </c>
      <c r="DN915" s="499">
        <f>DN476/DN484</f>
        <v>1.4720000000000002</v>
      </c>
      <c r="DO915" s="499">
        <f>DO476/DO484</f>
        <v>1.472</v>
      </c>
      <c r="DP915" s="499">
        <f>DP476/DP484</f>
        <v>2.944</v>
      </c>
      <c r="DQ915" s="499"/>
      <c r="DR915" s="499"/>
      <c r="DS915" s="499"/>
      <c r="DT915" s="499"/>
      <c r="DU915" s="499"/>
      <c r="DV915" s="499"/>
      <c r="DW915" s="499"/>
      <c r="DX915" s="499"/>
      <c r="DY915" s="499"/>
      <c r="DZ915" s="14"/>
      <c r="EA915" s="499">
        <f>EA476/EA484</f>
        <v>5.0231723758409323</v>
      </c>
      <c r="EB915" s="499">
        <f>EB476/EB484</f>
        <v>2.9918292289849</v>
      </c>
      <c r="EC915" s="499"/>
      <c r="ED915" s="429"/>
      <c r="EE915" s="499">
        <f>EE476/EE484</f>
        <v>1.4720000000000002</v>
      </c>
      <c r="EF915" s="499">
        <f>EF476/EF484</f>
        <v>2.944</v>
      </c>
      <c r="EG915" s="499">
        <f>EG476/EG484</f>
        <v>4.3920000000000003</v>
      </c>
      <c r="EH915" s="381"/>
      <c r="EI915" s="381"/>
      <c r="EJ915" s="381"/>
      <c r="EK915" s="217"/>
      <c r="EL915" s="251"/>
      <c r="EM915" s="251"/>
      <c r="EN915" s="251"/>
      <c r="EO915" s="381"/>
      <c r="EP915" s="381"/>
      <c r="EQ915" s="381"/>
      <c r="ER915" s="381"/>
      <c r="ES915" s="381"/>
    </row>
    <row r="916" spans="1:149">
      <c r="B916" s="481" t="s">
        <v>218</v>
      </c>
      <c r="C916" s="3" t="s">
        <v>74</v>
      </c>
      <c r="E916" s="4" t="str">
        <f t="shared" si="4953"/>
        <v>AFUniq</v>
      </c>
      <c r="F916" s="4" t="s">
        <v>31</v>
      </c>
      <c r="G916" s="165" t="str">
        <f t="shared" si="4954"/>
        <v>AFUniq</v>
      </c>
      <c r="H916" s="165"/>
      <c r="I916" s="165"/>
      <c r="J916" s="55" t="e">
        <f t="shared" ref="J916:U916" si="5033">J873/J872</f>
        <v>#DIV/0!</v>
      </c>
      <c r="K916" s="55" t="e">
        <f t="shared" si="5033"/>
        <v>#DIV/0!</v>
      </c>
      <c r="L916" s="55" t="e">
        <f t="shared" si="5033"/>
        <v>#DIV/0!</v>
      </c>
      <c r="M916" s="55" t="e">
        <f t="shared" si="5033"/>
        <v>#DIV/0!</v>
      </c>
      <c r="N916" s="55" t="e">
        <f t="shared" si="5033"/>
        <v>#DIV/0!</v>
      </c>
      <c r="O916" s="55" t="e">
        <f t="shared" si="5033"/>
        <v>#DIV/0!</v>
      </c>
      <c r="P916" s="55" t="e">
        <f t="shared" si="5033"/>
        <v>#DIV/0!</v>
      </c>
      <c r="Q916" s="55" t="e">
        <f t="shared" si="5033"/>
        <v>#DIV/0!</v>
      </c>
      <c r="R916" s="55" t="e">
        <f t="shared" si="5033"/>
        <v>#DIV/0!</v>
      </c>
      <c r="S916" s="55" t="e">
        <f t="shared" si="5033"/>
        <v>#DIV/0!</v>
      </c>
      <c r="T916" s="55" t="e">
        <f t="shared" si="5033"/>
        <v>#DIV/0!</v>
      </c>
      <c r="U916" s="55" t="e">
        <f t="shared" si="5033"/>
        <v>#DIV/0!</v>
      </c>
      <c r="V916" s="499">
        <f t="shared" ref="V916:AA916" si="5034">V542/V550</f>
        <v>4.8913043478260869</v>
      </c>
      <c r="W916" s="499">
        <f t="shared" si="5034"/>
        <v>9.7826086956521738</v>
      </c>
      <c r="X916" s="499">
        <f t="shared" si="5034"/>
        <v>14.67391304347826</v>
      </c>
      <c r="Y916" s="499">
        <f t="shared" si="5034"/>
        <v>19.565217391304348</v>
      </c>
      <c r="Z916" s="499">
        <f t="shared" si="5034"/>
        <v>24.456521739130434</v>
      </c>
      <c r="AA916" s="499">
        <f t="shared" si="5034"/>
        <v>29.34782608695652</v>
      </c>
      <c r="AB916" s="499">
        <f t="shared" ref="AB916:AF916" si="5035">AB542/AB550</f>
        <v>34.239130434782609</v>
      </c>
      <c r="AC916" s="499">
        <f t="shared" si="5035"/>
        <v>39.130434782608695</v>
      </c>
      <c r="AD916" s="499">
        <f t="shared" si="5035"/>
        <v>44.021739130434781</v>
      </c>
      <c r="AE916" s="499">
        <f t="shared" si="5035"/>
        <v>48.913043478260867</v>
      </c>
      <c r="AF916" s="499">
        <f t="shared" si="5035"/>
        <v>53.804347826086953</v>
      </c>
      <c r="AG916" s="499">
        <f t="shared" ref="AG916" si="5036">AG542/AG550</f>
        <v>58.695652173913039</v>
      </c>
      <c r="AH916" s="499">
        <f t="shared" ref="AH916:AJ916" si="5037">AH542/AH550</f>
        <v>3.8260869565217388</v>
      </c>
      <c r="AI916" s="499">
        <f t="shared" si="5037"/>
        <v>3.8260869565217388</v>
      </c>
      <c r="AJ916" s="499" t="e">
        <f t="shared" si="5037"/>
        <v>#DIV/0!</v>
      </c>
      <c r="AK916" s="412"/>
      <c r="AL916" s="14" t="e">
        <f t="shared" ref="AL916:AW916" si="5038">AL873/AL872</f>
        <v>#DIV/0!</v>
      </c>
      <c r="AM916" s="14" t="e">
        <f t="shared" si="5038"/>
        <v>#DIV/0!</v>
      </c>
      <c r="AN916" s="14" t="e">
        <f t="shared" si="5038"/>
        <v>#DIV/0!</v>
      </c>
      <c r="AO916" s="14" t="e">
        <f t="shared" si="5038"/>
        <v>#DIV/0!</v>
      </c>
      <c r="AP916" s="14" t="e">
        <f t="shared" si="5038"/>
        <v>#DIV/0!</v>
      </c>
      <c r="AQ916" s="14" t="e">
        <f t="shared" si="5038"/>
        <v>#DIV/0!</v>
      </c>
      <c r="AR916" s="14" t="e">
        <f t="shared" si="5038"/>
        <v>#DIV/0!</v>
      </c>
      <c r="AS916" s="14" t="e">
        <f t="shared" si="5038"/>
        <v>#DIV/0!</v>
      </c>
      <c r="AT916" s="14" t="e">
        <f t="shared" si="5038"/>
        <v>#DIV/0!</v>
      </c>
      <c r="AU916" s="14" t="e">
        <f t="shared" si="5038"/>
        <v>#DIV/0!</v>
      </c>
      <c r="AV916" s="14" t="e">
        <f t="shared" si="5038"/>
        <v>#DIV/0!</v>
      </c>
      <c r="AW916" s="14" t="e">
        <f t="shared" si="5038"/>
        <v>#DIV/0!</v>
      </c>
      <c r="AX916" s="499">
        <f t="shared" ref="AX916:BI916" si="5039">AX542/AX550</f>
        <v>3.9965043908261575</v>
      </c>
      <c r="AY916" s="499">
        <f t="shared" si="5039"/>
        <v>3.9965043908261575</v>
      </c>
      <c r="AZ916" s="499">
        <f t="shared" si="5039"/>
        <v>3.9965043908261575</v>
      </c>
      <c r="BA916" s="499">
        <f t="shared" si="5039"/>
        <v>3.9965043908261575</v>
      </c>
      <c r="BB916" s="499">
        <f t="shared" si="5039"/>
        <v>3.9965043908261575</v>
      </c>
      <c r="BC916" s="499">
        <f t="shared" si="5039"/>
        <v>3.9965043908261575</v>
      </c>
      <c r="BD916" s="499">
        <f t="shared" si="5039"/>
        <v>3.9965043908261575</v>
      </c>
      <c r="BE916" s="499">
        <f t="shared" si="5039"/>
        <v>3.9965043908261575</v>
      </c>
      <c r="BF916" s="499">
        <f t="shared" si="5039"/>
        <v>3.9965043908261575</v>
      </c>
      <c r="BG916" s="499">
        <f t="shared" si="5039"/>
        <v>3.9965043908261575</v>
      </c>
      <c r="BH916" s="499">
        <f t="shared" si="5039"/>
        <v>3.9965043908261575</v>
      </c>
      <c r="BI916" s="499">
        <f t="shared" si="5039"/>
        <v>3.9965043908261575</v>
      </c>
      <c r="BJ916" s="14"/>
      <c r="BK916" s="14"/>
      <c r="BL916" s="14"/>
      <c r="BM916" s="412"/>
      <c r="BN916" s="14" t="e">
        <f t="shared" ref="BN916:BY916" si="5040">BN873/BN872</f>
        <v>#DIV/0!</v>
      </c>
      <c r="BO916" s="14" t="e">
        <f t="shared" si="5040"/>
        <v>#DIV/0!</v>
      </c>
      <c r="BP916" s="14" t="e">
        <f t="shared" si="5040"/>
        <v>#DIV/0!</v>
      </c>
      <c r="BQ916" s="14" t="e">
        <f t="shared" si="5040"/>
        <v>#DIV/0!</v>
      </c>
      <c r="BR916" s="14" t="e">
        <f t="shared" si="5040"/>
        <v>#DIV/0!</v>
      </c>
      <c r="BS916" s="14" t="e">
        <f t="shared" si="5040"/>
        <v>#DIV/0!</v>
      </c>
      <c r="BT916" s="14" t="e">
        <f t="shared" si="5040"/>
        <v>#DIV/0!</v>
      </c>
      <c r="BU916" s="14" t="e">
        <f t="shared" si="5040"/>
        <v>#DIV/0!</v>
      </c>
      <c r="BV916" s="14" t="e">
        <f t="shared" si="5040"/>
        <v>#DIV/0!</v>
      </c>
      <c r="BW916" s="14" t="e">
        <f t="shared" si="5040"/>
        <v>#DIV/0!</v>
      </c>
      <c r="BX916" s="14" t="e">
        <f t="shared" si="5040"/>
        <v>#DIV/0!</v>
      </c>
      <c r="BY916" s="14" t="e">
        <f t="shared" si="5040"/>
        <v>#DIV/0!</v>
      </c>
      <c r="BZ916" s="499">
        <f t="shared" si="4963"/>
        <v>11.989427988831181</v>
      </c>
      <c r="CA916" s="499">
        <f t="shared" si="4964"/>
        <v>11.989427988831181</v>
      </c>
      <c r="CB916" s="499">
        <f>CB542/CB550*3</f>
        <v>11.989427988831181</v>
      </c>
      <c r="CC916" s="498">
        <f t="shared" si="4965"/>
        <v>3.9964759962770615</v>
      </c>
      <c r="CD916" s="498">
        <f t="shared" si="4966"/>
        <v>3.9964759962770615</v>
      </c>
      <c r="CE916" s="499">
        <f>CE542/CE550*6</f>
        <v>3.9964759962770615</v>
      </c>
      <c r="CF916" s="498">
        <f t="shared" si="4967"/>
        <v>3.9964759962770611</v>
      </c>
      <c r="CG916" s="498">
        <f t="shared" si="4968"/>
        <v>3.9964759962770611</v>
      </c>
      <c r="CH916" s="499">
        <f>CH542/CH550*9</f>
        <v>3.9964759962770611</v>
      </c>
      <c r="CI916" s="498">
        <f t="shared" si="4969"/>
        <v>3.9964476021314397</v>
      </c>
      <c r="CJ916" s="498">
        <f t="shared" si="4970"/>
        <v>3.9964476021314397</v>
      </c>
      <c r="CK916" s="499">
        <f>CK542/CK550*12</f>
        <v>3.9964476021314397</v>
      </c>
      <c r="CL916" s="14"/>
      <c r="CM916" s="14"/>
      <c r="CN916" s="14"/>
      <c r="CO916" s="412"/>
      <c r="CP916" s="14" t="e">
        <f t="shared" ref="CP916:DA916" si="5041">CP873/CP872</f>
        <v>#DIV/0!</v>
      </c>
      <c r="CQ916" s="14" t="e">
        <f t="shared" si="5041"/>
        <v>#DIV/0!</v>
      </c>
      <c r="CR916" s="14" t="e">
        <f t="shared" si="5041"/>
        <v>#DIV/0!</v>
      </c>
      <c r="CS916" s="14" t="e">
        <f t="shared" si="5041"/>
        <v>#DIV/0!</v>
      </c>
      <c r="CT916" s="14" t="e">
        <f t="shared" si="5041"/>
        <v>#DIV/0!</v>
      </c>
      <c r="CU916" s="14" t="e">
        <f t="shared" si="5041"/>
        <v>#DIV/0!</v>
      </c>
      <c r="CV916" s="14" t="e">
        <f t="shared" si="5041"/>
        <v>#DIV/0!</v>
      </c>
      <c r="CW916" s="14" t="e">
        <f t="shared" si="5041"/>
        <v>#DIV/0!</v>
      </c>
      <c r="CX916" s="14" t="e">
        <f t="shared" si="5041"/>
        <v>#DIV/0!</v>
      </c>
      <c r="CY916" s="14" t="e">
        <f t="shared" si="5041"/>
        <v>#DIV/0!</v>
      </c>
      <c r="CZ916" s="14" t="e">
        <f t="shared" si="5041"/>
        <v>#DIV/0!</v>
      </c>
      <c r="DA916" s="14" t="e">
        <f t="shared" si="5041"/>
        <v>#DIV/0!</v>
      </c>
      <c r="DB916" s="499">
        <f>DB542/DB550</f>
        <v>3.9965043908261575</v>
      </c>
      <c r="DC916" s="499">
        <f t="shared" ref="DC916:DM916" si="5042">DC542/DC550</f>
        <v>3.9965043908261575</v>
      </c>
      <c r="DD916" s="499">
        <f t="shared" si="5042"/>
        <v>3.9965043908261575</v>
      </c>
      <c r="DE916" s="499">
        <f t="shared" si="5042"/>
        <v>3.9965043908261575</v>
      </c>
      <c r="DF916" s="499">
        <f t="shared" si="5042"/>
        <v>3.9965043908261575</v>
      </c>
      <c r="DG916" s="499">
        <f t="shared" si="5042"/>
        <v>3.9965043908261575</v>
      </c>
      <c r="DH916" s="499">
        <f t="shared" si="5042"/>
        <v>3.9965043908261575</v>
      </c>
      <c r="DI916" s="499">
        <f t="shared" si="5042"/>
        <v>3.9965043908261575</v>
      </c>
      <c r="DJ916" s="499">
        <f t="shared" si="5042"/>
        <v>3.9965043908261575</v>
      </c>
      <c r="DK916" s="499">
        <f t="shared" si="5042"/>
        <v>3.9965043908261575</v>
      </c>
      <c r="DL916" s="499">
        <f t="shared" si="5042"/>
        <v>3.996504390826157</v>
      </c>
      <c r="DM916" s="499">
        <f t="shared" si="5042"/>
        <v>3.9965043908261575</v>
      </c>
      <c r="DN916" s="499">
        <f>DN542/DN550</f>
        <v>3.8260869565217388</v>
      </c>
      <c r="DO916" s="499">
        <f>DO542/DO550</f>
        <v>2.5507246376811592</v>
      </c>
      <c r="DP916" s="499">
        <f>DP542/DP550</f>
        <v>3.8260869565217392</v>
      </c>
      <c r="DQ916" s="499"/>
      <c r="DR916" s="499"/>
      <c r="DS916" s="499"/>
      <c r="DT916" s="499"/>
      <c r="DU916" s="499"/>
      <c r="DV916" s="499"/>
      <c r="DW916" s="499"/>
      <c r="DX916" s="499"/>
      <c r="DY916" s="499"/>
      <c r="DZ916" s="14"/>
      <c r="EA916" s="499">
        <f>EA542/EA550</f>
        <v>6.4760869565217396</v>
      </c>
      <c r="EB916" s="499">
        <f>EB542/EB550</f>
        <v>3.9965043908261575</v>
      </c>
      <c r="EC916" s="499"/>
      <c r="ED916" s="429"/>
      <c r="EE916" s="499">
        <f>EE542/EE550</f>
        <v>1.9130434782608694</v>
      </c>
      <c r="EF916" s="499">
        <f>EF542/EF550</f>
        <v>5.8782608695652172</v>
      </c>
      <c r="EG916" s="499">
        <f>EG542/EG550</f>
        <v>5.8782608695652172</v>
      </c>
      <c r="EH916" s="381"/>
      <c r="EI916" s="381"/>
      <c r="EJ916" s="381"/>
      <c r="EK916" s="217"/>
      <c r="EL916" s="251"/>
      <c r="EM916" s="251"/>
      <c r="EN916" s="251"/>
      <c r="EO916" s="381"/>
      <c r="EP916" s="381"/>
      <c r="EQ916" s="381"/>
      <c r="ER916" s="381"/>
      <c r="ES916" s="381"/>
    </row>
    <row r="917" spans="1:149">
      <c r="B917" s="481" t="s">
        <v>222</v>
      </c>
      <c r="C917" s="3" t="s">
        <v>74</v>
      </c>
      <c r="E917" s="4" t="str">
        <f t="shared" si="4953"/>
        <v>AFUniq</v>
      </c>
      <c r="F917" s="4" t="s">
        <v>31</v>
      </c>
      <c r="G917" s="165" t="str">
        <f t="shared" si="4954"/>
        <v>AFUniq</v>
      </c>
      <c r="H917" s="165"/>
      <c r="I917" s="165"/>
      <c r="J917" s="55" t="e">
        <f t="shared" ref="J917:U917" si="5043">J874/J873</f>
        <v>#DIV/0!</v>
      </c>
      <c r="K917" s="55" t="e">
        <f t="shared" si="5043"/>
        <v>#DIV/0!</v>
      </c>
      <c r="L917" s="55" t="e">
        <f t="shared" si="5043"/>
        <v>#DIV/0!</v>
      </c>
      <c r="M917" s="55" t="e">
        <f t="shared" si="5043"/>
        <v>#DIV/0!</v>
      </c>
      <c r="N917" s="55" t="e">
        <f t="shared" si="5043"/>
        <v>#DIV/0!</v>
      </c>
      <c r="O917" s="55" t="e">
        <f t="shared" si="5043"/>
        <v>#DIV/0!</v>
      </c>
      <c r="P917" s="55" t="e">
        <f t="shared" si="5043"/>
        <v>#DIV/0!</v>
      </c>
      <c r="Q917" s="55" t="e">
        <f t="shared" si="5043"/>
        <v>#DIV/0!</v>
      </c>
      <c r="R917" s="55" t="e">
        <f t="shared" si="5043"/>
        <v>#DIV/0!</v>
      </c>
      <c r="S917" s="55" t="e">
        <f t="shared" si="5043"/>
        <v>#DIV/0!</v>
      </c>
      <c r="T917" s="55" t="e">
        <f t="shared" si="5043"/>
        <v>#DIV/0!</v>
      </c>
      <c r="U917" s="55" t="e">
        <f t="shared" si="5043"/>
        <v>#DIV/0!</v>
      </c>
      <c r="V917" s="499">
        <f t="shared" ref="V917:AA917" si="5044">V608/V616</f>
        <v>6.8101265822784809</v>
      </c>
      <c r="W917" s="499">
        <f t="shared" si="5044"/>
        <v>6.8101265822784809</v>
      </c>
      <c r="X917" s="499">
        <f t="shared" si="5044"/>
        <v>6.8101265822784809</v>
      </c>
      <c r="Y917" s="499">
        <f t="shared" si="5044"/>
        <v>6.8101265822784809</v>
      </c>
      <c r="Z917" s="499">
        <f t="shared" si="5044"/>
        <v>6.8101265822784809</v>
      </c>
      <c r="AA917" s="499">
        <f t="shared" si="5044"/>
        <v>6.8101265822784809</v>
      </c>
      <c r="AB917" s="499">
        <f t="shared" ref="AB917:AW917" si="5045">AB608/AB616</f>
        <v>6.8101265822784809</v>
      </c>
      <c r="AC917" s="499">
        <f t="shared" si="5045"/>
        <v>6.8101265822784809</v>
      </c>
      <c r="AD917" s="499">
        <f t="shared" si="5045"/>
        <v>6.8101265822784809</v>
      </c>
      <c r="AE917" s="499">
        <f t="shared" si="5045"/>
        <v>6.8101265822784809</v>
      </c>
      <c r="AF917" s="499">
        <f t="shared" si="5045"/>
        <v>6.8101265822784809</v>
      </c>
      <c r="AG917" s="499">
        <f t="shared" ref="AG917" si="5046">AG608/AG616</f>
        <v>6.8101265822784809</v>
      </c>
      <c r="AH917" s="499">
        <f t="shared" ref="AH917:AJ917" si="5047">AH608/AH616</f>
        <v>9.1955555555555559</v>
      </c>
      <c r="AI917" s="499">
        <f t="shared" si="5047"/>
        <v>9.1955555555555559</v>
      </c>
      <c r="AJ917" s="499" t="e">
        <f t="shared" si="5047"/>
        <v>#DIV/0!</v>
      </c>
      <c r="AK917" s="499" t="e">
        <f t="shared" si="5045"/>
        <v>#DIV/0!</v>
      </c>
      <c r="AL917" s="499">
        <f t="shared" si="5045"/>
        <v>3.5443037974683542</v>
      </c>
      <c r="AM917" s="499">
        <f t="shared" si="5045"/>
        <v>1.7721518987341771</v>
      </c>
      <c r="AN917" s="499">
        <f t="shared" si="5045"/>
        <v>1.1814345991561181</v>
      </c>
      <c r="AO917" s="499">
        <f t="shared" si="5045"/>
        <v>0.88607594936708856</v>
      </c>
      <c r="AP917" s="499">
        <f t="shared" si="5045"/>
        <v>0.70886075949367089</v>
      </c>
      <c r="AQ917" s="499">
        <f t="shared" si="5045"/>
        <v>0.59071729957805907</v>
      </c>
      <c r="AR917" s="499">
        <f t="shared" si="5045"/>
        <v>0.50632911392405067</v>
      </c>
      <c r="AS917" s="499">
        <f t="shared" si="5045"/>
        <v>0.44303797468354428</v>
      </c>
      <c r="AT917" s="499">
        <f t="shared" si="5045"/>
        <v>0.39381153305203936</v>
      </c>
      <c r="AU917" s="499">
        <f t="shared" si="5045"/>
        <v>0.35443037974683544</v>
      </c>
      <c r="AV917" s="499">
        <f t="shared" si="5045"/>
        <v>0.32220943613348679</v>
      </c>
      <c r="AW917" s="499">
        <f t="shared" si="5045"/>
        <v>0.29535864978902954</v>
      </c>
      <c r="AX917" s="499">
        <f t="shared" ref="AX917:BI917" si="5048">AX608/AX616</f>
        <v>6.8101265822784809</v>
      </c>
      <c r="AY917" s="499">
        <f t="shared" si="5048"/>
        <v>6.8101265822784809</v>
      </c>
      <c r="AZ917" s="499">
        <f t="shared" si="5048"/>
        <v>6.8101265822784809</v>
      </c>
      <c r="BA917" s="499">
        <f t="shared" si="5048"/>
        <v>6.8101265822784809</v>
      </c>
      <c r="BB917" s="499">
        <f t="shared" si="5048"/>
        <v>6.8101265822784809</v>
      </c>
      <c r="BC917" s="499">
        <f t="shared" si="5048"/>
        <v>6.8101265822784809</v>
      </c>
      <c r="BD917" s="499">
        <f t="shared" si="5048"/>
        <v>6.8101265822784809</v>
      </c>
      <c r="BE917" s="499">
        <f t="shared" si="5048"/>
        <v>6.8101265822784809</v>
      </c>
      <c r="BF917" s="499">
        <f t="shared" si="5048"/>
        <v>6.8101265822784809</v>
      </c>
      <c r="BG917" s="499">
        <f t="shared" si="5048"/>
        <v>6.8101265822784809</v>
      </c>
      <c r="BH917" s="499">
        <f t="shared" si="5048"/>
        <v>6.8101265822784809</v>
      </c>
      <c r="BI917" s="499">
        <f t="shared" si="5048"/>
        <v>6.8101265822784809</v>
      </c>
      <c r="BJ917" s="14"/>
      <c r="BK917" s="14"/>
      <c r="BL917" s="14"/>
      <c r="BM917" s="412"/>
      <c r="BN917" s="14" t="e">
        <f t="shared" ref="BN917:BY917" si="5049">BN874/BN873</f>
        <v>#DIV/0!</v>
      </c>
      <c r="BO917" s="14" t="e">
        <f t="shared" si="5049"/>
        <v>#DIV/0!</v>
      </c>
      <c r="BP917" s="14" t="e">
        <f t="shared" si="5049"/>
        <v>#DIV/0!</v>
      </c>
      <c r="BQ917" s="14" t="e">
        <f t="shared" si="5049"/>
        <v>#DIV/0!</v>
      </c>
      <c r="BR917" s="14" t="e">
        <f t="shared" si="5049"/>
        <v>#DIV/0!</v>
      </c>
      <c r="BS917" s="14" t="e">
        <f t="shared" si="5049"/>
        <v>#DIV/0!</v>
      </c>
      <c r="BT917" s="14" t="e">
        <f t="shared" si="5049"/>
        <v>#DIV/0!</v>
      </c>
      <c r="BU917" s="14" t="e">
        <f t="shared" si="5049"/>
        <v>#DIV/0!</v>
      </c>
      <c r="BV917" s="14" t="e">
        <f t="shared" si="5049"/>
        <v>#DIV/0!</v>
      </c>
      <c r="BW917" s="14" t="e">
        <f t="shared" si="5049"/>
        <v>#DIV/0!</v>
      </c>
      <c r="BX917" s="14" t="e">
        <f t="shared" si="5049"/>
        <v>#DIV/0!</v>
      </c>
      <c r="BY917" s="14" t="e">
        <f t="shared" si="5049"/>
        <v>#DIV/0!</v>
      </c>
      <c r="BZ917" s="499">
        <f t="shared" si="4963"/>
        <v>6.81012658227848</v>
      </c>
      <c r="CA917" s="499">
        <f t="shared" si="4964"/>
        <v>6.81012658227848</v>
      </c>
      <c r="CB917" s="499">
        <f>CB608/CB616*3</f>
        <v>6.81012658227848</v>
      </c>
      <c r="CC917" s="498">
        <f t="shared" si="4965"/>
        <v>6.81012658227848</v>
      </c>
      <c r="CD917" s="498">
        <f t="shared" si="4966"/>
        <v>6.81012658227848</v>
      </c>
      <c r="CE917" s="499">
        <f>CE608/CE616*6</f>
        <v>6.81012658227848</v>
      </c>
      <c r="CF917" s="498">
        <f t="shared" si="4967"/>
        <v>6.8101265822784818</v>
      </c>
      <c r="CG917" s="498">
        <f t="shared" si="4968"/>
        <v>6.8101265822784818</v>
      </c>
      <c r="CH917" s="499">
        <f>CH608/CH616*9</f>
        <v>6.8101265822784818</v>
      </c>
      <c r="CI917" s="498">
        <f t="shared" si="4969"/>
        <v>6.8101265822784836</v>
      </c>
      <c r="CJ917" s="498">
        <f t="shared" si="4970"/>
        <v>6.8101265822784836</v>
      </c>
      <c r="CK917" s="499">
        <f>CK608/CK616*12</f>
        <v>6.8101265822784836</v>
      </c>
      <c r="CL917" s="14"/>
      <c r="CM917" s="14"/>
      <c r="CN917" s="14"/>
      <c r="CO917" s="412"/>
      <c r="CP917" s="14" t="e">
        <f t="shared" ref="CP917:DA917" si="5050">CP874/CP873</f>
        <v>#DIV/0!</v>
      </c>
      <c r="CQ917" s="14" t="e">
        <f t="shared" si="5050"/>
        <v>#DIV/0!</v>
      </c>
      <c r="CR917" s="14" t="e">
        <f t="shared" si="5050"/>
        <v>#DIV/0!</v>
      </c>
      <c r="CS917" s="14" t="e">
        <f t="shared" si="5050"/>
        <v>#DIV/0!</v>
      </c>
      <c r="CT917" s="14" t="e">
        <f t="shared" si="5050"/>
        <v>#DIV/0!</v>
      </c>
      <c r="CU917" s="14" t="e">
        <f t="shared" si="5050"/>
        <v>#DIV/0!</v>
      </c>
      <c r="CV917" s="14" t="e">
        <f t="shared" si="5050"/>
        <v>#DIV/0!</v>
      </c>
      <c r="CW917" s="14" t="e">
        <f t="shared" si="5050"/>
        <v>#DIV/0!</v>
      </c>
      <c r="CX917" s="14" t="e">
        <f t="shared" si="5050"/>
        <v>#DIV/0!</v>
      </c>
      <c r="CY917" s="14" t="e">
        <f t="shared" si="5050"/>
        <v>#DIV/0!</v>
      </c>
      <c r="CZ917" s="14" t="e">
        <f t="shared" si="5050"/>
        <v>#DIV/0!</v>
      </c>
      <c r="DA917" s="14" t="e">
        <f t="shared" si="5050"/>
        <v>#DIV/0!</v>
      </c>
      <c r="DB917" s="499">
        <f>DB608/DB616</f>
        <v>6.8101265822784809</v>
      </c>
      <c r="DC917" s="499">
        <f t="shared" ref="DC917:DP917" si="5051">DC608/DC616</f>
        <v>6.8101265822784809</v>
      </c>
      <c r="DD917" s="499">
        <f t="shared" si="5051"/>
        <v>6.8101265822784809</v>
      </c>
      <c r="DE917" s="499">
        <f t="shared" si="5051"/>
        <v>6.8101265822784809</v>
      </c>
      <c r="DF917" s="499">
        <f t="shared" si="5051"/>
        <v>6.8101265822784809</v>
      </c>
      <c r="DG917" s="499">
        <f t="shared" si="5051"/>
        <v>6.8101265822784809</v>
      </c>
      <c r="DH917" s="499">
        <f t="shared" si="5051"/>
        <v>6.8101265822784809</v>
      </c>
      <c r="DI917" s="499">
        <f t="shared" si="5051"/>
        <v>6.8101265822784809</v>
      </c>
      <c r="DJ917" s="499">
        <f t="shared" si="5051"/>
        <v>6.8101265822784809</v>
      </c>
      <c r="DK917" s="499">
        <f t="shared" si="5051"/>
        <v>6.8101265822784809</v>
      </c>
      <c r="DL917" s="499">
        <f t="shared" si="5051"/>
        <v>6.8101265822784809</v>
      </c>
      <c r="DM917" s="499">
        <f t="shared" si="5051"/>
        <v>6.8101265822784809</v>
      </c>
      <c r="DN917" s="499">
        <f t="shared" si="5051"/>
        <v>9.1955555555555559</v>
      </c>
      <c r="DO917" s="499">
        <f t="shared" si="5051"/>
        <v>9.1955555555555559</v>
      </c>
      <c r="DP917" s="499">
        <f t="shared" si="5051"/>
        <v>18.391111111111112</v>
      </c>
      <c r="DQ917" s="499"/>
      <c r="DR917" s="499"/>
      <c r="DS917" s="499"/>
      <c r="DT917" s="499"/>
      <c r="DU917" s="499"/>
      <c r="DV917" s="499"/>
      <c r="DW917" s="499"/>
      <c r="DX917" s="499"/>
      <c r="DY917" s="499"/>
      <c r="DZ917" s="14"/>
      <c r="EA917" s="499">
        <f>EA608/EA616</f>
        <v>0.54527750730282376</v>
      </c>
      <c r="EB917" s="499">
        <f>EB608/EB616</f>
        <v>6.8101265822784809</v>
      </c>
      <c r="EC917" s="499"/>
      <c r="ED917" s="429"/>
      <c r="EE917" s="499">
        <f>EE608/EE616</f>
        <v>9.1955555555555559</v>
      </c>
      <c r="EF917" s="499">
        <f>EF608/EF616</f>
        <v>5.5173333333333332</v>
      </c>
      <c r="EG917" s="499">
        <f>EG608/EG616</f>
        <v>4.7511111111111113</v>
      </c>
      <c r="EH917" s="381"/>
      <c r="EI917" s="381"/>
      <c r="EJ917" s="381"/>
      <c r="EK917" s="217"/>
      <c r="EL917" s="251"/>
      <c r="EM917" s="251"/>
      <c r="EN917" s="251"/>
      <c r="EO917" s="381"/>
      <c r="EP917" s="381"/>
      <c r="EQ917" s="381"/>
      <c r="ER917" s="381"/>
      <c r="ES917" s="381"/>
    </row>
    <row r="918" spans="1:149">
      <c r="B918" s="481" t="s">
        <v>223</v>
      </c>
      <c r="C918" s="3" t="s">
        <v>74</v>
      </c>
      <c r="E918" s="4" t="str">
        <f t="shared" si="4953"/>
        <v>AFUniq</v>
      </c>
      <c r="F918" s="4" t="s">
        <v>31</v>
      </c>
      <c r="G918" s="165" t="str">
        <f t="shared" si="4954"/>
        <v>AFUniq</v>
      </c>
      <c r="H918" s="165"/>
      <c r="I918" s="165"/>
      <c r="J918" s="55" t="e">
        <f t="shared" ref="J918:U918" si="5052">J875/J874</f>
        <v>#DIV/0!</v>
      </c>
      <c r="K918" s="55" t="e">
        <f t="shared" si="5052"/>
        <v>#DIV/0!</v>
      </c>
      <c r="L918" s="55" t="e">
        <f t="shared" si="5052"/>
        <v>#DIV/0!</v>
      </c>
      <c r="M918" s="55" t="e">
        <f t="shared" si="5052"/>
        <v>#DIV/0!</v>
      </c>
      <c r="N918" s="55" t="e">
        <f t="shared" si="5052"/>
        <v>#DIV/0!</v>
      </c>
      <c r="O918" s="55" t="e">
        <f t="shared" si="5052"/>
        <v>#DIV/0!</v>
      </c>
      <c r="P918" s="55" t="e">
        <f t="shared" si="5052"/>
        <v>#DIV/0!</v>
      </c>
      <c r="Q918" s="55" t="e">
        <f t="shared" si="5052"/>
        <v>#DIV/0!</v>
      </c>
      <c r="R918" s="55" t="e">
        <f t="shared" si="5052"/>
        <v>#DIV/0!</v>
      </c>
      <c r="S918" s="55" t="e">
        <f t="shared" si="5052"/>
        <v>#DIV/0!</v>
      </c>
      <c r="T918" s="55" t="e">
        <f t="shared" si="5052"/>
        <v>#DIV/0!</v>
      </c>
      <c r="U918" s="55" t="e">
        <f t="shared" si="5052"/>
        <v>#DIV/0!</v>
      </c>
      <c r="V918" s="499">
        <f t="shared" ref="V918:AA918" si="5053">V674/V682</f>
        <v>3.4883720930232558</v>
      </c>
      <c r="W918" s="499">
        <f t="shared" si="5053"/>
        <v>3.4883720930232558</v>
      </c>
      <c r="X918" s="499">
        <f t="shared" si="5053"/>
        <v>3.4883720930232558</v>
      </c>
      <c r="Y918" s="499">
        <f t="shared" si="5053"/>
        <v>3.4883720930232558</v>
      </c>
      <c r="Z918" s="499">
        <f t="shared" si="5053"/>
        <v>3.4883720930232558</v>
      </c>
      <c r="AA918" s="499">
        <f t="shared" si="5053"/>
        <v>3.4883720930232558</v>
      </c>
      <c r="AB918" s="499">
        <f t="shared" ref="AB918:AF918" si="5054">AB674/AB682</f>
        <v>3.4883720930232558</v>
      </c>
      <c r="AC918" s="499">
        <f t="shared" si="5054"/>
        <v>3.4883720930232558</v>
      </c>
      <c r="AD918" s="499">
        <f t="shared" si="5054"/>
        <v>3.4883720930232558</v>
      </c>
      <c r="AE918" s="499">
        <f t="shared" si="5054"/>
        <v>3.4883720930232558</v>
      </c>
      <c r="AF918" s="499">
        <f t="shared" si="5054"/>
        <v>3.4883720930232558</v>
      </c>
      <c r="AG918" s="499">
        <f t="shared" ref="AG918" si="5055">AG674/AG682</f>
        <v>3.4883720930232558</v>
      </c>
      <c r="AH918" s="499">
        <f t="shared" ref="AH918:AJ919" si="5056">AH674/AH682</f>
        <v>3.3333333333333335</v>
      </c>
      <c r="AI918" s="499">
        <f t="shared" si="5056"/>
        <v>3.3333333333333335</v>
      </c>
      <c r="AJ918" s="499" t="e">
        <f t="shared" si="5056"/>
        <v>#DIV/0!</v>
      </c>
      <c r="AK918" s="412"/>
      <c r="AL918" s="14" t="e">
        <f t="shared" ref="AL918:AW918" si="5057">AL875/AL874</f>
        <v>#DIV/0!</v>
      </c>
      <c r="AM918" s="14" t="e">
        <f t="shared" si="5057"/>
        <v>#DIV/0!</v>
      </c>
      <c r="AN918" s="14" t="e">
        <f t="shared" si="5057"/>
        <v>#DIV/0!</v>
      </c>
      <c r="AO918" s="14" t="e">
        <f t="shared" si="5057"/>
        <v>#DIV/0!</v>
      </c>
      <c r="AP918" s="14" t="e">
        <f t="shared" si="5057"/>
        <v>#DIV/0!</v>
      </c>
      <c r="AQ918" s="14" t="e">
        <f t="shared" si="5057"/>
        <v>#DIV/0!</v>
      </c>
      <c r="AR918" s="14" t="e">
        <f t="shared" si="5057"/>
        <v>#DIV/0!</v>
      </c>
      <c r="AS918" s="14" t="e">
        <f t="shared" si="5057"/>
        <v>#DIV/0!</v>
      </c>
      <c r="AT918" s="14" t="e">
        <f t="shared" si="5057"/>
        <v>#DIV/0!</v>
      </c>
      <c r="AU918" s="14" t="e">
        <f t="shared" si="5057"/>
        <v>#DIV/0!</v>
      </c>
      <c r="AV918" s="14" t="e">
        <f t="shared" si="5057"/>
        <v>#DIV/0!</v>
      </c>
      <c r="AW918" s="14" t="e">
        <f t="shared" si="5057"/>
        <v>#DIV/0!</v>
      </c>
      <c r="AX918" s="499">
        <f t="shared" ref="AX918:BI918" si="5058">AX674/AX682</f>
        <v>3.4883720930232558</v>
      </c>
      <c r="AY918" s="499">
        <f t="shared" si="5058"/>
        <v>3.4883720930232558</v>
      </c>
      <c r="AZ918" s="499">
        <f t="shared" si="5058"/>
        <v>3.4883720930232558</v>
      </c>
      <c r="BA918" s="499">
        <f t="shared" si="5058"/>
        <v>3.4883720930232558</v>
      </c>
      <c r="BB918" s="499">
        <f t="shared" si="5058"/>
        <v>3.4883720930232558</v>
      </c>
      <c r="BC918" s="499">
        <f t="shared" si="5058"/>
        <v>3.4883720930232558</v>
      </c>
      <c r="BD918" s="499">
        <f t="shared" si="5058"/>
        <v>3.4883720930232558</v>
      </c>
      <c r="BE918" s="499">
        <f t="shared" si="5058"/>
        <v>3.4883720930232558</v>
      </c>
      <c r="BF918" s="499">
        <f t="shared" si="5058"/>
        <v>3.4883720930232558</v>
      </c>
      <c r="BG918" s="499">
        <f t="shared" si="5058"/>
        <v>3.4883720930232558</v>
      </c>
      <c r="BH918" s="499">
        <f t="shared" si="5058"/>
        <v>3.4883720930232558</v>
      </c>
      <c r="BI918" s="499">
        <f t="shared" si="5058"/>
        <v>3.4883720930232558</v>
      </c>
      <c r="BJ918" s="14"/>
      <c r="BK918" s="14"/>
      <c r="BL918" s="14"/>
      <c r="BM918" s="412"/>
      <c r="BN918" s="14" t="e">
        <f t="shared" ref="BN918:BY918" si="5059">BN875/BN874</f>
        <v>#DIV/0!</v>
      </c>
      <c r="BO918" s="14" t="e">
        <f t="shared" si="5059"/>
        <v>#DIV/0!</v>
      </c>
      <c r="BP918" s="14" t="e">
        <f t="shared" si="5059"/>
        <v>#DIV/0!</v>
      </c>
      <c r="BQ918" s="14" t="e">
        <f t="shared" si="5059"/>
        <v>#DIV/0!</v>
      </c>
      <c r="BR918" s="14" t="e">
        <f t="shared" si="5059"/>
        <v>#DIV/0!</v>
      </c>
      <c r="BS918" s="14" t="e">
        <f t="shared" si="5059"/>
        <v>#DIV/0!</v>
      </c>
      <c r="BT918" s="14" t="e">
        <f t="shared" si="5059"/>
        <v>#DIV/0!</v>
      </c>
      <c r="BU918" s="14" t="e">
        <f t="shared" si="5059"/>
        <v>#DIV/0!</v>
      </c>
      <c r="BV918" s="14" t="e">
        <f t="shared" si="5059"/>
        <v>#DIV/0!</v>
      </c>
      <c r="BW918" s="14" t="e">
        <f t="shared" si="5059"/>
        <v>#DIV/0!</v>
      </c>
      <c r="BX918" s="14" t="e">
        <f t="shared" si="5059"/>
        <v>#DIV/0!</v>
      </c>
      <c r="BY918" s="14" t="e">
        <f t="shared" si="5059"/>
        <v>#DIV/0!</v>
      </c>
      <c r="BZ918" s="499">
        <f t="shared" si="4963"/>
        <v>10.465116279069768</v>
      </c>
      <c r="CA918" s="499">
        <f t="shared" si="4964"/>
        <v>10.465116279069768</v>
      </c>
      <c r="CB918" s="499">
        <f>CB674/CB682*3</f>
        <v>10.465116279069768</v>
      </c>
      <c r="CC918" s="498">
        <f t="shared" si="4965"/>
        <v>3.4883720930232558</v>
      </c>
      <c r="CD918" s="498">
        <f t="shared" si="4966"/>
        <v>3.4883720930232558</v>
      </c>
      <c r="CE918" s="499">
        <f>CE674/CE682*6</f>
        <v>3.4883720930232558</v>
      </c>
      <c r="CF918" s="498">
        <f t="shared" si="4967"/>
        <v>3.4883720930232558</v>
      </c>
      <c r="CG918" s="498">
        <f t="shared" si="4968"/>
        <v>3.4883720930232558</v>
      </c>
      <c r="CH918" s="499">
        <f>CH674/CH682*9</f>
        <v>3.4883720930232558</v>
      </c>
      <c r="CI918" s="498">
        <f t="shared" si="4969"/>
        <v>3.4883720930232558</v>
      </c>
      <c r="CJ918" s="498">
        <f t="shared" si="4970"/>
        <v>3.4883720930232558</v>
      </c>
      <c r="CK918" s="499">
        <f>CK674/CK682*12</f>
        <v>3.4883720930232558</v>
      </c>
      <c r="CL918" s="14"/>
      <c r="CM918" s="14"/>
      <c r="CN918" s="14"/>
      <c r="CO918" s="412"/>
      <c r="CP918" s="14" t="e">
        <f t="shared" ref="CP918:DA918" si="5060">CP875/CP874</f>
        <v>#DIV/0!</v>
      </c>
      <c r="CQ918" s="14" t="e">
        <f t="shared" si="5060"/>
        <v>#DIV/0!</v>
      </c>
      <c r="CR918" s="14" t="e">
        <f t="shared" si="5060"/>
        <v>#DIV/0!</v>
      </c>
      <c r="CS918" s="14" t="e">
        <f t="shared" si="5060"/>
        <v>#DIV/0!</v>
      </c>
      <c r="CT918" s="14" t="e">
        <f t="shared" si="5060"/>
        <v>#DIV/0!</v>
      </c>
      <c r="CU918" s="14" t="e">
        <f t="shared" si="5060"/>
        <v>#DIV/0!</v>
      </c>
      <c r="CV918" s="14" t="e">
        <f t="shared" si="5060"/>
        <v>#DIV/0!</v>
      </c>
      <c r="CW918" s="14" t="e">
        <f t="shared" si="5060"/>
        <v>#DIV/0!</v>
      </c>
      <c r="CX918" s="14" t="e">
        <f t="shared" si="5060"/>
        <v>#DIV/0!</v>
      </c>
      <c r="CY918" s="14" t="e">
        <f t="shared" si="5060"/>
        <v>#DIV/0!</v>
      </c>
      <c r="CZ918" s="14" t="e">
        <f t="shared" si="5060"/>
        <v>#DIV/0!</v>
      </c>
      <c r="DA918" s="14" t="e">
        <f t="shared" si="5060"/>
        <v>#DIV/0!</v>
      </c>
      <c r="DB918" s="499">
        <f>DB674/DB682</f>
        <v>3.4883720930232558</v>
      </c>
      <c r="DC918" s="499">
        <f t="shared" ref="DC918:DM918" si="5061">DC674/DC682</f>
        <v>3.4883720930232558</v>
      </c>
      <c r="DD918" s="499">
        <f t="shared" si="5061"/>
        <v>3.4883720930232558</v>
      </c>
      <c r="DE918" s="499">
        <f t="shared" si="5061"/>
        <v>3.4883720930232558</v>
      </c>
      <c r="DF918" s="499">
        <f t="shared" si="5061"/>
        <v>3.4883720930232558</v>
      </c>
      <c r="DG918" s="499">
        <f t="shared" si="5061"/>
        <v>3.4883720930232558</v>
      </c>
      <c r="DH918" s="499">
        <f t="shared" si="5061"/>
        <v>3.4883720930232558</v>
      </c>
      <c r="DI918" s="499">
        <f t="shared" si="5061"/>
        <v>3.4883720930232558</v>
      </c>
      <c r="DJ918" s="499">
        <f t="shared" si="5061"/>
        <v>3.4883720930232558</v>
      </c>
      <c r="DK918" s="499">
        <f t="shared" si="5061"/>
        <v>3.4883720930232558</v>
      </c>
      <c r="DL918" s="499">
        <f t="shared" si="5061"/>
        <v>3.4883720930232558</v>
      </c>
      <c r="DM918" s="499">
        <f t="shared" si="5061"/>
        <v>3.4883720930232558</v>
      </c>
      <c r="DN918" s="499">
        <f>DN674/DN682</f>
        <v>3.3333333333333335</v>
      </c>
      <c r="DO918" s="499">
        <f>DO674/DO682</f>
        <v>2.2222222222222223</v>
      </c>
      <c r="DP918" s="499">
        <f>DP674/DP682</f>
        <v>3.3333333333333335</v>
      </c>
      <c r="DQ918" s="499"/>
      <c r="DR918" s="499"/>
      <c r="DS918" s="499"/>
      <c r="DT918" s="499"/>
      <c r="DU918" s="499"/>
      <c r="DV918" s="499"/>
      <c r="DW918" s="499"/>
      <c r="DX918" s="499"/>
      <c r="DY918" s="499"/>
      <c r="DZ918" s="14"/>
      <c r="EA918" s="499">
        <f>EA674/EA682</f>
        <v>4.2601828811333284</v>
      </c>
      <c r="EB918" s="499">
        <f>EB674/EB682</f>
        <v>3.4883720930232558</v>
      </c>
      <c r="EC918" s="499"/>
      <c r="ED918" s="429"/>
      <c r="EE918" s="499">
        <f>EE674/EE682</f>
        <v>1.6666666666666667</v>
      </c>
      <c r="EF918" s="499">
        <f>EF674/EF682</f>
        <v>3.3333333333333335</v>
      </c>
      <c r="EG918" s="499">
        <f>EG674/EG682</f>
        <v>3.3333333333333335</v>
      </c>
      <c r="EH918" s="381"/>
      <c r="EI918" s="381"/>
      <c r="EJ918" s="381"/>
      <c r="EK918" s="217"/>
      <c r="EL918" s="251"/>
      <c r="EM918" s="251"/>
      <c r="EN918" s="251"/>
      <c r="EO918" s="381"/>
      <c r="EP918" s="381"/>
      <c r="EQ918" s="381"/>
      <c r="ER918" s="381"/>
      <c r="ES918" s="381"/>
    </row>
    <row r="919" spans="1:149">
      <c r="A919" s="507"/>
      <c r="B919" s="506" t="s">
        <v>221</v>
      </c>
      <c r="C919" s="3" t="s">
        <v>74</v>
      </c>
      <c r="E919" s="4" t="str">
        <f>C876</f>
        <v>AFUniq</v>
      </c>
      <c r="F919" s="4" t="s">
        <v>31</v>
      </c>
      <c r="G919" s="165" t="str">
        <f>C875</f>
        <v>AFUniq</v>
      </c>
      <c r="V919" s="267">
        <f>IF(V748&lt;&gt;0,V740/V748)</f>
        <v>5.4150821487585983</v>
      </c>
      <c r="W919" s="267">
        <f t="shared" ref="W919:AF919" si="5062">IF(W748&lt;&gt;0,W740/W748)</f>
        <v>6.0196869887717899</v>
      </c>
      <c r="X919" s="267">
        <f t="shared" si="5062"/>
        <v>6.2523840800488344</v>
      </c>
      <c r="Y919" s="267">
        <f t="shared" si="5062"/>
        <v>6.3756119443349037</v>
      </c>
      <c r="Z919" s="267">
        <f t="shared" si="5062"/>
        <v>6.4519081068526507</v>
      </c>
      <c r="AA919" s="267">
        <f t="shared" si="5062"/>
        <v>6.5037948477316121</v>
      </c>
      <c r="AB919" s="267">
        <f t="shared" si="5062"/>
        <v>6.5413707090924422</v>
      </c>
      <c r="AC919" s="267">
        <f t="shared" si="5062"/>
        <v>6.5698387831237124</v>
      </c>
      <c r="AD919" s="267">
        <f t="shared" si="5062"/>
        <v>6.5921525093834008</v>
      </c>
      <c r="AE919" s="267">
        <f t="shared" si="5062"/>
        <v>6.6101129196747701</v>
      </c>
      <c r="AF919" s="267">
        <f t="shared" si="5062"/>
        <v>6.6248807569080563</v>
      </c>
      <c r="AG919" s="267">
        <f t="shared" ref="AG919" si="5063">IF(AG748&lt;&gt;0,AG740/AG748)</f>
        <v>6.6372377882823539</v>
      </c>
      <c r="AH919" s="267">
        <f t="shared" ref="AH919" si="5064">IF(AH748&lt;&gt;0,AH740/AH748)</f>
        <v>4.8048555033104936</v>
      </c>
      <c r="AI919" s="499">
        <f t="shared" si="5056"/>
        <v>0</v>
      </c>
      <c r="AJ919" s="499">
        <f t="shared" si="5056"/>
        <v>0</v>
      </c>
      <c r="AK919" s="267" t="e">
        <f>SUM(AK908:AK918)</f>
        <v>#DIV/0!</v>
      </c>
      <c r="AX919" s="267">
        <f>SUM(AX908:AX918)</f>
        <v>60.974348861152791</v>
      </c>
      <c r="AY919" s="267">
        <f t="shared" ref="AY919:BI919" si="5065">SUM(AY908:AY918)</f>
        <v>60.974352166937912</v>
      </c>
      <c r="AZ919" s="267">
        <f t="shared" si="5065"/>
        <v>60.974352166937912</v>
      </c>
      <c r="BA919" s="267">
        <f t="shared" si="5065"/>
        <v>60.974352166937912</v>
      </c>
      <c r="BB919" s="267">
        <f t="shared" si="5065"/>
        <v>60.974352166937912</v>
      </c>
      <c r="BC919" s="267">
        <f t="shared" si="5065"/>
        <v>60.974352166937905</v>
      </c>
      <c r="BD919" s="267">
        <f t="shared" si="5065"/>
        <v>60.974352166937912</v>
      </c>
      <c r="BE919" s="267">
        <f t="shared" si="5065"/>
        <v>60.974352166937905</v>
      </c>
      <c r="BF919" s="267">
        <f t="shared" si="5065"/>
        <v>60.974352166937905</v>
      </c>
      <c r="BG919" s="267">
        <f t="shared" si="5065"/>
        <v>60.974352166937905</v>
      </c>
      <c r="BH919" s="267">
        <f t="shared" si="5065"/>
        <v>60.974352166937898</v>
      </c>
      <c r="BI919" s="267">
        <f t="shared" si="5065"/>
        <v>60.974352166937905</v>
      </c>
      <c r="BZ919" s="267">
        <f>SUM(BZ908:BZ918)</f>
        <v>169.30754737740958</v>
      </c>
      <c r="CA919" s="267">
        <f t="shared" ref="CA919:CK919" si="5066">SUM(CA908:CA918)</f>
        <v>169.30754737740958</v>
      </c>
      <c r="CB919" s="267">
        <f t="shared" si="5066"/>
        <v>169.30754737740958</v>
      </c>
      <c r="CC919" s="267">
        <f t="shared" si="5066"/>
        <v>140.90111441761186</v>
      </c>
      <c r="CD919" s="267">
        <f t="shared" si="5066"/>
        <v>140.90111441761186</v>
      </c>
      <c r="CE919" s="267">
        <f t="shared" si="5066"/>
        <v>140.90111441761186</v>
      </c>
      <c r="CF919" s="267">
        <f t="shared" si="5066"/>
        <v>188.85644635627204</v>
      </c>
      <c r="CG919" s="267">
        <f t="shared" si="5066"/>
        <v>188.85644635627204</v>
      </c>
      <c r="CH919" s="267">
        <f t="shared" si="5066"/>
        <v>188.85644635627204</v>
      </c>
      <c r="CI919" s="267">
        <f t="shared" si="5066"/>
        <v>236.8113710936594</v>
      </c>
      <c r="CJ919" s="267">
        <f t="shared" si="5066"/>
        <v>236.8113710936594</v>
      </c>
      <c r="CK919" s="267">
        <f t="shared" si="5066"/>
        <v>236.8113710936594</v>
      </c>
      <c r="DB919" s="267">
        <f>SUM(DB908:DB918)</f>
        <v>60.974348861152791</v>
      </c>
      <c r="DC919" s="267">
        <f t="shared" ref="DC919:DM919" si="5067">SUM(DC908:DC918)</f>
        <v>60.974399965064215</v>
      </c>
      <c r="DD919" s="267">
        <f t="shared" si="5067"/>
        <v>60.974417000076777</v>
      </c>
      <c r="DE919" s="267">
        <f t="shared" si="5067"/>
        <v>60.974425517653465</v>
      </c>
      <c r="DF919" s="267">
        <f t="shared" si="5067"/>
        <v>60.974430628221995</v>
      </c>
      <c r="DG919" s="267">
        <f t="shared" si="5067"/>
        <v>60.974434035277064</v>
      </c>
      <c r="DH919" s="267">
        <f t="shared" si="5067"/>
        <v>60.974436468892435</v>
      </c>
      <c r="DI919" s="267">
        <f t="shared" si="5067"/>
        <v>60.974438294106477</v>
      </c>
      <c r="DJ919" s="267">
        <f t="shared" si="5067"/>
        <v>60.97443971371888</v>
      </c>
      <c r="DK919" s="267">
        <f t="shared" si="5067"/>
        <v>60.974440849409746</v>
      </c>
      <c r="DL919" s="267">
        <f t="shared" si="5067"/>
        <v>60.974441778611968</v>
      </c>
      <c r="DM919" s="267">
        <f t="shared" si="5067"/>
        <v>60.9744425529476</v>
      </c>
      <c r="EA919" s="267">
        <f>SUM(EA908:EA918)</f>
        <v>55.304049753052979</v>
      </c>
      <c r="EB919" s="267">
        <f>SUM(EB908:EB918)</f>
        <v>60.379309425126969</v>
      </c>
      <c r="EC919" s="267"/>
      <c r="ED919" s="429"/>
      <c r="EE919" s="267">
        <f>EE740/EE748</f>
        <v>5.8994416618180221</v>
      </c>
      <c r="EF919" s="267">
        <f>EF740/EF748</f>
        <v>7.2320867678738114</v>
      </c>
      <c r="EG919" s="267">
        <f>EG740/EG748</f>
        <v>5.450767106227107</v>
      </c>
    </row>
  </sheetData>
  <mergeCells count="129">
    <mergeCell ref="E777:I777"/>
    <mergeCell ref="A662:B662"/>
    <mergeCell ref="EK664:EK685"/>
    <mergeCell ref="E711:I711"/>
    <mergeCell ref="J727:AJ727"/>
    <mergeCell ref="AL727:BL727"/>
    <mergeCell ref="BN727:CN727"/>
    <mergeCell ref="CP727:DP727"/>
    <mergeCell ref="DZ727:EB727"/>
    <mergeCell ref="EE727:EG727"/>
    <mergeCell ref="A728:B728"/>
    <mergeCell ref="EK730:EK751"/>
    <mergeCell ref="EH727:EJ727"/>
    <mergeCell ref="EL463:ES463"/>
    <mergeCell ref="A464:B464"/>
    <mergeCell ref="EK466:EK487"/>
    <mergeCell ref="E513:I513"/>
    <mergeCell ref="BN529:CN529"/>
    <mergeCell ref="CP529:DP529"/>
    <mergeCell ref="DZ529:EB529"/>
    <mergeCell ref="EE529:EG529"/>
    <mergeCell ref="E645:I645"/>
    <mergeCell ref="J595:AJ595"/>
    <mergeCell ref="AL595:BL595"/>
    <mergeCell ref="BN595:CN595"/>
    <mergeCell ref="CP595:DP595"/>
    <mergeCell ref="DZ595:EB595"/>
    <mergeCell ref="EE595:EG595"/>
    <mergeCell ref="EH595:EJ595"/>
    <mergeCell ref="EL661:ES661"/>
    <mergeCell ref="EL727:ES727"/>
    <mergeCell ref="EH529:EJ529"/>
    <mergeCell ref="EL529:ES529"/>
    <mergeCell ref="A530:B530"/>
    <mergeCell ref="EK532:EK553"/>
    <mergeCell ref="E579:I579"/>
    <mergeCell ref="EK598:EK619"/>
    <mergeCell ref="EL595:ES595"/>
    <mergeCell ref="A596:B596"/>
    <mergeCell ref="J529:AJ529"/>
    <mergeCell ref="AL529:BL529"/>
    <mergeCell ref="J661:AJ661"/>
    <mergeCell ref="AL661:BL661"/>
    <mergeCell ref="BN661:CN661"/>
    <mergeCell ref="CP661:DP661"/>
    <mergeCell ref="DZ661:EB661"/>
    <mergeCell ref="EE661:EG661"/>
    <mergeCell ref="EH661:EJ661"/>
    <mergeCell ref="A398:B398"/>
    <mergeCell ref="EK400:EK421"/>
    <mergeCell ref="E447:I447"/>
    <mergeCell ref="J463:AJ463"/>
    <mergeCell ref="AL463:BL463"/>
    <mergeCell ref="BN463:CN463"/>
    <mergeCell ref="CP463:DP463"/>
    <mergeCell ref="DZ463:EB463"/>
    <mergeCell ref="EE463:EG463"/>
    <mergeCell ref="EH463:EJ463"/>
    <mergeCell ref="EL331:ES331"/>
    <mergeCell ref="A332:B332"/>
    <mergeCell ref="EK334:EK355"/>
    <mergeCell ref="J397:AJ397"/>
    <mergeCell ref="AL397:BL397"/>
    <mergeCell ref="BN397:CN397"/>
    <mergeCell ref="CP397:DP397"/>
    <mergeCell ref="DZ397:EB397"/>
    <mergeCell ref="EE397:EG397"/>
    <mergeCell ref="EH397:EJ397"/>
    <mergeCell ref="EL397:ES397"/>
    <mergeCell ref="A266:B266"/>
    <mergeCell ref="EK268:EK289"/>
    <mergeCell ref="J331:AJ331"/>
    <mergeCell ref="AL331:BL331"/>
    <mergeCell ref="BN331:CN331"/>
    <mergeCell ref="CP331:DP331"/>
    <mergeCell ref="DZ331:EB331"/>
    <mergeCell ref="EE331:EG331"/>
    <mergeCell ref="EH331:EJ331"/>
    <mergeCell ref="EL199:ES199"/>
    <mergeCell ref="A200:B200"/>
    <mergeCell ref="EK202:EK223"/>
    <mergeCell ref="J265:AJ265"/>
    <mergeCell ref="AL265:BL265"/>
    <mergeCell ref="BN265:CN265"/>
    <mergeCell ref="CP265:DP265"/>
    <mergeCell ref="DZ265:EB265"/>
    <mergeCell ref="EE265:EG265"/>
    <mergeCell ref="EH265:EJ265"/>
    <mergeCell ref="EL265:ES265"/>
    <mergeCell ref="EK136:EK157"/>
    <mergeCell ref="E183:I183"/>
    <mergeCell ref="J199:AJ199"/>
    <mergeCell ref="AL199:BL199"/>
    <mergeCell ref="BN199:CN199"/>
    <mergeCell ref="CP199:DP199"/>
    <mergeCell ref="DZ199:EB199"/>
    <mergeCell ref="EE199:EG199"/>
    <mergeCell ref="EH199:EJ199"/>
    <mergeCell ref="DZ133:EB133"/>
    <mergeCell ref="EE133:EG133"/>
    <mergeCell ref="EH133:EJ133"/>
    <mergeCell ref="EL133:ES133"/>
    <mergeCell ref="EE67:EG67"/>
    <mergeCell ref="EH67:EJ67"/>
    <mergeCell ref="A134:B134"/>
    <mergeCell ref="E117:I117"/>
    <mergeCell ref="J133:AJ133"/>
    <mergeCell ref="AL133:BL133"/>
    <mergeCell ref="BN133:CN133"/>
    <mergeCell ref="CP133:DP133"/>
    <mergeCell ref="EL67:ES67"/>
    <mergeCell ref="A68:B68"/>
    <mergeCell ref="EK70:EK91"/>
    <mergeCell ref="J67:AJ67"/>
    <mergeCell ref="AL67:BL67"/>
    <mergeCell ref="BN67:CN67"/>
    <mergeCell ref="CP67:DP67"/>
    <mergeCell ref="DZ67:EB67"/>
    <mergeCell ref="A2:B2"/>
    <mergeCell ref="E51:I51"/>
    <mergeCell ref="J1:AJ1"/>
    <mergeCell ref="BN1:CN1"/>
    <mergeCell ref="AL1:BL1"/>
    <mergeCell ref="DZ1:EB1"/>
    <mergeCell ref="CP1:DP1"/>
    <mergeCell ref="EL1:ES1"/>
    <mergeCell ref="EK4:EK25"/>
    <mergeCell ref="EH1:EJ1"/>
    <mergeCell ref="EE1:EG1"/>
  </mergeCells>
  <dataValidations disablePrompts="1" count="1">
    <dataValidation type="list" allowBlank="1" showInputMessage="1" showErrorMessage="1" sqref="I1">
      <formula1>$J$2:$AJ$2</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dimension ref="A3:P21"/>
  <sheetViews>
    <sheetView workbookViewId="0">
      <selection activeCell="O21" sqref="O21"/>
    </sheetView>
  </sheetViews>
  <sheetFormatPr defaultRowHeight="15.75"/>
  <cols>
    <col min="1" max="1" width="14.33203125" customWidth="1"/>
    <col min="2" max="2" width="17.5546875" customWidth="1"/>
    <col min="3" max="14" width="6.33203125" customWidth="1"/>
  </cols>
  <sheetData>
    <row r="3" spans="1:16">
      <c r="A3" s="76" t="s">
        <v>148</v>
      </c>
      <c r="B3" s="76"/>
      <c r="C3" s="77"/>
      <c r="D3" s="77"/>
      <c r="E3" s="78"/>
      <c r="F3" s="67"/>
      <c r="G3" s="77"/>
      <c r="H3" s="77"/>
      <c r="I3" s="77"/>
      <c r="J3" s="258" t="s">
        <v>184</v>
      </c>
      <c r="K3" s="77"/>
      <c r="L3" s="78"/>
      <c r="M3" s="78"/>
      <c r="N3" s="478">
        <f>'Input &amp; Calc'!I1</f>
        <v>40391</v>
      </c>
      <c r="O3" s="77"/>
      <c r="P3" s="67"/>
    </row>
    <row r="4" spans="1:16" ht="16.5" thickBot="1">
      <c r="A4" s="81" t="s">
        <v>205</v>
      </c>
      <c r="B4" s="322"/>
      <c r="C4" s="82"/>
      <c r="D4" s="82"/>
      <c r="E4" s="83"/>
      <c r="F4" s="82"/>
      <c r="G4" s="82"/>
      <c r="H4" s="82"/>
      <c r="I4" s="82"/>
      <c r="J4" s="82"/>
      <c r="K4" s="82"/>
      <c r="L4" s="83"/>
      <c r="M4" s="83"/>
      <c r="N4" s="82"/>
      <c r="O4" s="82"/>
      <c r="P4" s="84"/>
    </row>
    <row r="5" spans="1:16" ht="16.5" thickBot="1">
      <c r="A5" s="96" t="s">
        <v>134</v>
      </c>
      <c r="B5" s="460"/>
      <c r="C5" s="90"/>
      <c r="D5" s="90"/>
      <c r="E5" s="90"/>
      <c r="F5" s="90"/>
      <c r="G5" s="90"/>
      <c r="H5" s="90"/>
      <c r="I5" s="90"/>
      <c r="J5" s="90"/>
      <c r="K5" s="90"/>
      <c r="L5" s="90"/>
      <c r="M5" s="90"/>
      <c r="N5" s="477"/>
    </row>
    <row r="6" spans="1:16" ht="13.5" customHeight="1">
      <c r="A6" s="636" t="s">
        <v>99</v>
      </c>
      <c r="B6" s="638" t="s">
        <v>100</v>
      </c>
      <c r="C6" s="621" t="s">
        <v>210</v>
      </c>
      <c r="D6" s="621" t="s">
        <v>211</v>
      </c>
      <c r="E6" s="621" t="s">
        <v>212</v>
      </c>
      <c r="F6" s="621" t="s">
        <v>213</v>
      </c>
      <c r="G6" s="621" t="s">
        <v>214</v>
      </c>
      <c r="H6" s="621" t="s">
        <v>215</v>
      </c>
      <c r="I6" s="621" t="s">
        <v>216</v>
      </c>
      <c r="J6" s="621" t="s">
        <v>217</v>
      </c>
      <c r="K6" s="621" t="s">
        <v>218</v>
      </c>
      <c r="L6" s="621" t="s">
        <v>219</v>
      </c>
      <c r="M6" s="621" t="s">
        <v>220</v>
      </c>
      <c r="N6" s="664" t="s">
        <v>184</v>
      </c>
    </row>
    <row r="7" spans="1:16" ht="13.5" customHeight="1">
      <c r="A7" s="637"/>
      <c r="B7" s="621"/>
      <c r="C7" s="622"/>
      <c r="D7" s="622"/>
      <c r="E7" s="622"/>
      <c r="F7" s="622"/>
      <c r="G7" s="622"/>
      <c r="H7" s="622"/>
      <c r="I7" s="622"/>
      <c r="J7" s="622"/>
      <c r="K7" s="622"/>
      <c r="L7" s="622"/>
      <c r="M7" s="622"/>
      <c r="N7" s="677"/>
    </row>
    <row r="8" spans="1:16" ht="25.5">
      <c r="A8" s="71" t="s">
        <v>196</v>
      </c>
      <c r="B8" s="72" t="s">
        <v>132</v>
      </c>
      <c r="C8" s="252">
        <f>'Balanced Scorecard'!P7</f>
        <v>1</v>
      </c>
      <c r="D8" s="252">
        <f>'Balanced Scorecard'!P73</f>
        <v>1</v>
      </c>
      <c r="E8" s="252">
        <f>'Balanced Scorecard'!P139</f>
        <v>1</v>
      </c>
      <c r="F8" s="252">
        <f>'Balanced Scorecard'!P205</f>
        <v>1</v>
      </c>
      <c r="G8" s="252">
        <f>'Balanced Scorecard'!P271</f>
        <v>2</v>
      </c>
      <c r="H8" s="252">
        <f>'Balanced Scorecard'!P337</f>
        <v>1</v>
      </c>
      <c r="I8" s="252">
        <f>'Balanced Scorecard'!P403</f>
        <v>1</v>
      </c>
      <c r="J8" s="252">
        <f>'Balanced Scorecard'!P469</f>
        <v>1</v>
      </c>
      <c r="K8" s="252">
        <f>'Balanced Scorecard'!P535</f>
        <v>1</v>
      </c>
      <c r="L8" s="252">
        <f>'Balanced Scorecard'!P601</f>
        <v>1</v>
      </c>
      <c r="M8" s="252">
        <f>'Balanced Scorecard'!P667</f>
        <v>1</v>
      </c>
      <c r="N8" s="466">
        <f>'Balanced Scorecard'!P733</f>
        <v>1</v>
      </c>
    </row>
    <row r="9" spans="1:16">
      <c r="A9" s="633" t="s">
        <v>206</v>
      </c>
      <c r="B9" s="446" t="s">
        <v>107</v>
      </c>
      <c r="C9" s="252">
        <f>'Balanced Scorecard'!P8</f>
        <v>3</v>
      </c>
      <c r="D9" s="252">
        <f>'Balanced Scorecard'!P74</f>
        <v>1</v>
      </c>
      <c r="E9" s="252">
        <f>'Balanced Scorecard'!P140</f>
        <v>1</v>
      </c>
      <c r="F9" s="252">
        <f>'Balanced Scorecard'!P206</f>
        <v>1</v>
      </c>
      <c r="G9" s="252">
        <f>'Balanced Scorecard'!P272</f>
        <v>1</v>
      </c>
      <c r="H9" s="252">
        <f>'Balanced Scorecard'!P338</f>
        <v>1</v>
      </c>
      <c r="I9" s="252">
        <f>'Balanced Scorecard'!P404</f>
        <v>1</v>
      </c>
      <c r="J9" s="252">
        <f>'Balanced Scorecard'!P470</f>
        <v>1</v>
      </c>
      <c r="K9" s="252">
        <f>'Balanced Scorecard'!P536</f>
        <v>1</v>
      </c>
      <c r="L9" s="252">
        <f>'Balanced Scorecard'!P602</f>
        <v>2</v>
      </c>
      <c r="M9" s="252">
        <f>'Balanced Scorecard'!P668</f>
        <v>3</v>
      </c>
      <c r="N9" s="466">
        <f>'Balanced Scorecard'!P734</f>
        <v>1</v>
      </c>
    </row>
    <row r="10" spans="1:16" ht="16.5" thickBot="1">
      <c r="A10" s="634"/>
      <c r="B10" s="73" t="s">
        <v>138</v>
      </c>
      <c r="C10" s="252">
        <f>'Balanced Scorecard'!P9</f>
        <v>1</v>
      </c>
      <c r="D10" s="252">
        <f>'Balanced Scorecard'!P75</f>
        <v>1</v>
      </c>
      <c r="E10" s="252">
        <f>'Balanced Scorecard'!P141</f>
        <v>3</v>
      </c>
      <c r="F10" s="252">
        <f>'Balanced Scorecard'!P207</f>
        <v>3</v>
      </c>
      <c r="G10" s="252">
        <f>'Balanced Scorecard'!P273</f>
        <v>1</v>
      </c>
      <c r="H10" s="252">
        <f>'Balanced Scorecard'!P339</f>
        <v>1</v>
      </c>
      <c r="I10" s="252">
        <f>'Balanced Scorecard'!P405</f>
        <v>1</v>
      </c>
      <c r="J10" s="252">
        <f>'Balanced Scorecard'!P471</f>
        <v>1</v>
      </c>
      <c r="K10" s="252">
        <f>'Balanced Scorecard'!P537</f>
        <v>1</v>
      </c>
      <c r="L10" s="252">
        <f>'Balanced Scorecard'!P603</f>
        <v>1</v>
      </c>
      <c r="M10" s="252">
        <f>'Balanced Scorecard'!P669</f>
        <v>1</v>
      </c>
      <c r="N10" s="466">
        <f>'Balanced Scorecard'!P735</f>
        <v>1</v>
      </c>
    </row>
    <row r="11" spans="1:16" ht="3.75" customHeight="1" thickBot="1">
      <c r="A11" s="74"/>
      <c r="B11" s="74"/>
      <c r="C11" s="75"/>
      <c r="D11" s="75"/>
      <c r="E11" s="75"/>
      <c r="F11" s="75"/>
      <c r="G11" s="75"/>
      <c r="H11" s="75"/>
      <c r="I11" s="75"/>
      <c r="J11" s="75"/>
      <c r="K11" s="75"/>
      <c r="L11" s="75"/>
      <c r="M11" s="75"/>
      <c r="N11" s="75"/>
    </row>
    <row r="12" spans="1:16" ht="16.5" thickBot="1">
      <c r="A12" s="96" t="s">
        <v>135</v>
      </c>
      <c r="B12" s="460"/>
      <c r="C12" s="90"/>
      <c r="D12" s="90"/>
      <c r="E12" s="90"/>
      <c r="F12" s="90"/>
      <c r="G12" s="90"/>
      <c r="H12" s="90"/>
      <c r="I12" s="90"/>
      <c r="J12" s="90"/>
      <c r="K12" s="90"/>
      <c r="L12" s="90"/>
      <c r="M12" s="90"/>
      <c r="N12" s="477"/>
    </row>
    <row r="13" spans="1:16" ht="13.5" customHeight="1">
      <c r="A13" s="636" t="s">
        <v>99</v>
      </c>
      <c r="B13" s="638" t="s">
        <v>100</v>
      </c>
      <c r="C13" s="621" t="s">
        <v>210</v>
      </c>
      <c r="D13" s="621" t="s">
        <v>211</v>
      </c>
      <c r="E13" s="621" t="s">
        <v>212</v>
      </c>
      <c r="F13" s="621" t="s">
        <v>213</v>
      </c>
      <c r="G13" s="621" t="s">
        <v>214</v>
      </c>
      <c r="H13" s="621" t="s">
        <v>215</v>
      </c>
      <c r="I13" s="621" t="s">
        <v>216</v>
      </c>
      <c r="J13" s="621" t="s">
        <v>217</v>
      </c>
      <c r="K13" s="621" t="s">
        <v>218</v>
      </c>
      <c r="L13" s="621" t="s">
        <v>219</v>
      </c>
      <c r="M13" s="621" t="s">
        <v>220</v>
      </c>
      <c r="N13" s="664" t="s">
        <v>221</v>
      </c>
    </row>
    <row r="14" spans="1:16" ht="13.5" customHeight="1">
      <c r="A14" s="637"/>
      <c r="B14" s="621"/>
      <c r="C14" s="622"/>
      <c r="D14" s="622"/>
      <c r="E14" s="622"/>
      <c r="F14" s="622"/>
      <c r="G14" s="622"/>
      <c r="H14" s="622"/>
      <c r="I14" s="622"/>
      <c r="J14" s="622"/>
      <c r="K14" s="622"/>
      <c r="L14" s="622"/>
      <c r="M14" s="622"/>
      <c r="N14" s="677"/>
    </row>
    <row r="15" spans="1:16" ht="25.5">
      <c r="A15" s="71" t="s">
        <v>197</v>
      </c>
      <c r="B15" s="72" t="s">
        <v>190</v>
      </c>
      <c r="C15" s="252">
        <f>'Balanced Scorecard'!P13</f>
        <v>1</v>
      </c>
      <c r="D15" s="252">
        <f>'Balanced Scorecard'!P79</f>
        <v>1</v>
      </c>
      <c r="E15" s="252">
        <f>'Balanced Scorecard'!P145</f>
        <v>1</v>
      </c>
      <c r="F15" s="252">
        <f>'Balanced Scorecard'!P211</f>
        <v>1</v>
      </c>
      <c r="G15" s="252">
        <f>'Balanced Scorecard'!P277</f>
        <v>1</v>
      </c>
      <c r="H15" s="252">
        <f>'Balanced Scorecard'!P343</f>
        <v>1</v>
      </c>
      <c r="I15" s="252">
        <f>'Balanced Scorecard'!P409</f>
        <v>1</v>
      </c>
      <c r="J15" s="252">
        <f>'Balanced Scorecard'!P475</f>
        <v>3</v>
      </c>
      <c r="K15" s="252">
        <f>'Balanced Scorecard'!P541</f>
        <v>1</v>
      </c>
      <c r="L15" s="252">
        <f>'Balanced Scorecard'!P607</f>
        <v>1</v>
      </c>
      <c r="M15" s="252">
        <f>'Balanced Scorecard'!P673</f>
        <v>1</v>
      </c>
      <c r="N15" s="466">
        <f>'Balanced Scorecard'!P739</f>
        <v>1</v>
      </c>
    </row>
    <row r="16" spans="1:16" ht="25.5">
      <c r="A16" s="620" t="s">
        <v>198</v>
      </c>
      <c r="B16" s="72" t="s">
        <v>199</v>
      </c>
      <c r="C16" s="252">
        <f>'Balanced Scorecard'!P14</f>
        <v>1</v>
      </c>
      <c r="D16" s="252">
        <f>'Balanced Scorecard'!P80</f>
        <v>1</v>
      </c>
      <c r="E16" s="252">
        <f>'Balanced Scorecard'!P146</f>
        <v>2</v>
      </c>
      <c r="F16" s="252">
        <f>'Balanced Scorecard'!P212</f>
        <v>1</v>
      </c>
      <c r="G16" s="252">
        <f>'Balanced Scorecard'!P278</f>
        <v>1</v>
      </c>
      <c r="H16" s="252">
        <f>'Balanced Scorecard'!P344</f>
        <v>2</v>
      </c>
      <c r="I16" s="252">
        <f>'Balanced Scorecard'!P410</f>
        <v>1</v>
      </c>
      <c r="J16" s="252">
        <f>'Balanced Scorecard'!P476</f>
        <v>3</v>
      </c>
      <c r="K16" s="252">
        <f>'Balanced Scorecard'!P542</f>
        <v>1</v>
      </c>
      <c r="L16" s="252">
        <f>'Balanced Scorecard'!P608</f>
        <v>2</v>
      </c>
      <c r="M16" s="252">
        <f>'Balanced Scorecard'!P674</f>
        <v>1</v>
      </c>
      <c r="N16" s="466">
        <f>'Balanced Scorecard'!P740</f>
        <v>1</v>
      </c>
    </row>
    <row r="17" spans="1:14">
      <c r="A17" s="620"/>
      <c r="B17" s="320" t="s">
        <v>200</v>
      </c>
      <c r="C17" s="252">
        <f>'Balanced Scorecard'!P15</f>
        <v>3</v>
      </c>
      <c r="D17" s="252">
        <f>'Balanced Scorecard'!P81</f>
        <v>3</v>
      </c>
      <c r="E17" s="252">
        <f>'Balanced Scorecard'!P147</f>
        <v>3</v>
      </c>
      <c r="F17" s="252">
        <f>'Balanced Scorecard'!P213</f>
        <v>2</v>
      </c>
      <c r="G17" s="252">
        <f>'Balanced Scorecard'!P279</f>
        <v>1</v>
      </c>
      <c r="H17" s="252">
        <f>'Balanced Scorecard'!P345</f>
        <v>3</v>
      </c>
      <c r="I17" s="252">
        <f>'Balanced Scorecard'!P411</f>
        <v>1</v>
      </c>
      <c r="J17" s="252">
        <f>'Balanced Scorecard'!P477</f>
        <v>3</v>
      </c>
      <c r="K17" s="252">
        <f>'Balanced Scorecard'!P543</f>
        <v>3</v>
      </c>
      <c r="L17" s="252">
        <f>'Balanced Scorecard'!P609</f>
        <v>1</v>
      </c>
      <c r="M17" s="252">
        <f>'Balanced Scorecard'!P675</f>
        <v>3</v>
      </c>
      <c r="N17" s="466">
        <f>'Balanced Scorecard'!P741</f>
        <v>3</v>
      </c>
    </row>
    <row r="18" spans="1:14">
      <c r="A18" s="71" t="s">
        <v>109</v>
      </c>
      <c r="B18" s="72" t="s">
        <v>201</v>
      </c>
      <c r="C18" s="252">
        <f>'Balanced Scorecard'!P16</f>
        <v>3</v>
      </c>
      <c r="D18" s="252">
        <f>'Balanced Scorecard'!P82</f>
        <v>1</v>
      </c>
      <c r="E18" s="252">
        <f>'Balanced Scorecard'!P148</f>
        <v>1</v>
      </c>
      <c r="F18" s="252">
        <f>'Balanced Scorecard'!P214</f>
        <v>1</v>
      </c>
      <c r="G18" s="252">
        <f>'Balanced Scorecard'!P280</f>
        <v>1</v>
      </c>
      <c r="H18" s="252">
        <f>'Balanced Scorecard'!P346</f>
        <v>1</v>
      </c>
      <c r="I18" s="252">
        <f>'Balanced Scorecard'!P412</f>
        <v>1</v>
      </c>
      <c r="J18" s="252">
        <f>'Balanced Scorecard'!P478</f>
        <v>1</v>
      </c>
      <c r="K18" s="252">
        <f>'Balanced Scorecard'!P544</f>
        <v>1</v>
      </c>
      <c r="L18" s="252">
        <f>'Balanced Scorecard'!P610</f>
        <v>1</v>
      </c>
      <c r="M18" s="252">
        <f>'Balanced Scorecard'!P676</f>
        <v>1</v>
      </c>
      <c r="N18" s="466">
        <f>'Balanced Scorecard'!P742</f>
        <v>1</v>
      </c>
    </row>
    <row r="19" spans="1:14">
      <c r="A19" s="620" t="s">
        <v>207</v>
      </c>
      <c r="B19" s="72" t="s">
        <v>227</v>
      </c>
      <c r="C19" s="513"/>
      <c r="D19" s="513"/>
      <c r="E19" s="513"/>
      <c r="F19" s="513"/>
      <c r="G19" s="513"/>
      <c r="H19" s="513"/>
      <c r="I19" s="513"/>
      <c r="J19" s="513"/>
      <c r="K19" s="513"/>
      <c r="L19" s="513"/>
      <c r="M19" s="513"/>
      <c r="N19" s="513"/>
    </row>
    <row r="20" spans="1:14">
      <c r="A20" s="633"/>
      <c r="B20" s="72" t="s">
        <v>228</v>
      </c>
      <c r="C20" s="513"/>
      <c r="D20" s="513"/>
      <c r="E20" s="513"/>
      <c r="F20" s="513"/>
      <c r="G20" s="513"/>
      <c r="H20" s="513"/>
      <c r="I20" s="513"/>
      <c r="J20" s="513"/>
      <c r="K20" s="513"/>
      <c r="L20" s="513"/>
      <c r="M20" s="513"/>
      <c r="N20" s="513"/>
    </row>
    <row r="21" spans="1:14" ht="16.5" thickBot="1">
      <c r="A21" s="676"/>
      <c r="B21" s="72" t="s">
        <v>208</v>
      </c>
      <c r="C21" s="513"/>
      <c r="D21" s="513"/>
      <c r="E21" s="513"/>
      <c r="F21" s="513"/>
      <c r="G21" s="513"/>
      <c r="H21" s="513"/>
      <c r="I21" s="513"/>
      <c r="J21" s="513"/>
      <c r="K21" s="513"/>
      <c r="L21" s="513"/>
      <c r="M21" s="513"/>
      <c r="N21" s="513"/>
    </row>
  </sheetData>
  <mergeCells count="31">
    <mergeCell ref="K6:K7"/>
    <mergeCell ref="M6:M7"/>
    <mergeCell ref="N6:N7"/>
    <mergeCell ref="L6:L7"/>
    <mergeCell ref="I13:I14"/>
    <mergeCell ref="J13:J14"/>
    <mergeCell ref="K13:K14"/>
    <mergeCell ref="M13:M14"/>
    <mergeCell ref="N13:N14"/>
    <mergeCell ref="L13:L14"/>
    <mergeCell ref="F13:F14"/>
    <mergeCell ref="G13:G14"/>
    <mergeCell ref="H13:H14"/>
    <mergeCell ref="I6:I7"/>
    <mergeCell ref="J6:J7"/>
    <mergeCell ref="A19:A21"/>
    <mergeCell ref="A9:A10"/>
    <mergeCell ref="A13:A14"/>
    <mergeCell ref="H6:H7"/>
    <mergeCell ref="A16:A17"/>
    <mergeCell ref="C13:C14"/>
    <mergeCell ref="B13:B14"/>
    <mergeCell ref="G6:G7"/>
    <mergeCell ref="D13:D14"/>
    <mergeCell ref="D6:D7"/>
    <mergeCell ref="E6:E7"/>
    <mergeCell ref="F6:F7"/>
    <mergeCell ref="A6:A7"/>
    <mergeCell ref="B6:B7"/>
    <mergeCell ref="C6:C7"/>
    <mergeCell ref="E13:E14"/>
  </mergeCells>
  <conditionalFormatting sqref="C8:N10 C15:N18">
    <cfRule type="cellIs" dxfId="227" priority="22" stopIfTrue="1" operator="equal">
      <formula>3</formula>
    </cfRule>
    <cfRule type="cellIs" dxfId="226" priority="23" stopIfTrue="1" operator="equal">
      <formula>2</formula>
    </cfRule>
    <cfRule type="cellIs" dxfId="225" priority="24" stopIfTrue="1" operator="equal">
      <formula>1</formula>
    </cfRule>
  </conditionalFormatting>
  <conditionalFormatting sqref="C8:C10">
    <cfRule type="cellIs" dxfId="224" priority="10" stopIfTrue="1" operator="equal">
      <formula>3</formula>
    </cfRule>
    <cfRule type="cellIs" dxfId="223" priority="11" stopIfTrue="1" operator="equal">
      <formula>2</formula>
    </cfRule>
    <cfRule type="cellIs" dxfId="222" priority="12" stopIfTrue="1" operator="equal">
      <formula>1</formula>
    </cfRule>
  </conditionalFormatting>
  <conditionalFormatting sqref="C8:C10">
    <cfRule type="cellIs" dxfId="221" priority="7" stopIfTrue="1" operator="equal">
      <formula>3</formula>
    </cfRule>
    <cfRule type="cellIs" dxfId="220" priority="8" stopIfTrue="1" operator="equal">
      <formula>2</formula>
    </cfRule>
    <cfRule type="cellIs" dxfId="219" priority="9" stopIfTrue="1" operator="equal">
      <formula>1</formula>
    </cfRule>
  </conditionalFormatting>
  <conditionalFormatting sqref="C15:C18">
    <cfRule type="cellIs" dxfId="218" priority="4" stopIfTrue="1" operator="equal">
      <formula>3</formula>
    </cfRule>
    <cfRule type="cellIs" dxfId="217" priority="5" stopIfTrue="1" operator="equal">
      <formula>2</formula>
    </cfRule>
    <cfRule type="cellIs" dxfId="216" priority="6" stopIfTrue="1" operator="equal">
      <formula>1</formula>
    </cfRule>
  </conditionalFormatting>
  <conditionalFormatting sqref="C15:C18">
    <cfRule type="cellIs" dxfId="215" priority="1" stopIfTrue="1" operator="equal">
      <formula>3</formula>
    </cfRule>
    <cfRule type="cellIs" dxfId="214" priority="2" stopIfTrue="1" operator="equal">
      <formula>2</formula>
    </cfRule>
    <cfRule type="cellIs" dxfId="213" priority="3" stopIfTrue="1" operator="equal">
      <formula>1</formula>
    </cfRule>
  </conditionalFormatting>
  <pageMargins left="0.7" right="0.7" top="0.75" bottom="0.75" header="0.3" footer="0.3"/>
  <pageSetup scale="90" orientation="landscape" r:id="rId1"/>
</worksheet>
</file>

<file path=xl/worksheets/sheet4.xml><?xml version="1.0" encoding="utf-8"?>
<worksheet xmlns="http://schemas.openxmlformats.org/spreadsheetml/2006/main" xmlns:r="http://schemas.openxmlformats.org/officeDocument/2006/relationships">
  <dimension ref="A1:G16"/>
  <sheetViews>
    <sheetView workbookViewId="0">
      <selection activeCell="G16" sqref="A1:G16"/>
    </sheetView>
  </sheetViews>
  <sheetFormatPr defaultRowHeight="15.75"/>
  <cols>
    <col min="1" max="1" width="14.109375" customWidth="1"/>
    <col min="2" max="2" width="19.77734375" customWidth="1"/>
    <col min="3" max="7" width="7.5546875" customWidth="1"/>
  </cols>
  <sheetData>
    <row r="1" spans="1:7" ht="16.5" thickBot="1">
      <c r="A1" s="96" t="s">
        <v>134</v>
      </c>
      <c r="B1" s="460"/>
      <c r="C1" s="90"/>
      <c r="D1" s="90"/>
      <c r="E1" s="90"/>
      <c r="F1" s="91" t="s">
        <v>133</v>
      </c>
      <c r="G1" s="103" t="s">
        <v>239</v>
      </c>
    </row>
    <row r="2" spans="1:7">
      <c r="A2" s="636" t="s">
        <v>99</v>
      </c>
      <c r="B2" s="638" t="s">
        <v>100</v>
      </c>
      <c r="C2" s="642" t="s">
        <v>101</v>
      </c>
      <c r="D2" s="638" t="s">
        <v>102</v>
      </c>
      <c r="E2" s="638" t="s">
        <v>191</v>
      </c>
      <c r="F2" s="638" t="s">
        <v>103</v>
      </c>
      <c r="G2" s="639" t="s">
        <v>131</v>
      </c>
    </row>
    <row r="3" spans="1:7">
      <c r="A3" s="637"/>
      <c r="B3" s="621"/>
      <c r="C3" s="642"/>
      <c r="D3" s="638"/>
      <c r="E3" s="638"/>
      <c r="F3" s="638"/>
      <c r="G3" s="639"/>
    </row>
    <row r="4" spans="1:7" ht="26.25">
      <c r="A4" s="613" t="s">
        <v>196</v>
      </c>
      <c r="B4" s="555" t="s">
        <v>132</v>
      </c>
      <c r="C4" s="594">
        <v>1</v>
      </c>
      <c r="D4" s="565">
        <v>681.93990333333329</v>
      </c>
      <c r="E4" s="565">
        <v>625.11157805555547</v>
      </c>
      <c r="F4" s="566">
        <v>855</v>
      </c>
      <c r="G4" s="488">
        <v>1.3677558215439318</v>
      </c>
    </row>
    <row r="5" spans="1:7">
      <c r="A5" s="633" t="s">
        <v>206</v>
      </c>
      <c r="B5" s="556" t="s">
        <v>107</v>
      </c>
      <c r="C5" s="594">
        <v>1</v>
      </c>
      <c r="D5" s="565">
        <v>187.82316333333333</v>
      </c>
      <c r="E5" s="565">
        <v>172.17123305555558</v>
      </c>
      <c r="F5" s="566">
        <v>245</v>
      </c>
      <c r="G5" s="488">
        <v>1.4230019478395923</v>
      </c>
    </row>
    <row r="6" spans="1:7" ht="16.5" thickBot="1">
      <c r="A6" s="634"/>
      <c r="B6" s="557" t="s">
        <v>138</v>
      </c>
      <c r="C6" s="252">
        <v>1</v>
      </c>
      <c r="D6" s="388">
        <v>34.984860300000001</v>
      </c>
      <c r="E6" s="388">
        <v>32.069455274999996</v>
      </c>
      <c r="F6" s="486">
        <v>40.041424999999997</v>
      </c>
      <c r="G6" s="488">
        <v>1.2485845068660899</v>
      </c>
    </row>
    <row r="7" spans="1:7" ht="16.5" thickBot="1">
      <c r="A7" s="96" t="s">
        <v>135</v>
      </c>
      <c r="B7" s="460"/>
      <c r="C7" s="90"/>
      <c r="D7" s="277"/>
      <c r="E7" s="277"/>
      <c r="F7" s="91" t="s">
        <v>136</v>
      </c>
      <c r="G7" s="103" t="s">
        <v>240</v>
      </c>
    </row>
    <row r="8" spans="1:7">
      <c r="A8" s="636" t="s">
        <v>99</v>
      </c>
      <c r="B8" s="638" t="s">
        <v>100</v>
      </c>
      <c r="C8" s="642" t="s">
        <v>101</v>
      </c>
      <c r="D8" s="638" t="s">
        <v>102</v>
      </c>
      <c r="E8" s="638" t="s">
        <v>191</v>
      </c>
      <c r="F8" s="638" t="s">
        <v>103</v>
      </c>
      <c r="G8" s="649" t="s">
        <v>108</v>
      </c>
    </row>
    <row r="9" spans="1:7">
      <c r="A9" s="637"/>
      <c r="B9" s="621"/>
      <c r="C9" s="642"/>
      <c r="D9" s="638"/>
      <c r="E9" s="638"/>
      <c r="F9" s="638"/>
      <c r="G9" s="649"/>
    </row>
    <row r="10" spans="1:7" ht="25.5">
      <c r="A10" s="613" t="s">
        <v>197</v>
      </c>
      <c r="B10" s="551" t="s">
        <v>190</v>
      </c>
      <c r="C10" s="594">
        <v>1</v>
      </c>
      <c r="D10" s="565">
        <v>2374</v>
      </c>
      <c r="E10" s="565">
        <v>395.66666666666669</v>
      </c>
      <c r="F10" s="566">
        <v>817</v>
      </c>
      <c r="G10" s="491">
        <v>2.0648694187026115</v>
      </c>
    </row>
    <row r="11" spans="1:7" ht="25.5">
      <c r="A11" s="620" t="s">
        <v>198</v>
      </c>
      <c r="B11" s="551" t="s">
        <v>199</v>
      </c>
      <c r="C11" s="252">
        <v>1</v>
      </c>
      <c r="D11" s="491">
        <v>0.41</v>
      </c>
      <c r="E11" s="492">
        <v>0.41</v>
      </c>
      <c r="F11" s="493">
        <v>0.42812499999999998</v>
      </c>
      <c r="G11" s="488">
        <v>1.8125000000000002E-2</v>
      </c>
    </row>
    <row r="12" spans="1:7">
      <c r="A12" s="620"/>
      <c r="B12" s="551" t="s">
        <v>200</v>
      </c>
      <c r="C12" s="252">
        <v>3</v>
      </c>
      <c r="D12" s="388">
        <v>6</v>
      </c>
      <c r="E12" s="442">
        <v>6</v>
      </c>
      <c r="F12" s="486">
        <v>3.1887760097919222</v>
      </c>
      <c r="G12" s="491">
        <v>0.53146266829865374</v>
      </c>
    </row>
    <row r="13" spans="1:7">
      <c r="A13" s="613" t="s">
        <v>109</v>
      </c>
      <c r="B13" s="551" t="s">
        <v>201</v>
      </c>
      <c r="C13" s="252">
        <v>1</v>
      </c>
      <c r="D13" s="491">
        <v>0.94999999999999984</v>
      </c>
      <c r="E13" s="491">
        <v>0.94999999999999984</v>
      </c>
      <c r="F13" s="493">
        <v>2.2526829268292681</v>
      </c>
      <c r="G13" s="491">
        <v>1.3026829268292683</v>
      </c>
    </row>
    <row r="14" spans="1:7">
      <c r="A14" s="620" t="s">
        <v>207</v>
      </c>
      <c r="B14" s="551" t="s">
        <v>227</v>
      </c>
      <c r="C14" s="521"/>
      <c r="D14" s="536"/>
      <c r="E14" s="537"/>
      <c r="F14" s="517">
        <v>146</v>
      </c>
      <c r="G14" s="542"/>
    </row>
    <row r="15" spans="1:7">
      <c r="A15" s="620"/>
      <c r="B15" s="551" t="s">
        <v>228</v>
      </c>
      <c r="C15" s="523"/>
      <c r="D15" s="538"/>
      <c r="E15" s="539"/>
      <c r="F15" s="517">
        <v>20</v>
      </c>
      <c r="G15" s="545"/>
    </row>
    <row r="16" spans="1:7">
      <c r="A16" s="620"/>
      <c r="B16" s="551" t="s">
        <v>234</v>
      </c>
      <c r="C16" s="526"/>
      <c r="D16" s="540"/>
      <c r="E16" s="541"/>
      <c r="F16" s="497">
        <v>4.1482000000000001</v>
      </c>
      <c r="G16" s="548"/>
    </row>
  </sheetData>
  <mergeCells count="17">
    <mergeCell ref="F8:F9"/>
    <mergeCell ref="G8:G9"/>
    <mergeCell ref="A11:A12"/>
    <mergeCell ref="A14:A16"/>
    <mergeCell ref="C8:C9"/>
    <mergeCell ref="D8:D9"/>
    <mergeCell ref="E8:E9"/>
    <mergeCell ref="A8:A9"/>
    <mergeCell ref="B8:B9"/>
    <mergeCell ref="C2:C3"/>
    <mergeCell ref="D2:D3"/>
    <mergeCell ref="E2:E3"/>
    <mergeCell ref="F2:F3"/>
    <mergeCell ref="G2:G3"/>
    <mergeCell ref="A5:A6"/>
    <mergeCell ref="A2:A3"/>
    <mergeCell ref="B2:B3"/>
  </mergeCells>
  <conditionalFormatting sqref="C13:C16">
    <cfRule type="cellIs" dxfId="35" priority="1" stopIfTrue="1" operator="equal">
      <formula>3</formula>
    </cfRule>
    <cfRule type="cellIs" dxfId="34" priority="2" stopIfTrue="1" operator="equal">
      <formula>2</formula>
    </cfRule>
    <cfRule type="cellIs" dxfId="33" priority="3" stopIfTrue="1" operator="equal">
      <formula>1</formula>
    </cfRule>
  </conditionalFormatting>
  <conditionalFormatting sqref="C4:C6 C10:C16">
    <cfRule type="cellIs" dxfId="32" priority="175" stopIfTrue="1" operator="equal">
      <formula>3</formula>
    </cfRule>
    <cfRule type="cellIs" dxfId="31" priority="176" stopIfTrue="1" operator="equal">
      <formula>2</formula>
    </cfRule>
    <cfRule type="cellIs" dxfId="30" priority="177" stopIfTrue="1" operator="equal">
      <formula>1</formula>
    </cfRule>
  </conditionalFormatting>
  <conditionalFormatting sqref="C10:C16">
    <cfRule type="cellIs" dxfId="29" priority="157" stopIfTrue="1" operator="equal">
      <formula>3</formula>
    </cfRule>
    <cfRule type="cellIs" dxfId="28" priority="158" stopIfTrue="1" operator="equal">
      <formula>2</formula>
    </cfRule>
    <cfRule type="cellIs" dxfId="27" priority="159" stopIfTrue="1" operator="equal">
      <formula>1</formula>
    </cfRule>
  </conditionalFormatting>
  <conditionalFormatting sqref="C10:C13">
    <cfRule type="cellIs" dxfId="26" priority="139" stopIfTrue="1" operator="equal">
      <formula>3</formula>
    </cfRule>
    <cfRule type="cellIs" dxfId="25" priority="140" stopIfTrue="1" operator="equal">
      <formula>2</formula>
    </cfRule>
    <cfRule type="cellIs" dxfId="24" priority="141" stopIfTrue="1" operator="equal">
      <formula>1</formula>
    </cfRule>
  </conditionalFormatting>
  <conditionalFormatting sqref="C10:C13">
    <cfRule type="cellIs" dxfId="23" priority="121" stopIfTrue="1" operator="equal">
      <formula>3</formula>
    </cfRule>
    <cfRule type="cellIs" dxfId="22" priority="122" stopIfTrue="1" operator="equal">
      <formula>2</formula>
    </cfRule>
    <cfRule type="cellIs" dxfId="21" priority="123" stopIfTrue="1" operator="equal">
      <formula>1</formula>
    </cfRule>
  </conditionalFormatting>
  <conditionalFormatting sqref="C10">
    <cfRule type="cellIs" dxfId="20" priority="106" stopIfTrue="1" operator="equal">
      <formula>3</formula>
    </cfRule>
    <cfRule type="cellIs" dxfId="19" priority="107" stopIfTrue="1" operator="equal">
      <formula>2</formula>
    </cfRule>
    <cfRule type="cellIs" dxfId="18" priority="108" stopIfTrue="1" operator="equal">
      <formula>1</formula>
    </cfRule>
  </conditionalFormatting>
  <conditionalFormatting sqref="C10">
    <cfRule type="cellIs" dxfId="17" priority="91" stopIfTrue="1" operator="equal">
      <formula>3</formula>
    </cfRule>
    <cfRule type="cellIs" dxfId="16" priority="92" stopIfTrue="1" operator="equal">
      <formula>2</formula>
    </cfRule>
    <cfRule type="cellIs" dxfId="15" priority="93" stopIfTrue="1" operator="equal">
      <formula>1</formula>
    </cfRule>
  </conditionalFormatting>
  <conditionalFormatting sqref="C10">
    <cfRule type="cellIs" dxfId="14" priority="76" stopIfTrue="1" operator="equal">
      <formula>3</formula>
    </cfRule>
    <cfRule type="cellIs" dxfId="13" priority="77" stopIfTrue="1" operator="equal">
      <formula>2</formula>
    </cfRule>
    <cfRule type="cellIs" dxfId="12" priority="78" stopIfTrue="1" operator="equal">
      <formula>1</formula>
    </cfRule>
  </conditionalFormatting>
  <conditionalFormatting sqref="C10">
    <cfRule type="cellIs" dxfId="11" priority="61" stopIfTrue="1" operator="equal">
      <formula>3</formula>
    </cfRule>
    <cfRule type="cellIs" dxfId="10" priority="62" stopIfTrue="1" operator="equal">
      <formula>2</formula>
    </cfRule>
    <cfRule type="cellIs" dxfId="9" priority="63" stopIfTrue="1" operator="equal">
      <formula>1</formula>
    </cfRule>
  </conditionalFormatting>
  <conditionalFormatting sqref="C10">
    <cfRule type="cellIs" dxfId="8" priority="46" stopIfTrue="1" operator="equal">
      <formula>3</formula>
    </cfRule>
    <cfRule type="cellIs" dxfId="7" priority="47" stopIfTrue="1" operator="equal">
      <formula>2</formula>
    </cfRule>
    <cfRule type="cellIs" dxfId="6" priority="48" stopIfTrue="1" operator="equal">
      <formula>1</formula>
    </cfRule>
  </conditionalFormatting>
  <conditionalFormatting sqref="C10">
    <cfRule type="cellIs" dxfId="5" priority="31" stopIfTrue="1" operator="equal">
      <formula>3</formula>
    </cfRule>
    <cfRule type="cellIs" dxfId="4" priority="32" stopIfTrue="1" operator="equal">
      <formula>2</formula>
    </cfRule>
    <cfRule type="cellIs" dxfId="3" priority="33" stopIfTrue="1" operator="equal">
      <formula>1</formula>
    </cfRule>
  </conditionalFormatting>
  <conditionalFormatting sqref="C12">
    <cfRule type="cellIs" dxfId="2" priority="16" stopIfTrue="1" operator="equal">
      <formula>3</formula>
    </cfRule>
    <cfRule type="cellIs" dxfId="1" priority="17" stopIfTrue="1" operator="equal">
      <formula>2</formula>
    </cfRule>
    <cfRule type="cellIs" dxfId="0" priority="18" stopIfTrue="1" operator="equal">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Balanced Scorecard</vt:lpstr>
      <vt:lpstr>Input &amp; Calc</vt:lpstr>
      <vt:lpstr>State Summary</vt:lpstr>
      <vt:lpstr>Sheet1</vt:lpstr>
      <vt:lpstr>Budget</vt:lpstr>
      <vt:lpstr>Input</vt:lpstr>
      <vt:lpstr>Month</vt:lpstr>
      <vt:lpstr>Qtr</vt:lpstr>
      <vt:lpstr>YTD</vt:lpstr>
    </vt:vector>
  </TitlesOfParts>
  <Company>SLCC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Panichello</dc:creator>
  <cp:lastModifiedBy>Greg Panichello</cp:lastModifiedBy>
  <cp:lastPrinted>2010-09-27T17:14:49Z</cp:lastPrinted>
  <dcterms:created xsi:type="dcterms:W3CDTF">2008-11-13T18:13:42Z</dcterms:created>
  <dcterms:modified xsi:type="dcterms:W3CDTF">2010-10-01T17:29:58Z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-2061848405</vt:i4>
  </property>
  <property fmtid="{D5CDD505-2E9C-101B-9397-08002B2CF9AE}" pid="4" name="_EmailSubject">
    <vt:lpwstr>RE: Balanced Scorecard</vt:lpwstr>
  </property>
  <property fmtid="{D5CDD505-2E9C-101B-9397-08002B2CF9AE}" pid="5" name="_AuthorEmail">
    <vt:lpwstr>Carrie.Menzel@slcc.edu</vt:lpwstr>
  </property>
  <property fmtid="{D5CDD505-2E9C-101B-9397-08002B2CF9AE}" pid="6" name="_AuthorEmailDisplayName">
    <vt:lpwstr>Carrie Menzel</vt:lpwstr>
  </property>
  <property fmtid="{D5CDD505-2E9C-101B-9397-08002B2CF9AE}" pid="7" name="_PreviousAdHocReviewCycleID">
    <vt:i4>1411347794</vt:i4>
  </property>
  <property fmtid="{D5CDD505-2E9C-101B-9397-08002B2CF9AE}" pid="8" name="_ReviewingToolsShownOnce">
    <vt:lpwstr/>
  </property>
</Properties>
</file>